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200" windowHeight="8610" activeTab="1"/>
  </bookViews>
  <sheets>
    <sheet name="Données" sheetId="1" r:id="rId1"/>
    <sheet name="Report_Données" sheetId="7" r:id="rId2"/>
    <sheet name="Classement" sheetId="6" r:id="rId3"/>
    <sheet name="Suivi_FT" sheetId="8" r:id="rId4"/>
    <sheet name="Suivi_SE" sheetId="9" r:id="rId5"/>
    <sheet name="Suivi_Gain" sheetId="10" r:id="rId6"/>
    <sheet name="Suivi_Championnat" sheetId="11" r:id="rId7"/>
  </sheets>
  <functionGroups builtInGroupCount="17"/>
  <definedNames>
    <definedName name="_xlnm._FilterDatabase" localSheetId="2" hidden="1">Classement!$J$1:$K$47</definedName>
    <definedName name="A_Lyga">Classement!$A$618:$A$625</definedName>
    <definedName name="Allemagne">Classement!$K$2:$K$3</definedName>
    <definedName name="Allsvenskan">Classement!$A$695:$A$710</definedName>
    <definedName name="Angleterre">Classement!$K$4:$K$5</definedName>
    <definedName name="Armenie">Classement!$K$6</definedName>
    <definedName name="Autriche">Classement!$K$7</definedName>
    <definedName name="Belgique">Classement!$K$8</definedName>
    <definedName name="Bielorussie">Classement!$K$9</definedName>
    <definedName name="Bosnie">Classement!$K$10</definedName>
    <definedName name="Bresil">Classement!$K$11</definedName>
    <definedName name="Bulgarie">Classement!$K$12</definedName>
    <definedName name="Bundesliga">Classement!$A$44:$A$61</definedName>
    <definedName name="Bundesliga_2">Classement!$A$63:$A$80</definedName>
    <definedName name="Championship">Classement!$A$103:$A$126</definedName>
    <definedName name="Chypre">Classement!$K$13</definedName>
    <definedName name="Croatie">Classement!$K$14</definedName>
    <definedName name="Danemark">Classement!$K$15</definedName>
    <definedName name="Ecosse">Classement!$K$16</definedName>
    <definedName name="Ekstraklasa">Classement!$A$678:$A$693</definedName>
    <definedName name="Eliteserien">Classement!$A$642:$A$657</definedName>
    <definedName name="Eredivisie">Classement!$A$659:$A$676</definedName>
    <definedName name="Espagne">Classement!$K$17:$K$18</definedName>
    <definedName name="Estonie">Classement!$K$19</definedName>
    <definedName name="Finlande">Classement!$K$20</definedName>
    <definedName name="Fortuna_Liga">Classement!$A$296:$A$307</definedName>
    <definedName name="France">Classement!$K$21:$K$22</definedName>
    <definedName name="Grece">Classement!$K$23</definedName>
    <definedName name="HNL_1">Classement!$A$453:$A$462</definedName>
    <definedName name="Hongrie">Classement!$K$25</definedName>
    <definedName name="Irlande">Classement!$K$24</definedName>
    <definedName name="Irlande_Nord">Classement!$L$2</definedName>
    <definedName name="Italie">Classement!$L$3:$L$4</definedName>
    <definedName name="J_League">Classement!$A$590:$A$607</definedName>
    <definedName name="Japon">Classement!$L$5</definedName>
    <definedName name="Jupiler_League">Classement!$A$350:$A$365</definedName>
    <definedName name="LaLiga">Classement!$A$492:$A$511</definedName>
    <definedName name="LaLiga_2">Classement!$A$513:$A$534</definedName>
    <definedName name="Lettonie">Classement!$L$6</definedName>
    <definedName name="Liga_1">Classement!$A$213:$A$226</definedName>
    <definedName name="Liga_1_RepTcheque">Classement!$A$228:$A$243</definedName>
    <definedName name="Liga_2_Cabovisao">Classement!$A$245:$A$262</definedName>
    <definedName name="Liga_NOS">Classement!$A$194:$A$211</definedName>
    <definedName name="Ligue_1">Classement!$A$2:$A$21</definedName>
    <definedName name="Ligue_2">Classement!$A$23:$A$42</definedName>
    <definedName name="Lituanie">Classement!$L$7</definedName>
    <definedName name="Luxembourg">Classement!$L$8</definedName>
    <definedName name="Meistriliiga">Classement!$A$536:$A$545</definedName>
    <definedName name="National_Division">Classement!$A$627:$A$640</definedName>
    <definedName name="NIFL">Classement!$A$577:$A$588</definedName>
    <definedName name="Norvege">Classement!$L$9</definedName>
    <definedName name="OTP_Bank_Liga">Classement!$A$742:$A$753</definedName>
    <definedName name="Parva_Liga">Classement!$A$264:$A$277</definedName>
    <definedName name="Pays_Bas">Classement!$L$10</definedName>
    <definedName name="Pays_Galles">Classement!$L$11</definedName>
    <definedName name="Pologne">Classement!$L$12</definedName>
    <definedName name="Portugal">Classement!$L$13:$L$14</definedName>
    <definedName name="Premier_Division_Irl">Classement!$A$442:$A$451</definedName>
    <definedName name="Premier_League_Ang">Classement!$A$82:$A$101</definedName>
    <definedName name="Premier_League_Arm">Classement!$A$128:$A$136</definedName>
    <definedName name="Premier_League_Bos">Classement!$A$138:$A$149</definedName>
    <definedName name="Premier_League_Gal">Classement!$A$151:$A$162</definedName>
    <definedName name="Premier_League_Rus">Classement!$A$177:$A$192</definedName>
    <definedName name="Premier_League_Ukr">Classement!$A$164:$A$175</definedName>
    <definedName name="Premiere_Division_Chy">Classement!$A$429:$A$440</definedName>
    <definedName name="Premiership">Classement!$A$479:$A$490</definedName>
    <definedName name="Prva_Liga">Classement!$A$326:$A$335</definedName>
    <definedName name="Raiffeisen_League">Classement!$A$712:$A$721</definedName>
    <definedName name="Rep_Tcheque">Classement!$L$15</definedName>
    <definedName name="Roumanie">Classement!$L$16</definedName>
    <definedName name="Russie">Classement!$L$17</definedName>
    <definedName name="Serbie">Classement!$L$18</definedName>
    <definedName name="Serie_A_Bre">Classement!$A$408:$A$427</definedName>
    <definedName name="Serie_A_Ita">Classement!$A$367:$A$386</definedName>
    <definedName name="Serie_B_Ita">Classement!$A$388:$A$406</definedName>
    <definedName name="Slovaquie">Classement!$L$19</definedName>
    <definedName name="Slovenie">Classement!$L$20</definedName>
    <definedName name="Suede">Classement!$L$21</definedName>
    <definedName name="Suisse">Classement!$L$22</definedName>
    <definedName name="Super_League_Gre">Classement!$A$560:$A$575</definedName>
    <definedName name="Super_Lig">Classement!$A$723:$A$740</definedName>
    <definedName name="Super_Liga">Classement!$A$309:$A$324</definedName>
    <definedName name="Superliga">Classement!$A$464:$A$477</definedName>
    <definedName name="SynotTip">Classement!$A$609:$A$616</definedName>
    <definedName name="Tipico">Classement!$A$337:$A$348</definedName>
    <definedName name="Turquie">Classement!$L$23</definedName>
    <definedName name="Ukraine">Classement!$L$24</definedName>
    <definedName name="Veikkausliga">Classement!$A$547:$A$558</definedName>
    <definedName name="Vysshaya_Liga">Classement!$A$279:$A$294</definedName>
    <definedName name="_xlnm.Print_Area" localSheetId="1">Report[[#All],[Date]:[FT]]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6" l="1"/>
  <c r="H3" i="6"/>
  <c r="H4" i="6"/>
  <c r="H5" i="6"/>
  <c r="H6" i="6"/>
  <c r="H7" i="6"/>
  <c r="H8" i="6"/>
  <c r="H9" i="6"/>
  <c r="H10" i="6"/>
  <c r="H11" i="6"/>
  <c r="H12" i="6"/>
  <c r="H13" i="6"/>
  <c r="H14" i="6"/>
  <c r="H15" i="6"/>
  <c r="H16" i="6"/>
  <c r="H17" i="6"/>
  <c r="H18" i="6"/>
  <c r="H19" i="6"/>
  <c r="H20" i="6"/>
  <c r="H21" i="6"/>
  <c r="H22" i="6"/>
  <c r="H23" i="6"/>
  <c r="H24" i="6"/>
  <c r="H25" i="6"/>
  <c r="H26" i="6"/>
  <c r="H27" i="6"/>
  <c r="H28" i="6"/>
  <c r="H29" i="6"/>
  <c r="H30" i="6"/>
  <c r="H31" i="6"/>
  <c r="H32" i="6"/>
  <c r="H33" i="6"/>
  <c r="H34" i="6"/>
  <c r="H35" i="6"/>
  <c r="H36" i="6"/>
  <c r="H37" i="6"/>
  <c r="H38" i="6"/>
  <c r="H39" i="6"/>
  <c r="H40" i="6"/>
  <c r="H41" i="6"/>
  <c r="H42" i="6"/>
  <c r="H43" i="6"/>
  <c r="H44" i="6"/>
  <c r="H45" i="6"/>
  <c r="H46" i="6"/>
  <c r="H47" i="6"/>
  <c r="H48" i="6"/>
  <c r="H49" i="6"/>
  <c r="H50" i="6"/>
  <c r="H51" i="6"/>
  <c r="H52" i="6"/>
  <c r="H53" i="6"/>
  <c r="H54" i="6"/>
  <c r="H55" i="6"/>
  <c r="H56" i="6"/>
  <c r="H57" i="6"/>
  <c r="H58" i="6"/>
  <c r="H59" i="6"/>
  <c r="H60" i="6"/>
  <c r="H61" i="6"/>
  <c r="H62" i="6"/>
  <c r="H63" i="6"/>
  <c r="H64" i="6"/>
  <c r="H65" i="6"/>
  <c r="H66" i="6"/>
  <c r="H67" i="6"/>
  <c r="H68" i="6"/>
  <c r="H69" i="6"/>
  <c r="H70" i="6"/>
  <c r="H71" i="6"/>
  <c r="H72" i="6"/>
  <c r="H73" i="6"/>
  <c r="H74" i="6"/>
  <c r="H75" i="6"/>
  <c r="H76" i="6"/>
  <c r="H77" i="6"/>
  <c r="H78" i="6"/>
  <c r="H79" i="6"/>
  <c r="H80" i="6"/>
  <c r="H81" i="6"/>
  <c r="H82" i="6"/>
  <c r="H83" i="6"/>
  <c r="H84" i="6"/>
  <c r="H85" i="6"/>
  <c r="H86" i="6"/>
  <c r="H87" i="6"/>
  <c r="H88" i="6"/>
  <c r="H89" i="6"/>
  <c r="H90" i="6"/>
  <c r="H91" i="6"/>
  <c r="H92" i="6"/>
  <c r="H93" i="6"/>
  <c r="H94" i="6"/>
  <c r="H95" i="6"/>
  <c r="H96" i="6"/>
  <c r="H97" i="6"/>
  <c r="H98" i="6"/>
  <c r="H99" i="6"/>
  <c r="H100" i="6"/>
  <c r="H101" i="6"/>
  <c r="H102" i="6"/>
  <c r="H103" i="6"/>
  <c r="H104" i="6"/>
  <c r="H105" i="6"/>
  <c r="H106" i="6"/>
  <c r="H107" i="6"/>
  <c r="H108" i="6"/>
  <c r="H109" i="6"/>
  <c r="H110" i="6"/>
  <c r="H111" i="6"/>
  <c r="H112" i="6"/>
  <c r="H113" i="6"/>
  <c r="H114" i="6"/>
  <c r="H115" i="6"/>
  <c r="H116" i="6"/>
  <c r="H117" i="6"/>
  <c r="H118" i="6"/>
  <c r="H119" i="6"/>
  <c r="H120" i="6"/>
  <c r="H121" i="6"/>
  <c r="H122" i="6"/>
  <c r="H123" i="6"/>
  <c r="H124" i="6"/>
  <c r="H125" i="6"/>
  <c r="H126" i="6"/>
  <c r="H127" i="6"/>
  <c r="H128" i="6"/>
  <c r="H129" i="6"/>
  <c r="H130" i="6"/>
  <c r="H131" i="6"/>
  <c r="H132" i="6"/>
  <c r="H133" i="6"/>
  <c r="H134" i="6"/>
  <c r="H135" i="6"/>
  <c r="H136" i="6"/>
  <c r="H137" i="6"/>
  <c r="H138" i="6"/>
  <c r="H139" i="6"/>
  <c r="H140" i="6"/>
  <c r="H141" i="6"/>
  <c r="H142" i="6"/>
  <c r="H143" i="6"/>
  <c r="H144" i="6"/>
  <c r="H145" i="6"/>
  <c r="H146" i="6"/>
  <c r="H147" i="6"/>
  <c r="H148" i="6"/>
  <c r="H149" i="6"/>
  <c r="H150" i="6"/>
  <c r="H151" i="6"/>
  <c r="H152" i="6"/>
  <c r="H153" i="6"/>
  <c r="H154" i="6"/>
  <c r="H155" i="6"/>
  <c r="H156" i="6"/>
  <c r="H157" i="6"/>
  <c r="H158" i="6"/>
  <c r="H159" i="6"/>
  <c r="H160" i="6"/>
  <c r="H161" i="6"/>
  <c r="H162" i="6"/>
  <c r="H163" i="6"/>
  <c r="H164" i="6"/>
  <c r="H165" i="6"/>
  <c r="H166" i="6"/>
  <c r="H167" i="6"/>
  <c r="H168" i="6"/>
  <c r="H169" i="6"/>
  <c r="H170" i="6"/>
  <c r="H171" i="6"/>
  <c r="H172" i="6"/>
  <c r="H173" i="6"/>
  <c r="H174" i="6"/>
  <c r="H175" i="6"/>
  <c r="H176" i="6"/>
  <c r="H177" i="6"/>
  <c r="H178" i="6"/>
  <c r="H179" i="6"/>
  <c r="H180" i="6"/>
  <c r="H181" i="6"/>
  <c r="H182" i="6"/>
  <c r="H183" i="6"/>
  <c r="H184" i="6"/>
  <c r="H185" i="6"/>
  <c r="H186" i="6"/>
  <c r="H187" i="6"/>
  <c r="H188" i="6"/>
  <c r="H189" i="6"/>
  <c r="H190" i="6"/>
  <c r="H191" i="6"/>
  <c r="H192" i="6"/>
  <c r="H193" i="6"/>
  <c r="H194" i="6"/>
  <c r="H195" i="6"/>
  <c r="H196" i="6"/>
  <c r="H197" i="6"/>
  <c r="H198" i="6"/>
  <c r="H199" i="6"/>
  <c r="H200" i="6"/>
  <c r="H201" i="6"/>
  <c r="H202" i="6"/>
  <c r="H203" i="6"/>
  <c r="H204" i="6"/>
  <c r="H205" i="6"/>
  <c r="H206" i="6"/>
  <c r="H207" i="6"/>
  <c r="H208" i="6"/>
  <c r="H209" i="6"/>
  <c r="H210" i="6"/>
  <c r="H211" i="6"/>
  <c r="H212" i="6"/>
  <c r="H213" i="6"/>
  <c r="H214" i="6"/>
  <c r="H215" i="6"/>
  <c r="H216" i="6"/>
  <c r="H217" i="6"/>
  <c r="H218" i="6"/>
  <c r="H219" i="6"/>
  <c r="H220" i="6"/>
  <c r="H221" i="6"/>
  <c r="H222" i="6"/>
  <c r="H223" i="6"/>
  <c r="H224" i="6"/>
  <c r="H225" i="6"/>
  <c r="H226" i="6"/>
  <c r="H227" i="6"/>
  <c r="H228" i="6"/>
  <c r="H229" i="6"/>
  <c r="H230" i="6"/>
  <c r="H231" i="6"/>
  <c r="H232" i="6"/>
  <c r="H233" i="6"/>
  <c r="H234" i="6"/>
  <c r="H235" i="6"/>
  <c r="H236" i="6"/>
  <c r="H237" i="6"/>
  <c r="H238" i="6"/>
  <c r="H239" i="6"/>
  <c r="H240" i="6"/>
  <c r="H241" i="6"/>
  <c r="H242" i="6"/>
  <c r="H243" i="6"/>
  <c r="H244" i="6"/>
  <c r="H245" i="6"/>
  <c r="H246" i="6"/>
  <c r="H247" i="6"/>
  <c r="H248" i="6"/>
  <c r="H249" i="6"/>
  <c r="H250" i="6"/>
  <c r="H251" i="6"/>
  <c r="H252" i="6"/>
  <c r="H253" i="6"/>
  <c r="H254" i="6"/>
  <c r="H255" i="6"/>
  <c r="H256" i="6"/>
  <c r="H257" i="6"/>
  <c r="H258" i="6"/>
  <c r="H259" i="6"/>
  <c r="H260" i="6"/>
  <c r="H261" i="6"/>
  <c r="H262" i="6"/>
  <c r="H263" i="6"/>
  <c r="H264" i="6"/>
  <c r="H265" i="6"/>
  <c r="H266" i="6"/>
  <c r="H267" i="6"/>
  <c r="H268" i="6"/>
  <c r="H269" i="6"/>
  <c r="H270" i="6"/>
  <c r="H271" i="6"/>
  <c r="H272" i="6"/>
  <c r="H273" i="6"/>
  <c r="H274" i="6"/>
  <c r="H275" i="6"/>
  <c r="H276" i="6"/>
  <c r="H277" i="6"/>
  <c r="H278" i="6"/>
  <c r="H279" i="6"/>
  <c r="H280" i="6"/>
  <c r="H281" i="6"/>
  <c r="H282" i="6"/>
  <c r="H283" i="6"/>
  <c r="H284" i="6"/>
  <c r="H285" i="6"/>
  <c r="H286" i="6"/>
  <c r="H287" i="6"/>
  <c r="H288" i="6"/>
  <c r="H289" i="6"/>
  <c r="H290" i="6"/>
  <c r="H291" i="6"/>
  <c r="H292" i="6"/>
  <c r="H293" i="6"/>
  <c r="H294" i="6"/>
  <c r="H295" i="6"/>
  <c r="H296" i="6"/>
  <c r="H297" i="6"/>
  <c r="H298" i="6"/>
  <c r="H299" i="6"/>
  <c r="H300" i="6"/>
  <c r="H301" i="6"/>
  <c r="H302" i="6"/>
  <c r="H303" i="6"/>
  <c r="H304" i="6"/>
  <c r="H305" i="6"/>
  <c r="H306" i="6"/>
  <c r="H307" i="6"/>
  <c r="H308" i="6"/>
  <c r="H309" i="6"/>
  <c r="H310" i="6"/>
  <c r="H311" i="6"/>
  <c r="H312" i="6"/>
  <c r="H313" i="6"/>
  <c r="H314" i="6"/>
  <c r="H315" i="6"/>
  <c r="H316" i="6"/>
  <c r="H317" i="6"/>
  <c r="H318" i="6"/>
  <c r="H319" i="6"/>
  <c r="H320" i="6"/>
  <c r="H321" i="6"/>
  <c r="H322" i="6"/>
  <c r="H323" i="6"/>
  <c r="H324" i="6"/>
  <c r="H325" i="6"/>
  <c r="H326" i="6"/>
  <c r="H327" i="6"/>
  <c r="H328" i="6"/>
  <c r="H329" i="6"/>
  <c r="H330" i="6"/>
  <c r="H331" i="6"/>
  <c r="H332" i="6"/>
  <c r="H333" i="6"/>
  <c r="H334" i="6"/>
  <c r="H335" i="6"/>
  <c r="H336" i="6"/>
  <c r="H337" i="6"/>
  <c r="H338" i="6"/>
  <c r="H339" i="6"/>
  <c r="H340" i="6"/>
  <c r="H341" i="6"/>
  <c r="H342" i="6"/>
  <c r="H343" i="6"/>
  <c r="H344" i="6"/>
  <c r="H345" i="6"/>
  <c r="H346" i="6"/>
  <c r="H347" i="6"/>
  <c r="H348" i="6"/>
  <c r="H349" i="6"/>
  <c r="H350" i="6"/>
  <c r="H351" i="6"/>
  <c r="H352" i="6"/>
  <c r="H353" i="6"/>
  <c r="H354" i="6"/>
  <c r="H355" i="6"/>
  <c r="H356" i="6"/>
  <c r="H357" i="6"/>
  <c r="H358" i="6"/>
  <c r="H359" i="6"/>
  <c r="H360" i="6"/>
  <c r="H361" i="6"/>
  <c r="H362" i="6"/>
  <c r="H363" i="6"/>
  <c r="H364" i="6"/>
  <c r="H365" i="6"/>
  <c r="H367" i="6"/>
  <c r="H368" i="6"/>
  <c r="H369" i="6"/>
  <c r="H370" i="6"/>
  <c r="H371" i="6"/>
  <c r="H372" i="6"/>
  <c r="H373" i="6"/>
  <c r="H374" i="6"/>
  <c r="H375" i="6"/>
  <c r="H376" i="6"/>
  <c r="H377" i="6"/>
  <c r="H378" i="6"/>
  <c r="H379" i="6"/>
  <c r="H380" i="6"/>
  <c r="H381" i="6"/>
  <c r="H382" i="6"/>
  <c r="H383" i="6"/>
  <c r="H384" i="6"/>
  <c r="H385" i="6"/>
  <c r="H386" i="6"/>
  <c r="H388" i="6"/>
  <c r="H389" i="6"/>
  <c r="H390" i="6"/>
  <c r="H391" i="6"/>
  <c r="H392" i="6"/>
  <c r="H393" i="6"/>
  <c r="H394" i="6"/>
  <c r="H395" i="6"/>
  <c r="H396" i="6"/>
  <c r="H397" i="6"/>
  <c r="H398" i="6"/>
  <c r="H399" i="6"/>
  <c r="H400" i="6"/>
  <c r="H401" i="6"/>
  <c r="H402" i="6"/>
  <c r="H403" i="6"/>
  <c r="H404" i="6"/>
  <c r="H405" i="6"/>
  <c r="H406" i="6"/>
  <c r="H408" i="6"/>
  <c r="H409" i="6"/>
  <c r="H410" i="6"/>
  <c r="H411" i="6"/>
  <c r="H412" i="6"/>
  <c r="H413" i="6"/>
  <c r="H414" i="6"/>
  <c r="H415" i="6"/>
  <c r="H416" i="6"/>
  <c r="H417" i="6"/>
  <c r="H418" i="6"/>
  <c r="H419" i="6"/>
  <c r="H420" i="6"/>
  <c r="H421" i="6"/>
  <c r="H422" i="6"/>
  <c r="H423" i="6"/>
  <c r="H424" i="6"/>
  <c r="H425" i="6"/>
  <c r="H426" i="6"/>
  <c r="H427" i="6"/>
  <c r="H429" i="6"/>
  <c r="H430" i="6"/>
  <c r="H431" i="6"/>
  <c r="H432" i="6"/>
  <c r="H433" i="6"/>
  <c r="H434" i="6"/>
  <c r="H435" i="6"/>
  <c r="H436" i="6"/>
  <c r="H437" i="6"/>
  <c r="H438" i="6"/>
  <c r="H439" i="6"/>
  <c r="H440" i="6"/>
  <c r="H442" i="6"/>
  <c r="H443" i="6"/>
  <c r="H444" i="6"/>
  <c r="H445" i="6"/>
  <c r="H446" i="6"/>
  <c r="H447" i="6"/>
  <c r="H448" i="6"/>
  <c r="H449" i="6"/>
  <c r="H450" i="6"/>
  <c r="H451" i="6"/>
  <c r="H453" i="6"/>
  <c r="H454" i="6"/>
  <c r="H455" i="6"/>
  <c r="H456" i="6"/>
  <c r="H457" i="6"/>
  <c r="H458" i="6"/>
  <c r="H459" i="6"/>
  <c r="H460" i="6"/>
  <c r="H461" i="6"/>
  <c r="H462" i="6"/>
  <c r="H464" i="6"/>
  <c r="H465" i="6"/>
  <c r="H466" i="6"/>
  <c r="H467" i="6"/>
  <c r="H468" i="6"/>
  <c r="H469" i="6"/>
  <c r="H470" i="6"/>
  <c r="H471" i="6"/>
  <c r="H472" i="6"/>
  <c r="H473" i="6"/>
  <c r="H474" i="6"/>
  <c r="H475" i="6"/>
  <c r="H476" i="6"/>
  <c r="H477" i="6"/>
  <c r="H479" i="6"/>
  <c r="H480" i="6"/>
  <c r="H481" i="6"/>
  <c r="H482" i="6"/>
  <c r="H483" i="6"/>
  <c r="H484" i="6"/>
  <c r="H485" i="6"/>
  <c r="H486" i="6"/>
  <c r="H487" i="6"/>
  <c r="H488" i="6"/>
  <c r="H489" i="6"/>
  <c r="H490" i="6"/>
  <c r="H492" i="6"/>
  <c r="H493" i="6"/>
  <c r="H494" i="6"/>
  <c r="H495" i="6"/>
  <c r="H496" i="6"/>
  <c r="H497" i="6"/>
  <c r="H498" i="6"/>
  <c r="H499" i="6"/>
  <c r="H500" i="6"/>
  <c r="H501" i="6"/>
  <c r="H502" i="6"/>
  <c r="H503" i="6"/>
  <c r="H504" i="6"/>
  <c r="H505" i="6"/>
  <c r="H506" i="6"/>
  <c r="H507" i="6"/>
  <c r="H508" i="6"/>
  <c r="H509" i="6"/>
  <c r="H510" i="6"/>
  <c r="H511" i="6"/>
  <c r="H513" i="6"/>
  <c r="H514" i="6"/>
  <c r="H515" i="6"/>
  <c r="H516" i="6"/>
  <c r="H517" i="6"/>
  <c r="H518" i="6"/>
  <c r="H519" i="6"/>
  <c r="H520" i="6"/>
  <c r="H521" i="6"/>
  <c r="H522" i="6"/>
  <c r="H523" i="6"/>
  <c r="H524" i="6"/>
  <c r="H525" i="6"/>
  <c r="H526" i="6"/>
  <c r="H527" i="6"/>
  <c r="H528" i="6"/>
  <c r="H529" i="6"/>
  <c r="H530" i="6"/>
  <c r="H531" i="6"/>
  <c r="H532" i="6"/>
  <c r="H533" i="6"/>
  <c r="H534" i="6"/>
  <c r="H536" i="6"/>
  <c r="H537" i="6"/>
  <c r="H538" i="6"/>
  <c r="H539" i="6"/>
  <c r="H540" i="6"/>
  <c r="H541" i="6"/>
  <c r="H542" i="6"/>
  <c r="H543" i="6"/>
  <c r="H544" i="6"/>
  <c r="H545" i="6"/>
  <c r="H547" i="6"/>
  <c r="H548" i="6"/>
  <c r="H549" i="6"/>
  <c r="H550" i="6"/>
  <c r="H551" i="6"/>
  <c r="H552" i="6"/>
  <c r="H553" i="6"/>
  <c r="H554" i="6"/>
  <c r="H555" i="6"/>
  <c r="H556" i="6"/>
  <c r="H557" i="6"/>
  <c r="H558" i="6"/>
  <c r="H560" i="6"/>
  <c r="H561" i="6"/>
  <c r="H562" i="6"/>
  <c r="H563" i="6"/>
  <c r="H564" i="6"/>
  <c r="H565" i="6"/>
  <c r="H566" i="6"/>
  <c r="H567" i="6"/>
  <c r="H568" i="6"/>
  <c r="H569" i="6"/>
  <c r="H570" i="6"/>
  <c r="H571" i="6"/>
  <c r="H572" i="6"/>
  <c r="H573" i="6"/>
  <c r="H574" i="6"/>
  <c r="H575" i="6"/>
  <c r="H577" i="6"/>
  <c r="H578" i="6"/>
  <c r="H579" i="6"/>
  <c r="H580" i="6"/>
  <c r="H581" i="6"/>
  <c r="H582" i="6"/>
  <c r="H583" i="6"/>
  <c r="H584" i="6"/>
  <c r="H585" i="6"/>
  <c r="H586" i="6"/>
  <c r="H587" i="6"/>
  <c r="H588" i="6"/>
  <c r="H590" i="6"/>
  <c r="H591" i="6"/>
  <c r="H592" i="6"/>
  <c r="H593" i="6"/>
  <c r="H594" i="6"/>
  <c r="H595" i="6"/>
  <c r="H596" i="6"/>
  <c r="H597" i="6"/>
  <c r="H598" i="6"/>
  <c r="H599" i="6"/>
  <c r="H600" i="6"/>
  <c r="H601" i="6"/>
  <c r="H602" i="6"/>
  <c r="H603" i="6"/>
  <c r="H604" i="6"/>
  <c r="H605" i="6"/>
  <c r="H606" i="6"/>
  <c r="H607" i="6"/>
  <c r="H609" i="6"/>
  <c r="H610" i="6"/>
  <c r="H611" i="6"/>
  <c r="H612" i="6"/>
  <c r="H613" i="6"/>
  <c r="H614" i="6"/>
  <c r="H615" i="6"/>
  <c r="H616" i="6"/>
  <c r="H618" i="6"/>
  <c r="H619" i="6"/>
  <c r="H620" i="6"/>
  <c r="H621" i="6"/>
  <c r="H622" i="6"/>
  <c r="H623" i="6"/>
  <c r="H624" i="6"/>
  <c r="H625" i="6"/>
  <c r="H627" i="6"/>
  <c r="H628" i="6"/>
  <c r="H629" i="6"/>
  <c r="H630" i="6"/>
  <c r="H631" i="6"/>
  <c r="H632" i="6"/>
  <c r="H633" i="6"/>
  <c r="H634" i="6"/>
  <c r="H635" i="6"/>
  <c r="H636" i="6"/>
  <c r="H637" i="6"/>
  <c r="H638" i="6"/>
  <c r="H639" i="6"/>
  <c r="H640" i="6"/>
  <c r="H642" i="6"/>
  <c r="H643" i="6"/>
  <c r="H644" i="6"/>
  <c r="H645" i="6"/>
  <c r="H646" i="6"/>
  <c r="H647" i="6"/>
  <c r="H648" i="6"/>
  <c r="H649" i="6"/>
  <c r="H650" i="6"/>
  <c r="H651" i="6"/>
  <c r="H652" i="6"/>
  <c r="H653" i="6"/>
  <c r="H654" i="6"/>
  <c r="H655" i="6"/>
  <c r="H656" i="6"/>
  <c r="H657" i="6"/>
  <c r="H659" i="6"/>
  <c r="H660" i="6"/>
  <c r="H661" i="6"/>
  <c r="H662" i="6"/>
  <c r="H663" i="6"/>
  <c r="H664" i="6"/>
  <c r="H665" i="6"/>
  <c r="H666" i="6"/>
  <c r="H667" i="6"/>
  <c r="H668" i="6"/>
  <c r="H669" i="6"/>
  <c r="H670" i="6"/>
  <c r="H671" i="6"/>
  <c r="H672" i="6"/>
  <c r="H673" i="6"/>
  <c r="H674" i="6"/>
  <c r="H675" i="6"/>
  <c r="H676" i="6"/>
  <c r="H678" i="6"/>
  <c r="H679" i="6"/>
  <c r="H680" i="6"/>
  <c r="H681" i="6"/>
  <c r="H682" i="6"/>
  <c r="H683" i="6"/>
  <c r="H684" i="6"/>
  <c r="H685" i="6"/>
  <c r="H686" i="6"/>
  <c r="H687" i="6"/>
  <c r="H688" i="6"/>
  <c r="H689" i="6"/>
  <c r="H690" i="6"/>
  <c r="H691" i="6"/>
  <c r="H692" i="6"/>
  <c r="H693" i="6"/>
  <c r="H695" i="6"/>
  <c r="H696" i="6"/>
  <c r="H697" i="6"/>
  <c r="H698" i="6"/>
  <c r="H699" i="6"/>
  <c r="H700" i="6"/>
  <c r="H701" i="6"/>
  <c r="H702" i="6"/>
  <c r="H703" i="6"/>
  <c r="H704" i="6"/>
  <c r="H705" i="6"/>
  <c r="H706" i="6"/>
  <c r="H707" i="6"/>
  <c r="H708" i="6"/>
  <c r="H709" i="6"/>
  <c r="H710" i="6"/>
  <c r="H712" i="6"/>
  <c r="H713" i="6"/>
  <c r="H714" i="6"/>
  <c r="H715" i="6"/>
  <c r="H716" i="6"/>
  <c r="H717" i="6"/>
  <c r="H718" i="6"/>
  <c r="H719" i="6"/>
  <c r="H720" i="6"/>
  <c r="H721" i="6"/>
  <c r="H723" i="6"/>
  <c r="H724" i="6"/>
  <c r="H725" i="6"/>
  <c r="H726" i="6"/>
  <c r="H727" i="6"/>
  <c r="H728" i="6"/>
  <c r="H729" i="6"/>
  <c r="H730" i="6"/>
  <c r="H731" i="6"/>
  <c r="H732" i="6"/>
  <c r="H733" i="6"/>
  <c r="H734" i="6"/>
  <c r="H735" i="6"/>
  <c r="H736" i="6"/>
  <c r="H737" i="6"/>
  <c r="H738" i="6"/>
  <c r="H739" i="6"/>
  <c r="H740" i="6"/>
  <c r="H742" i="6"/>
  <c r="H743" i="6"/>
  <c r="H744" i="6"/>
  <c r="H745" i="6"/>
  <c r="H746" i="6"/>
  <c r="H747" i="6"/>
  <c r="H748" i="6"/>
  <c r="H749" i="6"/>
  <c r="H750" i="6"/>
  <c r="H751" i="6"/>
  <c r="H752" i="6"/>
  <c r="H753" i="6"/>
  <c r="Q2" i="7"/>
  <c r="Q3" i="7"/>
  <c r="Q4" i="7"/>
  <c r="Q5" i="7"/>
  <c r="Q6" i="7"/>
  <c r="Q7" i="7"/>
  <c r="Q8" i="7"/>
  <c r="Q9" i="7"/>
  <c r="Q10" i="7"/>
  <c r="Q11" i="7"/>
  <c r="Q12" i="7"/>
  <c r="Q13" i="7"/>
  <c r="Q14" i="7"/>
  <c r="Q15" i="7"/>
  <c r="Q16" i="7"/>
  <c r="Q17" i="7"/>
  <c r="Q18" i="7"/>
  <c r="Q19" i="7"/>
  <c r="Q20" i="7"/>
  <c r="Q21" i="7"/>
  <c r="Q22" i="7"/>
  <c r="Q23" i="7"/>
  <c r="Q24" i="7"/>
  <c r="Q25" i="7"/>
  <c r="Q26" i="7"/>
  <c r="Q27" i="7"/>
  <c r="Q28" i="7"/>
  <c r="Q29" i="7"/>
  <c r="Q30" i="7"/>
  <c r="Q31" i="7"/>
  <c r="Q32" i="7"/>
  <c r="Q33" i="7"/>
  <c r="Q34" i="7"/>
  <c r="Q35" i="7"/>
  <c r="Q36" i="7"/>
  <c r="Q37" i="7"/>
  <c r="Q38" i="7"/>
  <c r="Q39" i="7"/>
  <c r="Q40" i="7"/>
  <c r="Q41" i="7"/>
  <c r="Q42" i="7"/>
  <c r="Q43" i="7"/>
  <c r="Q44" i="7"/>
  <c r="Q45" i="7"/>
  <c r="Q46" i="7"/>
  <c r="Q47" i="7"/>
  <c r="Q48" i="7"/>
  <c r="Q49" i="7"/>
  <c r="Q50" i="7"/>
  <c r="Q51" i="7"/>
  <c r="Q52" i="7"/>
  <c r="Q53" i="7"/>
  <c r="Q54" i="7"/>
  <c r="Q55" i="7"/>
  <c r="Q56" i="7"/>
  <c r="Q57" i="7"/>
  <c r="Q58" i="7"/>
  <c r="Q59" i="7"/>
  <c r="Q60" i="7"/>
  <c r="Q61" i="7"/>
  <c r="Q62" i="7"/>
  <c r="Q63" i="7"/>
  <c r="Q64" i="7"/>
  <c r="Q65" i="7"/>
  <c r="Q66" i="7"/>
  <c r="Q67" i="7"/>
  <c r="Q68" i="7"/>
  <c r="Q69" i="7"/>
  <c r="Q70" i="7"/>
  <c r="Q71" i="7"/>
  <c r="Q72" i="7"/>
  <c r="Q73" i="7"/>
  <c r="Q74" i="7"/>
  <c r="Q75" i="7"/>
  <c r="Q76" i="7"/>
  <c r="Q77" i="7"/>
  <c r="Q78" i="7"/>
  <c r="Q79" i="7"/>
  <c r="Q80" i="7"/>
  <c r="Q81" i="7"/>
  <c r="Q82" i="7"/>
  <c r="Q83" i="7"/>
  <c r="Q84" i="7"/>
  <c r="Q85" i="7"/>
  <c r="Q86" i="7"/>
  <c r="Q87" i="7"/>
  <c r="Q88" i="7"/>
  <c r="Q89" i="7"/>
  <c r="Q90" i="7"/>
  <c r="Q91" i="7"/>
  <c r="Q92" i="7"/>
  <c r="Q93" i="7"/>
  <c r="Q94" i="7"/>
  <c r="Q95" i="7"/>
  <c r="Q96" i="7"/>
  <c r="Q97" i="7"/>
  <c r="Q98" i="7"/>
  <c r="Q99" i="7"/>
  <c r="Q100" i="7"/>
  <c r="Q101" i="7"/>
  <c r="Q102" i="7"/>
  <c r="Q103" i="7"/>
  <c r="Q104" i="7"/>
  <c r="Q105" i="7"/>
  <c r="Q106" i="7"/>
  <c r="Q107" i="7"/>
  <c r="Q108" i="7"/>
  <c r="Q109" i="7"/>
  <c r="Q110" i="7"/>
  <c r="Q111" i="7"/>
  <c r="Q112" i="7"/>
  <c r="Q113" i="7"/>
  <c r="Q114" i="7"/>
  <c r="Q115" i="7"/>
  <c r="Q116" i="7"/>
  <c r="Q117" i="7"/>
  <c r="Q118" i="7"/>
  <c r="Q119" i="7"/>
  <c r="Q120" i="7"/>
  <c r="Q121" i="7"/>
  <c r="Q122" i="7"/>
  <c r="Q123" i="7"/>
  <c r="Q124" i="7"/>
  <c r="Q125" i="7"/>
  <c r="Q126" i="7"/>
  <c r="Q127" i="7"/>
  <c r="Q128" i="7"/>
  <c r="Q129" i="7"/>
  <c r="Q130" i="7"/>
  <c r="Q131" i="7"/>
  <c r="Q132" i="7"/>
  <c r="Q133" i="7"/>
  <c r="Q134" i="7"/>
  <c r="Q135" i="7"/>
  <c r="Q136" i="7"/>
  <c r="Q137" i="7"/>
  <c r="Q138" i="7"/>
  <c r="Q139" i="7"/>
  <c r="Q140" i="7"/>
  <c r="Q141" i="7"/>
  <c r="Q142" i="7"/>
  <c r="Q143" i="7"/>
  <c r="Q144" i="7"/>
  <c r="Q145" i="7"/>
  <c r="Q146" i="7"/>
  <c r="Q147" i="7"/>
  <c r="Q148" i="7"/>
  <c r="Q149" i="7"/>
  <c r="Q150" i="7"/>
  <c r="Q151" i="7"/>
  <c r="Q152" i="7"/>
  <c r="Q153" i="7"/>
  <c r="Q154" i="7"/>
  <c r="Q155" i="7"/>
  <c r="Q156" i="7"/>
  <c r="Q157" i="7"/>
  <c r="Q158" i="7"/>
  <c r="Q159" i="7"/>
  <c r="Q160" i="7"/>
  <c r="Q161" i="7"/>
  <c r="Q162" i="7"/>
  <c r="Q163" i="7"/>
  <c r="Q164" i="7"/>
  <c r="Q165" i="7"/>
  <c r="Q166" i="7"/>
  <c r="Q167" i="7"/>
  <c r="Q168" i="7"/>
  <c r="Q169" i="7"/>
  <c r="Q170" i="7"/>
  <c r="Q171" i="7"/>
  <c r="Q172" i="7"/>
  <c r="Q173" i="7"/>
  <c r="Q174" i="7"/>
  <c r="Q175" i="7"/>
  <c r="Q176" i="7"/>
  <c r="Q177" i="7"/>
  <c r="Q178" i="7"/>
  <c r="Q179" i="7"/>
  <c r="Q180" i="7"/>
  <c r="Q181" i="7"/>
  <c r="Q182" i="7"/>
  <c r="Q183" i="7"/>
  <c r="Q184" i="7"/>
  <c r="Q185" i="7"/>
  <c r="Q186" i="7"/>
  <c r="Q187" i="7"/>
  <c r="Q188" i="7"/>
  <c r="Q189" i="7"/>
  <c r="Q190" i="7"/>
  <c r="Q191" i="7"/>
  <c r="Q192" i="7"/>
  <c r="Q193" i="7"/>
  <c r="Q194" i="7"/>
  <c r="Q195" i="7"/>
  <c r="Q196" i="7"/>
  <c r="Q197" i="7"/>
  <c r="Q198" i="7"/>
  <c r="Q199" i="7"/>
  <c r="Q200" i="7"/>
  <c r="Q201" i="7"/>
  <c r="Q202" i="7"/>
  <c r="Q203" i="7"/>
  <c r="Q204" i="7"/>
  <c r="Q205" i="7"/>
  <c r="Q206" i="7"/>
  <c r="Q207" i="7"/>
  <c r="Q208" i="7"/>
  <c r="Q209" i="7"/>
  <c r="Q210" i="7"/>
  <c r="Q211" i="7"/>
  <c r="Q212" i="7"/>
  <c r="Q213" i="7"/>
  <c r="Q214" i="7"/>
  <c r="Q215" i="7"/>
  <c r="Q216" i="7"/>
  <c r="Q217" i="7"/>
  <c r="Q218" i="7"/>
  <c r="Q219" i="7"/>
  <c r="Q220" i="7"/>
  <c r="Q221" i="7"/>
  <c r="Q222" i="7"/>
  <c r="Q223" i="7"/>
  <c r="Q224" i="7"/>
  <c r="Q225" i="7"/>
  <c r="Q226" i="7"/>
  <c r="Q227" i="7"/>
  <c r="Q228" i="7"/>
  <c r="Q229" i="7"/>
  <c r="Q230" i="7"/>
  <c r="Q231" i="7"/>
  <c r="Q232" i="7"/>
  <c r="Q233" i="7"/>
  <c r="Q234" i="7"/>
  <c r="Q235" i="7"/>
  <c r="Q236" i="7"/>
  <c r="Q237" i="7"/>
  <c r="Q238" i="7"/>
  <c r="Q239" i="7"/>
  <c r="Q240" i="7"/>
  <c r="Q241" i="7"/>
  <c r="Q242" i="7"/>
  <c r="Q243" i="7"/>
  <c r="Q244" i="7"/>
  <c r="Q245" i="7"/>
  <c r="Q246" i="7"/>
  <c r="Q247" i="7"/>
  <c r="Q248" i="7"/>
  <c r="Q249" i="7"/>
  <c r="Q250" i="7"/>
  <c r="Q251" i="7"/>
  <c r="Q252" i="7"/>
  <c r="Q253" i="7"/>
  <c r="Q254" i="7"/>
  <c r="Q255" i="7"/>
  <c r="Q256" i="7"/>
  <c r="Q257" i="7"/>
  <c r="Q258" i="7"/>
  <c r="Q259" i="7"/>
  <c r="Q260" i="7"/>
  <c r="Q261" i="7"/>
  <c r="Q262" i="7"/>
  <c r="Q263" i="7"/>
  <c r="Q264" i="7"/>
  <c r="Q265" i="7"/>
  <c r="Q266" i="7"/>
  <c r="Q267" i="7"/>
  <c r="Q268" i="7"/>
  <c r="Q269" i="7"/>
  <c r="Q270" i="7"/>
  <c r="Q271" i="7"/>
  <c r="Q272" i="7"/>
  <c r="Q273" i="7"/>
  <c r="Q274" i="7"/>
  <c r="Q275" i="7"/>
  <c r="Q276" i="7"/>
  <c r="Q277" i="7"/>
  <c r="Q278" i="7"/>
  <c r="Q279" i="7"/>
  <c r="Q280" i="7"/>
  <c r="Q281" i="7"/>
  <c r="Q282" i="7"/>
  <c r="Q283" i="7"/>
  <c r="Q284" i="7"/>
  <c r="Q285" i="7"/>
  <c r="Q286" i="7"/>
  <c r="Q287" i="7"/>
  <c r="Q288" i="7"/>
  <c r="Q289" i="7"/>
  <c r="Q290" i="7"/>
  <c r="Q291" i="7"/>
  <c r="Q292" i="7"/>
  <c r="Q293" i="7"/>
  <c r="Q294" i="7"/>
  <c r="Q295" i="7"/>
  <c r="Q296" i="7"/>
  <c r="Q297" i="7"/>
  <c r="Q298" i="7"/>
  <c r="Q299" i="7"/>
  <c r="Q300" i="7"/>
  <c r="Q301" i="7"/>
  <c r="Q302" i="7"/>
  <c r="Q303" i="7"/>
  <c r="Q304" i="7"/>
  <c r="Q305" i="7"/>
  <c r="Q306" i="7"/>
  <c r="Q307" i="7"/>
  <c r="Q308" i="7"/>
  <c r="Q309" i="7"/>
  <c r="Q310" i="7"/>
  <c r="Q311" i="7"/>
  <c r="Q312" i="7"/>
  <c r="Q313" i="7"/>
  <c r="Q314" i="7"/>
  <c r="Q315" i="7"/>
  <c r="Q316" i="7"/>
  <c r="Q317" i="7"/>
  <c r="Q318" i="7"/>
  <c r="Q319" i="7"/>
  <c r="Q320" i="7"/>
  <c r="Q321" i="7"/>
  <c r="Q322" i="7"/>
  <c r="Q323" i="7"/>
  <c r="Q324" i="7"/>
  <c r="Q325" i="7"/>
  <c r="Q326" i="7"/>
  <c r="Q327" i="7"/>
  <c r="Q328" i="7"/>
  <c r="Q329" i="7"/>
  <c r="Q330" i="7"/>
  <c r="Q331" i="7"/>
  <c r="Q332" i="7"/>
  <c r="Q333" i="7"/>
  <c r="Q334" i="7"/>
  <c r="Q335" i="7"/>
  <c r="Q336" i="7"/>
  <c r="Q337" i="7"/>
  <c r="Q338" i="7"/>
  <c r="Q339" i="7"/>
  <c r="Q340" i="7"/>
  <c r="Q341" i="7"/>
  <c r="Q342" i="7"/>
  <c r="Q343" i="7"/>
  <c r="Q344" i="7"/>
  <c r="Q345" i="7"/>
  <c r="Q346" i="7"/>
  <c r="Q347" i="7"/>
  <c r="Q348" i="7"/>
  <c r="Q349" i="7"/>
  <c r="Q350" i="7"/>
  <c r="Q351" i="7"/>
  <c r="Q352" i="7"/>
  <c r="Q353" i="7"/>
  <c r="Q354" i="7"/>
  <c r="Q355" i="7"/>
  <c r="Q356" i="7"/>
  <c r="Q357" i="7"/>
  <c r="Q358" i="7"/>
  <c r="Q359" i="7"/>
  <c r="Q360" i="7"/>
  <c r="Q361" i="7"/>
  <c r="Q362" i="7"/>
  <c r="Q363" i="7"/>
  <c r="Q364" i="7"/>
  <c r="Q365" i="7"/>
  <c r="P2" i="7"/>
  <c r="H366" i="6" s="1"/>
  <c r="T18" i="7"/>
  <c r="H19" i="11"/>
  <c r="K19" i="11"/>
  <c r="N19" i="11"/>
  <c r="Q19" i="11"/>
  <c r="H20" i="11"/>
  <c r="K20" i="11"/>
  <c r="N20" i="11"/>
  <c r="Q20" i="11"/>
  <c r="H25" i="11"/>
  <c r="K25" i="11"/>
  <c r="N25" i="11"/>
  <c r="Q25" i="11"/>
  <c r="H30" i="11"/>
  <c r="K30" i="11"/>
  <c r="N30" i="11"/>
  <c r="Q30" i="11"/>
  <c r="H31" i="11"/>
  <c r="K31" i="11"/>
  <c r="N31" i="11"/>
  <c r="Q31" i="11"/>
  <c r="H37" i="11"/>
  <c r="K37" i="11"/>
  <c r="N37" i="11"/>
  <c r="Q37" i="11"/>
  <c r="H45" i="11"/>
  <c r="K45" i="11"/>
  <c r="N45" i="11"/>
  <c r="Q45" i="11"/>
  <c r="O2" i="7"/>
  <c r="R2" i="7" s="1"/>
  <c r="O3" i="7"/>
  <c r="O4" i="7"/>
  <c r="O5" i="7"/>
  <c r="P3" i="7"/>
  <c r="P4" i="7"/>
  <c r="P5" i="7"/>
  <c r="R3" i="7"/>
  <c r="R4" i="7"/>
  <c r="R5" i="7"/>
  <c r="S2" i="7"/>
  <c r="AC2" i="7" s="1"/>
  <c r="S3" i="7"/>
  <c r="S4" i="7"/>
  <c r="S5" i="7"/>
  <c r="T2" i="7"/>
  <c r="T3" i="7"/>
  <c r="T4" i="7"/>
  <c r="T5" i="7"/>
  <c r="U2" i="7"/>
  <c r="U3" i="7"/>
  <c r="U4" i="7"/>
  <c r="U5" i="7"/>
  <c r="V2" i="7"/>
  <c r="V3" i="7"/>
  <c r="V4" i="7"/>
  <c r="V5" i="7"/>
  <c r="W2" i="7"/>
  <c r="W3" i="7"/>
  <c r="W4" i="7"/>
  <c r="W5" i="7"/>
  <c r="X3" i="7"/>
  <c r="X4" i="7"/>
  <c r="X5" i="7"/>
  <c r="Y2" i="7"/>
  <c r="Y3" i="7"/>
  <c r="Y4" i="7"/>
  <c r="Y5" i="7"/>
  <c r="Z2" i="7"/>
  <c r="Z3" i="7"/>
  <c r="Z4" i="7"/>
  <c r="Z5" i="7"/>
  <c r="AA2" i="7"/>
  <c r="AA3" i="7"/>
  <c r="AA4" i="7"/>
  <c r="AA5" i="7"/>
  <c r="AB2" i="7"/>
  <c r="AB3" i="7"/>
  <c r="AB4" i="7"/>
  <c r="AB5" i="7"/>
  <c r="AC3" i="7"/>
  <c r="AC4" i="7"/>
  <c r="AC5" i="7"/>
  <c r="O12" i="7"/>
  <c r="O13" i="7"/>
  <c r="O14" i="7"/>
  <c r="O15" i="7"/>
  <c r="O16" i="7"/>
  <c r="O17" i="7"/>
  <c r="O6" i="7"/>
  <c r="O7" i="7"/>
  <c r="O8" i="7"/>
  <c r="O9" i="7"/>
  <c r="O10" i="7"/>
  <c r="O11" i="7"/>
  <c r="P12" i="7"/>
  <c r="P13" i="7"/>
  <c r="P14" i="7"/>
  <c r="P15" i="7"/>
  <c r="P16" i="7"/>
  <c r="P17" i="7"/>
  <c r="P6" i="7"/>
  <c r="P7" i="7"/>
  <c r="P8" i="7"/>
  <c r="P9" i="7"/>
  <c r="P10" i="7"/>
  <c r="P11" i="7"/>
  <c r="R12" i="7"/>
  <c r="R13" i="7"/>
  <c r="R14" i="7"/>
  <c r="R15" i="7"/>
  <c r="R16" i="7"/>
  <c r="R17" i="7"/>
  <c r="R6" i="7"/>
  <c r="R7" i="7"/>
  <c r="R8" i="7"/>
  <c r="R9" i="7"/>
  <c r="R10" i="7"/>
  <c r="R11" i="7"/>
  <c r="S12" i="7"/>
  <c r="S13" i="7"/>
  <c r="S14" i="7"/>
  <c r="S15" i="7"/>
  <c r="S16" i="7"/>
  <c r="S17" i="7"/>
  <c r="S6" i="7"/>
  <c r="S7" i="7"/>
  <c r="S8" i="7"/>
  <c r="S9" i="7"/>
  <c r="S10" i="7"/>
  <c r="S11" i="7"/>
  <c r="T12" i="7"/>
  <c r="T13" i="7"/>
  <c r="T14" i="7"/>
  <c r="T15" i="7"/>
  <c r="T16" i="7"/>
  <c r="T17" i="7"/>
  <c r="T6" i="7"/>
  <c r="T7" i="7"/>
  <c r="T8" i="7"/>
  <c r="T9" i="7"/>
  <c r="T10" i="7"/>
  <c r="T11" i="7"/>
  <c r="U12" i="7"/>
  <c r="U13" i="7"/>
  <c r="U14" i="7"/>
  <c r="U15" i="7"/>
  <c r="U16" i="7"/>
  <c r="U17" i="7"/>
  <c r="U6" i="7"/>
  <c r="U7" i="7"/>
  <c r="U8" i="7"/>
  <c r="U9" i="7"/>
  <c r="U10" i="7"/>
  <c r="U11" i="7"/>
  <c r="V12" i="7"/>
  <c r="V13" i="7"/>
  <c r="V14" i="7"/>
  <c r="V15" i="7"/>
  <c r="V16" i="7"/>
  <c r="V17" i="7"/>
  <c r="V6" i="7"/>
  <c r="V7" i="7"/>
  <c r="V8" i="7"/>
  <c r="V9" i="7"/>
  <c r="V10" i="7"/>
  <c r="V11" i="7"/>
  <c r="W12" i="7"/>
  <c r="W13" i="7"/>
  <c r="W14" i="7"/>
  <c r="W15" i="7"/>
  <c r="W16" i="7"/>
  <c r="W17" i="7"/>
  <c r="W6" i="7"/>
  <c r="W7" i="7"/>
  <c r="W8" i="7"/>
  <c r="W9" i="7"/>
  <c r="W10" i="7"/>
  <c r="W11" i="7"/>
  <c r="X12" i="7"/>
  <c r="X13" i="7"/>
  <c r="X14" i="7"/>
  <c r="X15" i="7"/>
  <c r="X16" i="7"/>
  <c r="X17" i="7"/>
  <c r="X6" i="7"/>
  <c r="X7" i="7"/>
  <c r="X8" i="7"/>
  <c r="X9" i="7"/>
  <c r="X10" i="7"/>
  <c r="X11" i="7"/>
  <c r="Y12" i="7"/>
  <c r="Y13" i="7"/>
  <c r="Y14" i="7"/>
  <c r="Y15" i="7"/>
  <c r="Y16" i="7"/>
  <c r="Y17" i="7"/>
  <c r="Y6" i="7"/>
  <c r="Y7" i="7"/>
  <c r="Y8" i="7"/>
  <c r="Y9" i="7"/>
  <c r="Y10" i="7"/>
  <c r="Y11" i="7"/>
  <c r="Z12" i="7"/>
  <c r="Z13" i="7"/>
  <c r="Z14" i="7"/>
  <c r="Z15" i="7"/>
  <c r="Z16" i="7"/>
  <c r="Z17" i="7"/>
  <c r="Z6" i="7"/>
  <c r="Z7" i="7"/>
  <c r="Z8" i="7"/>
  <c r="Z9" i="7"/>
  <c r="Z10" i="7"/>
  <c r="Z11" i="7"/>
  <c r="AA12" i="7"/>
  <c r="AA13" i="7"/>
  <c r="AA14" i="7"/>
  <c r="AA15" i="7"/>
  <c r="AA16" i="7"/>
  <c r="AA17" i="7"/>
  <c r="AA6" i="7"/>
  <c r="AA7" i="7"/>
  <c r="AA8" i="7"/>
  <c r="AA9" i="7"/>
  <c r="AA10" i="7"/>
  <c r="AA11" i="7"/>
  <c r="AB12" i="7"/>
  <c r="AB13" i="7"/>
  <c r="AB14" i="7"/>
  <c r="AB15" i="7"/>
  <c r="AB16" i="7"/>
  <c r="AB17" i="7"/>
  <c r="AB6" i="7"/>
  <c r="AB7" i="7"/>
  <c r="AB8" i="7"/>
  <c r="AB9" i="7"/>
  <c r="AB10" i="7"/>
  <c r="AB11" i="7"/>
  <c r="AC12" i="7"/>
  <c r="AC13" i="7"/>
  <c r="AC14" i="7"/>
  <c r="AC15" i="7"/>
  <c r="AC16" i="7"/>
  <c r="AC17" i="7"/>
  <c r="AC6" i="7"/>
  <c r="AC7" i="7"/>
  <c r="AC8" i="7"/>
  <c r="AC9" i="7"/>
  <c r="AC10" i="7"/>
  <c r="AC11" i="7"/>
  <c r="Y19" i="7"/>
  <c r="Z19" i="7"/>
  <c r="AA19" i="7"/>
  <c r="AB19" i="7"/>
  <c r="Y20" i="7"/>
  <c r="Z20" i="7"/>
  <c r="AB20" i="7"/>
  <c r="Y21" i="7"/>
  <c r="Z21" i="7"/>
  <c r="AA21" i="7"/>
  <c r="AB21" i="7"/>
  <c r="Y22" i="7"/>
  <c r="Z22" i="7"/>
  <c r="AA22" i="7"/>
  <c r="AB22" i="7"/>
  <c r="Y23" i="7"/>
  <c r="Z23" i="7"/>
  <c r="AA23" i="7"/>
  <c r="AB23" i="7"/>
  <c r="Y24" i="7"/>
  <c r="AA24" i="7"/>
  <c r="AB24" i="7"/>
  <c r="Y25" i="7"/>
  <c r="Z25" i="7"/>
  <c r="AA25" i="7"/>
  <c r="Y26" i="7"/>
  <c r="Z26" i="7"/>
  <c r="AB26" i="7"/>
  <c r="Y27" i="7"/>
  <c r="Z27" i="7"/>
  <c r="AA27" i="7"/>
  <c r="AB27" i="7"/>
  <c r="Y28" i="7"/>
  <c r="AA28" i="7"/>
  <c r="AB28" i="7"/>
  <c r="Y29" i="7"/>
  <c r="Z29" i="7"/>
  <c r="AA29" i="7"/>
  <c r="AB29" i="7"/>
  <c r="Y30" i="7"/>
  <c r="Z30" i="7"/>
  <c r="AA30" i="7"/>
  <c r="AB30" i="7"/>
  <c r="Z31" i="7"/>
  <c r="AA31" i="7"/>
  <c r="AB31" i="7"/>
  <c r="Y32" i="7"/>
  <c r="Z32" i="7"/>
  <c r="AA32" i="7"/>
  <c r="AB32" i="7"/>
  <c r="Y33" i="7"/>
  <c r="Z33" i="7"/>
  <c r="AA33" i="7"/>
  <c r="AB33" i="7"/>
  <c r="Y34" i="7"/>
  <c r="Z34" i="7"/>
  <c r="AA34" i="7"/>
  <c r="AB34" i="7"/>
  <c r="Y35" i="7"/>
  <c r="Z35" i="7"/>
  <c r="AA35" i="7"/>
  <c r="AB35" i="7"/>
  <c r="Y36" i="7"/>
  <c r="Z36" i="7"/>
  <c r="AA36" i="7"/>
  <c r="AB36" i="7"/>
  <c r="Y37" i="7"/>
  <c r="Z37" i="7"/>
  <c r="AA37" i="7"/>
  <c r="AB37" i="7"/>
  <c r="Y38" i="7"/>
  <c r="Z38" i="7"/>
  <c r="AA38" i="7"/>
  <c r="AB38" i="7"/>
  <c r="Y39" i="7"/>
  <c r="Z39" i="7"/>
  <c r="AA39" i="7"/>
  <c r="AB39" i="7"/>
  <c r="Y40" i="7"/>
  <c r="Z40" i="7"/>
  <c r="AA40" i="7"/>
  <c r="AB40" i="7"/>
  <c r="Y41" i="7"/>
  <c r="Z41" i="7"/>
  <c r="AA41" i="7"/>
  <c r="AB41" i="7"/>
  <c r="Y42" i="7"/>
  <c r="Z42" i="7"/>
  <c r="AA42" i="7"/>
  <c r="AB42" i="7"/>
  <c r="Y43" i="7"/>
  <c r="Z43" i="7"/>
  <c r="AA43" i="7"/>
  <c r="AB43" i="7"/>
  <c r="Y44" i="7"/>
  <c r="Z44" i="7"/>
  <c r="AA44" i="7"/>
  <c r="AB44" i="7"/>
  <c r="Y45" i="7"/>
  <c r="Z45" i="7"/>
  <c r="AA45" i="7"/>
  <c r="AB45" i="7"/>
  <c r="Y46" i="7"/>
  <c r="Z46" i="7"/>
  <c r="AA46" i="7"/>
  <c r="AB46" i="7"/>
  <c r="Y47" i="7"/>
  <c r="Z47" i="7"/>
  <c r="AA47" i="7"/>
  <c r="AB47" i="7"/>
  <c r="Y48" i="7"/>
  <c r="Z48" i="7"/>
  <c r="AA48" i="7"/>
  <c r="AB48" i="7"/>
  <c r="Y49" i="7"/>
  <c r="Z49" i="7"/>
  <c r="AA49" i="7"/>
  <c r="AB49" i="7"/>
  <c r="Y50" i="7"/>
  <c r="Z50" i="7"/>
  <c r="AA50" i="7"/>
  <c r="AB50" i="7"/>
  <c r="Y51" i="7"/>
  <c r="Z51" i="7"/>
  <c r="AA51" i="7"/>
  <c r="AB51" i="7"/>
  <c r="Y52" i="7"/>
  <c r="Z52" i="7"/>
  <c r="AA52" i="7"/>
  <c r="AB52" i="7"/>
  <c r="Y53" i="7"/>
  <c r="Z53" i="7"/>
  <c r="AA53" i="7"/>
  <c r="AB53" i="7"/>
  <c r="Y54" i="7"/>
  <c r="Z54" i="7"/>
  <c r="AA54" i="7"/>
  <c r="AB54" i="7"/>
  <c r="Y55" i="7"/>
  <c r="Z55" i="7"/>
  <c r="AA55" i="7"/>
  <c r="AB55" i="7"/>
  <c r="Y56" i="7"/>
  <c r="Z56" i="7"/>
  <c r="AA56" i="7"/>
  <c r="AB56" i="7"/>
  <c r="Y57" i="7"/>
  <c r="Z57" i="7"/>
  <c r="AA57" i="7"/>
  <c r="AB57" i="7"/>
  <c r="Y58" i="7"/>
  <c r="Z58" i="7"/>
  <c r="AA58" i="7"/>
  <c r="AB58" i="7"/>
  <c r="Y59" i="7"/>
  <c r="Z59" i="7"/>
  <c r="AA59" i="7"/>
  <c r="AB59" i="7"/>
  <c r="Y60" i="7"/>
  <c r="Z60" i="7"/>
  <c r="AA60" i="7"/>
  <c r="AB60" i="7"/>
  <c r="Y61" i="7"/>
  <c r="Z61" i="7"/>
  <c r="AA61" i="7"/>
  <c r="AB61" i="7"/>
  <c r="Y62" i="7"/>
  <c r="Z62" i="7"/>
  <c r="AA62" i="7"/>
  <c r="AB62" i="7"/>
  <c r="Y63" i="7"/>
  <c r="Z63" i="7"/>
  <c r="AA63" i="7"/>
  <c r="AB63" i="7"/>
  <c r="Y64" i="7"/>
  <c r="Z64" i="7"/>
  <c r="AA64" i="7"/>
  <c r="AB64" i="7"/>
  <c r="Y65" i="7"/>
  <c r="Z65" i="7"/>
  <c r="AA65" i="7"/>
  <c r="AB65" i="7"/>
  <c r="Y66" i="7"/>
  <c r="Z66" i="7"/>
  <c r="AA66" i="7"/>
  <c r="AB66" i="7"/>
  <c r="Y67" i="7"/>
  <c r="Z67" i="7"/>
  <c r="AA67" i="7"/>
  <c r="AB67" i="7"/>
  <c r="Y68" i="7"/>
  <c r="Z68" i="7"/>
  <c r="AA68" i="7"/>
  <c r="AB68" i="7"/>
  <c r="Y69" i="7"/>
  <c r="Z69" i="7"/>
  <c r="AA69" i="7"/>
  <c r="AB69" i="7"/>
  <c r="Y70" i="7"/>
  <c r="Z70" i="7"/>
  <c r="AA70" i="7"/>
  <c r="AB70" i="7"/>
  <c r="Y71" i="7"/>
  <c r="Z71" i="7"/>
  <c r="AA71" i="7"/>
  <c r="AB71" i="7"/>
  <c r="Y72" i="7"/>
  <c r="Z72" i="7"/>
  <c r="AA72" i="7"/>
  <c r="AB72" i="7"/>
  <c r="Y73" i="7"/>
  <c r="Z73" i="7"/>
  <c r="AA73" i="7"/>
  <c r="AB73" i="7"/>
  <c r="Y74" i="7"/>
  <c r="Z74" i="7"/>
  <c r="AA74" i="7"/>
  <c r="AB74" i="7"/>
  <c r="Y75" i="7"/>
  <c r="Z75" i="7"/>
  <c r="AA75" i="7"/>
  <c r="AB75" i="7"/>
  <c r="Y76" i="7"/>
  <c r="Z76" i="7"/>
  <c r="AA76" i="7"/>
  <c r="AB76" i="7"/>
  <c r="Y77" i="7"/>
  <c r="Z77" i="7"/>
  <c r="AA77" i="7"/>
  <c r="AB77" i="7"/>
  <c r="Y78" i="7"/>
  <c r="Z78" i="7"/>
  <c r="AA78" i="7"/>
  <c r="AB78" i="7"/>
  <c r="Y79" i="7"/>
  <c r="Z79" i="7"/>
  <c r="AA79" i="7"/>
  <c r="AB79" i="7"/>
  <c r="Y80" i="7"/>
  <c r="Z80" i="7"/>
  <c r="AA80" i="7"/>
  <c r="AB80" i="7"/>
  <c r="Y81" i="7"/>
  <c r="Z81" i="7"/>
  <c r="AA81" i="7"/>
  <c r="AB81" i="7"/>
  <c r="Y82" i="7"/>
  <c r="Z82" i="7"/>
  <c r="AA82" i="7"/>
  <c r="AB82" i="7"/>
  <c r="Y83" i="7"/>
  <c r="Z83" i="7"/>
  <c r="AA83" i="7"/>
  <c r="AB83" i="7"/>
  <c r="Y84" i="7"/>
  <c r="Z84" i="7"/>
  <c r="AA84" i="7"/>
  <c r="AB84" i="7"/>
  <c r="Y85" i="7"/>
  <c r="Z85" i="7"/>
  <c r="AA85" i="7"/>
  <c r="AB85" i="7"/>
  <c r="Y86" i="7"/>
  <c r="Z86" i="7"/>
  <c r="AA86" i="7"/>
  <c r="AB86" i="7"/>
  <c r="Y87" i="7"/>
  <c r="Z87" i="7"/>
  <c r="AA87" i="7"/>
  <c r="AB87" i="7"/>
  <c r="Y88" i="7"/>
  <c r="Z88" i="7"/>
  <c r="AA88" i="7"/>
  <c r="AB88" i="7"/>
  <c r="Y89" i="7"/>
  <c r="Z89" i="7"/>
  <c r="AA89" i="7"/>
  <c r="AB89" i="7"/>
  <c r="Y90" i="7"/>
  <c r="Z90" i="7"/>
  <c r="AA90" i="7"/>
  <c r="AB90" i="7"/>
  <c r="Y91" i="7"/>
  <c r="Z91" i="7"/>
  <c r="AA91" i="7"/>
  <c r="AB91" i="7"/>
  <c r="Y92" i="7"/>
  <c r="Z92" i="7"/>
  <c r="AA92" i="7"/>
  <c r="AB92" i="7"/>
  <c r="Y93" i="7"/>
  <c r="Z93" i="7"/>
  <c r="AA93" i="7"/>
  <c r="AB93" i="7"/>
  <c r="Y94" i="7"/>
  <c r="Z94" i="7"/>
  <c r="AA94" i="7"/>
  <c r="AB94" i="7"/>
  <c r="Y95" i="7"/>
  <c r="Z95" i="7"/>
  <c r="AA95" i="7"/>
  <c r="AB95" i="7"/>
  <c r="Y96" i="7"/>
  <c r="Z96" i="7"/>
  <c r="AA96" i="7"/>
  <c r="AB96" i="7"/>
  <c r="Y97" i="7"/>
  <c r="Z97" i="7"/>
  <c r="AA97" i="7"/>
  <c r="AB97" i="7"/>
  <c r="Y98" i="7"/>
  <c r="Z98" i="7"/>
  <c r="AA98" i="7"/>
  <c r="AB98" i="7"/>
  <c r="Y99" i="7"/>
  <c r="Z99" i="7"/>
  <c r="AA99" i="7"/>
  <c r="AB99" i="7"/>
  <c r="Y100" i="7"/>
  <c r="Z100" i="7"/>
  <c r="AA100" i="7"/>
  <c r="AB100" i="7"/>
  <c r="Y101" i="7"/>
  <c r="Z101" i="7"/>
  <c r="AA101" i="7"/>
  <c r="AB101" i="7"/>
  <c r="Y102" i="7"/>
  <c r="Z102" i="7"/>
  <c r="AA102" i="7"/>
  <c r="AB102" i="7"/>
  <c r="Y103" i="7"/>
  <c r="Z103" i="7"/>
  <c r="AA103" i="7"/>
  <c r="AB103" i="7"/>
  <c r="Y104" i="7"/>
  <c r="Z104" i="7"/>
  <c r="AA104" i="7"/>
  <c r="AB104" i="7"/>
  <c r="Y105" i="7"/>
  <c r="Z105" i="7"/>
  <c r="AA105" i="7"/>
  <c r="AB105" i="7"/>
  <c r="Y106" i="7"/>
  <c r="Z106" i="7"/>
  <c r="AA106" i="7"/>
  <c r="AB106" i="7"/>
  <c r="Y107" i="7"/>
  <c r="Z107" i="7"/>
  <c r="AA107" i="7"/>
  <c r="AB107" i="7"/>
  <c r="Y108" i="7"/>
  <c r="Z108" i="7"/>
  <c r="AA108" i="7"/>
  <c r="AB108" i="7"/>
  <c r="Y109" i="7"/>
  <c r="Z109" i="7"/>
  <c r="AA109" i="7"/>
  <c r="AB109" i="7"/>
  <c r="Y110" i="7"/>
  <c r="Z110" i="7"/>
  <c r="AA110" i="7"/>
  <c r="AB110" i="7"/>
  <c r="Y111" i="7"/>
  <c r="Z111" i="7"/>
  <c r="AA111" i="7"/>
  <c r="AB111" i="7"/>
  <c r="Y112" i="7"/>
  <c r="Z112" i="7"/>
  <c r="AA112" i="7"/>
  <c r="AB112" i="7"/>
  <c r="Y113" i="7"/>
  <c r="Z113" i="7"/>
  <c r="AA113" i="7"/>
  <c r="AB113" i="7"/>
  <c r="Y114" i="7"/>
  <c r="Z114" i="7"/>
  <c r="AA114" i="7"/>
  <c r="AB114" i="7"/>
  <c r="Y115" i="7"/>
  <c r="Z115" i="7"/>
  <c r="AA115" i="7"/>
  <c r="AB115" i="7"/>
  <c r="Y116" i="7"/>
  <c r="Z116" i="7"/>
  <c r="AA116" i="7"/>
  <c r="AB116" i="7"/>
  <c r="Y117" i="7"/>
  <c r="Z117" i="7"/>
  <c r="AA117" i="7"/>
  <c r="AB117" i="7"/>
  <c r="Y118" i="7"/>
  <c r="Z118" i="7"/>
  <c r="AA118" i="7"/>
  <c r="AB118" i="7"/>
  <c r="Y119" i="7"/>
  <c r="Z119" i="7"/>
  <c r="AA119" i="7"/>
  <c r="AB119" i="7"/>
  <c r="Y120" i="7"/>
  <c r="Z120" i="7"/>
  <c r="AA120" i="7"/>
  <c r="AB120" i="7"/>
  <c r="Y121" i="7"/>
  <c r="Z121" i="7"/>
  <c r="AA121" i="7"/>
  <c r="AB121" i="7"/>
  <c r="Y122" i="7"/>
  <c r="Z122" i="7"/>
  <c r="AA122" i="7"/>
  <c r="AB122" i="7"/>
  <c r="Y123" i="7"/>
  <c r="Z123" i="7"/>
  <c r="AA123" i="7"/>
  <c r="AB123" i="7"/>
  <c r="Y124" i="7"/>
  <c r="Z124" i="7"/>
  <c r="AA124" i="7"/>
  <c r="AB124" i="7"/>
  <c r="Y125" i="7"/>
  <c r="Z125" i="7"/>
  <c r="AA125" i="7"/>
  <c r="AB125" i="7"/>
  <c r="Y126" i="7"/>
  <c r="Z126" i="7"/>
  <c r="AA126" i="7"/>
  <c r="AB126" i="7"/>
  <c r="Y127" i="7"/>
  <c r="Z127" i="7"/>
  <c r="AA127" i="7"/>
  <c r="AB127" i="7"/>
  <c r="Y128" i="7"/>
  <c r="Z128" i="7"/>
  <c r="AA128" i="7"/>
  <c r="AB128" i="7"/>
  <c r="Y129" i="7"/>
  <c r="Z129" i="7"/>
  <c r="AA129" i="7"/>
  <c r="AB129" i="7"/>
  <c r="Y130" i="7"/>
  <c r="Z130" i="7"/>
  <c r="AA130" i="7"/>
  <c r="AB130" i="7"/>
  <c r="Y131" i="7"/>
  <c r="Z131" i="7"/>
  <c r="AA131" i="7"/>
  <c r="AB131" i="7"/>
  <c r="Y132" i="7"/>
  <c r="Z132" i="7"/>
  <c r="AA132" i="7"/>
  <c r="AB132" i="7"/>
  <c r="Y133" i="7"/>
  <c r="Z133" i="7"/>
  <c r="AA133" i="7"/>
  <c r="AB133" i="7"/>
  <c r="Y134" i="7"/>
  <c r="Z134" i="7"/>
  <c r="AA134" i="7"/>
  <c r="AB134" i="7"/>
  <c r="Y135" i="7"/>
  <c r="Z135" i="7"/>
  <c r="AA135" i="7"/>
  <c r="AB135" i="7"/>
  <c r="Y136" i="7"/>
  <c r="Z136" i="7"/>
  <c r="AA136" i="7"/>
  <c r="AB136" i="7"/>
  <c r="Y137" i="7"/>
  <c r="Z137" i="7"/>
  <c r="AA137" i="7"/>
  <c r="AB137" i="7"/>
  <c r="Y138" i="7"/>
  <c r="Z138" i="7"/>
  <c r="AA138" i="7"/>
  <c r="AB138" i="7"/>
  <c r="Y139" i="7"/>
  <c r="Z139" i="7"/>
  <c r="AA139" i="7"/>
  <c r="AB139" i="7"/>
  <c r="Y140" i="7"/>
  <c r="Z140" i="7"/>
  <c r="AA140" i="7"/>
  <c r="AB140" i="7"/>
  <c r="Y141" i="7"/>
  <c r="Z141" i="7"/>
  <c r="AA141" i="7"/>
  <c r="AB141" i="7"/>
  <c r="Y142" i="7"/>
  <c r="Z142" i="7"/>
  <c r="AA142" i="7"/>
  <c r="AB142" i="7"/>
  <c r="Y143" i="7"/>
  <c r="Z143" i="7"/>
  <c r="AA143" i="7"/>
  <c r="AB143" i="7"/>
  <c r="Y144" i="7"/>
  <c r="Z144" i="7"/>
  <c r="AA144" i="7"/>
  <c r="AB144" i="7"/>
  <c r="Y145" i="7"/>
  <c r="Z145" i="7"/>
  <c r="AA145" i="7"/>
  <c r="AB145" i="7"/>
  <c r="Y146" i="7"/>
  <c r="Z146" i="7"/>
  <c r="AA146" i="7"/>
  <c r="AB146" i="7"/>
  <c r="Y147" i="7"/>
  <c r="Z147" i="7"/>
  <c r="AA147" i="7"/>
  <c r="AB147" i="7"/>
  <c r="Y148" i="7"/>
  <c r="Z148" i="7"/>
  <c r="AA148" i="7"/>
  <c r="AB148" i="7"/>
  <c r="Y149" i="7"/>
  <c r="Z149" i="7"/>
  <c r="AA149" i="7"/>
  <c r="AB149" i="7"/>
  <c r="Y150" i="7"/>
  <c r="Z150" i="7"/>
  <c r="AA150" i="7"/>
  <c r="AB150" i="7"/>
  <c r="Y151" i="7"/>
  <c r="Z151" i="7"/>
  <c r="AA151" i="7"/>
  <c r="AB151" i="7"/>
  <c r="Y152" i="7"/>
  <c r="Z152" i="7"/>
  <c r="AA152" i="7"/>
  <c r="AB152" i="7"/>
  <c r="Y153" i="7"/>
  <c r="Z153" i="7"/>
  <c r="AA153" i="7"/>
  <c r="AB153" i="7"/>
  <c r="Y154" i="7"/>
  <c r="Z154" i="7"/>
  <c r="AA154" i="7"/>
  <c r="AB154" i="7"/>
  <c r="Y155" i="7"/>
  <c r="Z155" i="7"/>
  <c r="AA155" i="7"/>
  <c r="AB155" i="7"/>
  <c r="Y156" i="7"/>
  <c r="Z156" i="7"/>
  <c r="AA156" i="7"/>
  <c r="AB156" i="7"/>
  <c r="Y157" i="7"/>
  <c r="Z157" i="7"/>
  <c r="AA157" i="7"/>
  <c r="AB157" i="7"/>
  <c r="Y158" i="7"/>
  <c r="Z158" i="7"/>
  <c r="AA158" i="7"/>
  <c r="AB158" i="7"/>
  <c r="Y159" i="7"/>
  <c r="Z159" i="7"/>
  <c r="AA159" i="7"/>
  <c r="AB159" i="7"/>
  <c r="Y160" i="7"/>
  <c r="Z160" i="7"/>
  <c r="AA160" i="7"/>
  <c r="AB160" i="7"/>
  <c r="Y161" i="7"/>
  <c r="Z161" i="7"/>
  <c r="AA161" i="7"/>
  <c r="AB161" i="7"/>
  <c r="Y162" i="7"/>
  <c r="Z162" i="7"/>
  <c r="AA162" i="7"/>
  <c r="AB162" i="7"/>
  <c r="Y163" i="7"/>
  <c r="Z163" i="7"/>
  <c r="AA163" i="7"/>
  <c r="AB163" i="7"/>
  <c r="Y164" i="7"/>
  <c r="Z164" i="7"/>
  <c r="AA164" i="7"/>
  <c r="AB164" i="7"/>
  <c r="Y165" i="7"/>
  <c r="Z165" i="7"/>
  <c r="AA165" i="7"/>
  <c r="AB165" i="7"/>
  <c r="Y166" i="7"/>
  <c r="Z166" i="7"/>
  <c r="AA166" i="7"/>
  <c r="AB166" i="7"/>
  <c r="Y167" i="7"/>
  <c r="Z167" i="7"/>
  <c r="AA167" i="7"/>
  <c r="AB167" i="7"/>
  <c r="Y168" i="7"/>
  <c r="Z168" i="7"/>
  <c r="AA168" i="7"/>
  <c r="AB168" i="7"/>
  <c r="Y169" i="7"/>
  <c r="Z169" i="7"/>
  <c r="AA169" i="7"/>
  <c r="AB169" i="7"/>
  <c r="Y170" i="7"/>
  <c r="Z170" i="7"/>
  <c r="AA170" i="7"/>
  <c r="AB170" i="7"/>
  <c r="Y171" i="7"/>
  <c r="Z171" i="7"/>
  <c r="AA171" i="7"/>
  <c r="AB171" i="7"/>
  <c r="Y172" i="7"/>
  <c r="Z172" i="7"/>
  <c r="AA172" i="7"/>
  <c r="AB172" i="7"/>
  <c r="Y173" i="7"/>
  <c r="Z173" i="7"/>
  <c r="AA173" i="7"/>
  <c r="AB173" i="7"/>
  <c r="Y174" i="7"/>
  <c r="Z174" i="7"/>
  <c r="AA174" i="7"/>
  <c r="AB174" i="7"/>
  <c r="Y175" i="7"/>
  <c r="Z175" i="7"/>
  <c r="AA175" i="7"/>
  <c r="AB175" i="7"/>
  <c r="Y176" i="7"/>
  <c r="Z176" i="7"/>
  <c r="AA176" i="7"/>
  <c r="AB176" i="7"/>
  <c r="Y177" i="7"/>
  <c r="Z177" i="7"/>
  <c r="AA177" i="7"/>
  <c r="AB177" i="7"/>
  <c r="Y178" i="7"/>
  <c r="Z178" i="7"/>
  <c r="AA178" i="7"/>
  <c r="AB178" i="7"/>
  <c r="Y179" i="7"/>
  <c r="Z179" i="7"/>
  <c r="AA179" i="7"/>
  <c r="AB179" i="7"/>
  <c r="Y180" i="7"/>
  <c r="Z180" i="7"/>
  <c r="AA180" i="7"/>
  <c r="AB180" i="7"/>
  <c r="Y181" i="7"/>
  <c r="Z181" i="7"/>
  <c r="AA181" i="7"/>
  <c r="AB181" i="7"/>
  <c r="Y182" i="7"/>
  <c r="Z182" i="7"/>
  <c r="AA182" i="7"/>
  <c r="AB182" i="7"/>
  <c r="Y183" i="7"/>
  <c r="Z183" i="7"/>
  <c r="AA183" i="7"/>
  <c r="AB183" i="7"/>
  <c r="Y184" i="7"/>
  <c r="Z184" i="7"/>
  <c r="AA184" i="7"/>
  <c r="AB184" i="7"/>
  <c r="Y185" i="7"/>
  <c r="Z185" i="7"/>
  <c r="AA185" i="7"/>
  <c r="AB185" i="7"/>
  <c r="Y186" i="7"/>
  <c r="Z186" i="7"/>
  <c r="AA186" i="7"/>
  <c r="AB186" i="7"/>
  <c r="Y187" i="7"/>
  <c r="Z187" i="7"/>
  <c r="AA187" i="7"/>
  <c r="AB187" i="7"/>
  <c r="Y188" i="7"/>
  <c r="Z188" i="7"/>
  <c r="AA188" i="7"/>
  <c r="AB188" i="7"/>
  <c r="Y189" i="7"/>
  <c r="Z189" i="7"/>
  <c r="AA189" i="7"/>
  <c r="AB189" i="7"/>
  <c r="Y190" i="7"/>
  <c r="Z190" i="7"/>
  <c r="AA190" i="7"/>
  <c r="AB190" i="7"/>
  <c r="Y191" i="7"/>
  <c r="Z191" i="7"/>
  <c r="AA191" i="7"/>
  <c r="AB191" i="7"/>
  <c r="Y192" i="7"/>
  <c r="Z192" i="7"/>
  <c r="AA192" i="7"/>
  <c r="AB192" i="7"/>
  <c r="Y193" i="7"/>
  <c r="Z193" i="7"/>
  <c r="AA193" i="7"/>
  <c r="AB193" i="7"/>
  <c r="Y194" i="7"/>
  <c r="Z194" i="7"/>
  <c r="AA194" i="7"/>
  <c r="AB194" i="7"/>
  <c r="Y195" i="7"/>
  <c r="Z195" i="7"/>
  <c r="AA195" i="7"/>
  <c r="AB195" i="7"/>
  <c r="Y196" i="7"/>
  <c r="Z196" i="7"/>
  <c r="AA196" i="7"/>
  <c r="AB196" i="7"/>
  <c r="Y197" i="7"/>
  <c r="Z197" i="7"/>
  <c r="AA197" i="7"/>
  <c r="AB197" i="7"/>
  <c r="Y198" i="7"/>
  <c r="Z198" i="7"/>
  <c r="AA198" i="7"/>
  <c r="AB198" i="7"/>
  <c r="Y199" i="7"/>
  <c r="Z199" i="7"/>
  <c r="AA199" i="7"/>
  <c r="AB199" i="7"/>
  <c r="Y200" i="7"/>
  <c r="Z200" i="7"/>
  <c r="AA200" i="7"/>
  <c r="AB200" i="7"/>
  <c r="Y201" i="7"/>
  <c r="Z201" i="7"/>
  <c r="AA201" i="7"/>
  <c r="AB201" i="7"/>
  <c r="Y202" i="7"/>
  <c r="Z202" i="7"/>
  <c r="AA202" i="7"/>
  <c r="AB202" i="7"/>
  <c r="Y203" i="7"/>
  <c r="Z203" i="7"/>
  <c r="AA203" i="7"/>
  <c r="AB203" i="7"/>
  <c r="Y204" i="7"/>
  <c r="Z204" i="7"/>
  <c r="AA204" i="7"/>
  <c r="AB204" i="7"/>
  <c r="Y205" i="7"/>
  <c r="Z205" i="7"/>
  <c r="AA205" i="7"/>
  <c r="AB205" i="7"/>
  <c r="Y206" i="7"/>
  <c r="Z206" i="7"/>
  <c r="AA206" i="7"/>
  <c r="AB206" i="7"/>
  <c r="Y207" i="7"/>
  <c r="Z207" i="7"/>
  <c r="AA207" i="7"/>
  <c r="AB207" i="7"/>
  <c r="Y208" i="7"/>
  <c r="Z208" i="7"/>
  <c r="AA208" i="7"/>
  <c r="AB208" i="7"/>
  <c r="Y209" i="7"/>
  <c r="Z209" i="7"/>
  <c r="AA209" i="7"/>
  <c r="AB209" i="7"/>
  <c r="Y210" i="7"/>
  <c r="Z210" i="7"/>
  <c r="AA210" i="7"/>
  <c r="AB210" i="7"/>
  <c r="Y211" i="7"/>
  <c r="Z211" i="7"/>
  <c r="AA211" i="7"/>
  <c r="AB211" i="7"/>
  <c r="Y212" i="7"/>
  <c r="Z212" i="7"/>
  <c r="AA212" i="7"/>
  <c r="AB212" i="7"/>
  <c r="Y213" i="7"/>
  <c r="Z213" i="7"/>
  <c r="AA213" i="7"/>
  <c r="AB213" i="7"/>
  <c r="Y214" i="7"/>
  <c r="Z214" i="7"/>
  <c r="AA214" i="7"/>
  <c r="AB214" i="7"/>
  <c r="Y215" i="7"/>
  <c r="Z215" i="7"/>
  <c r="AA215" i="7"/>
  <c r="AB215" i="7"/>
  <c r="Y216" i="7"/>
  <c r="Z216" i="7"/>
  <c r="AA216" i="7"/>
  <c r="AB216" i="7"/>
  <c r="Y217" i="7"/>
  <c r="Z217" i="7"/>
  <c r="AA217" i="7"/>
  <c r="AB217" i="7"/>
  <c r="Y218" i="7"/>
  <c r="Z218" i="7"/>
  <c r="AA218" i="7"/>
  <c r="AB218" i="7"/>
  <c r="Y219" i="7"/>
  <c r="Z219" i="7"/>
  <c r="AA219" i="7"/>
  <c r="AB219" i="7"/>
  <c r="Y220" i="7"/>
  <c r="Z220" i="7"/>
  <c r="AA220" i="7"/>
  <c r="AB220" i="7"/>
  <c r="Y221" i="7"/>
  <c r="Z221" i="7"/>
  <c r="AA221" i="7"/>
  <c r="AB221" i="7"/>
  <c r="Y222" i="7"/>
  <c r="Z222" i="7"/>
  <c r="AA222" i="7"/>
  <c r="AB222" i="7"/>
  <c r="Y223" i="7"/>
  <c r="Z223" i="7"/>
  <c r="AA223" i="7"/>
  <c r="AB223" i="7"/>
  <c r="Y224" i="7"/>
  <c r="Z224" i="7"/>
  <c r="AA224" i="7"/>
  <c r="AB224" i="7"/>
  <c r="Y225" i="7"/>
  <c r="Z225" i="7"/>
  <c r="AA225" i="7"/>
  <c r="AB225" i="7"/>
  <c r="Y226" i="7"/>
  <c r="Z226" i="7"/>
  <c r="AA226" i="7"/>
  <c r="AB226" i="7"/>
  <c r="Y227" i="7"/>
  <c r="Z227" i="7"/>
  <c r="AA227" i="7"/>
  <c r="AB227" i="7"/>
  <c r="Y228" i="7"/>
  <c r="Z228" i="7"/>
  <c r="AA228" i="7"/>
  <c r="AB228" i="7"/>
  <c r="Y229" i="7"/>
  <c r="Z229" i="7"/>
  <c r="AA229" i="7"/>
  <c r="AB229" i="7"/>
  <c r="Y230" i="7"/>
  <c r="Z230" i="7"/>
  <c r="AA230" i="7"/>
  <c r="AB230" i="7"/>
  <c r="Y231" i="7"/>
  <c r="Z231" i="7"/>
  <c r="AA231" i="7"/>
  <c r="AB231" i="7"/>
  <c r="Y232" i="7"/>
  <c r="Z232" i="7"/>
  <c r="AA232" i="7"/>
  <c r="AB232" i="7"/>
  <c r="Y233" i="7"/>
  <c r="Z233" i="7"/>
  <c r="AA233" i="7"/>
  <c r="AB233" i="7"/>
  <c r="Y234" i="7"/>
  <c r="Z234" i="7"/>
  <c r="AA234" i="7"/>
  <c r="AB234" i="7"/>
  <c r="Y235" i="7"/>
  <c r="Z235" i="7"/>
  <c r="AA235" i="7"/>
  <c r="AB235" i="7"/>
  <c r="Y236" i="7"/>
  <c r="Z236" i="7"/>
  <c r="AA236" i="7"/>
  <c r="AB236" i="7"/>
  <c r="Y237" i="7"/>
  <c r="Z237" i="7"/>
  <c r="AA237" i="7"/>
  <c r="AB237" i="7"/>
  <c r="Y238" i="7"/>
  <c r="Z238" i="7"/>
  <c r="AA238" i="7"/>
  <c r="AB238" i="7"/>
  <c r="Y239" i="7"/>
  <c r="Z239" i="7"/>
  <c r="AA239" i="7"/>
  <c r="AB239" i="7"/>
  <c r="Y240" i="7"/>
  <c r="Z240" i="7"/>
  <c r="AA240" i="7"/>
  <c r="AB240" i="7"/>
  <c r="Y241" i="7"/>
  <c r="Z241" i="7"/>
  <c r="AA241" i="7"/>
  <c r="AB241" i="7"/>
  <c r="Y242" i="7"/>
  <c r="Z242" i="7"/>
  <c r="AA242" i="7"/>
  <c r="AB242" i="7"/>
  <c r="Y243" i="7"/>
  <c r="Z243" i="7"/>
  <c r="AA243" i="7"/>
  <c r="AB243" i="7"/>
  <c r="Y244" i="7"/>
  <c r="Z244" i="7"/>
  <c r="AA244" i="7"/>
  <c r="AB244" i="7"/>
  <c r="Y245" i="7"/>
  <c r="Z245" i="7"/>
  <c r="AA245" i="7"/>
  <c r="AB245" i="7"/>
  <c r="Y246" i="7"/>
  <c r="Z246" i="7"/>
  <c r="AA246" i="7"/>
  <c r="AB246" i="7"/>
  <c r="Y247" i="7"/>
  <c r="Z247" i="7"/>
  <c r="AA247" i="7"/>
  <c r="AB247" i="7"/>
  <c r="Y248" i="7"/>
  <c r="Z248" i="7"/>
  <c r="AA248" i="7"/>
  <c r="AB248" i="7"/>
  <c r="Y249" i="7"/>
  <c r="Z249" i="7"/>
  <c r="AA249" i="7"/>
  <c r="AB249" i="7"/>
  <c r="Y250" i="7"/>
  <c r="Z250" i="7"/>
  <c r="AA250" i="7"/>
  <c r="AB250" i="7"/>
  <c r="Y251" i="7"/>
  <c r="Z251" i="7"/>
  <c r="AA251" i="7"/>
  <c r="AB251" i="7"/>
  <c r="Y252" i="7"/>
  <c r="Z252" i="7"/>
  <c r="AA252" i="7"/>
  <c r="AB252" i="7"/>
  <c r="Y253" i="7"/>
  <c r="Z253" i="7"/>
  <c r="AA253" i="7"/>
  <c r="AB253" i="7"/>
  <c r="Y254" i="7"/>
  <c r="Z254" i="7"/>
  <c r="AA254" i="7"/>
  <c r="AB254" i="7"/>
  <c r="Y255" i="7"/>
  <c r="Z255" i="7"/>
  <c r="AA255" i="7"/>
  <c r="AB255" i="7"/>
  <c r="Y256" i="7"/>
  <c r="Z256" i="7"/>
  <c r="AA256" i="7"/>
  <c r="AB256" i="7"/>
  <c r="Y257" i="7"/>
  <c r="Z257" i="7"/>
  <c r="AA257" i="7"/>
  <c r="AB257" i="7"/>
  <c r="Y258" i="7"/>
  <c r="Z258" i="7"/>
  <c r="AA258" i="7"/>
  <c r="AB258" i="7"/>
  <c r="Y259" i="7"/>
  <c r="Z259" i="7"/>
  <c r="AA259" i="7"/>
  <c r="AB259" i="7"/>
  <c r="Y260" i="7"/>
  <c r="Z260" i="7"/>
  <c r="AA260" i="7"/>
  <c r="AB260" i="7"/>
  <c r="Y261" i="7"/>
  <c r="Z261" i="7"/>
  <c r="AA261" i="7"/>
  <c r="AB261" i="7"/>
  <c r="Y262" i="7"/>
  <c r="Z262" i="7"/>
  <c r="AA262" i="7"/>
  <c r="AB262" i="7"/>
  <c r="Y263" i="7"/>
  <c r="Z263" i="7"/>
  <c r="AA263" i="7"/>
  <c r="AB263" i="7"/>
  <c r="Y264" i="7"/>
  <c r="Z264" i="7"/>
  <c r="AA264" i="7"/>
  <c r="AB264" i="7"/>
  <c r="Y265" i="7"/>
  <c r="Z265" i="7"/>
  <c r="AA265" i="7"/>
  <c r="AB265" i="7"/>
  <c r="Y266" i="7"/>
  <c r="Z266" i="7"/>
  <c r="AA266" i="7"/>
  <c r="AB266" i="7"/>
  <c r="Y267" i="7"/>
  <c r="Z267" i="7"/>
  <c r="AA267" i="7"/>
  <c r="AB267" i="7"/>
  <c r="Y268" i="7"/>
  <c r="Z268" i="7"/>
  <c r="AA268" i="7"/>
  <c r="AB268" i="7"/>
  <c r="Y269" i="7"/>
  <c r="Z269" i="7"/>
  <c r="AA269" i="7"/>
  <c r="AB269" i="7"/>
  <c r="Y270" i="7"/>
  <c r="Z270" i="7"/>
  <c r="AA270" i="7"/>
  <c r="AB270" i="7"/>
  <c r="Y271" i="7"/>
  <c r="Z271" i="7"/>
  <c r="AA271" i="7"/>
  <c r="AB271" i="7"/>
  <c r="Y272" i="7"/>
  <c r="Z272" i="7"/>
  <c r="AA272" i="7"/>
  <c r="AB272" i="7"/>
  <c r="Y273" i="7"/>
  <c r="Z273" i="7"/>
  <c r="AA273" i="7"/>
  <c r="AB273" i="7"/>
  <c r="Y274" i="7"/>
  <c r="Z274" i="7"/>
  <c r="AA274" i="7"/>
  <c r="AB274" i="7"/>
  <c r="Y275" i="7"/>
  <c r="Z275" i="7"/>
  <c r="AA275" i="7"/>
  <c r="AB275" i="7"/>
  <c r="Y276" i="7"/>
  <c r="Z276" i="7"/>
  <c r="AA276" i="7"/>
  <c r="AB276" i="7"/>
  <c r="Y277" i="7"/>
  <c r="Z277" i="7"/>
  <c r="AA277" i="7"/>
  <c r="AB277" i="7"/>
  <c r="Y278" i="7"/>
  <c r="Z278" i="7"/>
  <c r="AA278" i="7"/>
  <c r="AB278" i="7"/>
  <c r="Y279" i="7"/>
  <c r="Z279" i="7"/>
  <c r="AA279" i="7"/>
  <c r="AB279" i="7"/>
  <c r="Y280" i="7"/>
  <c r="Z280" i="7"/>
  <c r="AA280" i="7"/>
  <c r="AB280" i="7"/>
  <c r="Y281" i="7"/>
  <c r="Z281" i="7"/>
  <c r="AA281" i="7"/>
  <c r="AB281" i="7"/>
  <c r="Y282" i="7"/>
  <c r="Z282" i="7"/>
  <c r="AA282" i="7"/>
  <c r="AB282" i="7"/>
  <c r="Y283" i="7"/>
  <c r="Z283" i="7"/>
  <c r="AA283" i="7"/>
  <c r="AB283" i="7"/>
  <c r="Y284" i="7"/>
  <c r="Z284" i="7"/>
  <c r="AA284" i="7"/>
  <c r="AB284" i="7"/>
  <c r="Y285" i="7"/>
  <c r="Z285" i="7"/>
  <c r="AA285" i="7"/>
  <c r="AB285" i="7"/>
  <c r="Y286" i="7"/>
  <c r="Z286" i="7"/>
  <c r="AA286" i="7"/>
  <c r="AB286" i="7"/>
  <c r="Y287" i="7"/>
  <c r="Z287" i="7"/>
  <c r="AA287" i="7"/>
  <c r="AB287" i="7"/>
  <c r="Y288" i="7"/>
  <c r="Z288" i="7"/>
  <c r="AA288" i="7"/>
  <c r="AB288" i="7"/>
  <c r="Y289" i="7"/>
  <c r="Z289" i="7"/>
  <c r="AA289" i="7"/>
  <c r="AB289" i="7"/>
  <c r="Y290" i="7"/>
  <c r="Z290" i="7"/>
  <c r="AA290" i="7"/>
  <c r="AB290" i="7"/>
  <c r="Y291" i="7"/>
  <c r="Z291" i="7"/>
  <c r="AA291" i="7"/>
  <c r="AB291" i="7"/>
  <c r="Y292" i="7"/>
  <c r="Z292" i="7"/>
  <c r="AA292" i="7"/>
  <c r="AB292" i="7"/>
  <c r="Y293" i="7"/>
  <c r="Z293" i="7"/>
  <c r="AA293" i="7"/>
  <c r="AB293" i="7"/>
  <c r="Y294" i="7"/>
  <c r="Z294" i="7"/>
  <c r="AA294" i="7"/>
  <c r="AB294" i="7"/>
  <c r="Y295" i="7"/>
  <c r="Z295" i="7"/>
  <c r="AA295" i="7"/>
  <c r="AB295" i="7"/>
  <c r="Y296" i="7"/>
  <c r="Z296" i="7"/>
  <c r="AA296" i="7"/>
  <c r="AB296" i="7"/>
  <c r="Y297" i="7"/>
  <c r="Z297" i="7"/>
  <c r="AA297" i="7"/>
  <c r="AB297" i="7"/>
  <c r="Y298" i="7"/>
  <c r="Z298" i="7"/>
  <c r="AA298" i="7"/>
  <c r="AB298" i="7"/>
  <c r="Y299" i="7"/>
  <c r="Z299" i="7"/>
  <c r="AA299" i="7"/>
  <c r="AB299" i="7"/>
  <c r="Y300" i="7"/>
  <c r="Z300" i="7"/>
  <c r="AA300" i="7"/>
  <c r="AB300" i="7"/>
  <c r="Y301" i="7"/>
  <c r="Z301" i="7"/>
  <c r="AA301" i="7"/>
  <c r="AB301" i="7"/>
  <c r="Y302" i="7"/>
  <c r="Z302" i="7"/>
  <c r="AA302" i="7"/>
  <c r="AB302" i="7"/>
  <c r="Y303" i="7"/>
  <c r="Z303" i="7"/>
  <c r="AA303" i="7"/>
  <c r="AB303" i="7"/>
  <c r="Y304" i="7"/>
  <c r="Z304" i="7"/>
  <c r="AA304" i="7"/>
  <c r="AB304" i="7"/>
  <c r="Y305" i="7"/>
  <c r="Z305" i="7"/>
  <c r="AA305" i="7"/>
  <c r="AB305" i="7"/>
  <c r="Y306" i="7"/>
  <c r="Z306" i="7"/>
  <c r="AA306" i="7"/>
  <c r="AB306" i="7"/>
  <c r="Y307" i="7"/>
  <c r="Z307" i="7"/>
  <c r="AA307" i="7"/>
  <c r="AB307" i="7"/>
  <c r="Y308" i="7"/>
  <c r="Z308" i="7"/>
  <c r="AA308" i="7"/>
  <c r="AB308" i="7"/>
  <c r="Y309" i="7"/>
  <c r="Z309" i="7"/>
  <c r="AA309" i="7"/>
  <c r="AB309" i="7"/>
  <c r="Y310" i="7"/>
  <c r="Z310" i="7"/>
  <c r="AA310" i="7"/>
  <c r="AB310" i="7"/>
  <c r="Y311" i="7"/>
  <c r="Z311" i="7"/>
  <c r="AA311" i="7"/>
  <c r="AB311" i="7"/>
  <c r="Y312" i="7"/>
  <c r="Z312" i="7"/>
  <c r="AA312" i="7"/>
  <c r="AB312" i="7"/>
  <c r="Y313" i="7"/>
  <c r="Z313" i="7"/>
  <c r="AA313" i="7"/>
  <c r="AB313" i="7"/>
  <c r="Y314" i="7"/>
  <c r="Z314" i="7"/>
  <c r="AA314" i="7"/>
  <c r="AB314" i="7"/>
  <c r="Y315" i="7"/>
  <c r="Z315" i="7"/>
  <c r="AA315" i="7"/>
  <c r="AB315" i="7"/>
  <c r="Y316" i="7"/>
  <c r="Z316" i="7"/>
  <c r="AA316" i="7"/>
  <c r="AB316" i="7"/>
  <c r="Y317" i="7"/>
  <c r="Z317" i="7"/>
  <c r="AA317" i="7"/>
  <c r="AB317" i="7"/>
  <c r="Y318" i="7"/>
  <c r="Z318" i="7"/>
  <c r="AA318" i="7"/>
  <c r="AB318" i="7"/>
  <c r="Y319" i="7"/>
  <c r="Z319" i="7"/>
  <c r="AA319" i="7"/>
  <c r="AB319" i="7"/>
  <c r="Y320" i="7"/>
  <c r="Z320" i="7"/>
  <c r="AA320" i="7"/>
  <c r="AB320" i="7"/>
  <c r="Y321" i="7"/>
  <c r="Z321" i="7"/>
  <c r="AA321" i="7"/>
  <c r="AB321" i="7"/>
  <c r="Y322" i="7"/>
  <c r="Z322" i="7"/>
  <c r="AA322" i="7"/>
  <c r="AB322" i="7"/>
  <c r="Y323" i="7"/>
  <c r="Z323" i="7"/>
  <c r="AA323" i="7"/>
  <c r="AB323" i="7"/>
  <c r="Y324" i="7"/>
  <c r="Z324" i="7"/>
  <c r="AA324" i="7"/>
  <c r="AB324" i="7"/>
  <c r="Y325" i="7"/>
  <c r="Z325" i="7"/>
  <c r="AA325" i="7"/>
  <c r="AB325" i="7"/>
  <c r="Y326" i="7"/>
  <c r="Z326" i="7"/>
  <c r="AA326" i="7"/>
  <c r="AB326" i="7"/>
  <c r="Y327" i="7"/>
  <c r="Z327" i="7"/>
  <c r="AA327" i="7"/>
  <c r="AB327" i="7"/>
  <c r="Y328" i="7"/>
  <c r="Z328" i="7"/>
  <c r="AA328" i="7"/>
  <c r="AB328" i="7"/>
  <c r="Y329" i="7"/>
  <c r="Z329" i="7"/>
  <c r="AA329" i="7"/>
  <c r="AB329" i="7"/>
  <c r="Y330" i="7"/>
  <c r="Z330" i="7"/>
  <c r="AA330" i="7"/>
  <c r="AB330" i="7"/>
  <c r="Y331" i="7"/>
  <c r="Z331" i="7"/>
  <c r="AA331" i="7"/>
  <c r="AB331" i="7"/>
  <c r="Y332" i="7"/>
  <c r="Z332" i="7"/>
  <c r="AA332" i="7"/>
  <c r="AB332" i="7"/>
  <c r="Y333" i="7"/>
  <c r="Z333" i="7"/>
  <c r="AA333" i="7"/>
  <c r="AB333" i="7"/>
  <c r="Y334" i="7"/>
  <c r="Z334" i="7"/>
  <c r="AA334" i="7"/>
  <c r="AB334" i="7"/>
  <c r="Y335" i="7"/>
  <c r="Z335" i="7"/>
  <c r="AA335" i="7"/>
  <c r="AB335" i="7"/>
  <c r="Y336" i="7"/>
  <c r="Z336" i="7"/>
  <c r="AA336" i="7"/>
  <c r="AB336" i="7"/>
  <c r="Y337" i="7"/>
  <c r="Z337" i="7"/>
  <c r="AA337" i="7"/>
  <c r="AB337" i="7"/>
  <c r="Y338" i="7"/>
  <c r="Z338" i="7"/>
  <c r="AA338" i="7"/>
  <c r="AB338" i="7"/>
  <c r="Y339" i="7"/>
  <c r="Z339" i="7"/>
  <c r="AA339" i="7"/>
  <c r="AB339" i="7"/>
  <c r="Y340" i="7"/>
  <c r="Z340" i="7"/>
  <c r="AA340" i="7"/>
  <c r="AB340" i="7"/>
  <c r="Y341" i="7"/>
  <c r="Z341" i="7"/>
  <c r="AA341" i="7"/>
  <c r="AB341" i="7"/>
  <c r="Y342" i="7"/>
  <c r="Z342" i="7"/>
  <c r="AA342" i="7"/>
  <c r="AB342" i="7"/>
  <c r="Y343" i="7"/>
  <c r="Z343" i="7"/>
  <c r="AA343" i="7"/>
  <c r="AB343" i="7"/>
  <c r="Y344" i="7"/>
  <c r="Z344" i="7"/>
  <c r="AA344" i="7"/>
  <c r="AB344" i="7"/>
  <c r="Y345" i="7"/>
  <c r="Z345" i="7"/>
  <c r="AA345" i="7"/>
  <c r="AB345" i="7"/>
  <c r="Y346" i="7"/>
  <c r="Z346" i="7"/>
  <c r="AA346" i="7"/>
  <c r="AB346" i="7"/>
  <c r="Y347" i="7"/>
  <c r="Z347" i="7"/>
  <c r="AA347" i="7"/>
  <c r="AB347" i="7"/>
  <c r="Y348" i="7"/>
  <c r="Z348" i="7"/>
  <c r="AA348" i="7"/>
  <c r="AB348" i="7"/>
  <c r="Y349" i="7"/>
  <c r="Z349" i="7"/>
  <c r="AA349" i="7"/>
  <c r="AB349" i="7"/>
  <c r="Y350" i="7"/>
  <c r="Z350" i="7"/>
  <c r="AA350" i="7"/>
  <c r="AB350" i="7"/>
  <c r="Y351" i="7"/>
  <c r="Z351" i="7"/>
  <c r="AA351" i="7"/>
  <c r="AB351" i="7"/>
  <c r="Y352" i="7"/>
  <c r="Z352" i="7"/>
  <c r="AA352" i="7"/>
  <c r="AB352" i="7"/>
  <c r="Y353" i="7"/>
  <c r="Z353" i="7"/>
  <c r="AA353" i="7"/>
  <c r="AB353" i="7"/>
  <c r="Y354" i="7"/>
  <c r="Z354" i="7"/>
  <c r="AA354" i="7"/>
  <c r="AB354" i="7"/>
  <c r="Y355" i="7"/>
  <c r="Z355" i="7"/>
  <c r="AA355" i="7"/>
  <c r="AB355" i="7"/>
  <c r="Y356" i="7"/>
  <c r="Z356" i="7"/>
  <c r="AA356" i="7"/>
  <c r="AB356" i="7"/>
  <c r="Y357" i="7"/>
  <c r="Z357" i="7"/>
  <c r="AA357" i="7"/>
  <c r="AB357" i="7"/>
  <c r="Y358" i="7"/>
  <c r="Z358" i="7"/>
  <c r="AA358" i="7"/>
  <c r="AB358" i="7"/>
  <c r="Y359" i="7"/>
  <c r="Z359" i="7"/>
  <c r="AA359" i="7"/>
  <c r="AB359" i="7"/>
  <c r="Y360" i="7"/>
  <c r="Z360" i="7"/>
  <c r="AA360" i="7"/>
  <c r="AB360" i="7"/>
  <c r="Y361" i="7"/>
  <c r="Z361" i="7"/>
  <c r="AA361" i="7"/>
  <c r="AB361" i="7"/>
  <c r="Y362" i="7"/>
  <c r="Z362" i="7"/>
  <c r="AA362" i="7"/>
  <c r="AB362" i="7"/>
  <c r="Y363" i="7"/>
  <c r="Z363" i="7"/>
  <c r="AA363" i="7"/>
  <c r="AB363" i="7"/>
  <c r="Y364" i="7"/>
  <c r="Z364" i="7"/>
  <c r="AA364" i="7"/>
  <c r="AB364" i="7"/>
  <c r="Y365" i="7"/>
  <c r="Z365" i="7"/>
  <c r="AA365" i="7"/>
  <c r="AB365" i="7"/>
  <c r="AB18" i="7"/>
  <c r="AA18" i="7"/>
  <c r="Z18" i="7"/>
  <c r="X2" i="7" l="1"/>
  <c r="C2" i="6"/>
  <c r="H741" i="6"/>
  <c r="H711" i="6"/>
  <c r="H677" i="6"/>
  <c r="H641" i="6"/>
  <c r="H617" i="6"/>
  <c r="H589" i="6"/>
  <c r="H559" i="6"/>
  <c r="H535" i="6"/>
  <c r="H491" i="6"/>
  <c r="H463" i="6"/>
  <c r="H441" i="6"/>
  <c r="H407" i="6"/>
  <c r="H387" i="6"/>
  <c r="H754" i="6"/>
  <c r="H722" i="6"/>
  <c r="H694" i="6"/>
  <c r="H658" i="6"/>
  <c r="H626" i="6"/>
  <c r="H608" i="6"/>
  <c r="H576" i="6"/>
  <c r="H546" i="6"/>
  <c r="H512" i="6"/>
  <c r="H478" i="6"/>
  <c r="H452" i="6"/>
  <c r="H428" i="6"/>
  <c r="O32" i="7"/>
  <c r="R32" i="7" s="1"/>
  <c r="O33" i="7"/>
  <c r="O34" i="7"/>
  <c r="R34" i="7" s="1"/>
  <c r="P32" i="7"/>
  <c r="P33" i="7"/>
  <c r="P34" i="7"/>
  <c r="S32" i="7"/>
  <c r="AC32" i="7" s="1"/>
  <c r="S33" i="7"/>
  <c r="AC33" i="7" s="1"/>
  <c r="S34" i="7"/>
  <c r="AC34" i="7" s="1"/>
  <c r="T32" i="7"/>
  <c r="T33" i="7"/>
  <c r="T34" i="7"/>
  <c r="U32" i="7"/>
  <c r="U33" i="7"/>
  <c r="U34" i="7"/>
  <c r="V32" i="7"/>
  <c r="V33" i="7"/>
  <c r="V34" i="7"/>
  <c r="W32" i="7"/>
  <c r="W33" i="7"/>
  <c r="W34" i="7"/>
  <c r="O18" i="7"/>
  <c r="O19" i="7"/>
  <c r="R19" i="7" s="1"/>
  <c r="O20" i="7"/>
  <c r="R20" i="7" s="1"/>
  <c r="P18" i="7"/>
  <c r="P19" i="7"/>
  <c r="P20" i="7"/>
  <c r="S18" i="7"/>
  <c r="AC18" i="7" s="1"/>
  <c r="S19" i="7"/>
  <c r="AC19" i="7" s="1"/>
  <c r="S20" i="7"/>
  <c r="AC20" i="7" s="1"/>
  <c r="T19" i="7"/>
  <c r="T20" i="7"/>
  <c r="U18" i="7"/>
  <c r="U19" i="7"/>
  <c r="U20" i="7"/>
  <c r="V18" i="7"/>
  <c r="V19" i="7"/>
  <c r="V20" i="7"/>
  <c r="W18" i="7"/>
  <c r="W19" i="7"/>
  <c r="W20" i="7"/>
  <c r="Y18" i="7"/>
  <c r="O21" i="7"/>
  <c r="O22" i="7"/>
  <c r="O23" i="7"/>
  <c r="R23" i="7" s="1"/>
  <c r="O24" i="7"/>
  <c r="O25" i="7"/>
  <c r="R25" i="7" s="1"/>
  <c r="O26" i="7"/>
  <c r="R26" i="7" s="1"/>
  <c r="O27" i="7"/>
  <c r="R27" i="7" s="1"/>
  <c r="O28" i="7"/>
  <c r="O29" i="7"/>
  <c r="R29" i="7" s="1"/>
  <c r="O30" i="7"/>
  <c r="R30" i="7" s="1"/>
  <c r="O31" i="7"/>
  <c r="R31" i="7" s="1"/>
  <c r="P21" i="7"/>
  <c r="P22" i="7"/>
  <c r="P23" i="7"/>
  <c r="P24" i="7"/>
  <c r="P25" i="7"/>
  <c r="P26" i="7"/>
  <c r="P27" i="7"/>
  <c r="P28" i="7"/>
  <c r="P29" i="7"/>
  <c r="P30" i="7"/>
  <c r="P31" i="7"/>
  <c r="R22" i="7"/>
  <c r="S21" i="7"/>
  <c r="AC21" i="7" s="1"/>
  <c r="S22" i="7"/>
  <c r="AC22" i="7" s="1"/>
  <c r="S23" i="7"/>
  <c r="AC23" i="7" s="1"/>
  <c r="S24" i="7"/>
  <c r="AC24" i="7" s="1"/>
  <c r="S25" i="7"/>
  <c r="AC25" i="7" s="1"/>
  <c r="S26" i="7"/>
  <c r="S27" i="7"/>
  <c r="AC27" i="7" s="1"/>
  <c r="S28" i="7"/>
  <c r="AC28" i="7" s="1"/>
  <c r="S29" i="7"/>
  <c r="AC29" i="7" s="1"/>
  <c r="S30" i="7"/>
  <c r="AC30" i="7" s="1"/>
  <c r="S31" i="7"/>
  <c r="AC31" i="7" s="1"/>
  <c r="T21" i="7"/>
  <c r="T22" i="7"/>
  <c r="T23" i="7"/>
  <c r="T24" i="7"/>
  <c r="T25" i="7"/>
  <c r="T26" i="7"/>
  <c r="T27" i="7"/>
  <c r="T28" i="7"/>
  <c r="T29" i="7"/>
  <c r="T30" i="7"/>
  <c r="T31" i="7"/>
  <c r="U21" i="7"/>
  <c r="U22" i="7"/>
  <c r="U23" i="7"/>
  <c r="U24" i="7"/>
  <c r="U25" i="7"/>
  <c r="U26" i="7"/>
  <c r="U27" i="7"/>
  <c r="U28" i="7"/>
  <c r="U29" i="7"/>
  <c r="U30" i="7"/>
  <c r="U31" i="7"/>
  <c r="V21" i="7"/>
  <c r="V22" i="7"/>
  <c r="V23" i="7"/>
  <c r="V24" i="7"/>
  <c r="V25" i="7"/>
  <c r="V26" i="7"/>
  <c r="V27" i="7"/>
  <c r="V28" i="7"/>
  <c r="V29" i="7"/>
  <c r="V30" i="7"/>
  <c r="V31" i="7"/>
  <c r="W21" i="7"/>
  <c r="W22" i="7"/>
  <c r="W23" i="7"/>
  <c r="W24" i="7"/>
  <c r="W25" i="7"/>
  <c r="W26" i="7"/>
  <c r="W27" i="7"/>
  <c r="W28" i="7"/>
  <c r="W29" i="7"/>
  <c r="W30" i="7"/>
  <c r="W31" i="7"/>
  <c r="AC26" i="7"/>
  <c r="W36" i="7"/>
  <c r="W37" i="7"/>
  <c r="W38" i="7"/>
  <c r="W39" i="7"/>
  <c r="W40" i="7"/>
  <c r="W41" i="7"/>
  <c r="W42" i="7"/>
  <c r="Q5" i="11" s="1"/>
  <c r="W43" i="7"/>
  <c r="Q6" i="11" s="1"/>
  <c r="W44" i="7"/>
  <c r="W45" i="7"/>
  <c r="W46" i="7"/>
  <c r="W47" i="7"/>
  <c r="W48" i="7"/>
  <c r="W49" i="7"/>
  <c r="W50" i="7"/>
  <c r="W51" i="7"/>
  <c r="W52" i="7"/>
  <c r="W53" i="7"/>
  <c r="W54" i="7"/>
  <c r="W55" i="7"/>
  <c r="W56" i="7"/>
  <c r="W57" i="7"/>
  <c r="W58" i="7"/>
  <c r="W59" i="7"/>
  <c r="W60" i="7"/>
  <c r="W61" i="7"/>
  <c r="W62" i="7"/>
  <c r="W63" i="7"/>
  <c r="W64" i="7"/>
  <c r="W65" i="7"/>
  <c r="W66" i="7"/>
  <c r="W67" i="7"/>
  <c r="W68" i="7"/>
  <c r="W69" i="7"/>
  <c r="W70" i="7"/>
  <c r="W71" i="7"/>
  <c r="W72" i="7"/>
  <c r="W73" i="7"/>
  <c r="W74" i="7"/>
  <c r="W75" i="7"/>
  <c r="W76" i="7"/>
  <c r="W77" i="7"/>
  <c r="W78" i="7"/>
  <c r="W79" i="7"/>
  <c r="W80" i="7"/>
  <c r="W81" i="7"/>
  <c r="W82" i="7"/>
  <c r="W83" i="7"/>
  <c r="W84" i="7"/>
  <c r="W85" i="7"/>
  <c r="W86" i="7"/>
  <c r="W87" i="7"/>
  <c r="W88" i="7"/>
  <c r="W89" i="7"/>
  <c r="W90" i="7"/>
  <c r="W91" i="7"/>
  <c r="W92" i="7"/>
  <c r="W93" i="7"/>
  <c r="W94" i="7"/>
  <c r="W95" i="7"/>
  <c r="W96" i="7"/>
  <c r="W97" i="7"/>
  <c r="W98" i="7"/>
  <c r="W99" i="7"/>
  <c r="W100" i="7"/>
  <c r="W101" i="7"/>
  <c r="W102" i="7"/>
  <c r="W103" i="7"/>
  <c r="W104" i="7"/>
  <c r="W105" i="7"/>
  <c r="W106" i="7"/>
  <c r="W107" i="7"/>
  <c r="W108" i="7"/>
  <c r="W109" i="7"/>
  <c r="W110" i="7"/>
  <c r="W111" i="7"/>
  <c r="W112" i="7"/>
  <c r="W113" i="7"/>
  <c r="W114" i="7"/>
  <c r="W115" i="7"/>
  <c r="W116" i="7"/>
  <c r="W117" i="7"/>
  <c r="W118" i="7"/>
  <c r="W119" i="7"/>
  <c r="W120" i="7"/>
  <c r="W121" i="7"/>
  <c r="W122" i="7"/>
  <c r="W123" i="7"/>
  <c r="W124" i="7"/>
  <c r="W125" i="7"/>
  <c r="W126" i="7"/>
  <c r="W127" i="7"/>
  <c r="W128" i="7"/>
  <c r="W129" i="7"/>
  <c r="W130" i="7"/>
  <c r="W131" i="7"/>
  <c r="W132" i="7"/>
  <c r="W133" i="7"/>
  <c r="W134" i="7"/>
  <c r="W135" i="7"/>
  <c r="W136" i="7"/>
  <c r="W137" i="7"/>
  <c r="W138" i="7"/>
  <c r="W139" i="7"/>
  <c r="W140" i="7"/>
  <c r="W141" i="7"/>
  <c r="W142" i="7"/>
  <c r="W143" i="7"/>
  <c r="W144" i="7"/>
  <c r="W145" i="7"/>
  <c r="W146" i="7"/>
  <c r="W147" i="7"/>
  <c r="W148" i="7"/>
  <c r="W149" i="7"/>
  <c r="W150" i="7"/>
  <c r="W151" i="7"/>
  <c r="W152" i="7"/>
  <c r="W153" i="7"/>
  <c r="W154" i="7"/>
  <c r="W155" i="7"/>
  <c r="W156" i="7"/>
  <c r="W157" i="7"/>
  <c r="W158" i="7"/>
  <c r="W159" i="7"/>
  <c r="W160" i="7"/>
  <c r="W161" i="7"/>
  <c r="W162" i="7"/>
  <c r="W163" i="7"/>
  <c r="W164" i="7"/>
  <c r="W165" i="7"/>
  <c r="W166" i="7"/>
  <c r="W167" i="7"/>
  <c r="W168" i="7"/>
  <c r="W169" i="7"/>
  <c r="W170" i="7"/>
  <c r="W171" i="7"/>
  <c r="W172" i="7"/>
  <c r="W173" i="7"/>
  <c r="W174" i="7"/>
  <c r="W175" i="7"/>
  <c r="W176" i="7"/>
  <c r="W177" i="7"/>
  <c r="W178" i="7"/>
  <c r="W179" i="7"/>
  <c r="W180" i="7"/>
  <c r="W181" i="7"/>
  <c r="W182" i="7"/>
  <c r="W183" i="7"/>
  <c r="W184" i="7"/>
  <c r="W185" i="7"/>
  <c r="W186" i="7"/>
  <c r="W187" i="7"/>
  <c r="W188" i="7"/>
  <c r="W189" i="7"/>
  <c r="W190" i="7"/>
  <c r="W191" i="7"/>
  <c r="W192" i="7"/>
  <c r="W193" i="7"/>
  <c r="W194" i="7"/>
  <c r="W195" i="7"/>
  <c r="W196" i="7"/>
  <c r="W197" i="7"/>
  <c r="W198" i="7"/>
  <c r="W199" i="7"/>
  <c r="W200" i="7"/>
  <c r="W201" i="7"/>
  <c r="W202" i="7"/>
  <c r="W203" i="7"/>
  <c r="W204" i="7"/>
  <c r="W205" i="7"/>
  <c r="W206" i="7"/>
  <c r="W207" i="7"/>
  <c r="W208" i="7"/>
  <c r="W209" i="7"/>
  <c r="W210" i="7"/>
  <c r="W211" i="7"/>
  <c r="W212" i="7"/>
  <c r="W213" i="7"/>
  <c r="W214" i="7"/>
  <c r="W215" i="7"/>
  <c r="W216" i="7"/>
  <c r="W217" i="7"/>
  <c r="W218" i="7"/>
  <c r="W219" i="7"/>
  <c r="W220" i="7"/>
  <c r="W221" i="7"/>
  <c r="W222" i="7"/>
  <c r="W223" i="7"/>
  <c r="W224" i="7"/>
  <c r="W225" i="7"/>
  <c r="W226" i="7"/>
  <c r="W227" i="7"/>
  <c r="W228" i="7"/>
  <c r="W229" i="7"/>
  <c r="W230" i="7"/>
  <c r="W231" i="7"/>
  <c r="W232" i="7"/>
  <c r="W233" i="7"/>
  <c r="W234" i="7"/>
  <c r="W235" i="7"/>
  <c r="W236" i="7"/>
  <c r="W237" i="7"/>
  <c r="W238" i="7"/>
  <c r="Q33" i="11" s="1"/>
  <c r="W239" i="7"/>
  <c r="W240" i="7"/>
  <c r="W241" i="7"/>
  <c r="W242" i="7"/>
  <c r="W243" i="7"/>
  <c r="W244" i="7"/>
  <c r="W245" i="7"/>
  <c r="W246" i="7"/>
  <c r="W247" i="7"/>
  <c r="W248" i="7"/>
  <c r="W249" i="7"/>
  <c r="W250" i="7"/>
  <c r="W251" i="7"/>
  <c r="W252" i="7"/>
  <c r="W253" i="7"/>
  <c r="W254" i="7"/>
  <c r="W255" i="7"/>
  <c r="W256" i="7"/>
  <c r="W257" i="7"/>
  <c r="W258" i="7"/>
  <c r="W259" i="7"/>
  <c r="W260" i="7"/>
  <c r="W261" i="7"/>
  <c r="W262" i="7"/>
  <c r="W263" i="7"/>
  <c r="W264" i="7"/>
  <c r="W265" i="7"/>
  <c r="W266" i="7"/>
  <c r="W267" i="7"/>
  <c r="W268" i="7"/>
  <c r="W269" i="7"/>
  <c r="W270" i="7"/>
  <c r="W271" i="7"/>
  <c r="W272" i="7"/>
  <c r="W273" i="7"/>
  <c r="W274" i="7"/>
  <c r="W275" i="7"/>
  <c r="W276" i="7"/>
  <c r="W277" i="7"/>
  <c r="W278" i="7"/>
  <c r="W279" i="7"/>
  <c r="W280" i="7"/>
  <c r="W281" i="7"/>
  <c r="W282" i="7"/>
  <c r="W283" i="7"/>
  <c r="W284" i="7"/>
  <c r="W285" i="7"/>
  <c r="W286" i="7"/>
  <c r="W287" i="7"/>
  <c r="W288" i="7"/>
  <c r="W289" i="7"/>
  <c r="W290" i="7"/>
  <c r="W291" i="7"/>
  <c r="W292" i="7"/>
  <c r="W293" i="7"/>
  <c r="W294" i="7"/>
  <c r="W295" i="7"/>
  <c r="W296" i="7"/>
  <c r="W297" i="7"/>
  <c r="W298" i="7"/>
  <c r="W299" i="7"/>
  <c r="W300" i="7"/>
  <c r="W301" i="7"/>
  <c r="W302" i="7"/>
  <c r="W303" i="7"/>
  <c r="W304" i="7"/>
  <c r="W305" i="7"/>
  <c r="W306" i="7"/>
  <c r="W307" i="7"/>
  <c r="W308" i="7"/>
  <c r="W309" i="7"/>
  <c r="W310" i="7"/>
  <c r="W311" i="7"/>
  <c r="W312" i="7"/>
  <c r="W313" i="7"/>
  <c r="W314" i="7"/>
  <c r="W315" i="7"/>
  <c r="W316" i="7"/>
  <c r="W317" i="7"/>
  <c r="W318" i="7"/>
  <c r="W319" i="7"/>
  <c r="W320" i="7"/>
  <c r="W321" i="7"/>
  <c r="W322" i="7"/>
  <c r="W323" i="7"/>
  <c r="W324" i="7"/>
  <c r="W325" i="7"/>
  <c r="W326" i="7"/>
  <c r="W327" i="7"/>
  <c r="W328" i="7"/>
  <c r="W329" i="7"/>
  <c r="W330" i="7"/>
  <c r="W331" i="7"/>
  <c r="W332" i="7"/>
  <c r="W333" i="7"/>
  <c r="W334" i="7"/>
  <c r="W335" i="7"/>
  <c r="W336" i="7"/>
  <c r="W337" i="7"/>
  <c r="W338" i="7"/>
  <c r="W339" i="7"/>
  <c r="W340" i="7"/>
  <c r="W341" i="7"/>
  <c r="W342" i="7"/>
  <c r="Q38" i="11" s="1"/>
  <c r="W343" i="7"/>
  <c r="W344" i="7"/>
  <c r="W345" i="7"/>
  <c r="W346" i="7"/>
  <c r="W347" i="7"/>
  <c r="W348" i="7"/>
  <c r="W349" i="7"/>
  <c r="W350" i="7"/>
  <c r="W351" i="7"/>
  <c r="W352" i="7"/>
  <c r="W353" i="7"/>
  <c r="W354" i="7"/>
  <c r="W355" i="7"/>
  <c r="W356" i="7"/>
  <c r="W357" i="7"/>
  <c r="W358" i="7"/>
  <c r="W359" i="7"/>
  <c r="W360" i="7"/>
  <c r="W361" i="7"/>
  <c r="W362" i="7"/>
  <c r="W363" i="7"/>
  <c r="W364" i="7"/>
  <c r="W365" i="7"/>
  <c r="Q35" i="11" l="1"/>
  <c r="Q46" i="11"/>
  <c r="Q41" i="11"/>
  <c r="Q32" i="11"/>
  <c r="Q29" i="11"/>
  <c r="Q26" i="11"/>
  <c r="Q16" i="11"/>
  <c r="Q9" i="11"/>
  <c r="Q48" i="11"/>
  <c r="Q42" i="11"/>
  <c r="Q39" i="11"/>
  <c r="Q34" i="11"/>
  <c r="Q7" i="11"/>
  <c r="Q15" i="11"/>
  <c r="Q28" i="11"/>
  <c r="Q22" i="11"/>
  <c r="Q4" i="11"/>
  <c r="Q40" i="11"/>
  <c r="M18" i="7"/>
  <c r="Q43" i="11"/>
  <c r="Q44" i="11"/>
  <c r="Q24" i="11"/>
  <c r="Q21" i="11"/>
  <c r="Q18" i="11"/>
  <c r="Q14" i="11"/>
  <c r="Q12" i="11"/>
  <c r="Q8" i="11"/>
  <c r="Q23" i="11"/>
  <c r="Q13" i="11"/>
  <c r="Q11" i="11"/>
  <c r="Q27" i="11"/>
  <c r="Q17" i="11"/>
  <c r="Q3" i="11"/>
  <c r="R21" i="7"/>
  <c r="M21" i="7"/>
  <c r="Q47" i="11"/>
  <c r="Q36" i="11"/>
  <c r="Q10" i="11"/>
  <c r="X32" i="7"/>
  <c r="R33" i="7"/>
  <c r="M33" i="7"/>
  <c r="L33" i="7"/>
  <c r="X34" i="7"/>
  <c r="M34" i="7"/>
  <c r="M32" i="7"/>
  <c r="L32" i="7"/>
  <c r="X33" i="7"/>
  <c r="X23" i="7"/>
  <c r="X29" i="7"/>
  <c r="X21" i="7"/>
  <c r="X18" i="7"/>
  <c r="X27" i="7"/>
  <c r="L19" i="7"/>
  <c r="M27" i="7"/>
  <c r="M19" i="7"/>
  <c r="X31" i="7"/>
  <c r="L23" i="7"/>
  <c r="Y31" i="7"/>
  <c r="M23" i="7"/>
  <c r="M30" i="7"/>
  <c r="L30" i="7"/>
  <c r="Z28" i="7"/>
  <c r="L28" i="7"/>
  <c r="AA26" i="7"/>
  <c r="L26" i="7"/>
  <c r="Z24" i="7"/>
  <c r="M22" i="7"/>
  <c r="L22" i="7"/>
  <c r="AA20" i="7"/>
  <c r="X30" i="7"/>
  <c r="X28" i="7"/>
  <c r="X26" i="7"/>
  <c r="X24" i="7"/>
  <c r="X22" i="7"/>
  <c r="R28" i="7"/>
  <c r="R24" i="7"/>
  <c r="X20" i="7"/>
  <c r="R18" i="7"/>
  <c r="L18" i="7"/>
  <c r="L29" i="7"/>
  <c r="X25" i="7"/>
  <c r="L21" i="7"/>
  <c r="M29" i="7"/>
  <c r="AB25" i="7"/>
  <c r="X19" i="7"/>
  <c r="B408" i="6"/>
  <c r="P51" i="7"/>
  <c r="P52" i="7"/>
  <c r="P53" i="7"/>
  <c r="P54" i="7"/>
  <c r="P35" i="7"/>
  <c r="P36" i="7"/>
  <c r="P37" i="7"/>
  <c r="P38" i="7"/>
  <c r="P39" i="7"/>
  <c r="P40" i="7"/>
  <c r="P41" i="7"/>
  <c r="P42" i="7"/>
  <c r="P43" i="7"/>
  <c r="P44" i="7"/>
  <c r="P45" i="7"/>
  <c r="P46" i="7"/>
  <c r="P47" i="7"/>
  <c r="P48" i="7"/>
  <c r="P49" i="7"/>
  <c r="P50" i="7"/>
  <c r="P55" i="7"/>
  <c r="P56" i="7"/>
  <c r="P57" i="7"/>
  <c r="P58" i="7"/>
  <c r="P59" i="7"/>
  <c r="P60" i="7"/>
  <c r="P61" i="7"/>
  <c r="P62" i="7"/>
  <c r="P63" i="7"/>
  <c r="P64" i="7"/>
  <c r="P65" i="7"/>
  <c r="P66" i="7"/>
  <c r="P67" i="7"/>
  <c r="P68" i="7"/>
  <c r="P69" i="7"/>
  <c r="P70" i="7"/>
  <c r="P71" i="7"/>
  <c r="P72" i="7"/>
  <c r="P73" i="7"/>
  <c r="P74" i="7"/>
  <c r="P75" i="7"/>
  <c r="P76" i="7"/>
  <c r="P77" i="7"/>
  <c r="P78" i="7"/>
  <c r="P79" i="7"/>
  <c r="P80" i="7"/>
  <c r="P81" i="7"/>
  <c r="P82" i="7"/>
  <c r="P83" i="7"/>
  <c r="P84" i="7"/>
  <c r="P85" i="7"/>
  <c r="P86" i="7"/>
  <c r="P87" i="7"/>
  <c r="P88" i="7"/>
  <c r="P89" i="7"/>
  <c r="P90" i="7"/>
  <c r="P91" i="7"/>
  <c r="P92" i="7"/>
  <c r="P93" i="7"/>
  <c r="P94" i="7"/>
  <c r="P95" i="7"/>
  <c r="P96" i="7"/>
  <c r="P97" i="7"/>
  <c r="P98" i="7"/>
  <c r="P99" i="7"/>
  <c r="P100" i="7"/>
  <c r="P101" i="7"/>
  <c r="P102" i="7"/>
  <c r="P103" i="7"/>
  <c r="P104" i="7"/>
  <c r="P105" i="7"/>
  <c r="P106" i="7"/>
  <c r="P107" i="7"/>
  <c r="P108" i="7"/>
  <c r="P109" i="7"/>
  <c r="P110" i="7"/>
  <c r="P111" i="7"/>
  <c r="P112" i="7"/>
  <c r="P113" i="7"/>
  <c r="P114" i="7"/>
  <c r="P115" i="7"/>
  <c r="P116" i="7"/>
  <c r="P117" i="7"/>
  <c r="P118" i="7"/>
  <c r="P119" i="7"/>
  <c r="P120" i="7"/>
  <c r="P121" i="7"/>
  <c r="P122" i="7"/>
  <c r="P123" i="7"/>
  <c r="P124" i="7"/>
  <c r="P125" i="7"/>
  <c r="P126" i="7"/>
  <c r="P127" i="7"/>
  <c r="P128" i="7"/>
  <c r="P129" i="7"/>
  <c r="P130" i="7"/>
  <c r="P131" i="7"/>
  <c r="P178" i="7"/>
  <c r="P132" i="7"/>
  <c r="P133" i="7"/>
  <c r="P134" i="7"/>
  <c r="P135" i="7"/>
  <c r="P136" i="7"/>
  <c r="P137" i="7"/>
  <c r="P138" i="7"/>
  <c r="P139" i="7"/>
  <c r="P140" i="7"/>
  <c r="P141" i="7"/>
  <c r="P142" i="7"/>
  <c r="P143" i="7"/>
  <c r="P144" i="7"/>
  <c r="P145" i="7"/>
  <c r="P146" i="7"/>
  <c r="P147" i="7"/>
  <c r="P148" i="7"/>
  <c r="P149" i="7"/>
  <c r="P150" i="7"/>
  <c r="P151" i="7"/>
  <c r="P152" i="7"/>
  <c r="P153" i="7"/>
  <c r="P154" i="7"/>
  <c r="P155" i="7"/>
  <c r="P156" i="7"/>
  <c r="P157" i="7"/>
  <c r="P158" i="7"/>
  <c r="P159" i="7"/>
  <c r="P160" i="7"/>
  <c r="P161" i="7"/>
  <c r="P162" i="7"/>
  <c r="P163" i="7"/>
  <c r="P164" i="7"/>
  <c r="P165" i="7"/>
  <c r="P166" i="7"/>
  <c r="P167" i="7"/>
  <c r="P168" i="7"/>
  <c r="P169" i="7"/>
  <c r="P170" i="7"/>
  <c r="P171" i="7"/>
  <c r="P172" i="7"/>
  <c r="P173" i="7"/>
  <c r="P174" i="7"/>
  <c r="P175" i="7"/>
  <c r="P176" i="7"/>
  <c r="P177" i="7"/>
  <c r="P179" i="7"/>
  <c r="P180" i="7"/>
  <c r="P181" i="7"/>
  <c r="P182" i="7"/>
  <c r="P183" i="7"/>
  <c r="P184" i="7"/>
  <c r="P185" i="7"/>
  <c r="P186" i="7"/>
  <c r="P187" i="7"/>
  <c r="P188" i="7"/>
  <c r="P189" i="7"/>
  <c r="P190" i="7"/>
  <c r="P191" i="7"/>
  <c r="P192" i="7"/>
  <c r="P193" i="7"/>
  <c r="P194" i="7"/>
  <c r="P195" i="7"/>
  <c r="P196" i="7"/>
  <c r="P197" i="7"/>
  <c r="P198" i="7"/>
  <c r="P199" i="7"/>
  <c r="P200" i="7"/>
  <c r="P201" i="7"/>
  <c r="P202" i="7"/>
  <c r="P203" i="7"/>
  <c r="P204" i="7"/>
  <c r="P205" i="7"/>
  <c r="P206" i="7"/>
  <c r="P207" i="7"/>
  <c r="P208" i="7"/>
  <c r="P209" i="7"/>
  <c r="P210" i="7"/>
  <c r="P211" i="7"/>
  <c r="P212" i="7"/>
  <c r="P213" i="7"/>
  <c r="P214" i="7"/>
  <c r="P215" i="7"/>
  <c r="P216" i="7"/>
  <c r="P217" i="7"/>
  <c r="P218" i="7"/>
  <c r="P219" i="7"/>
  <c r="P220" i="7"/>
  <c r="P221" i="7"/>
  <c r="P222" i="7"/>
  <c r="P223" i="7"/>
  <c r="P224" i="7"/>
  <c r="P225" i="7"/>
  <c r="P226" i="7"/>
  <c r="P227" i="7"/>
  <c r="P228" i="7"/>
  <c r="P229" i="7"/>
  <c r="P230" i="7"/>
  <c r="P231" i="7"/>
  <c r="P232" i="7"/>
  <c r="P233" i="7"/>
  <c r="P234" i="7"/>
  <c r="P235" i="7"/>
  <c r="P236" i="7"/>
  <c r="P237" i="7"/>
  <c r="P238" i="7"/>
  <c r="P239" i="7"/>
  <c r="P240" i="7"/>
  <c r="P241" i="7"/>
  <c r="P242" i="7"/>
  <c r="P243" i="7"/>
  <c r="P244" i="7"/>
  <c r="P245" i="7"/>
  <c r="P246" i="7"/>
  <c r="P247" i="7"/>
  <c r="P248" i="7"/>
  <c r="P249" i="7"/>
  <c r="P250" i="7"/>
  <c r="P251" i="7"/>
  <c r="P252" i="7"/>
  <c r="P253" i="7"/>
  <c r="P254" i="7"/>
  <c r="P255" i="7"/>
  <c r="P256" i="7"/>
  <c r="P257" i="7"/>
  <c r="P258" i="7"/>
  <c r="P259" i="7"/>
  <c r="P260" i="7"/>
  <c r="P261" i="7"/>
  <c r="P262" i="7"/>
  <c r="P263" i="7"/>
  <c r="P264" i="7"/>
  <c r="P265" i="7"/>
  <c r="P266" i="7"/>
  <c r="P267" i="7"/>
  <c r="P268" i="7"/>
  <c r="P269" i="7"/>
  <c r="P270" i="7"/>
  <c r="P271" i="7"/>
  <c r="P272" i="7"/>
  <c r="P273" i="7"/>
  <c r="P274" i="7"/>
  <c r="P275" i="7"/>
  <c r="P276" i="7"/>
  <c r="P277" i="7"/>
  <c r="P278" i="7"/>
  <c r="P279" i="7"/>
  <c r="P280" i="7"/>
  <c r="P281" i="7"/>
  <c r="P282" i="7"/>
  <c r="P283" i="7"/>
  <c r="P284" i="7"/>
  <c r="P285" i="7"/>
  <c r="P286" i="7"/>
  <c r="P287" i="7"/>
  <c r="P288" i="7"/>
  <c r="P289" i="7"/>
  <c r="P290" i="7"/>
  <c r="P291" i="7"/>
  <c r="P292" i="7"/>
  <c r="P293" i="7"/>
  <c r="P294" i="7"/>
  <c r="P295" i="7"/>
  <c r="P296" i="7"/>
  <c r="P297" i="7"/>
  <c r="P298" i="7"/>
  <c r="P299" i="7"/>
  <c r="P300" i="7"/>
  <c r="P301" i="7"/>
  <c r="P302" i="7"/>
  <c r="P303" i="7"/>
  <c r="P304" i="7"/>
  <c r="P305" i="7"/>
  <c r="P306" i="7"/>
  <c r="P307" i="7"/>
  <c r="P308" i="7"/>
  <c r="P309" i="7"/>
  <c r="P310" i="7"/>
  <c r="P311" i="7"/>
  <c r="P312" i="7"/>
  <c r="P313" i="7"/>
  <c r="P314" i="7"/>
  <c r="P315" i="7"/>
  <c r="P316" i="7"/>
  <c r="P317" i="7"/>
  <c r="P318" i="7"/>
  <c r="P319" i="7"/>
  <c r="P320" i="7"/>
  <c r="P321" i="7"/>
  <c r="P322" i="7"/>
  <c r="P323" i="7"/>
  <c r="P324" i="7"/>
  <c r="P325" i="7"/>
  <c r="P326" i="7"/>
  <c r="P327" i="7"/>
  <c r="P328" i="7"/>
  <c r="P329" i="7"/>
  <c r="P330" i="7"/>
  <c r="P331" i="7"/>
  <c r="P332" i="7"/>
  <c r="P333" i="7"/>
  <c r="P334" i="7"/>
  <c r="P335" i="7"/>
  <c r="P336" i="7"/>
  <c r="P337" i="7"/>
  <c r="P338" i="7"/>
  <c r="P339" i="7"/>
  <c r="P340" i="7"/>
  <c r="P341" i="7"/>
  <c r="P342" i="7"/>
  <c r="P343" i="7"/>
  <c r="P344" i="7"/>
  <c r="P345" i="7"/>
  <c r="P346" i="7"/>
  <c r="P347" i="7"/>
  <c r="P348" i="7"/>
  <c r="P349" i="7"/>
  <c r="P350" i="7"/>
  <c r="P351" i="7"/>
  <c r="P352" i="7"/>
  <c r="P353" i="7"/>
  <c r="P354" i="7"/>
  <c r="P355" i="7"/>
  <c r="P356" i="7"/>
  <c r="P357" i="7"/>
  <c r="P358" i="7"/>
  <c r="P359" i="7"/>
  <c r="P360" i="7"/>
  <c r="P361" i="7"/>
  <c r="P362" i="7"/>
  <c r="P363" i="7"/>
  <c r="P364" i="7"/>
  <c r="P365" i="7"/>
  <c r="O178" i="7"/>
  <c r="O51" i="7"/>
  <c r="O52" i="7"/>
  <c r="O53" i="7"/>
  <c r="O54" i="7"/>
  <c r="R51" i="7"/>
  <c r="S178" i="7"/>
  <c r="AC178" i="7" s="1"/>
  <c r="S51" i="7"/>
  <c r="AC51" i="7" s="1"/>
  <c r="S52" i="7"/>
  <c r="AC52" i="7" s="1"/>
  <c r="S53" i="7"/>
  <c r="AC53" i="7" s="1"/>
  <c r="S54" i="7"/>
  <c r="AC54" i="7" s="1"/>
  <c r="T178" i="7"/>
  <c r="T51" i="7"/>
  <c r="H11" i="11" s="1"/>
  <c r="T52" i="7"/>
  <c r="T53" i="7"/>
  <c r="T54" i="7"/>
  <c r="U178" i="7"/>
  <c r="U51" i="7"/>
  <c r="K11" i="11" s="1"/>
  <c r="U52" i="7"/>
  <c r="U53" i="7"/>
  <c r="U54" i="7"/>
  <c r="V178" i="7"/>
  <c r="V51" i="7"/>
  <c r="N11" i="11" s="1"/>
  <c r="V52" i="7"/>
  <c r="V53" i="7"/>
  <c r="V54" i="7"/>
  <c r="W35" i="7"/>
  <c r="V35" i="7"/>
  <c r="V36" i="7"/>
  <c r="V37" i="7"/>
  <c r="N3" i="11" s="1"/>
  <c r="V38" i="7"/>
  <c r="V39" i="7"/>
  <c r="V40" i="7"/>
  <c r="N4" i="11" s="1"/>
  <c r="V41" i="7"/>
  <c r="V42" i="7"/>
  <c r="V43" i="7"/>
  <c r="V44" i="7"/>
  <c r="V45" i="7"/>
  <c r="V46" i="7"/>
  <c r="V47" i="7"/>
  <c r="V48" i="7"/>
  <c r="V49" i="7"/>
  <c r="V50" i="7"/>
  <c r="V55" i="7"/>
  <c r="V56" i="7"/>
  <c r="V57" i="7"/>
  <c r="V58" i="7"/>
  <c r="V59" i="7"/>
  <c r="V60" i="7"/>
  <c r="V61" i="7"/>
  <c r="N13" i="11" s="1"/>
  <c r="V62" i="7"/>
  <c r="V63" i="7"/>
  <c r="V64" i="7"/>
  <c r="V65" i="7"/>
  <c r="V66" i="7"/>
  <c r="N15" i="11" s="1"/>
  <c r="V67" i="7"/>
  <c r="V68" i="7"/>
  <c r="V69" i="7"/>
  <c r="V70" i="7"/>
  <c r="V71" i="7"/>
  <c r="V72" i="7"/>
  <c r="V73" i="7"/>
  <c r="V74" i="7"/>
  <c r="V75" i="7"/>
  <c r="V76" i="7"/>
  <c r="N17" i="11" s="1"/>
  <c r="V77" i="7"/>
  <c r="V78" i="7"/>
  <c r="V79" i="7"/>
  <c r="V80" i="7"/>
  <c r="V81" i="7"/>
  <c r="V82" i="7"/>
  <c r="V83" i="7"/>
  <c r="N23" i="11" s="1"/>
  <c r="V84" i="7"/>
  <c r="V85" i="7"/>
  <c r="V86" i="7"/>
  <c r="V87" i="7"/>
  <c r="N28" i="11" s="1"/>
  <c r="V88" i="7"/>
  <c r="V89" i="7"/>
  <c r="V90" i="7"/>
  <c r="N27" i="11" s="1"/>
  <c r="V91" i="7"/>
  <c r="V92" i="7"/>
  <c r="V93" i="7"/>
  <c r="V94" i="7"/>
  <c r="V95" i="7"/>
  <c r="V96" i="7"/>
  <c r="V97" i="7"/>
  <c r="V98" i="7"/>
  <c r="V99" i="7"/>
  <c r="V100" i="7"/>
  <c r="V101" i="7"/>
  <c r="V102" i="7"/>
  <c r="V103" i="7"/>
  <c r="V104" i="7"/>
  <c r="V105" i="7"/>
  <c r="V106" i="7"/>
  <c r="V107" i="7"/>
  <c r="V108" i="7"/>
  <c r="N36" i="11" s="1"/>
  <c r="V109" i="7"/>
  <c r="V110" i="7"/>
  <c r="V111" i="7"/>
  <c r="V112" i="7"/>
  <c r="V113" i="7"/>
  <c r="N40" i="11" s="1"/>
  <c r="V114" i="7"/>
  <c r="V115" i="7"/>
  <c r="V116" i="7"/>
  <c r="V117" i="7"/>
  <c r="V118" i="7"/>
  <c r="V119" i="7"/>
  <c r="V120" i="7"/>
  <c r="V121" i="7"/>
  <c r="V122" i="7"/>
  <c r="V123" i="7"/>
  <c r="V124" i="7"/>
  <c r="V125" i="7"/>
  <c r="N47" i="11" s="1"/>
  <c r="V126" i="7"/>
  <c r="V127" i="7"/>
  <c r="V128" i="7"/>
  <c r="V129" i="7"/>
  <c r="V130" i="7"/>
  <c r="V131" i="7"/>
  <c r="V132" i="7"/>
  <c r="V133" i="7"/>
  <c r="V134" i="7"/>
  <c r="V135" i="7"/>
  <c r="V136" i="7"/>
  <c r="V137" i="7"/>
  <c r="V138" i="7"/>
  <c r="V139" i="7"/>
  <c r="V140" i="7"/>
  <c r="V141" i="7"/>
  <c r="V142" i="7"/>
  <c r="V143" i="7"/>
  <c r="V144" i="7"/>
  <c r="V145" i="7"/>
  <c r="V146" i="7"/>
  <c r="V147" i="7"/>
  <c r="V148" i="7"/>
  <c r="V149" i="7"/>
  <c r="V150" i="7"/>
  <c r="V151" i="7"/>
  <c r="V152" i="7"/>
  <c r="V153" i="7"/>
  <c r="V154" i="7"/>
  <c r="V155" i="7"/>
  <c r="V156" i="7"/>
  <c r="V157" i="7"/>
  <c r="V158" i="7"/>
  <c r="V159" i="7"/>
  <c r="V160" i="7"/>
  <c r="V161" i="7"/>
  <c r="V162" i="7"/>
  <c r="V163" i="7"/>
  <c r="V164" i="7"/>
  <c r="V165" i="7"/>
  <c r="V166" i="7"/>
  <c r="V167" i="7"/>
  <c r="V168" i="7"/>
  <c r="V169" i="7"/>
  <c r="V170" i="7"/>
  <c r="V171" i="7"/>
  <c r="V172" i="7"/>
  <c r="V173" i="7"/>
  <c r="V174" i="7"/>
  <c r="V175" i="7"/>
  <c r="N10" i="11" s="1"/>
  <c r="V176" i="7"/>
  <c r="V177" i="7"/>
  <c r="V179" i="7"/>
  <c r="V180" i="7"/>
  <c r="V181" i="7"/>
  <c r="V182" i="7"/>
  <c r="V183" i="7"/>
  <c r="V184" i="7"/>
  <c r="V185" i="7"/>
  <c r="V186" i="7"/>
  <c r="V187" i="7"/>
  <c r="V188" i="7"/>
  <c r="V189" i="7"/>
  <c r="V190" i="7"/>
  <c r="V191" i="7"/>
  <c r="V192" i="7"/>
  <c r="V193" i="7"/>
  <c r="V194" i="7"/>
  <c r="V195" i="7"/>
  <c r="V196" i="7"/>
  <c r="V197" i="7"/>
  <c r="V198" i="7"/>
  <c r="V199" i="7"/>
  <c r="V200" i="7"/>
  <c r="V201" i="7"/>
  <c r="N22" i="11" s="1"/>
  <c r="V202" i="7"/>
  <c r="V203" i="7"/>
  <c r="V204" i="7"/>
  <c r="V205" i="7"/>
  <c r="V206" i="7"/>
  <c r="V207" i="7"/>
  <c r="V208" i="7"/>
  <c r="V209" i="7"/>
  <c r="V210" i="7"/>
  <c r="V211" i="7"/>
  <c r="V212" i="7"/>
  <c r="V213" i="7"/>
  <c r="V214" i="7"/>
  <c r="V215" i="7"/>
  <c r="V216" i="7"/>
  <c r="V217" i="7"/>
  <c r="V218" i="7"/>
  <c r="V219" i="7"/>
  <c r="V220" i="7"/>
  <c r="V221" i="7"/>
  <c r="V222" i="7"/>
  <c r="V223" i="7"/>
  <c r="V224" i="7"/>
  <c r="V225" i="7"/>
  <c r="V226" i="7"/>
  <c r="V227" i="7"/>
  <c r="V228" i="7"/>
  <c r="V229" i="7"/>
  <c r="V230" i="7"/>
  <c r="V231" i="7"/>
  <c r="V232" i="7"/>
  <c r="V233" i="7"/>
  <c r="V234" i="7"/>
  <c r="V235" i="7"/>
  <c r="V236" i="7"/>
  <c r="V237" i="7"/>
  <c r="V238" i="7"/>
  <c r="V239" i="7"/>
  <c r="V240" i="7"/>
  <c r="V241" i="7"/>
  <c r="V242" i="7"/>
  <c r="V243" i="7"/>
  <c r="V244" i="7"/>
  <c r="V245" i="7"/>
  <c r="V246" i="7"/>
  <c r="V247" i="7"/>
  <c r="V248" i="7"/>
  <c r="V249" i="7"/>
  <c r="V250" i="7"/>
  <c r="V251" i="7"/>
  <c r="V252" i="7"/>
  <c r="V253" i="7"/>
  <c r="V254" i="7"/>
  <c r="V255" i="7"/>
  <c r="V256" i="7"/>
  <c r="V257" i="7"/>
  <c r="V258" i="7"/>
  <c r="V259" i="7"/>
  <c r="V260" i="7"/>
  <c r="V261" i="7"/>
  <c r="V262" i="7"/>
  <c r="V263" i="7"/>
  <c r="V264" i="7"/>
  <c r="V265" i="7"/>
  <c r="V266" i="7"/>
  <c r="V267" i="7"/>
  <c r="V268" i="7"/>
  <c r="V269" i="7"/>
  <c r="V270" i="7"/>
  <c r="V271" i="7"/>
  <c r="V272" i="7"/>
  <c r="V273" i="7"/>
  <c r="V274" i="7"/>
  <c r="V275" i="7"/>
  <c r="V276" i="7"/>
  <c r="V277" i="7"/>
  <c r="V278" i="7"/>
  <c r="V279" i="7"/>
  <c r="V280" i="7"/>
  <c r="V281" i="7"/>
  <c r="V282" i="7"/>
  <c r="V283" i="7"/>
  <c r="V284" i="7"/>
  <c r="V285" i="7"/>
  <c r="V286" i="7"/>
  <c r="V287" i="7"/>
  <c r="V288" i="7"/>
  <c r="V289" i="7"/>
  <c r="V290" i="7"/>
  <c r="V291" i="7"/>
  <c r="V292" i="7"/>
  <c r="V293" i="7"/>
  <c r="V294" i="7"/>
  <c r="V295" i="7"/>
  <c r="V296" i="7"/>
  <c r="V297" i="7"/>
  <c r="V298" i="7"/>
  <c r="V299" i="7"/>
  <c r="V300" i="7"/>
  <c r="V301" i="7"/>
  <c r="V302" i="7"/>
  <c r="V303" i="7"/>
  <c r="V304" i="7"/>
  <c r="V305" i="7"/>
  <c r="V306" i="7"/>
  <c r="V307" i="7"/>
  <c r="V308" i="7"/>
  <c r="V309" i="7"/>
  <c r="V310" i="7"/>
  <c r="V311" i="7"/>
  <c r="V312" i="7"/>
  <c r="V313" i="7"/>
  <c r="V314" i="7"/>
  <c r="V315" i="7"/>
  <c r="V316" i="7"/>
  <c r="V317" i="7"/>
  <c r="V318" i="7"/>
  <c r="V319" i="7"/>
  <c r="V320" i="7"/>
  <c r="V321" i="7"/>
  <c r="V322" i="7"/>
  <c r="V323" i="7"/>
  <c r="V324" i="7"/>
  <c r="V325" i="7"/>
  <c r="V326" i="7"/>
  <c r="V327" i="7"/>
  <c r="V328" i="7"/>
  <c r="V329" i="7"/>
  <c r="V330" i="7"/>
  <c r="V331" i="7"/>
  <c r="V332" i="7"/>
  <c r="V333" i="7"/>
  <c r="V334" i="7"/>
  <c r="V335" i="7"/>
  <c r="V336" i="7"/>
  <c r="V337" i="7"/>
  <c r="V338" i="7"/>
  <c r="V339" i="7"/>
  <c r="V340" i="7"/>
  <c r="V341" i="7"/>
  <c r="V342" i="7"/>
  <c r="V343" i="7"/>
  <c r="V344" i="7"/>
  <c r="V345" i="7"/>
  <c r="V346" i="7"/>
  <c r="V347" i="7"/>
  <c r="V348" i="7"/>
  <c r="V349" i="7"/>
  <c r="V350" i="7"/>
  <c r="V351" i="7"/>
  <c r="V352" i="7"/>
  <c r="V353" i="7"/>
  <c r="V354" i="7"/>
  <c r="V355" i="7"/>
  <c r="V356" i="7"/>
  <c r="V357" i="7"/>
  <c r="V358" i="7"/>
  <c r="V359" i="7"/>
  <c r="V360" i="7"/>
  <c r="V361" i="7"/>
  <c r="V362" i="7"/>
  <c r="V363" i="7"/>
  <c r="V364" i="7"/>
  <c r="V365" i="7"/>
  <c r="U35" i="7"/>
  <c r="U36" i="7"/>
  <c r="U37" i="7"/>
  <c r="K3" i="11" s="1"/>
  <c r="U38" i="7"/>
  <c r="U39" i="7"/>
  <c r="U40" i="7"/>
  <c r="K4" i="11" s="1"/>
  <c r="U41" i="7"/>
  <c r="U42" i="7"/>
  <c r="U43" i="7"/>
  <c r="U44" i="7"/>
  <c r="U45" i="7"/>
  <c r="U46" i="7"/>
  <c r="U47" i="7"/>
  <c r="U48" i="7"/>
  <c r="U49" i="7"/>
  <c r="U50" i="7"/>
  <c r="U55" i="7"/>
  <c r="U56" i="7"/>
  <c r="U57" i="7"/>
  <c r="U58" i="7"/>
  <c r="U59" i="7"/>
  <c r="U60" i="7"/>
  <c r="U61" i="7"/>
  <c r="K13" i="11" s="1"/>
  <c r="U62" i="7"/>
  <c r="U63" i="7"/>
  <c r="U64" i="7"/>
  <c r="U65" i="7"/>
  <c r="U66" i="7"/>
  <c r="K15" i="11" s="1"/>
  <c r="U67" i="7"/>
  <c r="U68" i="7"/>
  <c r="U69" i="7"/>
  <c r="U70" i="7"/>
  <c r="U71" i="7"/>
  <c r="U72" i="7"/>
  <c r="U73" i="7"/>
  <c r="U74" i="7"/>
  <c r="U75" i="7"/>
  <c r="U76" i="7"/>
  <c r="K17" i="11" s="1"/>
  <c r="U77" i="7"/>
  <c r="U78" i="7"/>
  <c r="U79" i="7"/>
  <c r="U80" i="7"/>
  <c r="U81" i="7"/>
  <c r="U82" i="7"/>
  <c r="U83" i="7"/>
  <c r="K23" i="11" s="1"/>
  <c r="U84" i="7"/>
  <c r="U85" i="7"/>
  <c r="U86" i="7"/>
  <c r="U87" i="7"/>
  <c r="K28" i="11" s="1"/>
  <c r="U88" i="7"/>
  <c r="U89" i="7"/>
  <c r="U90" i="7"/>
  <c r="K27" i="11" s="1"/>
  <c r="U91" i="7"/>
  <c r="U92" i="7"/>
  <c r="U93" i="7"/>
  <c r="U94" i="7"/>
  <c r="U95" i="7"/>
  <c r="U96" i="7"/>
  <c r="U97" i="7"/>
  <c r="U98" i="7"/>
  <c r="U99" i="7"/>
  <c r="U100" i="7"/>
  <c r="U101" i="7"/>
  <c r="U102" i="7"/>
  <c r="U103" i="7"/>
  <c r="U104" i="7"/>
  <c r="U105" i="7"/>
  <c r="U106" i="7"/>
  <c r="U107" i="7"/>
  <c r="U108" i="7"/>
  <c r="K36" i="11" s="1"/>
  <c r="U109" i="7"/>
  <c r="U110" i="7"/>
  <c r="U111" i="7"/>
  <c r="U112" i="7"/>
  <c r="U113" i="7"/>
  <c r="K40" i="11" s="1"/>
  <c r="U114" i="7"/>
  <c r="U115" i="7"/>
  <c r="U116" i="7"/>
  <c r="U117" i="7"/>
  <c r="U118" i="7"/>
  <c r="U119" i="7"/>
  <c r="U120" i="7"/>
  <c r="U121" i="7"/>
  <c r="U122" i="7"/>
  <c r="U123" i="7"/>
  <c r="U124" i="7"/>
  <c r="U125" i="7"/>
  <c r="K47" i="11" s="1"/>
  <c r="U126" i="7"/>
  <c r="U127" i="7"/>
  <c r="U128" i="7"/>
  <c r="U129" i="7"/>
  <c r="U130" i="7"/>
  <c r="U131" i="7"/>
  <c r="U132" i="7"/>
  <c r="U133" i="7"/>
  <c r="U134" i="7"/>
  <c r="U135" i="7"/>
  <c r="U136" i="7"/>
  <c r="U137" i="7"/>
  <c r="U138" i="7"/>
  <c r="U139" i="7"/>
  <c r="U140" i="7"/>
  <c r="U141" i="7"/>
  <c r="U142" i="7"/>
  <c r="U143" i="7"/>
  <c r="U144" i="7"/>
  <c r="U145" i="7"/>
  <c r="U146" i="7"/>
  <c r="U147" i="7"/>
  <c r="U148" i="7"/>
  <c r="U149" i="7"/>
  <c r="U150" i="7"/>
  <c r="U151" i="7"/>
  <c r="U152" i="7"/>
  <c r="U153" i="7"/>
  <c r="U154" i="7"/>
  <c r="U155" i="7"/>
  <c r="U156" i="7"/>
  <c r="U157" i="7"/>
  <c r="U158" i="7"/>
  <c r="U159" i="7"/>
  <c r="U160" i="7"/>
  <c r="U161" i="7"/>
  <c r="U162" i="7"/>
  <c r="U163" i="7"/>
  <c r="U164" i="7"/>
  <c r="U165" i="7"/>
  <c r="U166" i="7"/>
  <c r="U167" i="7"/>
  <c r="U168" i="7"/>
  <c r="U169" i="7"/>
  <c r="U170" i="7"/>
  <c r="U171" i="7"/>
  <c r="U172" i="7"/>
  <c r="U173" i="7"/>
  <c r="U174" i="7"/>
  <c r="U175" i="7"/>
  <c r="K10" i="11" s="1"/>
  <c r="U176" i="7"/>
  <c r="U177" i="7"/>
  <c r="U179" i="7"/>
  <c r="U180" i="7"/>
  <c r="U181" i="7"/>
  <c r="U182" i="7"/>
  <c r="U183" i="7"/>
  <c r="U184" i="7"/>
  <c r="U185" i="7"/>
  <c r="U186" i="7"/>
  <c r="U187" i="7"/>
  <c r="U188" i="7"/>
  <c r="U189" i="7"/>
  <c r="U190" i="7"/>
  <c r="U191" i="7"/>
  <c r="U192" i="7"/>
  <c r="U193" i="7"/>
  <c r="U194" i="7"/>
  <c r="U195" i="7"/>
  <c r="U196" i="7"/>
  <c r="U197" i="7"/>
  <c r="U198" i="7"/>
  <c r="U199" i="7"/>
  <c r="U200" i="7"/>
  <c r="U201" i="7"/>
  <c r="K22" i="11" s="1"/>
  <c r="U202" i="7"/>
  <c r="U203" i="7"/>
  <c r="U204" i="7"/>
  <c r="U205" i="7"/>
  <c r="U206" i="7"/>
  <c r="U207" i="7"/>
  <c r="U208" i="7"/>
  <c r="U209" i="7"/>
  <c r="U210" i="7"/>
  <c r="U211" i="7"/>
  <c r="U212" i="7"/>
  <c r="U213" i="7"/>
  <c r="U214" i="7"/>
  <c r="U215" i="7"/>
  <c r="U216" i="7"/>
  <c r="U217" i="7"/>
  <c r="U218" i="7"/>
  <c r="U219" i="7"/>
  <c r="U220" i="7"/>
  <c r="U221" i="7"/>
  <c r="U222" i="7"/>
  <c r="U223" i="7"/>
  <c r="U224" i="7"/>
  <c r="U225" i="7"/>
  <c r="U226" i="7"/>
  <c r="U227" i="7"/>
  <c r="U228" i="7"/>
  <c r="U229" i="7"/>
  <c r="U230" i="7"/>
  <c r="U231" i="7"/>
  <c r="U232" i="7"/>
  <c r="U233" i="7"/>
  <c r="U234" i="7"/>
  <c r="U235" i="7"/>
  <c r="U236" i="7"/>
  <c r="U237" i="7"/>
  <c r="U238" i="7"/>
  <c r="U239" i="7"/>
  <c r="U240" i="7"/>
  <c r="U241" i="7"/>
  <c r="U242" i="7"/>
  <c r="U243" i="7"/>
  <c r="U244" i="7"/>
  <c r="U245" i="7"/>
  <c r="U246" i="7"/>
  <c r="U247" i="7"/>
  <c r="U248" i="7"/>
  <c r="U249" i="7"/>
  <c r="U250" i="7"/>
  <c r="U251" i="7"/>
  <c r="U252" i="7"/>
  <c r="U253" i="7"/>
  <c r="U254" i="7"/>
  <c r="U255" i="7"/>
  <c r="U256" i="7"/>
  <c r="U257" i="7"/>
  <c r="U258" i="7"/>
  <c r="U259" i="7"/>
  <c r="U260" i="7"/>
  <c r="U261" i="7"/>
  <c r="U262" i="7"/>
  <c r="U263" i="7"/>
  <c r="U264" i="7"/>
  <c r="U265" i="7"/>
  <c r="U266" i="7"/>
  <c r="U267" i="7"/>
  <c r="U268" i="7"/>
  <c r="U269" i="7"/>
  <c r="U270" i="7"/>
  <c r="U271" i="7"/>
  <c r="U272" i="7"/>
  <c r="U273" i="7"/>
  <c r="U274" i="7"/>
  <c r="U275" i="7"/>
  <c r="U276" i="7"/>
  <c r="U277" i="7"/>
  <c r="U278" i="7"/>
  <c r="U279" i="7"/>
  <c r="U280" i="7"/>
  <c r="U281" i="7"/>
  <c r="U282" i="7"/>
  <c r="U283" i="7"/>
  <c r="U284" i="7"/>
  <c r="U285" i="7"/>
  <c r="U286" i="7"/>
  <c r="U287" i="7"/>
  <c r="U288" i="7"/>
  <c r="U289" i="7"/>
  <c r="U290" i="7"/>
  <c r="U291" i="7"/>
  <c r="U292" i="7"/>
  <c r="U293" i="7"/>
  <c r="U294" i="7"/>
  <c r="U295" i="7"/>
  <c r="U296" i="7"/>
  <c r="U297" i="7"/>
  <c r="U298" i="7"/>
  <c r="U299" i="7"/>
  <c r="U300" i="7"/>
  <c r="U301" i="7"/>
  <c r="U302" i="7"/>
  <c r="U303" i="7"/>
  <c r="U304" i="7"/>
  <c r="U305" i="7"/>
  <c r="U306" i="7"/>
  <c r="U307" i="7"/>
  <c r="U308" i="7"/>
  <c r="U309" i="7"/>
  <c r="U310" i="7"/>
  <c r="U311" i="7"/>
  <c r="U312" i="7"/>
  <c r="U313" i="7"/>
  <c r="U314" i="7"/>
  <c r="U315" i="7"/>
  <c r="U316" i="7"/>
  <c r="U317" i="7"/>
  <c r="U318" i="7"/>
  <c r="U319" i="7"/>
  <c r="U320" i="7"/>
  <c r="U321" i="7"/>
  <c r="U322" i="7"/>
  <c r="U323" i="7"/>
  <c r="U324" i="7"/>
  <c r="U325" i="7"/>
  <c r="U326" i="7"/>
  <c r="U327" i="7"/>
  <c r="U328" i="7"/>
  <c r="U329" i="7"/>
  <c r="U330" i="7"/>
  <c r="U331" i="7"/>
  <c r="U332" i="7"/>
  <c r="U333" i="7"/>
  <c r="U334" i="7"/>
  <c r="U335" i="7"/>
  <c r="U336" i="7"/>
  <c r="U337" i="7"/>
  <c r="U338" i="7"/>
  <c r="U339" i="7"/>
  <c r="U340" i="7"/>
  <c r="U341" i="7"/>
  <c r="U342" i="7"/>
  <c r="U343" i="7"/>
  <c r="U344" i="7"/>
  <c r="U345" i="7"/>
  <c r="U346" i="7"/>
  <c r="U347" i="7"/>
  <c r="U348" i="7"/>
  <c r="U349" i="7"/>
  <c r="U350" i="7"/>
  <c r="U351" i="7"/>
  <c r="U352" i="7"/>
  <c r="U353" i="7"/>
  <c r="U354" i="7"/>
  <c r="U355" i="7"/>
  <c r="U356" i="7"/>
  <c r="U357" i="7"/>
  <c r="U358" i="7"/>
  <c r="U359" i="7"/>
  <c r="U360" i="7"/>
  <c r="U361" i="7"/>
  <c r="U362" i="7"/>
  <c r="U363" i="7"/>
  <c r="U364" i="7"/>
  <c r="U365" i="7"/>
  <c r="T36" i="7"/>
  <c r="T37" i="7"/>
  <c r="H3" i="11" s="1"/>
  <c r="T38" i="7"/>
  <c r="T39" i="7"/>
  <c r="T40" i="7"/>
  <c r="H4" i="11" s="1"/>
  <c r="T41" i="7"/>
  <c r="T42" i="7"/>
  <c r="T43" i="7"/>
  <c r="T44" i="7"/>
  <c r="T45" i="7"/>
  <c r="T46" i="7"/>
  <c r="T47" i="7"/>
  <c r="T48" i="7"/>
  <c r="T49" i="7"/>
  <c r="T50" i="7"/>
  <c r="T55" i="7"/>
  <c r="T56" i="7"/>
  <c r="T57" i="7"/>
  <c r="T58" i="7"/>
  <c r="T59" i="7"/>
  <c r="T60" i="7"/>
  <c r="T61" i="7"/>
  <c r="H13" i="11" s="1"/>
  <c r="T62" i="7"/>
  <c r="T63" i="7"/>
  <c r="T64" i="7"/>
  <c r="T65" i="7"/>
  <c r="T66" i="7"/>
  <c r="H15" i="11" s="1"/>
  <c r="T67" i="7"/>
  <c r="T68" i="7"/>
  <c r="T69" i="7"/>
  <c r="T70" i="7"/>
  <c r="T71" i="7"/>
  <c r="T72" i="7"/>
  <c r="T73" i="7"/>
  <c r="T74" i="7"/>
  <c r="T75" i="7"/>
  <c r="T76" i="7"/>
  <c r="H17" i="11" s="1"/>
  <c r="T77" i="7"/>
  <c r="T78" i="7"/>
  <c r="T79" i="7"/>
  <c r="T80" i="7"/>
  <c r="T81" i="7"/>
  <c r="T82" i="7"/>
  <c r="T83" i="7"/>
  <c r="H23" i="11" s="1"/>
  <c r="T84" i="7"/>
  <c r="T85" i="7"/>
  <c r="T86" i="7"/>
  <c r="T87" i="7"/>
  <c r="H28" i="11" s="1"/>
  <c r="T88" i="7"/>
  <c r="T89" i="7"/>
  <c r="T90" i="7"/>
  <c r="H27" i="11" s="1"/>
  <c r="T91" i="7"/>
  <c r="T92" i="7"/>
  <c r="T93" i="7"/>
  <c r="T94" i="7"/>
  <c r="T95" i="7"/>
  <c r="T96" i="7"/>
  <c r="T97" i="7"/>
  <c r="T98" i="7"/>
  <c r="T99" i="7"/>
  <c r="T100" i="7"/>
  <c r="T101" i="7"/>
  <c r="T102" i="7"/>
  <c r="T103" i="7"/>
  <c r="T104" i="7"/>
  <c r="T105" i="7"/>
  <c r="T106" i="7"/>
  <c r="T107" i="7"/>
  <c r="T108" i="7"/>
  <c r="H36" i="11" s="1"/>
  <c r="T109" i="7"/>
  <c r="T110" i="7"/>
  <c r="T111" i="7"/>
  <c r="T112" i="7"/>
  <c r="T113" i="7"/>
  <c r="H40" i="11" s="1"/>
  <c r="T114" i="7"/>
  <c r="T115" i="7"/>
  <c r="T116" i="7"/>
  <c r="T117" i="7"/>
  <c r="T118" i="7"/>
  <c r="T119" i="7"/>
  <c r="T120" i="7"/>
  <c r="T121" i="7"/>
  <c r="T122" i="7"/>
  <c r="T123" i="7"/>
  <c r="T124" i="7"/>
  <c r="T125" i="7"/>
  <c r="H47" i="11" s="1"/>
  <c r="T126" i="7"/>
  <c r="T127" i="7"/>
  <c r="T128" i="7"/>
  <c r="T129" i="7"/>
  <c r="T130" i="7"/>
  <c r="T131" i="7"/>
  <c r="T132" i="7"/>
  <c r="T133" i="7"/>
  <c r="T134" i="7"/>
  <c r="T135" i="7"/>
  <c r="T136" i="7"/>
  <c r="T137" i="7"/>
  <c r="T138" i="7"/>
  <c r="T139" i="7"/>
  <c r="T140" i="7"/>
  <c r="T141" i="7"/>
  <c r="T142" i="7"/>
  <c r="T143" i="7"/>
  <c r="T144" i="7"/>
  <c r="T145" i="7"/>
  <c r="T146" i="7"/>
  <c r="T147" i="7"/>
  <c r="T148" i="7"/>
  <c r="T149" i="7"/>
  <c r="T150" i="7"/>
  <c r="T151" i="7"/>
  <c r="T152" i="7"/>
  <c r="T153" i="7"/>
  <c r="T154" i="7"/>
  <c r="T155" i="7"/>
  <c r="T156" i="7"/>
  <c r="T157" i="7"/>
  <c r="T158" i="7"/>
  <c r="T159" i="7"/>
  <c r="T160" i="7"/>
  <c r="T161" i="7"/>
  <c r="T162" i="7"/>
  <c r="T163" i="7"/>
  <c r="T164" i="7"/>
  <c r="T165" i="7"/>
  <c r="T166" i="7"/>
  <c r="T167" i="7"/>
  <c r="T168" i="7"/>
  <c r="T169" i="7"/>
  <c r="T170" i="7"/>
  <c r="T171" i="7"/>
  <c r="T172" i="7"/>
  <c r="T173" i="7"/>
  <c r="T174" i="7"/>
  <c r="T175" i="7"/>
  <c r="H10" i="11" s="1"/>
  <c r="T176" i="7"/>
  <c r="T177" i="7"/>
  <c r="T179" i="7"/>
  <c r="T180" i="7"/>
  <c r="T181" i="7"/>
  <c r="T182" i="7"/>
  <c r="T183" i="7"/>
  <c r="T184" i="7"/>
  <c r="T185" i="7"/>
  <c r="T186" i="7"/>
  <c r="T187" i="7"/>
  <c r="T188" i="7"/>
  <c r="T189" i="7"/>
  <c r="T190" i="7"/>
  <c r="T191" i="7"/>
  <c r="T192" i="7"/>
  <c r="T193" i="7"/>
  <c r="T194" i="7"/>
  <c r="T195" i="7"/>
  <c r="T196" i="7"/>
  <c r="T197" i="7"/>
  <c r="T198" i="7"/>
  <c r="T199" i="7"/>
  <c r="T200" i="7"/>
  <c r="T201" i="7"/>
  <c r="H22" i="11" s="1"/>
  <c r="T202" i="7"/>
  <c r="T203" i="7"/>
  <c r="T204" i="7"/>
  <c r="T205" i="7"/>
  <c r="T206" i="7"/>
  <c r="T207" i="7"/>
  <c r="T208" i="7"/>
  <c r="T209" i="7"/>
  <c r="T210" i="7"/>
  <c r="T211" i="7"/>
  <c r="T212" i="7"/>
  <c r="T213" i="7"/>
  <c r="T214" i="7"/>
  <c r="T215" i="7"/>
  <c r="T216" i="7"/>
  <c r="T217" i="7"/>
  <c r="T218" i="7"/>
  <c r="T219" i="7"/>
  <c r="T220" i="7"/>
  <c r="T221" i="7"/>
  <c r="T222" i="7"/>
  <c r="T223" i="7"/>
  <c r="T224" i="7"/>
  <c r="T225" i="7"/>
  <c r="T226" i="7"/>
  <c r="T227" i="7"/>
  <c r="T228" i="7"/>
  <c r="T229" i="7"/>
  <c r="T230" i="7"/>
  <c r="T231" i="7"/>
  <c r="T232" i="7"/>
  <c r="T233" i="7"/>
  <c r="T234" i="7"/>
  <c r="T235" i="7"/>
  <c r="T236" i="7"/>
  <c r="T237" i="7"/>
  <c r="T238" i="7"/>
  <c r="T239" i="7"/>
  <c r="T240" i="7"/>
  <c r="T241" i="7"/>
  <c r="T242" i="7"/>
  <c r="T243" i="7"/>
  <c r="T244" i="7"/>
  <c r="T245" i="7"/>
  <c r="T246" i="7"/>
  <c r="T247" i="7"/>
  <c r="T248" i="7"/>
  <c r="T249" i="7"/>
  <c r="T250" i="7"/>
  <c r="T251" i="7"/>
  <c r="T252" i="7"/>
  <c r="T253" i="7"/>
  <c r="T254" i="7"/>
  <c r="T255" i="7"/>
  <c r="T256" i="7"/>
  <c r="T257" i="7"/>
  <c r="T258" i="7"/>
  <c r="T259" i="7"/>
  <c r="T260" i="7"/>
  <c r="T261" i="7"/>
  <c r="T262" i="7"/>
  <c r="T263" i="7"/>
  <c r="T264" i="7"/>
  <c r="T265" i="7"/>
  <c r="T266" i="7"/>
  <c r="T267" i="7"/>
  <c r="T268" i="7"/>
  <c r="T269" i="7"/>
  <c r="T270" i="7"/>
  <c r="T271" i="7"/>
  <c r="T272" i="7"/>
  <c r="T273" i="7"/>
  <c r="T274" i="7"/>
  <c r="T275" i="7"/>
  <c r="T276" i="7"/>
  <c r="T277" i="7"/>
  <c r="T278" i="7"/>
  <c r="T279" i="7"/>
  <c r="T280" i="7"/>
  <c r="T281" i="7"/>
  <c r="T282" i="7"/>
  <c r="T283" i="7"/>
  <c r="T284" i="7"/>
  <c r="T285" i="7"/>
  <c r="T286" i="7"/>
  <c r="T287" i="7"/>
  <c r="T288" i="7"/>
  <c r="T289" i="7"/>
  <c r="T290" i="7"/>
  <c r="T291" i="7"/>
  <c r="T292" i="7"/>
  <c r="T293" i="7"/>
  <c r="T294" i="7"/>
  <c r="T295" i="7"/>
  <c r="T296" i="7"/>
  <c r="T297" i="7"/>
  <c r="T298" i="7"/>
  <c r="T299" i="7"/>
  <c r="T300" i="7"/>
  <c r="T301" i="7"/>
  <c r="T302" i="7"/>
  <c r="T303" i="7"/>
  <c r="T304" i="7"/>
  <c r="T305" i="7"/>
  <c r="T306" i="7"/>
  <c r="T307" i="7"/>
  <c r="T308" i="7"/>
  <c r="T309" i="7"/>
  <c r="T310" i="7"/>
  <c r="T311" i="7"/>
  <c r="T312" i="7"/>
  <c r="T313" i="7"/>
  <c r="T314" i="7"/>
  <c r="T315" i="7"/>
  <c r="T316" i="7"/>
  <c r="T317" i="7"/>
  <c r="T318" i="7"/>
  <c r="T319" i="7"/>
  <c r="T320" i="7"/>
  <c r="T321" i="7"/>
  <c r="T322" i="7"/>
  <c r="T323" i="7"/>
  <c r="T324" i="7"/>
  <c r="T325" i="7"/>
  <c r="T326" i="7"/>
  <c r="T327" i="7"/>
  <c r="T328" i="7"/>
  <c r="T329" i="7"/>
  <c r="T330" i="7"/>
  <c r="T331" i="7"/>
  <c r="T332" i="7"/>
  <c r="T333" i="7"/>
  <c r="T334" i="7"/>
  <c r="T335" i="7"/>
  <c r="T336" i="7"/>
  <c r="T337" i="7"/>
  <c r="T338" i="7"/>
  <c r="T339" i="7"/>
  <c r="T340" i="7"/>
  <c r="T341" i="7"/>
  <c r="T342" i="7"/>
  <c r="T343" i="7"/>
  <c r="T344" i="7"/>
  <c r="T345" i="7"/>
  <c r="T346" i="7"/>
  <c r="T347" i="7"/>
  <c r="T348" i="7"/>
  <c r="T349" i="7"/>
  <c r="T350" i="7"/>
  <c r="T351" i="7"/>
  <c r="T352" i="7"/>
  <c r="T353" i="7"/>
  <c r="T354" i="7"/>
  <c r="T355" i="7"/>
  <c r="T356" i="7"/>
  <c r="T357" i="7"/>
  <c r="T358" i="7"/>
  <c r="T359" i="7"/>
  <c r="T360" i="7"/>
  <c r="T361" i="7"/>
  <c r="T362" i="7"/>
  <c r="T363" i="7"/>
  <c r="T364" i="7"/>
  <c r="T365" i="7"/>
  <c r="T35" i="7"/>
  <c r="H26" i="11" l="1"/>
  <c r="H16" i="11"/>
  <c r="H46" i="11"/>
  <c r="H44" i="11"/>
  <c r="H41" i="11"/>
  <c r="H32" i="11"/>
  <c r="H24" i="11"/>
  <c r="H21" i="11"/>
  <c r="H18" i="11"/>
  <c r="H14" i="11"/>
  <c r="H12" i="11"/>
  <c r="H8" i="11"/>
  <c r="H5" i="11"/>
  <c r="K38" i="11"/>
  <c r="K35" i="11"/>
  <c r="K43" i="11"/>
  <c r="K33" i="11"/>
  <c r="K9" i="11"/>
  <c r="K48" i="11"/>
  <c r="K42" i="11"/>
  <c r="K39" i="11"/>
  <c r="K34" i="11"/>
  <c r="K7" i="11"/>
  <c r="K6" i="11"/>
  <c r="N38" i="11"/>
  <c r="N35" i="11"/>
  <c r="N43" i="11"/>
  <c r="N33" i="11"/>
  <c r="N9" i="11"/>
  <c r="N48" i="11"/>
  <c r="N42" i="11"/>
  <c r="N39" i="11"/>
  <c r="N34" i="11"/>
  <c r="N7" i="11"/>
  <c r="N6" i="11"/>
  <c r="H29" i="11"/>
  <c r="H2" i="11"/>
  <c r="H38" i="11"/>
  <c r="H35" i="11"/>
  <c r="H43" i="11"/>
  <c r="H33" i="11"/>
  <c r="H9" i="11"/>
  <c r="H48" i="11"/>
  <c r="H42" i="11"/>
  <c r="H39" i="11"/>
  <c r="H34" i="11"/>
  <c r="H7" i="11"/>
  <c r="H6" i="11"/>
  <c r="K29" i="11"/>
  <c r="K26" i="11"/>
  <c r="K16" i="11"/>
  <c r="K46" i="11"/>
  <c r="K44" i="11"/>
  <c r="K41" i="11"/>
  <c r="K32" i="11"/>
  <c r="K24" i="11"/>
  <c r="K21" i="11"/>
  <c r="K18" i="11"/>
  <c r="K14" i="11"/>
  <c r="K12" i="11"/>
  <c r="K8" i="11"/>
  <c r="K5" i="11"/>
  <c r="N29" i="11"/>
  <c r="N26" i="11"/>
  <c r="N16" i="11"/>
  <c r="N46" i="11"/>
  <c r="N44" i="11"/>
  <c r="N41" i="11"/>
  <c r="N32" i="11"/>
  <c r="N24" i="11"/>
  <c r="N21" i="11"/>
  <c r="N18" i="11"/>
  <c r="N14" i="11"/>
  <c r="N12" i="11"/>
  <c r="N8" i="11"/>
  <c r="N5" i="11"/>
  <c r="R54" i="7"/>
  <c r="R52" i="7"/>
  <c r="M52" i="7"/>
  <c r="L52" i="7"/>
  <c r="R178" i="7"/>
  <c r="M178" i="7"/>
  <c r="L178" i="7"/>
  <c r="R53" i="7"/>
  <c r="L53" i="7"/>
  <c r="X51" i="7"/>
  <c r="M51" i="7"/>
  <c r="L51" i="7"/>
  <c r="X53" i="7"/>
  <c r="C689" i="6"/>
  <c r="C504" i="6"/>
  <c r="C573" i="6"/>
  <c r="C399" i="6"/>
  <c r="C435" i="6"/>
  <c r="C724" i="6"/>
  <c r="C643" i="6"/>
  <c r="C740" i="6"/>
  <c r="C706" i="6"/>
  <c r="C672" i="6"/>
  <c r="C607" i="6"/>
  <c r="C539" i="6"/>
  <c r="C249" i="6"/>
  <c r="C317" i="6"/>
  <c r="C749" i="6"/>
  <c r="C732" i="6"/>
  <c r="C715" i="6"/>
  <c r="C698" i="6"/>
  <c r="C681" i="6"/>
  <c r="C660" i="6"/>
  <c r="C625" i="6"/>
  <c r="C591" i="6"/>
  <c r="C556" i="6"/>
  <c r="C522" i="6"/>
  <c r="C470" i="6"/>
  <c r="C753" i="6"/>
  <c r="C745" i="6"/>
  <c r="C736" i="6"/>
  <c r="C728" i="6"/>
  <c r="C719" i="6"/>
  <c r="C710" i="6"/>
  <c r="C702" i="6"/>
  <c r="C693" i="6"/>
  <c r="C685" i="6"/>
  <c r="C676" i="6"/>
  <c r="C668" i="6"/>
  <c r="C651" i="6"/>
  <c r="C634" i="6"/>
  <c r="C616" i="6"/>
  <c r="C599" i="6"/>
  <c r="C582" i="6"/>
  <c r="C565" i="6"/>
  <c r="C548" i="6"/>
  <c r="C530" i="6"/>
  <c r="C514" i="6"/>
  <c r="C487" i="6"/>
  <c r="C453" i="6"/>
  <c r="C418" i="6"/>
  <c r="C152" i="6"/>
  <c r="C189" i="6"/>
  <c r="C751" i="6"/>
  <c r="C747" i="6"/>
  <c r="C743" i="6"/>
  <c r="C738" i="6"/>
  <c r="C734" i="6"/>
  <c r="C730" i="6"/>
  <c r="C726" i="6"/>
  <c r="C721" i="6"/>
  <c r="C717" i="6"/>
  <c r="C713" i="6"/>
  <c r="C708" i="6"/>
  <c r="C704" i="6"/>
  <c r="C700" i="6"/>
  <c r="C696" i="6"/>
  <c r="C691" i="6"/>
  <c r="C687" i="6"/>
  <c r="C683" i="6"/>
  <c r="C679" i="6"/>
  <c r="C674" i="6"/>
  <c r="C670" i="6"/>
  <c r="C664" i="6"/>
  <c r="C655" i="6"/>
  <c r="C647" i="6"/>
  <c r="C638" i="6"/>
  <c r="C630" i="6"/>
  <c r="C621" i="6"/>
  <c r="C612" i="6"/>
  <c r="C603" i="6"/>
  <c r="C595" i="6"/>
  <c r="C586" i="6"/>
  <c r="C578" i="6"/>
  <c r="C569" i="6"/>
  <c r="C561" i="6"/>
  <c r="C552" i="6"/>
  <c r="C543" i="6"/>
  <c r="C534" i="6"/>
  <c r="C526" i="6"/>
  <c r="C518" i="6"/>
  <c r="C509" i="6"/>
  <c r="C496" i="6"/>
  <c r="C479" i="6"/>
  <c r="C461" i="6"/>
  <c r="C444" i="6"/>
  <c r="C426" i="6"/>
  <c r="C410" i="6"/>
  <c r="C385" i="6"/>
  <c r="C752" i="6"/>
  <c r="C750" i="6"/>
  <c r="C748" i="6"/>
  <c r="C746" i="6"/>
  <c r="C744" i="6"/>
  <c r="C742" i="6"/>
  <c r="C739" i="6"/>
  <c r="C737" i="6"/>
  <c r="C735" i="6"/>
  <c r="C733" i="6"/>
  <c r="C731" i="6"/>
  <c r="C729" i="6"/>
  <c r="C727" i="6"/>
  <c r="C725" i="6"/>
  <c r="C723" i="6"/>
  <c r="C720" i="6"/>
  <c r="C718" i="6"/>
  <c r="C716" i="6"/>
  <c r="C714" i="6"/>
  <c r="C712" i="6"/>
  <c r="C709" i="6"/>
  <c r="C707" i="6"/>
  <c r="C705" i="6"/>
  <c r="C703" i="6"/>
  <c r="C701" i="6"/>
  <c r="C699" i="6"/>
  <c r="C697" i="6"/>
  <c r="C695" i="6"/>
  <c r="C692" i="6"/>
  <c r="C690" i="6"/>
  <c r="C688" i="6"/>
  <c r="C686" i="6"/>
  <c r="C684" i="6"/>
  <c r="C682" i="6"/>
  <c r="C680" i="6"/>
  <c r="C678" i="6"/>
  <c r="C675" i="6"/>
  <c r="C673" i="6"/>
  <c r="C671" i="6"/>
  <c r="C669" i="6"/>
  <c r="C666" i="6"/>
  <c r="C662" i="6"/>
  <c r="C657" i="6"/>
  <c r="C653" i="6"/>
  <c r="C649" i="6"/>
  <c r="C645" i="6"/>
  <c r="C640" i="6"/>
  <c r="C636" i="6"/>
  <c r="C632" i="6"/>
  <c r="C628" i="6"/>
  <c r="C623" i="6"/>
  <c r="C619" i="6"/>
  <c r="C614" i="6"/>
  <c r="C610" i="6"/>
  <c r="C605" i="6"/>
  <c r="C601" i="6"/>
  <c r="C597" i="6"/>
  <c r="C593" i="6"/>
  <c r="C588" i="6"/>
  <c r="C584" i="6"/>
  <c r="C580" i="6"/>
  <c r="C575" i="6"/>
  <c r="C571" i="6"/>
  <c r="C567" i="6"/>
  <c r="C563" i="6"/>
  <c r="C558" i="6"/>
  <c r="C554" i="6"/>
  <c r="C550" i="6"/>
  <c r="C545" i="6"/>
  <c r="C541" i="6"/>
  <c r="C537" i="6"/>
  <c r="C532" i="6"/>
  <c r="C528" i="6"/>
  <c r="C524" i="6"/>
  <c r="C520" i="6"/>
  <c r="C516" i="6"/>
  <c r="C511" i="6"/>
  <c r="C507" i="6"/>
  <c r="C500" i="6"/>
  <c r="C492" i="6"/>
  <c r="C483" i="6"/>
  <c r="C474" i="6"/>
  <c r="C466" i="6"/>
  <c r="C457" i="6"/>
  <c r="C448" i="6"/>
  <c r="C439" i="6"/>
  <c r="C431" i="6"/>
  <c r="C422" i="6"/>
  <c r="C414" i="6"/>
  <c r="C403" i="6"/>
  <c r="C395" i="6"/>
  <c r="C352" i="6"/>
  <c r="C283" i="6"/>
  <c r="C100" i="6"/>
  <c r="C117" i="6"/>
  <c r="C369" i="6"/>
  <c r="C334" i="6"/>
  <c r="C300" i="6"/>
  <c r="C266" i="6"/>
  <c r="C223" i="6"/>
  <c r="C391" i="6"/>
  <c r="C377" i="6"/>
  <c r="C360" i="6"/>
  <c r="C343" i="6"/>
  <c r="C326" i="6"/>
  <c r="C309" i="6"/>
  <c r="C291" i="6"/>
  <c r="C274" i="6"/>
  <c r="C257" i="6"/>
  <c r="C240" i="6"/>
  <c r="C206" i="6"/>
  <c r="C172" i="6"/>
  <c r="C72" i="6"/>
  <c r="C92" i="6"/>
  <c r="C667" i="6"/>
  <c r="C665" i="6"/>
  <c r="C663" i="6"/>
  <c r="C661" i="6"/>
  <c r="C659" i="6"/>
  <c r="C656" i="6"/>
  <c r="C654" i="6"/>
  <c r="C652" i="6"/>
  <c r="C650" i="6"/>
  <c r="C648" i="6"/>
  <c r="C646" i="6"/>
  <c r="C644" i="6"/>
  <c r="C642" i="6"/>
  <c r="C639" i="6"/>
  <c r="C637" i="6"/>
  <c r="C635" i="6"/>
  <c r="C633" i="6"/>
  <c r="C631" i="6"/>
  <c r="C629" i="6"/>
  <c r="C627" i="6"/>
  <c r="C624" i="6"/>
  <c r="C622" i="6"/>
  <c r="C620" i="6"/>
  <c r="C618" i="6"/>
  <c r="C615" i="6"/>
  <c r="C613" i="6"/>
  <c r="C611" i="6"/>
  <c r="C609" i="6"/>
  <c r="C606" i="6"/>
  <c r="C604" i="6"/>
  <c r="C602" i="6"/>
  <c r="C600" i="6"/>
  <c r="C598" i="6"/>
  <c r="C596" i="6"/>
  <c r="C594" i="6"/>
  <c r="C592" i="6"/>
  <c r="C590" i="6"/>
  <c r="C587" i="6"/>
  <c r="C585" i="6"/>
  <c r="C583" i="6"/>
  <c r="C581" i="6"/>
  <c r="C579" i="6"/>
  <c r="C577" i="6"/>
  <c r="C574" i="6"/>
  <c r="C572" i="6"/>
  <c r="C570" i="6"/>
  <c r="C568" i="6"/>
  <c r="C566" i="6"/>
  <c r="C564" i="6"/>
  <c r="C562" i="6"/>
  <c r="C560" i="6"/>
  <c r="C557" i="6"/>
  <c r="C555" i="6"/>
  <c r="C553" i="6"/>
  <c r="C551" i="6"/>
  <c r="C549" i="6"/>
  <c r="C547" i="6"/>
  <c r="C544" i="6"/>
  <c r="C542" i="6"/>
  <c r="C540" i="6"/>
  <c r="C538" i="6"/>
  <c r="C536" i="6"/>
  <c r="C533" i="6"/>
  <c r="C531" i="6"/>
  <c r="C529" i="6"/>
  <c r="C527" i="6"/>
  <c r="C525" i="6"/>
  <c r="C523" i="6"/>
  <c r="C521" i="6"/>
  <c r="C519" i="6"/>
  <c r="C517" i="6"/>
  <c r="C515" i="6"/>
  <c r="C513" i="6"/>
  <c r="C510" i="6"/>
  <c r="C508" i="6"/>
  <c r="C506" i="6"/>
  <c r="C502" i="6"/>
  <c r="C498" i="6"/>
  <c r="C494" i="6"/>
  <c r="C489" i="6"/>
  <c r="C485" i="6"/>
  <c r="C481" i="6"/>
  <c r="C476" i="6"/>
  <c r="C472" i="6"/>
  <c r="C468" i="6"/>
  <c r="C464" i="6"/>
  <c r="C459" i="6"/>
  <c r="C455" i="6"/>
  <c r="C450" i="6"/>
  <c r="C446" i="6"/>
  <c r="C442" i="6"/>
  <c r="C437" i="6"/>
  <c r="C433" i="6"/>
  <c r="C429" i="6"/>
  <c r="C424" i="6"/>
  <c r="C420" i="6"/>
  <c r="C416" i="6"/>
  <c r="C412" i="6"/>
  <c r="C405" i="6"/>
  <c r="C401" i="6"/>
  <c r="C397" i="6"/>
  <c r="C393" i="6"/>
  <c r="C389" i="6"/>
  <c r="C381" i="6"/>
  <c r="C373" i="6"/>
  <c r="C364" i="6"/>
  <c r="C356" i="6"/>
  <c r="C347" i="6"/>
  <c r="C339" i="6"/>
  <c r="C330" i="6"/>
  <c r="C321" i="6"/>
  <c r="C313" i="6"/>
  <c r="C304" i="6"/>
  <c r="C296" i="6"/>
  <c r="C287" i="6"/>
  <c r="C279" i="6"/>
  <c r="C270" i="6"/>
  <c r="C261" i="6"/>
  <c r="C253" i="6"/>
  <c r="C245" i="6"/>
  <c r="C232" i="6"/>
  <c r="C215" i="6"/>
  <c r="C198" i="6"/>
  <c r="C181" i="6"/>
  <c r="C164" i="6"/>
  <c r="C134" i="6"/>
  <c r="C505" i="6"/>
  <c r="C503" i="6"/>
  <c r="C501" i="6"/>
  <c r="C499" i="6"/>
  <c r="C497" i="6"/>
  <c r="C495" i="6"/>
  <c r="C493" i="6"/>
  <c r="C490" i="6"/>
  <c r="C488" i="6"/>
  <c r="C486" i="6"/>
  <c r="C484" i="6"/>
  <c r="C482" i="6"/>
  <c r="C480" i="6"/>
  <c r="C477" i="6"/>
  <c r="C475" i="6"/>
  <c r="C473" i="6"/>
  <c r="C471" i="6"/>
  <c r="C469" i="6"/>
  <c r="C467" i="6"/>
  <c r="C465" i="6"/>
  <c r="C462" i="6"/>
  <c r="C460" i="6"/>
  <c r="C458" i="6"/>
  <c r="C456" i="6"/>
  <c r="C454" i="6"/>
  <c r="C451" i="6"/>
  <c r="C449" i="6"/>
  <c r="C447" i="6"/>
  <c r="C445" i="6"/>
  <c r="C443" i="6"/>
  <c r="C440" i="6"/>
  <c r="C438" i="6"/>
  <c r="C436" i="6"/>
  <c r="C434" i="6"/>
  <c r="C432" i="6"/>
  <c r="C430" i="6"/>
  <c r="C427" i="6"/>
  <c r="C425" i="6"/>
  <c r="C423" i="6"/>
  <c r="C421" i="6"/>
  <c r="C419" i="6"/>
  <c r="C417" i="6"/>
  <c r="C415" i="6"/>
  <c r="C413" i="6"/>
  <c r="C411" i="6"/>
  <c r="C406" i="6"/>
  <c r="C404" i="6"/>
  <c r="C402" i="6"/>
  <c r="C400" i="6"/>
  <c r="C398" i="6"/>
  <c r="C396" i="6"/>
  <c r="C394" i="6"/>
  <c r="C392" i="6"/>
  <c r="C390" i="6"/>
  <c r="C388" i="6"/>
  <c r="C383" i="6"/>
  <c r="C379" i="6"/>
  <c r="C375" i="6"/>
  <c r="C371" i="6"/>
  <c r="C367" i="6"/>
  <c r="C362" i="6"/>
  <c r="C358" i="6"/>
  <c r="C354" i="6"/>
  <c r="C350" i="6"/>
  <c r="C345" i="6"/>
  <c r="C341" i="6"/>
  <c r="C337" i="6"/>
  <c r="C332" i="6"/>
  <c r="C328" i="6"/>
  <c r="C323" i="6"/>
  <c r="C319" i="6"/>
  <c r="C315" i="6"/>
  <c r="C311" i="6"/>
  <c r="C306" i="6"/>
  <c r="C302" i="6"/>
  <c r="C298" i="6"/>
  <c r="C293" i="6"/>
  <c r="C289" i="6"/>
  <c r="C285" i="6"/>
  <c r="C281" i="6"/>
  <c r="C276" i="6"/>
  <c r="C272" i="6"/>
  <c r="C268" i="6"/>
  <c r="C264" i="6"/>
  <c r="C259" i="6"/>
  <c r="C255" i="6"/>
  <c r="C251" i="6"/>
  <c r="C247" i="6"/>
  <c r="C242" i="6"/>
  <c r="C236" i="6"/>
  <c r="C228" i="6"/>
  <c r="C219" i="6"/>
  <c r="C210" i="6"/>
  <c r="C202" i="6"/>
  <c r="C194" i="6"/>
  <c r="C185" i="6"/>
  <c r="C177" i="6"/>
  <c r="C168" i="6"/>
  <c r="C159" i="6"/>
  <c r="C143" i="6"/>
  <c r="C125" i="6"/>
  <c r="C109" i="6"/>
  <c r="C238" i="6"/>
  <c r="C234" i="6"/>
  <c r="C230" i="6"/>
  <c r="C225" i="6"/>
  <c r="C221" i="6"/>
  <c r="C217" i="6"/>
  <c r="C213" i="6"/>
  <c r="C208" i="6"/>
  <c r="C204" i="6"/>
  <c r="C200" i="6"/>
  <c r="C196" i="6"/>
  <c r="C191" i="6"/>
  <c r="C187" i="6"/>
  <c r="C183" i="6"/>
  <c r="C179" i="6"/>
  <c r="C174" i="6"/>
  <c r="C170" i="6"/>
  <c r="C166" i="6"/>
  <c r="C161" i="6"/>
  <c r="C156" i="6"/>
  <c r="C147" i="6"/>
  <c r="C139" i="6"/>
  <c r="C130" i="6"/>
  <c r="C121" i="6"/>
  <c r="C113" i="6"/>
  <c r="C105" i="6"/>
  <c r="C96" i="6"/>
  <c r="C84" i="6"/>
  <c r="C88" i="6"/>
  <c r="C42" i="6"/>
  <c r="C386" i="6"/>
  <c r="C384" i="6"/>
  <c r="C382" i="6"/>
  <c r="C380" i="6"/>
  <c r="C378" i="6"/>
  <c r="C376" i="6"/>
  <c r="C374" i="6"/>
  <c r="C372" i="6"/>
  <c r="C370" i="6"/>
  <c r="C368" i="6"/>
  <c r="C365" i="6"/>
  <c r="C363" i="6"/>
  <c r="C361" i="6"/>
  <c r="C359" i="6"/>
  <c r="C357" i="6"/>
  <c r="C355" i="6"/>
  <c r="C353" i="6"/>
  <c r="C351" i="6"/>
  <c r="C348" i="6"/>
  <c r="C346" i="6"/>
  <c r="C344" i="6"/>
  <c r="C342" i="6"/>
  <c r="C340" i="6"/>
  <c r="C338" i="6"/>
  <c r="C335" i="6"/>
  <c r="C333" i="6"/>
  <c r="C331" i="6"/>
  <c r="C329" i="6"/>
  <c r="C327" i="6"/>
  <c r="C324" i="6"/>
  <c r="C322" i="6"/>
  <c r="C320" i="6"/>
  <c r="C318" i="6"/>
  <c r="C316" i="6"/>
  <c r="C314" i="6"/>
  <c r="C312" i="6"/>
  <c r="C310" i="6"/>
  <c r="C307" i="6"/>
  <c r="C305" i="6"/>
  <c r="C303" i="6"/>
  <c r="C301" i="6"/>
  <c r="C299" i="6"/>
  <c r="C297" i="6"/>
  <c r="C294" i="6"/>
  <c r="C292" i="6"/>
  <c r="C290" i="6"/>
  <c r="C288" i="6"/>
  <c r="C286" i="6"/>
  <c r="C284" i="6"/>
  <c r="C282" i="6"/>
  <c r="C280" i="6"/>
  <c r="C277" i="6"/>
  <c r="C275" i="6"/>
  <c r="C273" i="6"/>
  <c r="C271" i="6"/>
  <c r="C269" i="6"/>
  <c r="C267" i="6"/>
  <c r="C265" i="6"/>
  <c r="C262" i="6"/>
  <c r="C260" i="6"/>
  <c r="C258" i="6"/>
  <c r="C256" i="6"/>
  <c r="C254" i="6"/>
  <c r="C252" i="6"/>
  <c r="C250" i="6"/>
  <c r="C248" i="6"/>
  <c r="C246" i="6"/>
  <c r="C243" i="6"/>
  <c r="C241" i="6"/>
  <c r="C239" i="6"/>
  <c r="C237" i="6"/>
  <c r="C235" i="6"/>
  <c r="C233" i="6"/>
  <c r="C231" i="6"/>
  <c r="C229" i="6"/>
  <c r="C226" i="6"/>
  <c r="C224" i="6"/>
  <c r="C222" i="6"/>
  <c r="C220" i="6"/>
  <c r="C218" i="6"/>
  <c r="C216" i="6"/>
  <c r="C214" i="6"/>
  <c r="C211" i="6"/>
  <c r="C209" i="6"/>
  <c r="C207" i="6"/>
  <c r="C205" i="6"/>
  <c r="C203" i="6"/>
  <c r="C201" i="6"/>
  <c r="C199" i="6"/>
  <c r="C197" i="6"/>
  <c r="C195" i="6"/>
  <c r="C192" i="6"/>
  <c r="C190" i="6"/>
  <c r="C188" i="6"/>
  <c r="C186" i="6"/>
  <c r="C184" i="6"/>
  <c r="C182" i="6"/>
  <c r="C180" i="6"/>
  <c r="C178" i="6"/>
  <c r="C175" i="6"/>
  <c r="C173" i="6"/>
  <c r="C171" i="6"/>
  <c r="C169" i="6"/>
  <c r="C167" i="6"/>
  <c r="C165" i="6"/>
  <c r="C162" i="6"/>
  <c r="C160" i="6"/>
  <c r="C158" i="6"/>
  <c r="C154" i="6"/>
  <c r="C149" i="6"/>
  <c r="C145" i="6"/>
  <c r="C141" i="6"/>
  <c r="C136" i="6"/>
  <c r="C132" i="6"/>
  <c r="C128" i="6"/>
  <c r="C123" i="6"/>
  <c r="C119" i="6"/>
  <c r="C115" i="6"/>
  <c r="C111" i="6"/>
  <c r="C107" i="6"/>
  <c r="C103" i="6"/>
  <c r="C98" i="6"/>
  <c r="C94" i="6"/>
  <c r="C90" i="6"/>
  <c r="C86" i="6"/>
  <c r="C82" i="6"/>
  <c r="C76" i="6"/>
  <c r="C59" i="6"/>
  <c r="C26" i="6"/>
  <c r="C79" i="6"/>
  <c r="C157" i="6"/>
  <c r="C155" i="6"/>
  <c r="C151" i="6"/>
  <c r="C17" i="6"/>
  <c r="C153" i="6"/>
  <c r="C148" i="6"/>
  <c r="C146" i="6"/>
  <c r="C144" i="6"/>
  <c r="C142" i="6"/>
  <c r="C140" i="6"/>
  <c r="C138" i="6"/>
  <c r="C135" i="6"/>
  <c r="C133" i="6"/>
  <c r="C131" i="6"/>
  <c r="C129" i="6"/>
  <c r="C126" i="6"/>
  <c r="C124" i="6"/>
  <c r="C122" i="6"/>
  <c r="C120" i="6"/>
  <c r="C118" i="6"/>
  <c r="C116" i="6"/>
  <c r="C114" i="6"/>
  <c r="C112" i="6"/>
  <c r="C110" i="6"/>
  <c r="C108" i="6"/>
  <c r="C106" i="6"/>
  <c r="C104" i="6"/>
  <c r="C101" i="6"/>
  <c r="C99" i="6"/>
  <c r="C97" i="6"/>
  <c r="C95" i="6"/>
  <c r="C93" i="6"/>
  <c r="C91" i="6"/>
  <c r="C89" i="6"/>
  <c r="C87" i="6"/>
  <c r="C85" i="6"/>
  <c r="C83" i="6"/>
  <c r="C80" i="6"/>
  <c r="C78" i="6"/>
  <c r="C74" i="6"/>
  <c r="C68" i="6"/>
  <c r="C51" i="6"/>
  <c r="C34" i="6"/>
  <c r="C77" i="6"/>
  <c r="C11" i="6"/>
  <c r="C75" i="6"/>
  <c r="C73" i="6"/>
  <c r="C71" i="6"/>
  <c r="C64" i="6"/>
  <c r="C55" i="6"/>
  <c r="C47" i="6"/>
  <c r="C38" i="6"/>
  <c r="C30" i="6"/>
  <c r="C21" i="6"/>
  <c r="C70" i="6"/>
  <c r="C66" i="6"/>
  <c r="C61" i="6"/>
  <c r="C15" i="6"/>
  <c r="C57" i="6"/>
  <c r="C53" i="6"/>
  <c r="C49" i="6"/>
  <c r="C45" i="6"/>
  <c r="C40" i="6"/>
  <c r="C36" i="6"/>
  <c r="C32" i="6"/>
  <c r="C28" i="6"/>
  <c r="C24" i="6"/>
  <c r="C19" i="6"/>
  <c r="C69" i="6"/>
  <c r="C65" i="6"/>
  <c r="C63" i="6"/>
  <c r="C7" i="6"/>
  <c r="C67" i="6"/>
  <c r="C60" i="6"/>
  <c r="C58" i="6"/>
  <c r="C56" i="6"/>
  <c r="C54" i="6"/>
  <c r="C52" i="6"/>
  <c r="C50" i="6"/>
  <c r="C48" i="6"/>
  <c r="C46" i="6"/>
  <c r="C44" i="6"/>
  <c r="C41" i="6"/>
  <c r="C39" i="6"/>
  <c r="C37" i="6"/>
  <c r="C35" i="6"/>
  <c r="C33" i="6"/>
  <c r="C31" i="6"/>
  <c r="C29" i="6"/>
  <c r="C27" i="6"/>
  <c r="C25" i="6"/>
  <c r="C23" i="6"/>
  <c r="C20" i="6"/>
  <c r="C18" i="6"/>
  <c r="C16" i="6"/>
  <c r="C13" i="6"/>
  <c r="C9" i="6"/>
  <c r="C5" i="6"/>
  <c r="C3" i="6"/>
  <c r="C408" i="6"/>
  <c r="X54" i="7"/>
  <c r="X52" i="7"/>
  <c r="X178" i="7"/>
  <c r="C409" i="6"/>
  <c r="C14" i="6"/>
  <c r="C12" i="6"/>
  <c r="C10" i="6"/>
  <c r="C8" i="6"/>
  <c r="C6" i="6"/>
  <c r="C4" i="6"/>
  <c r="E19" i="11"/>
  <c r="E20" i="11"/>
  <c r="E25" i="11"/>
  <c r="E30" i="11"/>
  <c r="E31" i="11"/>
  <c r="E37" i="11"/>
  <c r="E45" i="11"/>
  <c r="D19" i="11"/>
  <c r="D20" i="11"/>
  <c r="D25" i="11"/>
  <c r="D30" i="11"/>
  <c r="D31" i="11"/>
  <c r="D37" i="11"/>
  <c r="D45" i="11"/>
  <c r="C3" i="11"/>
  <c r="C4" i="11"/>
  <c r="C5" i="11"/>
  <c r="C6" i="11"/>
  <c r="C7" i="11"/>
  <c r="C8" i="11"/>
  <c r="C9" i="11"/>
  <c r="C10" i="11"/>
  <c r="C11" i="11"/>
  <c r="C12" i="11"/>
  <c r="C13" i="11"/>
  <c r="C14" i="11"/>
  <c r="C15" i="11"/>
  <c r="C16" i="11"/>
  <c r="C17" i="11"/>
  <c r="C18" i="11"/>
  <c r="C19" i="11"/>
  <c r="C20" i="11"/>
  <c r="C21" i="11"/>
  <c r="C22" i="11"/>
  <c r="C23" i="11"/>
  <c r="C24" i="11"/>
  <c r="C25" i="11"/>
  <c r="C26" i="11"/>
  <c r="C27" i="11"/>
  <c r="C28" i="11"/>
  <c r="C29" i="11"/>
  <c r="C30" i="11"/>
  <c r="C31" i="11"/>
  <c r="C32" i="11"/>
  <c r="C33" i="11"/>
  <c r="C34" i="11"/>
  <c r="C35" i="11"/>
  <c r="C36" i="11"/>
  <c r="C37" i="11"/>
  <c r="C38" i="11"/>
  <c r="C39" i="11"/>
  <c r="C40" i="11"/>
  <c r="C41" i="11"/>
  <c r="C42" i="11"/>
  <c r="C43" i="11"/>
  <c r="C44" i="11"/>
  <c r="C45" i="11"/>
  <c r="C46" i="11"/>
  <c r="C47" i="11"/>
  <c r="C48" i="11"/>
  <c r="C2" i="11"/>
  <c r="O167" i="7"/>
  <c r="O168" i="7"/>
  <c r="O55" i="7"/>
  <c r="O193" i="7"/>
  <c r="O194" i="7"/>
  <c r="O212" i="7"/>
  <c r="O288" i="7"/>
  <c r="X288" i="7" s="1"/>
  <c r="O289" i="7"/>
  <c r="X289" i="7" s="1"/>
  <c r="O305" i="7"/>
  <c r="X305" i="7" s="1"/>
  <c r="O86" i="7"/>
  <c r="O56" i="7"/>
  <c r="O57" i="7"/>
  <c r="R167" i="7"/>
  <c r="R168" i="7"/>
  <c r="R55" i="7"/>
  <c r="R193" i="7"/>
  <c r="R194" i="7"/>
  <c r="R212" i="7"/>
  <c r="R288" i="7"/>
  <c r="R289" i="7"/>
  <c r="R305" i="7"/>
  <c r="R86" i="7"/>
  <c r="R56" i="7"/>
  <c r="R57" i="7"/>
  <c r="S167" i="7"/>
  <c r="AC167" i="7" s="1"/>
  <c r="S168" i="7"/>
  <c r="AC168" i="7" s="1"/>
  <c r="S55" i="7"/>
  <c r="S193" i="7"/>
  <c r="AC193" i="7" s="1"/>
  <c r="S194" i="7"/>
  <c r="AC194" i="7" s="1"/>
  <c r="S212" i="7"/>
  <c r="AC212" i="7" s="1"/>
  <c r="S288" i="7"/>
  <c r="AC288" i="7" s="1"/>
  <c r="S289" i="7"/>
  <c r="AC289" i="7" s="1"/>
  <c r="S305" i="7"/>
  <c r="AC305" i="7" s="1"/>
  <c r="S86" i="7"/>
  <c r="AC86" i="7" s="1"/>
  <c r="S56" i="7"/>
  <c r="AC56" i="7" s="1"/>
  <c r="S57" i="7"/>
  <c r="AC57" i="7" s="1"/>
  <c r="AC55" i="7"/>
  <c r="U45" i="11" l="1"/>
  <c r="J45" i="11"/>
  <c r="L45" i="11"/>
  <c r="P45" i="11"/>
  <c r="R45" i="11"/>
  <c r="I45" i="11"/>
  <c r="M45" i="11"/>
  <c r="O45" i="11"/>
  <c r="S45" i="11"/>
  <c r="U31" i="11"/>
  <c r="J31" i="11"/>
  <c r="L31" i="11"/>
  <c r="P31" i="11"/>
  <c r="R31" i="11"/>
  <c r="I31" i="11"/>
  <c r="M31" i="11"/>
  <c r="O31" i="11"/>
  <c r="S31" i="11"/>
  <c r="U25" i="11"/>
  <c r="J25" i="11"/>
  <c r="L25" i="11"/>
  <c r="P25" i="11"/>
  <c r="R25" i="11"/>
  <c r="I25" i="11"/>
  <c r="M25" i="11"/>
  <c r="O25" i="11"/>
  <c r="S25" i="11"/>
  <c r="U19" i="11"/>
  <c r="J19" i="11"/>
  <c r="L19" i="11"/>
  <c r="P19" i="11"/>
  <c r="R19" i="11"/>
  <c r="I19" i="11"/>
  <c r="M19" i="11"/>
  <c r="O19" i="11"/>
  <c r="S19" i="11"/>
  <c r="U37" i="11"/>
  <c r="J37" i="11"/>
  <c r="L37" i="11"/>
  <c r="P37" i="11"/>
  <c r="R37" i="11"/>
  <c r="I37" i="11"/>
  <c r="M37" i="11"/>
  <c r="O37" i="11"/>
  <c r="S37" i="11"/>
  <c r="U30" i="11"/>
  <c r="J30" i="11"/>
  <c r="L30" i="11"/>
  <c r="P30" i="11"/>
  <c r="R30" i="11"/>
  <c r="I30" i="11"/>
  <c r="M30" i="11"/>
  <c r="O30" i="11"/>
  <c r="S30" i="11"/>
  <c r="U20" i="11"/>
  <c r="J20" i="11"/>
  <c r="L20" i="11"/>
  <c r="P20" i="11"/>
  <c r="R20" i="11"/>
  <c r="I20" i="11"/>
  <c r="M20" i="11"/>
  <c r="O20" i="11"/>
  <c r="S20" i="11"/>
  <c r="X57" i="7"/>
  <c r="X56" i="7"/>
  <c r="L56" i="7"/>
  <c r="X86" i="7"/>
  <c r="X212" i="7"/>
  <c r="M212" i="7"/>
  <c r="L212" i="7"/>
  <c r="X194" i="7"/>
  <c r="X193" i="7"/>
  <c r="M193" i="7"/>
  <c r="L193" i="7"/>
  <c r="X55" i="7"/>
  <c r="X168" i="7"/>
  <c r="M167" i="7"/>
  <c r="X167" i="7"/>
  <c r="F45" i="11"/>
  <c r="F31" i="11"/>
  <c r="F25" i="11"/>
  <c r="F19" i="11"/>
  <c r="F37" i="11"/>
  <c r="F30" i="11"/>
  <c r="F20" i="11"/>
  <c r="O323" i="7"/>
  <c r="S323" i="7"/>
  <c r="AC323" i="7" s="1"/>
  <c r="R323" i="7" l="1"/>
  <c r="X323" i="7"/>
  <c r="O125" i="7"/>
  <c r="O126" i="7"/>
  <c r="R126" i="7" s="1"/>
  <c r="O127" i="7"/>
  <c r="O128" i="7"/>
  <c r="O129" i="7"/>
  <c r="O130" i="7"/>
  <c r="O131" i="7"/>
  <c r="S125" i="7"/>
  <c r="AC125" i="7" s="1"/>
  <c r="S126" i="7"/>
  <c r="AC126" i="7" s="1"/>
  <c r="S127" i="7"/>
  <c r="AC127" i="7" s="1"/>
  <c r="S128" i="7"/>
  <c r="AC128" i="7" s="1"/>
  <c r="S129" i="7"/>
  <c r="AC129" i="7" s="1"/>
  <c r="S130" i="7"/>
  <c r="AC130" i="7" s="1"/>
  <c r="S131" i="7"/>
  <c r="AC131" i="7" s="1"/>
  <c r="O113" i="7"/>
  <c r="R113" i="7" s="1"/>
  <c r="O114" i="7"/>
  <c r="R114" i="7" s="1"/>
  <c r="O115" i="7"/>
  <c r="R115" i="7" s="1"/>
  <c r="O116" i="7"/>
  <c r="R116" i="7" s="1"/>
  <c r="O117" i="7"/>
  <c r="O118" i="7"/>
  <c r="O119" i="7"/>
  <c r="O120" i="7"/>
  <c r="O121" i="7"/>
  <c r="O122" i="7"/>
  <c r="O123" i="7"/>
  <c r="O124" i="7"/>
  <c r="S113" i="7"/>
  <c r="AC113" i="7" s="1"/>
  <c r="S114" i="7"/>
  <c r="AC114" i="7" s="1"/>
  <c r="S115" i="7"/>
  <c r="AC115" i="7" s="1"/>
  <c r="S116" i="7"/>
  <c r="AC116" i="7" s="1"/>
  <c r="S117" i="7"/>
  <c r="AC117" i="7" s="1"/>
  <c r="S118" i="7"/>
  <c r="AC118" i="7" s="1"/>
  <c r="S119" i="7"/>
  <c r="AC119" i="7" s="1"/>
  <c r="S120" i="7"/>
  <c r="AC120" i="7" s="1"/>
  <c r="S121" i="7"/>
  <c r="AC121" i="7" s="1"/>
  <c r="S122" i="7"/>
  <c r="AC122" i="7" s="1"/>
  <c r="S123" i="7"/>
  <c r="AC123" i="7" s="1"/>
  <c r="S124" i="7"/>
  <c r="AC124" i="7" s="1"/>
  <c r="O96" i="7"/>
  <c r="O97" i="7"/>
  <c r="R97" i="7" s="1"/>
  <c r="O98" i="7"/>
  <c r="R98" i="7" s="1"/>
  <c r="O99" i="7"/>
  <c r="R99" i="7" s="1"/>
  <c r="O100" i="7"/>
  <c r="R100" i="7" s="1"/>
  <c r="O101" i="7"/>
  <c r="O102" i="7"/>
  <c r="O108" i="7"/>
  <c r="R108" i="7" s="1"/>
  <c r="O109" i="7"/>
  <c r="R109" i="7" s="1"/>
  <c r="O110" i="7"/>
  <c r="R110" i="7" s="1"/>
  <c r="O111" i="7"/>
  <c r="R111" i="7" s="1"/>
  <c r="O112" i="7"/>
  <c r="R96" i="7"/>
  <c r="R101" i="7"/>
  <c r="R102" i="7"/>
  <c r="R112" i="7"/>
  <c r="S96" i="7"/>
  <c r="AC96" i="7" s="1"/>
  <c r="S97" i="7"/>
  <c r="AC97" i="7" s="1"/>
  <c r="S98" i="7"/>
  <c r="AC98" i="7" s="1"/>
  <c r="S99" i="7"/>
  <c r="AC99" i="7" s="1"/>
  <c r="S100" i="7"/>
  <c r="S101" i="7"/>
  <c r="AC101" i="7" s="1"/>
  <c r="S102" i="7"/>
  <c r="AC102" i="7" s="1"/>
  <c r="S108" i="7"/>
  <c r="AC108" i="7" s="1"/>
  <c r="S109" i="7"/>
  <c r="S110" i="7"/>
  <c r="AC110" i="7" s="1"/>
  <c r="S111" i="7"/>
  <c r="S112" i="7"/>
  <c r="AC112" i="7" s="1"/>
  <c r="AC100" i="7"/>
  <c r="AC109" i="7"/>
  <c r="AC111" i="7"/>
  <c r="O66" i="7"/>
  <c r="O67" i="7"/>
  <c r="O68" i="7"/>
  <c r="R68" i="7" s="1"/>
  <c r="O69" i="7"/>
  <c r="R69" i="7" s="1"/>
  <c r="O83" i="7"/>
  <c r="R83" i="7" s="1"/>
  <c r="O84" i="7"/>
  <c r="R84" i="7" s="1"/>
  <c r="O85" i="7"/>
  <c r="R85" i="7" s="1"/>
  <c r="O103" i="7"/>
  <c r="R103" i="7" s="1"/>
  <c r="O104" i="7"/>
  <c r="R104" i="7" s="1"/>
  <c r="O105" i="7"/>
  <c r="R105" i="7" s="1"/>
  <c r="O106" i="7"/>
  <c r="R106" i="7" s="1"/>
  <c r="O107" i="7"/>
  <c r="R107" i="7" s="1"/>
  <c r="R66" i="7"/>
  <c r="R67" i="7"/>
  <c r="S66" i="7"/>
  <c r="AC66" i="7" s="1"/>
  <c r="S67" i="7"/>
  <c r="AC67" i="7" s="1"/>
  <c r="S68" i="7"/>
  <c r="AC68" i="7" s="1"/>
  <c r="S69" i="7"/>
  <c r="S83" i="7"/>
  <c r="AC83" i="7" s="1"/>
  <c r="S84" i="7"/>
  <c r="AC84" i="7" s="1"/>
  <c r="S85" i="7"/>
  <c r="AC85" i="7" s="1"/>
  <c r="S103" i="7"/>
  <c r="AC103" i="7" s="1"/>
  <c r="S104" i="7"/>
  <c r="AC104" i="7" s="1"/>
  <c r="S105" i="7"/>
  <c r="AC105" i="7" s="1"/>
  <c r="S106" i="7"/>
  <c r="AC106" i="7" s="1"/>
  <c r="S107" i="7"/>
  <c r="AC107" i="7" s="1"/>
  <c r="AC69" i="7"/>
  <c r="O48" i="7"/>
  <c r="O49" i="7"/>
  <c r="O50" i="7"/>
  <c r="O58" i="7"/>
  <c r="O59" i="7"/>
  <c r="O60" i="7"/>
  <c r="O61" i="7"/>
  <c r="O62" i="7"/>
  <c r="O63" i="7"/>
  <c r="O64" i="7"/>
  <c r="O65" i="7"/>
  <c r="S48" i="7"/>
  <c r="AC48" i="7" s="1"/>
  <c r="S49" i="7"/>
  <c r="AC49" i="7" s="1"/>
  <c r="S50" i="7"/>
  <c r="AC50" i="7" s="1"/>
  <c r="S58" i="7"/>
  <c r="AC58" i="7" s="1"/>
  <c r="S59" i="7"/>
  <c r="AC59" i="7" s="1"/>
  <c r="S60" i="7"/>
  <c r="AC60" i="7" s="1"/>
  <c r="S61" i="7"/>
  <c r="AC61" i="7" s="1"/>
  <c r="S62" i="7"/>
  <c r="AC62" i="7" s="1"/>
  <c r="S63" i="7"/>
  <c r="AC63" i="7" s="1"/>
  <c r="S64" i="7"/>
  <c r="AC64" i="7" s="1"/>
  <c r="S65" i="7"/>
  <c r="AC65" i="7" s="1"/>
  <c r="O80" i="7"/>
  <c r="O81" i="7"/>
  <c r="R81" i="7" s="1"/>
  <c r="O82" i="7"/>
  <c r="O87" i="7"/>
  <c r="O88" i="7"/>
  <c r="O89" i="7"/>
  <c r="O43" i="7"/>
  <c r="O44" i="7"/>
  <c r="O45" i="7"/>
  <c r="O46" i="7"/>
  <c r="O47" i="7"/>
  <c r="S80" i="7"/>
  <c r="AC80" i="7" s="1"/>
  <c r="S81" i="7"/>
  <c r="AC81" i="7" s="1"/>
  <c r="S82" i="7"/>
  <c r="AC82" i="7" s="1"/>
  <c r="S87" i="7"/>
  <c r="AC87" i="7" s="1"/>
  <c r="S88" i="7"/>
  <c r="AC88" i="7" s="1"/>
  <c r="S89" i="7"/>
  <c r="AC89" i="7" s="1"/>
  <c r="S43" i="7"/>
  <c r="AC43" i="7" s="1"/>
  <c r="S44" i="7"/>
  <c r="AC44" i="7" s="1"/>
  <c r="S45" i="7"/>
  <c r="AC45" i="7" s="1"/>
  <c r="S46" i="7"/>
  <c r="AC46" i="7" s="1"/>
  <c r="S47" i="7"/>
  <c r="AC47" i="7" s="1"/>
  <c r="O70" i="7"/>
  <c r="R70" i="7" s="1"/>
  <c r="O71" i="7"/>
  <c r="R71" i="7" s="1"/>
  <c r="O72" i="7"/>
  <c r="R72" i="7" s="1"/>
  <c r="O73" i="7"/>
  <c r="R73" i="7" s="1"/>
  <c r="O74" i="7"/>
  <c r="R74" i="7" s="1"/>
  <c r="O75" i="7"/>
  <c r="R75" i="7" s="1"/>
  <c r="O90" i="7"/>
  <c r="R90" i="7" s="1"/>
  <c r="O91" i="7"/>
  <c r="R91" i="7" s="1"/>
  <c r="O92" i="7"/>
  <c r="R92" i="7" s="1"/>
  <c r="O93" i="7"/>
  <c r="R93" i="7" s="1"/>
  <c r="O94" i="7"/>
  <c r="R94" i="7" s="1"/>
  <c r="O95" i="7"/>
  <c r="R95" i="7" s="1"/>
  <c r="S70" i="7"/>
  <c r="AC70" i="7" s="1"/>
  <c r="S71" i="7"/>
  <c r="AC71" i="7" s="1"/>
  <c r="S72" i="7"/>
  <c r="S73" i="7"/>
  <c r="AC73" i="7" s="1"/>
  <c r="S74" i="7"/>
  <c r="AC74" i="7" s="1"/>
  <c r="S75" i="7"/>
  <c r="AC75" i="7" s="1"/>
  <c r="S90" i="7"/>
  <c r="AC90" i="7" s="1"/>
  <c r="S91" i="7"/>
  <c r="AC91" i="7" s="1"/>
  <c r="S92" i="7"/>
  <c r="AC92" i="7" s="1"/>
  <c r="S93" i="7"/>
  <c r="AC93" i="7" s="1"/>
  <c r="S94" i="7"/>
  <c r="AC94" i="7" s="1"/>
  <c r="S95" i="7"/>
  <c r="AC95" i="7" s="1"/>
  <c r="AC72" i="7"/>
  <c r="O35" i="7"/>
  <c r="O36" i="7"/>
  <c r="O37" i="7"/>
  <c r="O38" i="7"/>
  <c r="O39" i="7"/>
  <c r="O40" i="7"/>
  <c r="O41" i="7"/>
  <c r="O42" i="7"/>
  <c r="O76" i="7"/>
  <c r="O77" i="7"/>
  <c r="O78" i="7"/>
  <c r="O79" i="7"/>
  <c r="R35" i="7"/>
  <c r="R36" i="7"/>
  <c r="R37" i="7"/>
  <c r="R38" i="7"/>
  <c r="R39" i="7"/>
  <c r="R40" i="7"/>
  <c r="R41" i="7"/>
  <c r="R42" i="7"/>
  <c r="R76" i="7"/>
  <c r="S35" i="7"/>
  <c r="AC35" i="7" s="1"/>
  <c r="S36" i="7"/>
  <c r="AC36" i="7" s="1"/>
  <c r="S37" i="7"/>
  <c r="AC37" i="7" s="1"/>
  <c r="S38" i="7"/>
  <c r="AC38" i="7" s="1"/>
  <c r="S39" i="7"/>
  <c r="AC39" i="7" s="1"/>
  <c r="S40" i="7"/>
  <c r="AC40" i="7" s="1"/>
  <c r="S41" i="7"/>
  <c r="AC41" i="7" s="1"/>
  <c r="S42" i="7"/>
  <c r="AC42" i="7" s="1"/>
  <c r="S76" i="7"/>
  <c r="AC76" i="7" s="1"/>
  <c r="S77" i="7"/>
  <c r="AC77" i="7" s="1"/>
  <c r="S78" i="7"/>
  <c r="AC78" i="7" s="1"/>
  <c r="S79" i="7"/>
  <c r="AC79" i="7" s="1"/>
  <c r="M79" i="7" l="1"/>
  <c r="L79" i="7"/>
  <c r="M78" i="7"/>
  <c r="L78" i="7"/>
  <c r="X76" i="7"/>
  <c r="M76" i="7"/>
  <c r="L76" i="7"/>
  <c r="X42" i="7"/>
  <c r="M42" i="7"/>
  <c r="L42" i="7"/>
  <c r="X41" i="7"/>
  <c r="M41" i="7"/>
  <c r="L41" i="7"/>
  <c r="X40" i="7"/>
  <c r="X39" i="7"/>
  <c r="L39" i="7"/>
  <c r="X38" i="7"/>
  <c r="M38" i="7"/>
  <c r="L38" i="7"/>
  <c r="X37" i="7"/>
  <c r="M36" i="7"/>
  <c r="X36" i="7"/>
  <c r="X35" i="7"/>
  <c r="L35" i="7"/>
  <c r="X95" i="7"/>
  <c r="L95" i="7"/>
  <c r="X94" i="7"/>
  <c r="X93" i="7"/>
  <c r="M93" i="7"/>
  <c r="L93" i="7"/>
  <c r="X92" i="7"/>
  <c r="M92" i="7"/>
  <c r="L92" i="7"/>
  <c r="X91" i="7"/>
  <c r="L91" i="7"/>
  <c r="X90" i="7"/>
  <c r="M90" i="7"/>
  <c r="L90" i="7"/>
  <c r="X75" i="7"/>
  <c r="X74" i="7"/>
  <c r="M74" i="7"/>
  <c r="L74" i="7"/>
  <c r="X73" i="7"/>
  <c r="X72" i="7"/>
  <c r="X71" i="7"/>
  <c r="M71" i="7"/>
  <c r="L71" i="7"/>
  <c r="X70" i="7"/>
  <c r="M45" i="7"/>
  <c r="L45" i="7"/>
  <c r="M44" i="7"/>
  <c r="L44" i="7"/>
  <c r="M43" i="7"/>
  <c r="L43" i="7"/>
  <c r="M89" i="7"/>
  <c r="L89" i="7"/>
  <c r="M82" i="7"/>
  <c r="X81" i="7"/>
  <c r="M81" i="7"/>
  <c r="L81" i="7"/>
  <c r="M80" i="7"/>
  <c r="L80" i="7"/>
  <c r="M65" i="7"/>
  <c r="X65" i="7"/>
  <c r="M64" i="7"/>
  <c r="M63" i="7"/>
  <c r="L63" i="7"/>
  <c r="M62" i="7"/>
  <c r="L62" i="7"/>
  <c r="X61" i="7"/>
  <c r="L61" i="7"/>
  <c r="M60" i="7"/>
  <c r="L60" i="7"/>
  <c r="M59" i="7"/>
  <c r="M58" i="7"/>
  <c r="L58" i="7"/>
  <c r="M50" i="7"/>
  <c r="M49" i="7"/>
  <c r="L49" i="7"/>
  <c r="M48" i="7"/>
  <c r="L48" i="7"/>
  <c r="X107" i="7"/>
  <c r="M107" i="7"/>
  <c r="M106" i="7"/>
  <c r="X106" i="7"/>
  <c r="M105" i="7"/>
  <c r="X105" i="7"/>
  <c r="X104" i="7"/>
  <c r="M104" i="7"/>
  <c r="X103" i="7"/>
  <c r="L103" i="7"/>
  <c r="M85" i="7"/>
  <c r="X85" i="7"/>
  <c r="X84" i="7"/>
  <c r="M84" i="7"/>
  <c r="L84" i="7"/>
  <c r="X83" i="7"/>
  <c r="M83" i="7"/>
  <c r="L83" i="7"/>
  <c r="X69" i="7"/>
  <c r="M69" i="7"/>
  <c r="L69" i="7"/>
  <c r="X68" i="7"/>
  <c r="M68" i="7"/>
  <c r="L68" i="7"/>
  <c r="X67" i="7"/>
  <c r="M67" i="7"/>
  <c r="L67" i="7"/>
  <c r="X66" i="7"/>
  <c r="M66" i="7"/>
  <c r="L66" i="7"/>
  <c r="X112" i="7"/>
  <c r="X111" i="7"/>
  <c r="M111" i="7"/>
  <c r="X110" i="7"/>
  <c r="M110" i="7"/>
  <c r="L110" i="7"/>
  <c r="X109" i="7"/>
  <c r="X108" i="7"/>
  <c r="X102" i="7"/>
  <c r="M102" i="7"/>
  <c r="L102" i="7"/>
  <c r="X101" i="7"/>
  <c r="M101" i="7"/>
  <c r="X100" i="7"/>
  <c r="M100" i="7"/>
  <c r="L100" i="7"/>
  <c r="X99" i="7"/>
  <c r="L99" i="7"/>
  <c r="X98" i="7"/>
  <c r="M98" i="7"/>
  <c r="L98" i="7"/>
  <c r="X97" i="7"/>
  <c r="M97" i="7"/>
  <c r="L97" i="7"/>
  <c r="X96" i="7"/>
  <c r="X124" i="7"/>
  <c r="M124" i="7"/>
  <c r="L124" i="7"/>
  <c r="M123" i="7"/>
  <c r="L123" i="7"/>
  <c r="M122" i="7"/>
  <c r="L122" i="7"/>
  <c r="L121" i="7"/>
  <c r="M120" i="7"/>
  <c r="X120" i="7"/>
  <c r="M119" i="7"/>
  <c r="M118" i="7"/>
  <c r="L118" i="7"/>
  <c r="M117" i="7"/>
  <c r="X116" i="7"/>
  <c r="M116" i="7"/>
  <c r="X115" i="7"/>
  <c r="M115" i="7"/>
  <c r="M114" i="7"/>
  <c r="X114" i="7"/>
  <c r="X113" i="7"/>
  <c r="M113" i="7"/>
  <c r="L113" i="7"/>
  <c r="M131" i="7"/>
  <c r="L131" i="7"/>
  <c r="M130" i="7"/>
  <c r="L130" i="7"/>
  <c r="M129" i="7"/>
  <c r="L129" i="7"/>
  <c r="M128" i="7"/>
  <c r="L128" i="7"/>
  <c r="M127" i="7"/>
  <c r="L127" i="7"/>
  <c r="X126" i="7"/>
  <c r="M126" i="7"/>
  <c r="X125" i="7"/>
  <c r="R124" i="7"/>
  <c r="R79" i="7"/>
  <c r="X79" i="7"/>
  <c r="R77" i="7"/>
  <c r="X77" i="7"/>
  <c r="R46" i="7"/>
  <c r="X46" i="7"/>
  <c r="R44" i="7"/>
  <c r="X44" i="7"/>
  <c r="R89" i="7"/>
  <c r="X89" i="7"/>
  <c r="R87" i="7"/>
  <c r="X87" i="7"/>
  <c r="R64" i="7"/>
  <c r="X64" i="7"/>
  <c r="R62" i="7"/>
  <c r="X62" i="7"/>
  <c r="R60" i="7"/>
  <c r="X60" i="7"/>
  <c r="R58" i="7"/>
  <c r="X58" i="7"/>
  <c r="R49" i="7"/>
  <c r="X49" i="7"/>
  <c r="R122" i="7"/>
  <c r="X122" i="7"/>
  <c r="R120" i="7"/>
  <c r="R118" i="7"/>
  <c r="X118" i="7"/>
  <c r="R130" i="7"/>
  <c r="X130" i="7"/>
  <c r="R128" i="7"/>
  <c r="X128" i="7"/>
  <c r="R78" i="7"/>
  <c r="X78" i="7"/>
  <c r="R47" i="7"/>
  <c r="X47" i="7"/>
  <c r="R45" i="7"/>
  <c r="X45" i="7"/>
  <c r="R43" i="7"/>
  <c r="X43" i="7"/>
  <c r="R88" i="7"/>
  <c r="X88" i="7"/>
  <c r="R82" i="7"/>
  <c r="X82" i="7"/>
  <c r="R80" i="7"/>
  <c r="X80" i="7"/>
  <c r="R65" i="7"/>
  <c r="R63" i="7"/>
  <c r="X63" i="7"/>
  <c r="R59" i="7"/>
  <c r="X59" i="7"/>
  <c r="R50" i="7"/>
  <c r="X50" i="7"/>
  <c r="R48" i="7"/>
  <c r="X48" i="7"/>
  <c r="R123" i="7"/>
  <c r="X123" i="7"/>
  <c r="R121" i="7"/>
  <c r="X121" i="7"/>
  <c r="R119" i="7"/>
  <c r="X119" i="7"/>
  <c r="R117" i="7"/>
  <c r="X117" i="7"/>
  <c r="R131" i="7"/>
  <c r="X131" i="7"/>
  <c r="R129" i="7"/>
  <c r="X129" i="7"/>
  <c r="R127" i="7"/>
  <c r="X127" i="7"/>
  <c r="R125" i="7"/>
  <c r="E32" i="11"/>
  <c r="D32" i="11"/>
  <c r="R61" i="7"/>
  <c r="B9" i="10"/>
  <c r="B10" i="10"/>
  <c r="B11" i="10"/>
  <c r="B12" i="10"/>
  <c r="C12" i="10"/>
  <c r="D12" i="10"/>
  <c r="B13" i="10"/>
  <c r="C13" i="10"/>
  <c r="D13" i="10"/>
  <c r="B14" i="10"/>
  <c r="C14" i="10"/>
  <c r="D14" i="10"/>
  <c r="B15" i="10"/>
  <c r="C15" i="10"/>
  <c r="D15" i="10"/>
  <c r="B16" i="10"/>
  <c r="C16" i="10"/>
  <c r="D16" i="10"/>
  <c r="B17" i="10"/>
  <c r="C17" i="10"/>
  <c r="D17" i="10"/>
  <c r="B18" i="10"/>
  <c r="C18" i="10"/>
  <c r="D18" i="10"/>
  <c r="B19" i="10"/>
  <c r="C19" i="10"/>
  <c r="D19" i="10"/>
  <c r="B20" i="10"/>
  <c r="C20" i="10"/>
  <c r="D20" i="10"/>
  <c r="B21" i="10"/>
  <c r="C21" i="10"/>
  <c r="D21" i="10"/>
  <c r="B22" i="10"/>
  <c r="C22" i="10"/>
  <c r="D22" i="10"/>
  <c r="B23" i="10"/>
  <c r="C23" i="10"/>
  <c r="D23" i="10"/>
  <c r="B24" i="10"/>
  <c r="C24" i="10"/>
  <c r="D24" i="10"/>
  <c r="B25" i="10"/>
  <c r="C25" i="10"/>
  <c r="D25" i="10"/>
  <c r="B26" i="10"/>
  <c r="C26" i="10"/>
  <c r="D26" i="10"/>
  <c r="B27" i="10"/>
  <c r="C27" i="10"/>
  <c r="D27" i="10"/>
  <c r="B28" i="10"/>
  <c r="C28" i="10"/>
  <c r="D28" i="10"/>
  <c r="B29" i="10"/>
  <c r="C29" i="10"/>
  <c r="D29" i="10"/>
  <c r="B30" i="10"/>
  <c r="C30" i="10"/>
  <c r="D30" i="10"/>
  <c r="B31" i="10"/>
  <c r="C31" i="10"/>
  <c r="D31" i="10"/>
  <c r="B32" i="10"/>
  <c r="C32" i="10"/>
  <c r="D32" i="10"/>
  <c r="B33" i="10"/>
  <c r="C33" i="10"/>
  <c r="D33" i="10"/>
  <c r="B34" i="10"/>
  <c r="C34" i="10"/>
  <c r="D34" i="10"/>
  <c r="B35" i="10"/>
  <c r="C35" i="10"/>
  <c r="D35" i="10"/>
  <c r="B36" i="10"/>
  <c r="C36" i="10"/>
  <c r="D36" i="10"/>
  <c r="B37" i="10"/>
  <c r="C37" i="10"/>
  <c r="D37" i="10"/>
  <c r="B38" i="10"/>
  <c r="C38" i="10"/>
  <c r="D38" i="10"/>
  <c r="B39" i="10"/>
  <c r="C39" i="10"/>
  <c r="D39" i="10"/>
  <c r="B40" i="10"/>
  <c r="C40" i="10"/>
  <c r="D40" i="10"/>
  <c r="B41" i="10"/>
  <c r="C41" i="10"/>
  <c r="D41" i="10"/>
  <c r="B42" i="10"/>
  <c r="C42" i="10"/>
  <c r="D42" i="10"/>
  <c r="B43" i="10"/>
  <c r="C43" i="10"/>
  <c r="D43" i="10"/>
  <c r="B44" i="10"/>
  <c r="C44" i="10"/>
  <c r="D44" i="10"/>
  <c r="B45" i="10"/>
  <c r="C45" i="10"/>
  <c r="D45" i="10"/>
  <c r="B46" i="10"/>
  <c r="C46" i="10"/>
  <c r="D46" i="10"/>
  <c r="B47" i="10"/>
  <c r="C47" i="10"/>
  <c r="D47" i="10"/>
  <c r="B48" i="10"/>
  <c r="C48" i="10"/>
  <c r="D48" i="10"/>
  <c r="B3" i="10"/>
  <c r="B4" i="10"/>
  <c r="B5" i="10"/>
  <c r="B6" i="10"/>
  <c r="B7" i="10"/>
  <c r="B8" i="10"/>
  <c r="U32" i="11" l="1"/>
  <c r="J32" i="11"/>
  <c r="L32" i="11"/>
  <c r="P32" i="11"/>
  <c r="R32" i="11"/>
  <c r="I32" i="11"/>
  <c r="M32" i="11"/>
  <c r="O32" i="11"/>
  <c r="S32" i="11"/>
  <c r="F32" i="11"/>
  <c r="E48" i="10"/>
  <c r="G48" i="10"/>
  <c r="I48" i="10"/>
  <c r="F48" i="10"/>
  <c r="H48" i="10"/>
  <c r="J48" i="10"/>
  <c r="E47" i="10"/>
  <c r="F47" i="10"/>
  <c r="H47" i="10"/>
  <c r="J47" i="10"/>
  <c r="G47" i="10"/>
  <c r="I47" i="10"/>
  <c r="E46" i="10"/>
  <c r="G46" i="10"/>
  <c r="I46" i="10"/>
  <c r="F46" i="10"/>
  <c r="H46" i="10"/>
  <c r="J46" i="10"/>
  <c r="E45" i="10"/>
  <c r="F45" i="10"/>
  <c r="H45" i="10"/>
  <c r="J45" i="10"/>
  <c r="G45" i="10"/>
  <c r="I45" i="10"/>
  <c r="E44" i="10"/>
  <c r="G44" i="10"/>
  <c r="I44" i="10"/>
  <c r="F44" i="10"/>
  <c r="H44" i="10"/>
  <c r="J44" i="10"/>
  <c r="E43" i="10"/>
  <c r="F43" i="10"/>
  <c r="H43" i="10"/>
  <c r="J43" i="10"/>
  <c r="G43" i="10"/>
  <c r="I43" i="10"/>
  <c r="E42" i="10"/>
  <c r="G42" i="10"/>
  <c r="I42" i="10"/>
  <c r="F42" i="10"/>
  <c r="H42" i="10"/>
  <c r="J42" i="10"/>
  <c r="E41" i="10"/>
  <c r="F41" i="10"/>
  <c r="H41" i="10"/>
  <c r="J41" i="10"/>
  <c r="G41" i="10"/>
  <c r="I41" i="10"/>
  <c r="E40" i="10"/>
  <c r="G40" i="10"/>
  <c r="I40" i="10"/>
  <c r="F40" i="10"/>
  <c r="H40" i="10"/>
  <c r="J40" i="10"/>
  <c r="E39" i="10"/>
  <c r="F39" i="10"/>
  <c r="H39" i="10"/>
  <c r="J39" i="10"/>
  <c r="G39" i="10"/>
  <c r="I39" i="10"/>
  <c r="E38" i="10"/>
  <c r="G38" i="10"/>
  <c r="I38" i="10"/>
  <c r="F38" i="10"/>
  <c r="H38" i="10"/>
  <c r="J38" i="10"/>
  <c r="E37" i="10"/>
  <c r="F37" i="10"/>
  <c r="H37" i="10"/>
  <c r="J37" i="10"/>
  <c r="G37" i="10"/>
  <c r="I37" i="10"/>
  <c r="E36" i="10"/>
  <c r="G36" i="10"/>
  <c r="I36" i="10"/>
  <c r="F36" i="10"/>
  <c r="H36" i="10"/>
  <c r="J36" i="10"/>
  <c r="E35" i="10"/>
  <c r="F35" i="10"/>
  <c r="H35" i="10"/>
  <c r="J35" i="10"/>
  <c r="G35" i="10"/>
  <c r="I35" i="10"/>
  <c r="E34" i="10"/>
  <c r="G34" i="10"/>
  <c r="I34" i="10"/>
  <c r="H34" i="10"/>
  <c r="F34" i="10"/>
  <c r="J34" i="10"/>
  <c r="E33" i="10"/>
  <c r="F33" i="10"/>
  <c r="H33" i="10"/>
  <c r="J33" i="10"/>
  <c r="I33" i="10"/>
  <c r="G33" i="10"/>
  <c r="E32" i="10"/>
  <c r="F32" i="10"/>
  <c r="H32" i="10"/>
  <c r="G32" i="10"/>
  <c r="I32" i="10"/>
  <c r="J32" i="10"/>
  <c r="E31" i="10"/>
  <c r="G31" i="10"/>
  <c r="I31" i="10"/>
  <c r="F31" i="10"/>
  <c r="H31" i="10"/>
  <c r="J31" i="10"/>
  <c r="E30" i="10"/>
  <c r="F30" i="10"/>
  <c r="H30" i="10"/>
  <c r="J30" i="10"/>
  <c r="G30" i="10"/>
  <c r="I30" i="10"/>
  <c r="E29" i="10"/>
  <c r="G29" i="10"/>
  <c r="I29" i="10"/>
  <c r="F29" i="10"/>
  <c r="H29" i="10"/>
  <c r="J29" i="10"/>
  <c r="E28" i="10"/>
  <c r="F28" i="10"/>
  <c r="H28" i="10"/>
  <c r="J28" i="10"/>
  <c r="G28" i="10"/>
  <c r="I28" i="10"/>
  <c r="E27" i="10"/>
  <c r="G27" i="10"/>
  <c r="I27" i="10"/>
  <c r="F27" i="10"/>
  <c r="H27" i="10"/>
  <c r="J27" i="10"/>
  <c r="E26" i="10"/>
  <c r="F26" i="10"/>
  <c r="H26" i="10"/>
  <c r="J26" i="10"/>
  <c r="G26" i="10"/>
  <c r="I26" i="10"/>
  <c r="E25" i="10"/>
  <c r="G25" i="10"/>
  <c r="I25" i="10"/>
  <c r="F25" i="10"/>
  <c r="H25" i="10"/>
  <c r="J25" i="10"/>
  <c r="E24" i="10"/>
  <c r="F24" i="10"/>
  <c r="H24" i="10"/>
  <c r="J24" i="10"/>
  <c r="G24" i="10"/>
  <c r="I24" i="10"/>
  <c r="E23" i="10"/>
  <c r="G23" i="10"/>
  <c r="I23" i="10"/>
  <c r="F23" i="10"/>
  <c r="H23" i="10"/>
  <c r="J23" i="10"/>
  <c r="E22" i="10"/>
  <c r="F22" i="10"/>
  <c r="H22" i="10"/>
  <c r="J22" i="10"/>
  <c r="G22" i="10"/>
  <c r="I22" i="10"/>
  <c r="E21" i="10"/>
  <c r="G21" i="10"/>
  <c r="I21" i="10"/>
  <c r="F21" i="10"/>
  <c r="H21" i="10"/>
  <c r="J21" i="10"/>
  <c r="E20" i="10"/>
  <c r="F20" i="10"/>
  <c r="H20" i="10"/>
  <c r="J20" i="10"/>
  <c r="G20" i="10"/>
  <c r="I20" i="10"/>
  <c r="E19" i="10"/>
  <c r="G19" i="10"/>
  <c r="I19" i="10"/>
  <c r="F19" i="10"/>
  <c r="H19" i="10"/>
  <c r="J19" i="10"/>
  <c r="E18" i="10"/>
  <c r="F18" i="10"/>
  <c r="H18" i="10"/>
  <c r="J18" i="10"/>
  <c r="G18" i="10"/>
  <c r="I18" i="10"/>
  <c r="E17" i="10"/>
  <c r="G17" i="10"/>
  <c r="I17" i="10"/>
  <c r="F17" i="10"/>
  <c r="H17" i="10"/>
  <c r="J17" i="10"/>
  <c r="E16" i="10"/>
  <c r="F16" i="10"/>
  <c r="H16" i="10"/>
  <c r="J16" i="10"/>
  <c r="G16" i="10"/>
  <c r="I16" i="10"/>
  <c r="E15" i="10"/>
  <c r="G15" i="10"/>
  <c r="I15" i="10"/>
  <c r="F15" i="10"/>
  <c r="H15" i="10"/>
  <c r="J15" i="10"/>
  <c r="E14" i="10"/>
  <c r="F14" i="10"/>
  <c r="H14" i="10"/>
  <c r="J14" i="10"/>
  <c r="G14" i="10"/>
  <c r="I14" i="10"/>
  <c r="E13" i="10"/>
  <c r="G13" i="10"/>
  <c r="I13" i="10"/>
  <c r="F13" i="10"/>
  <c r="H13" i="10"/>
  <c r="J13" i="10"/>
  <c r="E12" i="10"/>
  <c r="F12" i="10"/>
  <c r="H12" i="10"/>
  <c r="J12" i="10"/>
  <c r="G12" i="10"/>
  <c r="I12" i="10"/>
  <c r="O278" i="7"/>
  <c r="S278" i="7"/>
  <c r="O274" i="7"/>
  <c r="O275" i="7"/>
  <c r="O276" i="7"/>
  <c r="O277" i="7"/>
  <c r="O279" i="7"/>
  <c r="O280" i="7"/>
  <c r="O281" i="7"/>
  <c r="O282" i="7"/>
  <c r="R279" i="7"/>
  <c r="S274" i="7"/>
  <c r="S275" i="7"/>
  <c r="S276" i="7"/>
  <c r="S277" i="7"/>
  <c r="S279" i="7"/>
  <c r="S280" i="7"/>
  <c r="S281" i="7"/>
  <c r="S282" i="7"/>
  <c r="O262" i="7"/>
  <c r="O263" i="7"/>
  <c r="O264" i="7"/>
  <c r="O265" i="7"/>
  <c r="O266" i="7"/>
  <c r="O267" i="7"/>
  <c r="O268" i="7"/>
  <c r="O269" i="7"/>
  <c r="O270" i="7"/>
  <c r="O271" i="7"/>
  <c r="R271" i="7" s="1"/>
  <c r="O272" i="7"/>
  <c r="R272" i="7" s="1"/>
  <c r="O273" i="7"/>
  <c r="R262" i="7"/>
  <c r="R263" i="7"/>
  <c r="R264" i="7"/>
  <c r="R265" i="7"/>
  <c r="R266" i="7"/>
  <c r="R267" i="7"/>
  <c r="R268" i="7"/>
  <c r="R269" i="7"/>
  <c r="R270" i="7"/>
  <c r="R273" i="7"/>
  <c r="S262" i="7"/>
  <c r="S263" i="7"/>
  <c r="S264" i="7"/>
  <c r="S265" i="7"/>
  <c r="S266" i="7"/>
  <c r="S267" i="7"/>
  <c r="S268" i="7"/>
  <c r="S269" i="7"/>
  <c r="S270" i="7"/>
  <c r="S271" i="7"/>
  <c r="S272" i="7"/>
  <c r="S273" i="7"/>
  <c r="O250" i="7"/>
  <c r="O251" i="7"/>
  <c r="O252" i="7"/>
  <c r="O253" i="7"/>
  <c r="R253" i="7" s="1"/>
  <c r="O254" i="7"/>
  <c r="O255" i="7"/>
  <c r="O256" i="7"/>
  <c r="O257" i="7"/>
  <c r="R257" i="7" s="1"/>
  <c r="O258" i="7"/>
  <c r="O259" i="7"/>
  <c r="O260" i="7"/>
  <c r="O261" i="7"/>
  <c r="S250" i="7"/>
  <c r="S251" i="7"/>
  <c r="S252" i="7"/>
  <c r="S253" i="7"/>
  <c r="S254" i="7"/>
  <c r="S255" i="7"/>
  <c r="S256" i="7"/>
  <c r="S257" i="7"/>
  <c r="S258" i="7"/>
  <c r="S259" i="7"/>
  <c r="S260" i="7"/>
  <c r="S261" i="7"/>
  <c r="O238" i="7"/>
  <c r="O239" i="7"/>
  <c r="O240" i="7"/>
  <c r="O241" i="7"/>
  <c r="O242" i="7"/>
  <c r="O243" i="7"/>
  <c r="O244" i="7"/>
  <c r="O245" i="7"/>
  <c r="O246" i="7"/>
  <c r="O247" i="7"/>
  <c r="O248" i="7"/>
  <c r="O249" i="7"/>
  <c r="R238" i="7"/>
  <c r="R239" i="7"/>
  <c r="R240" i="7"/>
  <c r="R241" i="7"/>
  <c r="R242" i="7"/>
  <c r="R243" i="7"/>
  <c r="R244" i="7"/>
  <c r="R245" i="7"/>
  <c r="R246" i="7"/>
  <c r="R247" i="7"/>
  <c r="S238" i="7"/>
  <c r="S239" i="7"/>
  <c r="S240" i="7"/>
  <c r="S241" i="7"/>
  <c r="S242" i="7"/>
  <c r="S243" i="7"/>
  <c r="S244" i="7"/>
  <c r="S245" i="7"/>
  <c r="S246" i="7"/>
  <c r="S247" i="7"/>
  <c r="S248" i="7"/>
  <c r="S249" i="7"/>
  <c r="O229" i="7"/>
  <c r="O230" i="7"/>
  <c r="O231" i="7"/>
  <c r="O232" i="7"/>
  <c r="O233" i="7"/>
  <c r="O234" i="7"/>
  <c r="O235" i="7"/>
  <c r="O236" i="7"/>
  <c r="O237" i="7"/>
  <c r="S229" i="7"/>
  <c r="S230" i="7"/>
  <c r="S231" i="7"/>
  <c r="S232" i="7"/>
  <c r="S233" i="7"/>
  <c r="S234" i="7"/>
  <c r="S235" i="7"/>
  <c r="S236" i="7"/>
  <c r="S237" i="7"/>
  <c r="O217" i="7"/>
  <c r="O218" i="7"/>
  <c r="O219" i="7"/>
  <c r="O220" i="7"/>
  <c r="O221" i="7"/>
  <c r="R218" i="7"/>
  <c r="S217" i="7"/>
  <c r="S218" i="7"/>
  <c r="S219" i="7"/>
  <c r="S220" i="7"/>
  <c r="S221" i="7"/>
  <c r="O208" i="7"/>
  <c r="O209" i="7"/>
  <c r="R209" i="7" s="1"/>
  <c r="O210" i="7"/>
  <c r="O211" i="7"/>
  <c r="O213" i="7"/>
  <c r="O214" i="7"/>
  <c r="O215" i="7"/>
  <c r="O216" i="7"/>
  <c r="S208" i="7"/>
  <c r="S209" i="7"/>
  <c r="S210" i="7"/>
  <c r="S211" i="7"/>
  <c r="S213" i="7"/>
  <c r="S214" i="7"/>
  <c r="S215" i="7"/>
  <c r="S216" i="7"/>
  <c r="O182" i="7"/>
  <c r="O183" i="7"/>
  <c r="O184" i="7"/>
  <c r="O185" i="7"/>
  <c r="O186" i="7"/>
  <c r="O187" i="7"/>
  <c r="O188" i="7"/>
  <c r="O189" i="7"/>
  <c r="O190" i="7"/>
  <c r="O191" i="7"/>
  <c r="O192" i="7"/>
  <c r="S182" i="7"/>
  <c r="S183" i="7"/>
  <c r="S184" i="7"/>
  <c r="S185" i="7"/>
  <c r="S186" i="7"/>
  <c r="S187" i="7"/>
  <c r="S188" i="7"/>
  <c r="S189" i="7"/>
  <c r="S190" i="7"/>
  <c r="S191" i="7"/>
  <c r="S192" i="7"/>
  <c r="O169" i="7"/>
  <c r="O170" i="7"/>
  <c r="O171" i="7"/>
  <c r="O172" i="7"/>
  <c r="O173" i="7"/>
  <c r="O174" i="7"/>
  <c r="O179" i="7"/>
  <c r="O180" i="7"/>
  <c r="O181" i="7"/>
  <c r="S169" i="7"/>
  <c r="S170" i="7"/>
  <c r="S171" i="7"/>
  <c r="S172" i="7"/>
  <c r="S173" i="7"/>
  <c r="S174" i="7"/>
  <c r="S179" i="7"/>
  <c r="S180" i="7"/>
  <c r="S181" i="7"/>
  <c r="O160" i="7"/>
  <c r="O161" i="7"/>
  <c r="O162" i="7"/>
  <c r="R162" i="7" s="1"/>
  <c r="O163" i="7"/>
  <c r="R163" i="7" s="1"/>
  <c r="O164" i="7"/>
  <c r="O165" i="7"/>
  <c r="O166" i="7"/>
  <c r="O175" i="7"/>
  <c r="O176" i="7"/>
  <c r="O177" i="7"/>
  <c r="R160" i="7"/>
  <c r="R161" i="7"/>
  <c r="R176" i="7"/>
  <c r="S160" i="7"/>
  <c r="S161" i="7"/>
  <c r="S162" i="7"/>
  <c r="S163" i="7"/>
  <c r="S164" i="7"/>
  <c r="S165" i="7"/>
  <c r="S166" i="7"/>
  <c r="S175" i="7"/>
  <c r="S176" i="7"/>
  <c r="S177" i="7"/>
  <c r="O201" i="7"/>
  <c r="R201" i="7" s="1"/>
  <c r="O222" i="7"/>
  <c r="R222" i="7" s="1"/>
  <c r="O223" i="7"/>
  <c r="R223" i="7" s="1"/>
  <c r="O224" i="7"/>
  <c r="R224" i="7" s="1"/>
  <c r="O225" i="7"/>
  <c r="R225" i="7" s="1"/>
  <c r="O226" i="7"/>
  <c r="R226" i="7" s="1"/>
  <c r="O227" i="7"/>
  <c r="R227" i="7" s="1"/>
  <c r="O228" i="7"/>
  <c r="R228" i="7" s="1"/>
  <c r="O158" i="7"/>
  <c r="R158" i="7" s="1"/>
  <c r="O159" i="7"/>
  <c r="R159" i="7" s="1"/>
  <c r="S201" i="7"/>
  <c r="S222" i="7"/>
  <c r="S223" i="7"/>
  <c r="S224" i="7"/>
  <c r="S225" i="7"/>
  <c r="S226" i="7"/>
  <c r="S227" i="7"/>
  <c r="S228" i="7"/>
  <c r="S158" i="7"/>
  <c r="S159" i="7"/>
  <c r="O195" i="7"/>
  <c r="R195" i="7" s="1"/>
  <c r="O196" i="7"/>
  <c r="R196" i="7" s="1"/>
  <c r="O197" i="7"/>
  <c r="R197" i="7" s="1"/>
  <c r="O198" i="7"/>
  <c r="R198" i="7" s="1"/>
  <c r="O199" i="7"/>
  <c r="R199" i="7" s="1"/>
  <c r="O200" i="7"/>
  <c r="R200" i="7" s="1"/>
  <c r="O202" i="7"/>
  <c r="R202" i="7" s="1"/>
  <c r="O203" i="7"/>
  <c r="O204" i="7"/>
  <c r="O205" i="7"/>
  <c r="O206" i="7"/>
  <c r="O207" i="7"/>
  <c r="S195" i="7"/>
  <c r="S196" i="7"/>
  <c r="S197" i="7"/>
  <c r="S198" i="7"/>
  <c r="S199" i="7"/>
  <c r="S200" i="7"/>
  <c r="S202" i="7"/>
  <c r="S203" i="7"/>
  <c r="S204" i="7"/>
  <c r="S205" i="7"/>
  <c r="S206" i="7"/>
  <c r="S207" i="7"/>
  <c r="O141" i="7"/>
  <c r="R141" i="7" s="1"/>
  <c r="O142" i="7"/>
  <c r="R142" i="7" s="1"/>
  <c r="O143" i="7"/>
  <c r="O144" i="7"/>
  <c r="O145" i="7"/>
  <c r="R145" i="7" s="1"/>
  <c r="O146" i="7"/>
  <c r="R146" i="7" s="1"/>
  <c r="O147" i="7"/>
  <c r="O148" i="7"/>
  <c r="R148" i="7" s="1"/>
  <c r="O149" i="7"/>
  <c r="R149" i="7" s="1"/>
  <c r="O150" i="7"/>
  <c r="R143" i="7"/>
  <c r="R144" i="7"/>
  <c r="R147" i="7"/>
  <c r="S141" i="7"/>
  <c r="S142" i="7"/>
  <c r="S143" i="7"/>
  <c r="S144" i="7"/>
  <c r="S145" i="7"/>
  <c r="S146" i="7"/>
  <c r="S147" i="7"/>
  <c r="S148" i="7"/>
  <c r="S149" i="7"/>
  <c r="S150" i="7"/>
  <c r="O151" i="7"/>
  <c r="O152" i="7"/>
  <c r="O153" i="7"/>
  <c r="O154" i="7"/>
  <c r="O155" i="7"/>
  <c r="O156" i="7"/>
  <c r="O157" i="7"/>
  <c r="S151" i="7"/>
  <c r="S152" i="7"/>
  <c r="S153" i="7"/>
  <c r="S154" i="7"/>
  <c r="S155" i="7"/>
  <c r="S156" i="7"/>
  <c r="S157" i="7"/>
  <c r="O132" i="7"/>
  <c r="O133" i="7"/>
  <c r="O134" i="7"/>
  <c r="O135" i="7"/>
  <c r="O136" i="7"/>
  <c r="O137" i="7"/>
  <c r="O138" i="7"/>
  <c r="O139" i="7"/>
  <c r="O140" i="7"/>
  <c r="S132" i="7"/>
  <c r="S133" i="7"/>
  <c r="S134" i="7"/>
  <c r="S135" i="7"/>
  <c r="S136" i="7"/>
  <c r="S137" i="7"/>
  <c r="S138" i="7"/>
  <c r="S139" i="7"/>
  <c r="S140" i="7"/>
  <c r="D5" i="11" l="1"/>
  <c r="L259" i="7"/>
  <c r="R261" i="7"/>
  <c r="L261" i="7"/>
  <c r="X140" i="7"/>
  <c r="M139" i="7"/>
  <c r="X139" i="7"/>
  <c r="M138" i="7"/>
  <c r="X138" i="7"/>
  <c r="X137" i="7"/>
  <c r="M137" i="7"/>
  <c r="L137" i="7"/>
  <c r="X136" i="7"/>
  <c r="M136" i="7"/>
  <c r="L136" i="7"/>
  <c r="M135" i="7"/>
  <c r="X135" i="7"/>
  <c r="X134" i="7"/>
  <c r="M134" i="7"/>
  <c r="L134" i="7"/>
  <c r="X133" i="7"/>
  <c r="M133" i="7"/>
  <c r="L133" i="7"/>
  <c r="X132" i="7"/>
  <c r="X157" i="7"/>
  <c r="M157" i="7"/>
  <c r="L157" i="7"/>
  <c r="X156" i="7"/>
  <c r="X155" i="7"/>
  <c r="X154" i="7"/>
  <c r="L154" i="7"/>
  <c r="X153" i="7"/>
  <c r="M153" i="7"/>
  <c r="L153" i="7"/>
  <c r="X152" i="7"/>
  <c r="X151" i="7"/>
  <c r="M150" i="7"/>
  <c r="X150" i="7"/>
  <c r="X149" i="7"/>
  <c r="X148" i="7"/>
  <c r="M148" i="7"/>
  <c r="L148" i="7"/>
  <c r="M147" i="7"/>
  <c r="X147" i="7"/>
  <c r="X146" i="7"/>
  <c r="X145" i="7"/>
  <c r="M145" i="7"/>
  <c r="L145" i="7"/>
  <c r="X144" i="7"/>
  <c r="M144" i="7"/>
  <c r="L144" i="7"/>
  <c r="X143" i="7"/>
  <c r="M143" i="7"/>
  <c r="L143" i="7"/>
  <c r="X142" i="7"/>
  <c r="X141" i="7"/>
  <c r="M141" i="7"/>
  <c r="L141" i="7"/>
  <c r="X207" i="7"/>
  <c r="L207" i="7"/>
  <c r="X206" i="7"/>
  <c r="M206" i="7"/>
  <c r="L206" i="7"/>
  <c r="X205" i="7"/>
  <c r="X204" i="7"/>
  <c r="L204" i="7"/>
  <c r="X203" i="7"/>
  <c r="M203" i="7"/>
  <c r="L203" i="7"/>
  <c r="M202" i="7"/>
  <c r="X202" i="7"/>
  <c r="X200" i="7"/>
  <c r="M200" i="7"/>
  <c r="L200" i="7"/>
  <c r="X199" i="7"/>
  <c r="M199" i="7"/>
  <c r="L199" i="7"/>
  <c r="X198" i="7"/>
  <c r="X197" i="7"/>
  <c r="M197" i="7"/>
  <c r="L197" i="7"/>
  <c r="X196" i="7"/>
  <c r="X195" i="7"/>
  <c r="M195" i="7"/>
  <c r="L195" i="7"/>
  <c r="M159" i="7"/>
  <c r="X159" i="7"/>
  <c r="X158" i="7"/>
  <c r="X228" i="7"/>
  <c r="L228" i="7"/>
  <c r="X227" i="7"/>
  <c r="M227" i="7"/>
  <c r="L227" i="7"/>
  <c r="X226" i="7"/>
  <c r="L226" i="7"/>
  <c r="X225" i="7"/>
  <c r="L225" i="7"/>
  <c r="X224" i="7"/>
  <c r="X223" i="7"/>
  <c r="X222" i="7"/>
  <c r="M222" i="7"/>
  <c r="L222" i="7"/>
  <c r="X201" i="7"/>
  <c r="L201" i="7"/>
  <c r="X177" i="7"/>
  <c r="M177" i="7"/>
  <c r="L177" i="7"/>
  <c r="M176" i="7"/>
  <c r="X176" i="7"/>
  <c r="X175" i="7"/>
  <c r="M175" i="7"/>
  <c r="L175" i="7"/>
  <c r="X166" i="7"/>
  <c r="M166" i="7"/>
  <c r="L166" i="7"/>
  <c r="X165" i="7"/>
  <c r="M165" i="7"/>
  <c r="L165" i="7"/>
  <c r="X164" i="7"/>
  <c r="M163" i="7"/>
  <c r="X163" i="7"/>
  <c r="M162" i="7"/>
  <c r="X162" i="7"/>
  <c r="M161" i="7"/>
  <c r="X161" i="7"/>
  <c r="X160" i="7"/>
  <c r="M160" i="7"/>
  <c r="L160" i="7"/>
  <c r="X181" i="7"/>
  <c r="X180" i="7"/>
  <c r="X179" i="7"/>
  <c r="M179" i="7"/>
  <c r="L179" i="7"/>
  <c r="X174" i="7"/>
  <c r="X173" i="7"/>
  <c r="X172" i="7"/>
  <c r="M172" i="7"/>
  <c r="L172" i="7"/>
  <c r="X171" i="7"/>
  <c r="M171" i="7"/>
  <c r="L171" i="7"/>
  <c r="X170" i="7"/>
  <c r="X169" i="7"/>
  <c r="L169" i="7"/>
  <c r="X192" i="7"/>
  <c r="M192" i="7"/>
  <c r="L192" i="7"/>
  <c r="X191" i="7"/>
  <c r="L191" i="7"/>
  <c r="X190" i="7"/>
  <c r="X189" i="7"/>
  <c r="M189" i="7"/>
  <c r="L189" i="7"/>
  <c r="X188" i="7"/>
  <c r="M188" i="7"/>
  <c r="L188" i="7"/>
  <c r="X187" i="7"/>
  <c r="X186" i="7"/>
  <c r="X185" i="7"/>
  <c r="M185" i="7"/>
  <c r="L185" i="7"/>
  <c r="X184" i="7"/>
  <c r="M184" i="7"/>
  <c r="L184" i="7"/>
  <c r="X183" i="7"/>
  <c r="X182" i="7"/>
  <c r="X216" i="7"/>
  <c r="M216" i="7"/>
  <c r="L216" i="7"/>
  <c r="X215" i="7"/>
  <c r="M215" i="7"/>
  <c r="L215" i="7"/>
  <c r="X214" i="7"/>
  <c r="M214" i="7"/>
  <c r="L214" i="7"/>
  <c r="X213" i="7"/>
  <c r="X211" i="7"/>
  <c r="M211" i="7"/>
  <c r="L211" i="7"/>
  <c r="X210" i="7"/>
  <c r="M210" i="7"/>
  <c r="L210" i="7"/>
  <c r="X209" i="7"/>
  <c r="M209" i="7"/>
  <c r="L209" i="7"/>
  <c r="M208" i="7"/>
  <c r="X208" i="7"/>
  <c r="X221" i="7"/>
  <c r="M221" i="7"/>
  <c r="L221" i="7"/>
  <c r="X220" i="7"/>
  <c r="M220" i="7"/>
  <c r="X219" i="7"/>
  <c r="M219" i="7"/>
  <c r="X218" i="7"/>
  <c r="M218" i="7"/>
  <c r="L218" i="7"/>
  <c r="M217" i="7"/>
  <c r="X217" i="7"/>
  <c r="M237" i="7"/>
  <c r="X237" i="7"/>
  <c r="X236" i="7"/>
  <c r="X235" i="7"/>
  <c r="M235" i="7"/>
  <c r="L235" i="7"/>
  <c r="X234" i="7"/>
  <c r="M234" i="7"/>
  <c r="L234" i="7"/>
  <c r="X233" i="7"/>
  <c r="M233" i="7"/>
  <c r="L233" i="7"/>
  <c r="X232" i="7"/>
  <c r="M232" i="7"/>
  <c r="L232" i="7"/>
  <c r="X231" i="7"/>
  <c r="M231" i="7"/>
  <c r="L231" i="7"/>
  <c r="X230" i="7"/>
  <c r="M230" i="7"/>
  <c r="L230" i="7"/>
  <c r="X229" i="7"/>
  <c r="M229" i="7"/>
  <c r="L229" i="7"/>
  <c r="X249" i="7"/>
  <c r="M249" i="7"/>
  <c r="L249" i="7"/>
  <c r="M248" i="7"/>
  <c r="X248" i="7"/>
  <c r="X247" i="7"/>
  <c r="M247" i="7"/>
  <c r="L247" i="7"/>
  <c r="X246" i="7"/>
  <c r="X245" i="7"/>
  <c r="M245" i="7"/>
  <c r="L245" i="7"/>
  <c r="X244" i="7"/>
  <c r="X243" i="7"/>
  <c r="M243" i="7"/>
  <c r="L243" i="7"/>
  <c r="X242" i="7"/>
  <c r="X241" i="7"/>
  <c r="M241" i="7"/>
  <c r="L241" i="7"/>
  <c r="X240" i="7"/>
  <c r="M240" i="7"/>
  <c r="L240" i="7"/>
  <c r="M239" i="7"/>
  <c r="X239" i="7"/>
  <c r="X238" i="7"/>
  <c r="L238" i="7"/>
  <c r="X261" i="7"/>
  <c r="M261" i="7"/>
  <c r="X260" i="7"/>
  <c r="X259" i="7"/>
  <c r="M259" i="7"/>
  <c r="X258" i="7"/>
  <c r="X257" i="7"/>
  <c r="M257" i="7"/>
  <c r="L257" i="7"/>
  <c r="X256" i="7"/>
  <c r="M256" i="7"/>
  <c r="L256" i="7"/>
  <c r="X255" i="7"/>
  <c r="M255" i="7"/>
  <c r="L255" i="7"/>
  <c r="X254" i="7"/>
  <c r="M254" i="7"/>
  <c r="L254" i="7"/>
  <c r="M253" i="7"/>
  <c r="X253" i="7"/>
  <c r="X252" i="7"/>
  <c r="M252" i="7"/>
  <c r="L252" i="7"/>
  <c r="X251" i="7"/>
  <c r="M251" i="7"/>
  <c r="L251" i="7"/>
  <c r="M250" i="7"/>
  <c r="X250" i="7"/>
  <c r="X273" i="7"/>
  <c r="M273" i="7"/>
  <c r="L273" i="7"/>
  <c r="X272" i="7"/>
  <c r="L272" i="7"/>
  <c r="X271" i="7"/>
  <c r="M271" i="7"/>
  <c r="L271" i="7"/>
  <c r="X270" i="7"/>
  <c r="L270" i="7"/>
  <c r="X269" i="7"/>
  <c r="M269" i="7"/>
  <c r="L269" i="7"/>
  <c r="X268" i="7"/>
  <c r="L268" i="7"/>
  <c r="X267" i="7"/>
  <c r="M267" i="7"/>
  <c r="L267" i="7"/>
  <c r="X266" i="7"/>
  <c r="L266" i="7"/>
  <c r="X265" i="7"/>
  <c r="L265" i="7"/>
  <c r="X264" i="7"/>
  <c r="M264" i="7"/>
  <c r="L264" i="7"/>
  <c r="X263" i="7"/>
  <c r="X262" i="7"/>
  <c r="M262" i="7"/>
  <c r="L262" i="7"/>
  <c r="X282" i="7"/>
  <c r="L282" i="7"/>
  <c r="X281" i="7"/>
  <c r="M281" i="7"/>
  <c r="L281" i="7"/>
  <c r="X280" i="7"/>
  <c r="M280" i="7"/>
  <c r="L280" i="7"/>
  <c r="X279" i="7"/>
  <c r="M279" i="7"/>
  <c r="L279" i="7"/>
  <c r="M277" i="7"/>
  <c r="X277" i="7"/>
  <c r="X276" i="7"/>
  <c r="M276" i="7"/>
  <c r="L276" i="7"/>
  <c r="X275" i="7"/>
  <c r="X274" i="7"/>
  <c r="X278" i="7"/>
  <c r="M278" i="7"/>
  <c r="L278" i="7"/>
  <c r="R177" i="7"/>
  <c r="R175" i="7"/>
  <c r="R165" i="7"/>
  <c r="R208" i="7"/>
  <c r="R166" i="7"/>
  <c r="R164" i="7"/>
  <c r="R150" i="7"/>
  <c r="R259" i="7"/>
  <c r="R255" i="7"/>
  <c r="R251" i="7"/>
  <c r="R249" i="7"/>
  <c r="R260" i="7"/>
  <c r="R258" i="7"/>
  <c r="R256" i="7"/>
  <c r="R254" i="7"/>
  <c r="R252" i="7"/>
  <c r="R250" i="7"/>
  <c r="R248" i="7"/>
  <c r="R206" i="7"/>
  <c r="E27" i="11"/>
  <c r="D27" i="11"/>
  <c r="E6" i="11"/>
  <c r="D6" i="11"/>
  <c r="E7" i="11"/>
  <c r="D7" i="11"/>
  <c r="E34" i="11"/>
  <c r="D34" i="11"/>
  <c r="E10" i="11"/>
  <c r="D10" i="11"/>
  <c r="D33" i="11"/>
  <c r="E33" i="11"/>
  <c r="E43" i="11"/>
  <c r="D43" i="11"/>
  <c r="R204" i="7"/>
  <c r="R207" i="7"/>
  <c r="R205" i="7"/>
  <c r="R203" i="7"/>
  <c r="R169" i="7"/>
  <c r="AC137" i="7"/>
  <c r="AG137" i="7"/>
  <c r="AE137" i="7"/>
  <c r="AF137" i="7"/>
  <c r="AD137" i="7"/>
  <c r="AC135" i="7"/>
  <c r="AG135" i="7"/>
  <c r="AF135" i="7"/>
  <c r="AE135" i="7"/>
  <c r="AD135" i="7"/>
  <c r="AC154" i="7"/>
  <c r="AG154" i="7"/>
  <c r="AF154" i="7"/>
  <c r="AE154" i="7"/>
  <c r="AD154" i="7"/>
  <c r="AC149" i="7"/>
  <c r="AG149" i="7"/>
  <c r="AE149" i="7"/>
  <c r="AF149" i="7"/>
  <c r="AD149" i="7"/>
  <c r="AC145" i="7"/>
  <c r="AG145" i="7"/>
  <c r="AE145" i="7"/>
  <c r="AF145" i="7"/>
  <c r="AD145" i="7"/>
  <c r="AC141" i="7"/>
  <c r="AG141" i="7"/>
  <c r="AE141" i="7"/>
  <c r="AF141" i="7"/>
  <c r="AD141" i="7"/>
  <c r="AC140" i="7"/>
  <c r="AG140" i="7"/>
  <c r="AF140" i="7"/>
  <c r="AE140" i="7"/>
  <c r="AD140" i="7"/>
  <c r="AC138" i="7"/>
  <c r="AG138" i="7"/>
  <c r="AF138" i="7"/>
  <c r="AE138" i="7"/>
  <c r="AD138" i="7"/>
  <c r="AC136" i="7"/>
  <c r="AG136" i="7"/>
  <c r="AF136" i="7"/>
  <c r="AE136" i="7"/>
  <c r="AD136" i="7"/>
  <c r="AC134" i="7"/>
  <c r="AG134" i="7"/>
  <c r="AF134" i="7"/>
  <c r="AE134" i="7"/>
  <c r="AD134" i="7"/>
  <c r="AC132" i="7"/>
  <c r="AG132" i="7"/>
  <c r="AF132" i="7"/>
  <c r="AE132" i="7"/>
  <c r="AD132" i="7"/>
  <c r="AC157" i="7"/>
  <c r="AG157" i="7"/>
  <c r="AE157" i="7"/>
  <c r="AF157" i="7"/>
  <c r="AD157" i="7"/>
  <c r="AC155" i="7"/>
  <c r="AG155" i="7"/>
  <c r="AF155" i="7"/>
  <c r="AE155" i="7"/>
  <c r="AD155" i="7"/>
  <c r="AC153" i="7"/>
  <c r="AG153" i="7"/>
  <c r="AE153" i="7"/>
  <c r="AF153" i="7"/>
  <c r="AD153" i="7"/>
  <c r="AC151" i="7"/>
  <c r="AG151" i="7"/>
  <c r="AF151" i="7"/>
  <c r="AE151" i="7"/>
  <c r="AD151" i="7"/>
  <c r="AC150" i="7"/>
  <c r="AG150" i="7"/>
  <c r="AF150" i="7"/>
  <c r="AE150" i="7"/>
  <c r="AD150" i="7"/>
  <c r="AC148" i="7"/>
  <c r="AG148" i="7"/>
  <c r="AF148" i="7"/>
  <c r="AE148" i="7"/>
  <c r="AD148" i="7"/>
  <c r="AC146" i="7"/>
  <c r="AG146" i="7"/>
  <c r="AF146" i="7"/>
  <c r="AE146" i="7"/>
  <c r="AD146" i="7"/>
  <c r="AC144" i="7"/>
  <c r="AG144" i="7"/>
  <c r="AF144" i="7"/>
  <c r="AE144" i="7"/>
  <c r="AD144" i="7"/>
  <c r="AC142" i="7"/>
  <c r="AG142" i="7"/>
  <c r="AF142" i="7"/>
  <c r="AE142" i="7"/>
  <c r="AD142" i="7"/>
  <c r="AC207" i="7"/>
  <c r="AG207" i="7"/>
  <c r="AF207" i="7"/>
  <c r="AE207" i="7"/>
  <c r="AD207" i="7"/>
  <c r="AC205" i="7"/>
  <c r="AG205" i="7"/>
  <c r="AF205" i="7"/>
  <c r="AE205" i="7"/>
  <c r="AD205" i="7"/>
  <c r="AC203" i="7"/>
  <c r="AG203" i="7"/>
  <c r="AF203" i="7"/>
  <c r="AE203" i="7"/>
  <c r="AD203" i="7"/>
  <c r="AC200" i="7"/>
  <c r="AG200" i="7"/>
  <c r="AE200" i="7"/>
  <c r="AF200" i="7"/>
  <c r="AD200" i="7"/>
  <c r="AC198" i="7"/>
  <c r="AG198" i="7"/>
  <c r="AE198" i="7"/>
  <c r="AF198" i="7"/>
  <c r="AD198" i="7"/>
  <c r="AC196" i="7"/>
  <c r="AG196" i="7"/>
  <c r="AE196" i="7"/>
  <c r="AF196" i="7"/>
  <c r="AD196" i="7"/>
  <c r="AC159" i="7"/>
  <c r="AG159" i="7"/>
  <c r="AF159" i="7"/>
  <c r="AE159" i="7"/>
  <c r="AD159" i="7"/>
  <c r="AC228" i="7"/>
  <c r="AG228" i="7"/>
  <c r="AF228" i="7"/>
  <c r="AE228" i="7"/>
  <c r="AD228" i="7"/>
  <c r="AC226" i="7"/>
  <c r="AG226" i="7"/>
  <c r="AF226" i="7"/>
  <c r="AD226" i="7"/>
  <c r="AE226" i="7"/>
  <c r="AC224" i="7"/>
  <c r="AG224" i="7"/>
  <c r="AF224" i="7"/>
  <c r="AE224" i="7"/>
  <c r="AD224" i="7"/>
  <c r="AC222" i="7"/>
  <c r="AG222" i="7"/>
  <c r="AF222" i="7"/>
  <c r="AD222" i="7"/>
  <c r="AE222" i="7"/>
  <c r="AC177" i="7"/>
  <c r="AG177" i="7"/>
  <c r="AE177" i="7"/>
  <c r="AF177" i="7"/>
  <c r="AD177" i="7"/>
  <c r="AC175" i="7"/>
  <c r="AG175" i="7"/>
  <c r="AF175" i="7"/>
  <c r="AE175" i="7"/>
  <c r="AD175" i="7"/>
  <c r="AC165" i="7"/>
  <c r="AG165" i="7"/>
  <c r="AE165" i="7"/>
  <c r="AF165" i="7"/>
  <c r="AD165" i="7"/>
  <c r="AC163" i="7"/>
  <c r="AG163" i="7"/>
  <c r="AF163" i="7"/>
  <c r="AE163" i="7"/>
  <c r="AD163" i="7"/>
  <c r="AC161" i="7"/>
  <c r="AG161" i="7"/>
  <c r="AE161" i="7"/>
  <c r="AF161" i="7"/>
  <c r="AD161" i="7"/>
  <c r="AC181" i="7"/>
  <c r="AG181" i="7"/>
  <c r="AF181" i="7"/>
  <c r="AE181" i="7"/>
  <c r="AD181" i="7"/>
  <c r="AC179" i="7"/>
  <c r="AG179" i="7"/>
  <c r="AF179" i="7"/>
  <c r="AE179" i="7"/>
  <c r="AD179" i="7"/>
  <c r="AC173" i="7"/>
  <c r="AG173" i="7"/>
  <c r="AE173" i="7"/>
  <c r="AF173" i="7"/>
  <c r="AD173" i="7"/>
  <c r="AC172" i="7"/>
  <c r="AG172" i="7"/>
  <c r="AF172" i="7"/>
  <c r="AE172" i="7"/>
  <c r="AD172" i="7"/>
  <c r="AC170" i="7"/>
  <c r="AG170" i="7"/>
  <c r="AE170" i="7"/>
  <c r="AF170" i="7"/>
  <c r="AD170" i="7"/>
  <c r="AC191" i="7"/>
  <c r="AG191" i="7"/>
  <c r="AF191" i="7"/>
  <c r="AE191" i="7"/>
  <c r="AD191" i="7"/>
  <c r="AC189" i="7"/>
  <c r="AG189" i="7"/>
  <c r="AF189" i="7"/>
  <c r="AE189" i="7"/>
  <c r="AD189" i="7"/>
  <c r="AC187" i="7"/>
  <c r="AG187" i="7"/>
  <c r="AF187" i="7"/>
  <c r="AE187" i="7"/>
  <c r="AD187" i="7"/>
  <c r="AC185" i="7"/>
  <c r="AG185" i="7"/>
  <c r="AF185" i="7"/>
  <c r="AE185" i="7"/>
  <c r="AD185" i="7"/>
  <c r="AC183" i="7"/>
  <c r="AG183" i="7"/>
  <c r="AF183" i="7"/>
  <c r="AE183" i="7"/>
  <c r="AD183" i="7"/>
  <c r="AC215" i="7"/>
  <c r="AG215" i="7"/>
  <c r="AE215" i="7"/>
  <c r="AF215" i="7"/>
  <c r="AD215" i="7"/>
  <c r="AC213" i="7"/>
  <c r="AG213" i="7"/>
  <c r="AE213" i="7"/>
  <c r="AF213" i="7"/>
  <c r="AD213" i="7"/>
  <c r="AC210" i="7"/>
  <c r="AG210" i="7"/>
  <c r="AE210" i="7"/>
  <c r="AF210" i="7"/>
  <c r="AD210" i="7"/>
  <c r="AC208" i="7"/>
  <c r="AG208" i="7"/>
  <c r="AE208" i="7"/>
  <c r="AF208" i="7"/>
  <c r="AD208" i="7"/>
  <c r="AC220" i="7"/>
  <c r="AG220" i="7"/>
  <c r="AF220" i="7"/>
  <c r="AE220" i="7"/>
  <c r="AD220" i="7"/>
  <c r="AC218" i="7"/>
  <c r="AG218" i="7"/>
  <c r="AF218" i="7"/>
  <c r="AD218" i="7"/>
  <c r="AE218" i="7"/>
  <c r="AC237" i="7"/>
  <c r="AG237" i="7"/>
  <c r="AE237" i="7"/>
  <c r="AF237" i="7"/>
  <c r="AD237" i="7"/>
  <c r="AC235" i="7"/>
  <c r="AG235" i="7"/>
  <c r="AE235" i="7"/>
  <c r="AF235" i="7"/>
  <c r="AD235" i="7"/>
  <c r="AC233" i="7"/>
  <c r="AG233" i="7"/>
  <c r="AE233" i="7"/>
  <c r="AF233" i="7"/>
  <c r="AD233" i="7"/>
  <c r="AC231" i="7"/>
  <c r="AG231" i="7"/>
  <c r="AE231" i="7"/>
  <c r="AF231" i="7"/>
  <c r="AD231" i="7"/>
  <c r="AC229" i="7"/>
  <c r="AG229" i="7"/>
  <c r="AE229" i="7"/>
  <c r="AF229" i="7"/>
  <c r="AD229" i="7"/>
  <c r="AC249" i="7"/>
  <c r="AG249" i="7"/>
  <c r="AE249" i="7"/>
  <c r="AF249" i="7"/>
  <c r="AD249" i="7"/>
  <c r="AC247" i="7"/>
  <c r="AG247" i="7"/>
  <c r="AE247" i="7"/>
  <c r="AF247" i="7"/>
  <c r="AD247" i="7"/>
  <c r="AC245" i="7"/>
  <c r="AG245" i="7"/>
  <c r="AE245" i="7"/>
  <c r="AF245" i="7"/>
  <c r="AD245" i="7"/>
  <c r="AC243" i="7"/>
  <c r="AG243" i="7"/>
  <c r="AE243" i="7"/>
  <c r="AF243" i="7"/>
  <c r="AD243" i="7"/>
  <c r="AC241" i="7"/>
  <c r="AG241" i="7"/>
  <c r="AE241" i="7"/>
  <c r="AF241" i="7"/>
  <c r="AD241" i="7"/>
  <c r="AC239" i="7"/>
  <c r="AG239" i="7"/>
  <c r="AE239" i="7"/>
  <c r="AF239" i="7"/>
  <c r="AD239" i="7"/>
  <c r="AC261" i="7"/>
  <c r="AG261" i="7"/>
  <c r="AE261" i="7"/>
  <c r="AF261" i="7"/>
  <c r="AD261" i="7"/>
  <c r="AC259" i="7"/>
  <c r="AG259" i="7"/>
  <c r="AE259" i="7"/>
  <c r="AF259" i="7"/>
  <c r="AD259" i="7"/>
  <c r="AC257" i="7"/>
  <c r="AG257" i="7"/>
  <c r="AE257" i="7"/>
  <c r="AF257" i="7"/>
  <c r="AD257" i="7"/>
  <c r="AC255" i="7"/>
  <c r="AG255" i="7"/>
  <c r="AE255" i="7"/>
  <c r="AF255" i="7"/>
  <c r="AD255" i="7"/>
  <c r="AC253" i="7"/>
  <c r="AG253" i="7"/>
  <c r="AE253" i="7"/>
  <c r="AF253" i="7"/>
  <c r="AD253" i="7"/>
  <c r="AC251" i="7"/>
  <c r="AG251" i="7"/>
  <c r="AE251" i="7"/>
  <c r="AF251" i="7"/>
  <c r="AD251" i="7"/>
  <c r="AC273" i="7"/>
  <c r="AG273" i="7"/>
  <c r="AE273" i="7"/>
  <c r="AF273" i="7"/>
  <c r="AD273" i="7"/>
  <c r="AC271" i="7"/>
  <c r="AG271" i="7"/>
  <c r="AE271" i="7"/>
  <c r="AF271" i="7"/>
  <c r="AD271" i="7"/>
  <c r="AC269" i="7"/>
  <c r="AG269" i="7"/>
  <c r="AE269" i="7"/>
  <c r="AF269" i="7"/>
  <c r="AD269" i="7"/>
  <c r="AC267" i="7"/>
  <c r="AG267" i="7"/>
  <c r="AE267" i="7"/>
  <c r="AF267" i="7"/>
  <c r="AD267" i="7"/>
  <c r="AC265" i="7"/>
  <c r="AG265" i="7"/>
  <c r="AE265" i="7"/>
  <c r="AF265" i="7"/>
  <c r="AD265" i="7"/>
  <c r="AC263" i="7"/>
  <c r="AG263" i="7"/>
  <c r="AE263" i="7"/>
  <c r="AF263" i="7"/>
  <c r="AD263" i="7"/>
  <c r="AC282" i="7"/>
  <c r="AG282" i="7"/>
  <c r="AF282" i="7"/>
  <c r="AE282" i="7"/>
  <c r="AD282" i="7"/>
  <c r="AC280" i="7"/>
  <c r="AG280" i="7"/>
  <c r="AF280" i="7"/>
  <c r="AE280" i="7"/>
  <c r="AD280" i="7"/>
  <c r="AC277" i="7"/>
  <c r="AG277" i="7"/>
  <c r="AF277" i="7"/>
  <c r="AE277" i="7"/>
  <c r="AD277" i="7"/>
  <c r="AC275" i="7"/>
  <c r="AG275" i="7"/>
  <c r="AE275" i="7"/>
  <c r="AF275" i="7"/>
  <c r="AD275" i="7"/>
  <c r="AC139" i="7"/>
  <c r="AG139" i="7"/>
  <c r="AF139" i="7"/>
  <c r="AE139" i="7"/>
  <c r="AD139" i="7"/>
  <c r="AC133" i="7"/>
  <c r="AG133" i="7"/>
  <c r="AE133" i="7"/>
  <c r="AF133" i="7"/>
  <c r="AD133" i="7"/>
  <c r="AC156" i="7"/>
  <c r="AG156" i="7"/>
  <c r="AF156" i="7"/>
  <c r="AE156" i="7"/>
  <c r="AD156" i="7"/>
  <c r="AC152" i="7"/>
  <c r="AG152" i="7"/>
  <c r="AF152" i="7"/>
  <c r="AE152" i="7"/>
  <c r="AD152" i="7"/>
  <c r="AC147" i="7"/>
  <c r="AG147" i="7"/>
  <c r="AF147" i="7"/>
  <c r="AE147" i="7"/>
  <c r="AD147" i="7"/>
  <c r="AC143" i="7"/>
  <c r="AG143" i="7"/>
  <c r="AF143" i="7"/>
  <c r="AE143" i="7"/>
  <c r="AD143" i="7"/>
  <c r="AC206" i="7"/>
  <c r="AG206" i="7"/>
  <c r="AE206" i="7"/>
  <c r="AF206" i="7"/>
  <c r="AD206" i="7"/>
  <c r="AC204" i="7"/>
  <c r="AG204" i="7"/>
  <c r="AE204" i="7"/>
  <c r="AF204" i="7"/>
  <c r="AD204" i="7"/>
  <c r="AC202" i="7"/>
  <c r="AG202" i="7"/>
  <c r="AE202" i="7"/>
  <c r="AF202" i="7"/>
  <c r="AD202" i="7"/>
  <c r="AC199" i="7"/>
  <c r="AG199" i="7"/>
  <c r="AF199" i="7"/>
  <c r="AE199" i="7"/>
  <c r="AD199" i="7"/>
  <c r="AC197" i="7"/>
  <c r="AG197" i="7"/>
  <c r="AF197" i="7"/>
  <c r="AE197" i="7"/>
  <c r="AD197" i="7"/>
  <c r="AC195" i="7"/>
  <c r="AG195" i="7"/>
  <c r="AF195" i="7"/>
  <c r="AE195" i="7"/>
  <c r="AD195" i="7"/>
  <c r="AC158" i="7"/>
  <c r="AG158" i="7"/>
  <c r="AF158" i="7"/>
  <c r="AE158" i="7"/>
  <c r="AD158" i="7"/>
  <c r="AC227" i="7"/>
  <c r="AG227" i="7"/>
  <c r="AE227" i="7"/>
  <c r="AF227" i="7"/>
  <c r="AD227" i="7"/>
  <c r="AC225" i="7"/>
  <c r="AG225" i="7"/>
  <c r="AE225" i="7"/>
  <c r="AF225" i="7"/>
  <c r="AD225" i="7"/>
  <c r="AC223" i="7"/>
  <c r="AG223" i="7"/>
  <c r="AE223" i="7"/>
  <c r="AF223" i="7"/>
  <c r="AD223" i="7"/>
  <c r="AC201" i="7"/>
  <c r="AG201" i="7"/>
  <c r="AF201" i="7"/>
  <c r="AE201" i="7"/>
  <c r="AD201" i="7"/>
  <c r="AC176" i="7"/>
  <c r="AG176" i="7"/>
  <c r="AF176" i="7"/>
  <c r="AE176" i="7"/>
  <c r="AD176" i="7"/>
  <c r="AC166" i="7"/>
  <c r="AG166" i="7"/>
  <c r="AF166" i="7"/>
  <c r="AE166" i="7"/>
  <c r="AD166" i="7"/>
  <c r="AC164" i="7"/>
  <c r="AG164" i="7"/>
  <c r="AF164" i="7"/>
  <c r="AE164" i="7"/>
  <c r="AD164" i="7"/>
  <c r="AC162" i="7"/>
  <c r="AG162" i="7"/>
  <c r="AF162" i="7"/>
  <c r="AE162" i="7"/>
  <c r="AD162" i="7"/>
  <c r="AC160" i="7"/>
  <c r="AG160" i="7"/>
  <c r="AF160" i="7"/>
  <c r="AE160" i="7"/>
  <c r="AD160" i="7"/>
  <c r="AC180" i="7"/>
  <c r="AG180" i="7"/>
  <c r="AF180" i="7"/>
  <c r="AE180" i="7"/>
  <c r="AD180" i="7"/>
  <c r="AC174" i="7"/>
  <c r="AG174" i="7"/>
  <c r="AF174" i="7"/>
  <c r="AE174" i="7"/>
  <c r="AD174" i="7"/>
  <c r="AC171" i="7"/>
  <c r="AG171" i="7"/>
  <c r="AF171" i="7"/>
  <c r="AE171" i="7"/>
  <c r="AD171" i="7"/>
  <c r="AC169" i="7"/>
  <c r="AG169" i="7"/>
  <c r="AF169" i="7"/>
  <c r="AE169" i="7"/>
  <c r="AD169" i="7"/>
  <c r="AC192" i="7"/>
  <c r="AG192" i="7"/>
  <c r="AE192" i="7"/>
  <c r="AF192" i="7"/>
  <c r="AD192" i="7"/>
  <c r="AC190" i="7"/>
  <c r="AG190" i="7"/>
  <c r="AE190" i="7"/>
  <c r="AF190" i="7"/>
  <c r="AD190" i="7"/>
  <c r="AC188" i="7"/>
  <c r="AG188" i="7"/>
  <c r="AF188" i="7"/>
  <c r="AE188" i="7"/>
  <c r="AD188" i="7"/>
  <c r="AC186" i="7"/>
  <c r="AG186" i="7"/>
  <c r="AE186" i="7"/>
  <c r="AF186" i="7"/>
  <c r="AD186" i="7"/>
  <c r="AC184" i="7"/>
  <c r="AG184" i="7"/>
  <c r="AF184" i="7"/>
  <c r="AE184" i="7"/>
  <c r="AD184" i="7"/>
  <c r="AC182" i="7"/>
  <c r="AG182" i="7"/>
  <c r="AE182" i="7"/>
  <c r="AF182" i="7"/>
  <c r="AD182" i="7"/>
  <c r="AC216" i="7"/>
  <c r="AG216" i="7"/>
  <c r="AF216" i="7"/>
  <c r="AE216" i="7"/>
  <c r="AD216" i="7"/>
  <c r="AC214" i="7"/>
  <c r="AG214" i="7"/>
  <c r="AF214" i="7"/>
  <c r="AE214" i="7"/>
  <c r="AD214" i="7"/>
  <c r="AC211" i="7"/>
  <c r="AG211" i="7"/>
  <c r="AF211" i="7"/>
  <c r="AE211" i="7"/>
  <c r="AD211" i="7"/>
  <c r="AC209" i="7"/>
  <c r="AG209" i="7"/>
  <c r="AF209" i="7"/>
  <c r="AE209" i="7"/>
  <c r="AD209" i="7"/>
  <c r="AC221" i="7"/>
  <c r="AG221" i="7"/>
  <c r="AE221" i="7"/>
  <c r="AF221" i="7"/>
  <c r="AD221" i="7"/>
  <c r="AC219" i="7"/>
  <c r="AG219" i="7"/>
  <c r="AE219" i="7"/>
  <c r="AF219" i="7"/>
  <c r="AD219" i="7"/>
  <c r="AC217" i="7"/>
  <c r="AG217" i="7"/>
  <c r="AE217" i="7"/>
  <c r="AF217" i="7"/>
  <c r="AD217" i="7"/>
  <c r="AC236" i="7"/>
  <c r="AG236" i="7"/>
  <c r="AF236" i="7"/>
  <c r="AE236" i="7"/>
  <c r="AD236" i="7"/>
  <c r="AC234" i="7"/>
  <c r="AG234" i="7"/>
  <c r="AF234" i="7"/>
  <c r="AD234" i="7"/>
  <c r="AE234" i="7"/>
  <c r="AC232" i="7"/>
  <c r="AG232" i="7"/>
  <c r="AF232" i="7"/>
  <c r="AE232" i="7"/>
  <c r="AD232" i="7"/>
  <c r="AC230" i="7"/>
  <c r="AG230" i="7"/>
  <c r="AF230" i="7"/>
  <c r="AD230" i="7"/>
  <c r="AE230" i="7"/>
  <c r="AC248" i="7"/>
  <c r="AG248" i="7"/>
  <c r="AF248" i="7"/>
  <c r="AE248" i="7"/>
  <c r="AD248" i="7"/>
  <c r="AC246" i="7"/>
  <c r="AG246" i="7"/>
  <c r="AF246" i="7"/>
  <c r="AD246" i="7"/>
  <c r="AE246" i="7"/>
  <c r="AC244" i="7"/>
  <c r="AG244" i="7"/>
  <c r="AF244" i="7"/>
  <c r="AE244" i="7"/>
  <c r="AD244" i="7"/>
  <c r="AC242" i="7"/>
  <c r="AG242" i="7"/>
  <c r="AF242" i="7"/>
  <c r="AD242" i="7"/>
  <c r="AE242" i="7"/>
  <c r="AC240" i="7"/>
  <c r="AG240" i="7"/>
  <c r="AF240" i="7"/>
  <c r="AE240" i="7"/>
  <c r="AD240" i="7"/>
  <c r="AC238" i="7"/>
  <c r="AG238" i="7"/>
  <c r="AF238" i="7"/>
  <c r="AD238" i="7"/>
  <c r="AE238" i="7"/>
  <c r="AC260" i="7"/>
  <c r="AG260" i="7"/>
  <c r="AF260" i="7"/>
  <c r="AE260" i="7"/>
  <c r="AD260" i="7"/>
  <c r="AC258" i="7"/>
  <c r="AG258" i="7"/>
  <c r="AF258" i="7"/>
  <c r="AD258" i="7"/>
  <c r="AE258" i="7"/>
  <c r="AC256" i="7"/>
  <c r="AG256" i="7"/>
  <c r="AF256" i="7"/>
  <c r="AE256" i="7"/>
  <c r="AD256" i="7"/>
  <c r="AC254" i="7"/>
  <c r="AG254" i="7"/>
  <c r="AF254" i="7"/>
  <c r="AD254" i="7"/>
  <c r="AE254" i="7"/>
  <c r="AC252" i="7"/>
  <c r="AG252" i="7"/>
  <c r="AF252" i="7"/>
  <c r="AE252" i="7"/>
  <c r="AD252" i="7"/>
  <c r="AC250" i="7"/>
  <c r="AG250" i="7"/>
  <c r="AF250" i="7"/>
  <c r="AD250" i="7"/>
  <c r="AE250" i="7"/>
  <c r="AC272" i="7"/>
  <c r="AG272" i="7"/>
  <c r="AF272" i="7"/>
  <c r="AE272" i="7"/>
  <c r="AD272" i="7"/>
  <c r="AC270" i="7"/>
  <c r="AG270" i="7"/>
  <c r="AF270" i="7"/>
  <c r="AD270" i="7"/>
  <c r="AE270" i="7"/>
  <c r="AC268" i="7"/>
  <c r="AG268" i="7"/>
  <c r="AF268" i="7"/>
  <c r="AE268" i="7"/>
  <c r="AD268" i="7"/>
  <c r="AC266" i="7"/>
  <c r="AG266" i="7"/>
  <c r="AF266" i="7"/>
  <c r="AD266" i="7"/>
  <c r="AE266" i="7"/>
  <c r="AC264" i="7"/>
  <c r="AG264" i="7"/>
  <c r="AF264" i="7"/>
  <c r="AE264" i="7"/>
  <c r="AD264" i="7"/>
  <c r="AC262" i="7"/>
  <c r="AG262" i="7"/>
  <c r="AF262" i="7"/>
  <c r="AD262" i="7"/>
  <c r="AE262" i="7"/>
  <c r="AC281" i="7"/>
  <c r="AG281" i="7"/>
  <c r="AF281" i="7"/>
  <c r="AE281" i="7"/>
  <c r="AD281" i="7"/>
  <c r="AC279" i="7"/>
  <c r="AG279" i="7"/>
  <c r="AF279" i="7"/>
  <c r="AE279" i="7"/>
  <c r="AD279" i="7"/>
  <c r="AC276" i="7"/>
  <c r="AG276" i="7"/>
  <c r="AF276" i="7"/>
  <c r="AE276" i="7"/>
  <c r="AD276" i="7"/>
  <c r="AC274" i="7"/>
  <c r="AG274" i="7"/>
  <c r="AF274" i="7"/>
  <c r="AD274" i="7"/>
  <c r="AE274" i="7"/>
  <c r="AC278" i="7"/>
  <c r="AG278" i="7"/>
  <c r="AF278" i="7"/>
  <c r="AE278" i="7"/>
  <c r="AD278" i="7"/>
  <c r="R138" i="7"/>
  <c r="R136" i="7"/>
  <c r="R132" i="7"/>
  <c r="R157" i="7"/>
  <c r="R153" i="7"/>
  <c r="D11" i="10"/>
  <c r="C11" i="10"/>
  <c r="R139" i="7"/>
  <c r="R137" i="7"/>
  <c r="R135" i="7"/>
  <c r="R133" i="7"/>
  <c r="R156" i="7"/>
  <c r="R154" i="7"/>
  <c r="R152" i="7"/>
  <c r="R181" i="7"/>
  <c r="R179" i="7"/>
  <c r="R173" i="7"/>
  <c r="R172" i="7"/>
  <c r="R170" i="7"/>
  <c r="R192" i="7"/>
  <c r="R190" i="7"/>
  <c r="R188" i="7"/>
  <c r="R186" i="7"/>
  <c r="R184" i="7"/>
  <c r="R182" i="7"/>
  <c r="R215" i="7"/>
  <c r="R213" i="7"/>
  <c r="R210" i="7"/>
  <c r="R220" i="7"/>
  <c r="R236" i="7"/>
  <c r="R234" i="7"/>
  <c r="R232" i="7"/>
  <c r="R230" i="7"/>
  <c r="R281" i="7"/>
  <c r="R276" i="7"/>
  <c r="R274" i="7"/>
  <c r="R278" i="7"/>
  <c r="R140" i="7"/>
  <c r="R134" i="7"/>
  <c r="R155" i="7"/>
  <c r="R151" i="7"/>
  <c r="R180" i="7"/>
  <c r="R174" i="7"/>
  <c r="R171" i="7"/>
  <c r="R191" i="7"/>
  <c r="R189" i="7"/>
  <c r="R187" i="7"/>
  <c r="R185" i="7"/>
  <c r="R183" i="7"/>
  <c r="R216" i="7"/>
  <c r="R214" i="7"/>
  <c r="R211" i="7"/>
  <c r="R221" i="7"/>
  <c r="R219" i="7"/>
  <c r="R217" i="7"/>
  <c r="R237" i="7"/>
  <c r="R235" i="7"/>
  <c r="R233" i="7"/>
  <c r="R231" i="7"/>
  <c r="R229" i="7"/>
  <c r="R282" i="7"/>
  <c r="R280" i="7"/>
  <c r="R277" i="7"/>
  <c r="R275" i="7"/>
  <c r="O325" i="7"/>
  <c r="X325" i="7" s="1"/>
  <c r="S325" i="7"/>
  <c r="B742" i="6"/>
  <c r="B743" i="6"/>
  <c r="B744" i="6"/>
  <c r="B745" i="6"/>
  <c r="B746" i="6"/>
  <c r="B747" i="6"/>
  <c r="B748" i="6"/>
  <c r="B749" i="6"/>
  <c r="B750" i="6"/>
  <c r="B751" i="6"/>
  <c r="B752" i="6"/>
  <c r="B753" i="6"/>
  <c r="O310" i="7"/>
  <c r="X310" i="7" s="1"/>
  <c r="O311" i="7"/>
  <c r="X311" i="7" s="1"/>
  <c r="O312" i="7"/>
  <c r="X312" i="7" s="1"/>
  <c r="O313" i="7"/>
  <c r="X313" i="7" s="1"/>
  <c r="O314" i="7"/>
  <c r="X314" i="7" s="1"/>
  <c r="O315" i="7"/>
  <c r="X315" i="7" s="1"/>
  <c r="O316" i="7"/>
  <c r="X316" i="7" s="1"/>
  <c r="S310" i="7"/>
  <c r="S311" i="7"/>
  <c r="S312" i="7"/>
  <c r="S313" i="7"/>
  <c r="S314" i="7"/>
  <c r="S315" i="7"/>
  <c r="S316" i="7"/>
  <c r="O296" i="7"/>
  <c r="X296" i="7" s="1"/>
  <c r="O297" i="7"/>
  <c r="X297" i="7" s="1"/>
  <c r="O298" i="7"/>
  <c r="X298" i="7" s="1"/>
  <c r="O299" i="7"/>
  <c r="X299" i="7" s="1"/>
  <c r="O300" i="7"/>
  <c r="X300" i="7" s="1"/>
  <c r="O301" i="7"/>
  <c r="X301" i="7" s="1"/>
  <c r="O302" i="7"/>
  <c r="X302" i="7" s="1"/>
  <c r="O303" i="7"/>
  <c r="X303" i="7" s="1"/>
  <c r="O304" i="7"/>
  <c r="X304" i="7" s="1"/>
  <c r="O307" i="7"/>
  <c r="X307" i="7" s="1"/>
  <c r="O308" i="7"/>
  <c r="X308" i="7" s="1"/>
  <c r="O309" i="7"/>
  <c r="X309" i="7" s="1"/>
  <c r="R296" i="7"/>
  <c r="R297" i="7"/>
  <c r="R298" i="7"/>
  <c r="R299" i="7"/>
  <c r="R300" i="7"/>
  <c r="R301" i="7"/>
  <c r="R302" i="7"/>
  <c r="R303" i="7"/>
  <c r="R304" i="7"/>
  <c r="R307" i="7"/>
  <c r="D36" i="11" s="1"/>
  <c r="R308" i="7"/>
  <c r="R309" i="7"/>
  <c r="S296" i="7"/>
  <c r="S297" i="7"/>
  <c r="S298" i="7"/>
  <c r="S299" i="7"/>
  <c r="S300" i="7"/>
  <c r="S301" i="7"/>
  <c r="S302" i="7"/>
  <c r="S303" i="7"/>
  <c r="S304" i="7"/>
  <c r="S307" i="7"/>
  <c r="S308" i="7"/>
  <c r="S309" i="7"/>
  <c r="O283" i="7"/>
  <c r="X283" i="7" s="1"/>
  <c r="O284" i="7"/>
  <c r="X284" i="7" s="1"/>
  <c r="O285" i="7"/>
  <c r="X285" i="7" s="1"/>
  <c r="O286" i="7"/>
  <c r="X286" i="7" s="1"/>
  <c r="O294" i="7"/>
  <c r="X294" i="7" s="1"/>
  <c r="O295" i="7"/>
  <c r="X295" i="7" s="1"/>
  <c r="O306" i="7"/>
  <c r="X306" i="7" s="1"/>
  <c r="O290" i="7"/>
  <c r="X290" i="7" s="1"/>
  <c r="O287" i="7"/>
  <c r="X287" i="7" s="1"/>
  <c r="O291" i="7"/>
  <c r="X291" i="7" s="1"/>
  <c r="O292" i="7"/>
  <c r="X292" i="7" s="1"/>
  <c r="O293" i="7"/>
  <c r="X293" i="7" s="1"/>
  <c r="R283" i="7"/>
  <c r="R284" i="7"/>
  <c r="R285" i="7"/>
  <c r="R286" i="7"/>
  <c r="R294" i="7"/>
  <c r="D17" i="11" s="1"/>
  <c r="R295" i="7"/>
  <c r="R306" i="7"/>
  <c r="R290" i="7"/>
  <c r="R287" i="7"/>
  <c r="D8" i="11" s="1"/>
  <c r="R291" i="7"/>
  <c r="R292" i="7"/>
  <c r="R293" i="7"/>
  <c r="S283" i="7"/>
  <c r="S284" i="7"/>
  <c r="S285" i="7"/>
  <c r="S286" i="7"/>
  <c r="S294" i="7"/>
  <c r="S295" i="7"/>
  <c r="S306" i="7"/>
  <c r="S290" i="7"/>
  <c r="S287" i="7"/>
  <c r="S291" i="7"/>
  <c r="S292" i="7"/>
  <c r="S293" i="7"/>
  <c r="O327" i="7"/>
  <c r="X327" i="7" s="1"/>
  <c r="O324" i="7"/>
  <c r="X324" i="7" s="1"/>
  <c r="O326" i="7"/>
  <c r="X326" i="7" s="1"/>
  <c r="O317" i="7"/>
  <c r="X317" i="7" s="1"/>
  <c r="O318" i="7"/>
  <c r="X318" i="7" s="1"/>
  <c r="O319" i="7"/>
  <c r="X319" i="7" s="1"/>
  <c r="O320" i="7"/>
  <c r="X320" i="7" s="1"/>
  <c r="O321" i="7"/>
  <c r="X321" i="7" s="1"/>
  <c r="O322" i="7"/>
  <c r="X322" i="7" s="1"/>
  <c r="S327" i="7"/>
  <c r="S324" i="7"/>
  <c r="S326" i="7"/>
  <c r="S317" i="7"/>
  <c r="S318" i="7"/>
  <c r="S319" i="7"/>
  <c r="S320" i="7"/>
  <c r="S321" i="7"/>
  <c r="S322" i="7"/>
  <c r="O330" i="7"/>
  <c r="X330" i="7" s="1"/>
  <c r="O331" i="7"/>
  <c r="X331" i="7" s="1"/>
  <c r="R330" i="7"/>
  <c r="R331" i="7"/>
  <c r="S330" i="7"/>
  <c r="S331" i="7"/>
  <c r="D10" i="8"/>
  <c r="C11" i="8"/>
  <c r="D11" i="8"/>
  <c r="C12" i="8"/>
  <c r="D12" i="8"/>
  <c r="C13" i="8"/>
  <c r="D13" i="8"/>
  <c r="C14" i="8"/>
  <c r="D14" i="8"/>
  <c r="C15" i="8"/>
  <c r="D15" i="8"/>
  <c r="C16" i="8"/>
  <c r="D16" i="8"/>
  <c r="C17" i="8"/>
  <c r="D17" i="8"/>
  <c r="C18" i="8"/>
  <c r="D18" i="8"/>
  <c r="C19" i="8"/>
  <c r="D19" i="8"/>
  <c r="C20" i="8"/>
  <c r="D20" i="8"/>
  <c r="C21" i="8"/>
  <c r="D21" i="8"/>
  <c r="C22" i="8"/>
  <c r="D22" i="8"/>
  <c r="C23" i="8"/>
  <c r="D23" i="8"/>
  <c r="C24" i="8"/>
  <c r="D24" i="8"/>
  <c r="C25" i="8"/>
  <c r="D25" i="8"/>
  <c r="C26" i="8"/>
  <c r="D26" i="8"/>
  <c r="C27" i="8"/>
  <c r="D27" i="8"/>
  <c r="C28" i="8"/>
  <c r="D28" i="8"/>
  <c r="C29" i="8"/>
  <c r="D29" i="8"/>
  <c r="C30" i="8"/>
  <c r="D30" i="8"/>
  <c r="C31" i="8"/>
  <c r="D31" i="8"/>
  <c r="C32" i="8"/>
  <c r="D32" i="8"/>
  <c r="C33" i="8"/>
  <c r="D33" i="8"/>
  <c r="C34" i="8"/>
  <c r="D34" i="8"/>
  <c r="C35" i="8"/>
  <c r="D35" i="8"/>
  <c r="C36" i="8"/>
  <c r="D36" i="8"/>
  <c r="C37" i="8"/>
  <c r="D37" i="8"/>
  <c r="C38" i="8"/>
  <c r="D38" i="8"/>
  <c r="C39" i="8"/>
  <c r="D39" i="8"/>
  <c r="C40" i="8"/>
  <c r="D40" i="8"/>
  <c r="C41" i="8"/>
  <c r="D41" i="8"/>
  <c r="C42" i="8"/>
  <c r="D42" i="8"/>
  <c r="C43" i="8"/>
  <c r="D43" i="8"/>
  <c r="C44" i="8"/>
  <c r="D44" i="8"/>
  <c r="C45" i="8"/>
  <c r="D45" i="8"/>
  <c r="C46" i="8"/>
  <c r="D46" i="8"/>
  <c r="C47" i="8"/>
  <c r="D47" i="8"/>
  <c r="B2" i="9"/>
  <c r="C6" i="9"/>
  <c r="D6" i="9"/>
  <c r="C7" i="9"/>
  <c r="D7" i="9"/>
  <c r="C8" i="9"/>
  <c r="D8" i="9"/>
  <c r="C9" i="9"/>
  <c r="D9" i="9"/>
  <c r="C10" i="9"/>
  <c r="D10" i="9"/>
  <c r="C11" i="9"/>
  <c r="D11" i="9"/>
  <c r="C12" i="9"/>
  <c r="D12" i="9"/>
  <c r="C13" i="9"/>
  <c r="D13" i="9"/>
  <c r="C14" i="9"/>
  <c r="D14" i="9"/>
  <c r="C15" i="9"/>
  <c r="D15" i="9"/>
  <c r="C16" i="9"/>
  <c r="D16" i="9"/>
  <c r="C17" i="9"/>
  <c r="D17" i="9"/>
  <c r="C18" i="9"/>
  <c r="D18" i="9"/>
  <c r="C19" i="9"/>
  <c r="D19" i="9"/>
  <c r="C20" i="9"/>
  <c r="D20" i="9"/>
  <c r="C21" i="9"/>
  <c r="D21" i="9"/>
  <c r="C22" i="9"/>
  <c r="D22" i="9"/>
  <c r="C23" i="9"/>
  <c r="D23" i="9"/>
  <c r="C24" i="9"/>
  <c r="D24" i="9"/>
  <c r="C25" i="9"/>
  <c r="D25" i="9"/>
  <c r="C26" i="9"/>
  <c r="D26" i="9"/>
  <c r="C27" i="9"/>
  <c r="D27" i="9"/>
  <c r="C28" i="9"/>
  <c r="D28" i="9"/>
  <c r="C29" i="9"/>
  <c r="D29" i="9"/>
  <c r="C30" i="9"/>
  <c r="D30" i="9"/>
  <c r="C31" i="9"/>
  <c r="D31" i="9"/>
  <c r="C32" i="9"/>
  <c r="D32" i="9"/>
  <c r="C33" i="9"/>
  <c r="D33" i="9"/>
  <c r="C34" i="9"/>
  <c r="D34" i="9"/>
  <c r="C35" i="9"/>
  <c r="D35" i="9"/>
  <c r="C36" i="9"/>
  <c r="D36" i="9"/>
  <c r="C37" i="9"/>
  <c r="D37" i="9"/>
  <c r="C38" i="9"/>
  <c r="D38" i="9"/>
  <c r="C39" i="9"/>
  <c r="D39" i="9"/>
  <c r="C40" i="9"/>
  <c r="D40" i="9"/>
  <c r="C41" i="9"/>
  <c r="D41" i="9"/>
  <c r="C42" i="9"/>
  <c r="D42" i="9"/>
  <c r="C43" i="9"/>
  <c r="D43" i="9"/>
  <c r="C44" i="9"/>
  <c r="D44" i="9"/>
  <c r="C45" i="9"/>
  <c r="D45" i="9"/>
  <c r="C46" i="9"/>
  <c r="D46" i="9"/>
  <c r="C47" i="9"/>
  <c r="D47" i="9"/>
  <c r="B3" i="9"/>
  <c r="B4" i="9"/>
  <c r="B2" i="8"/>
  <c r="B3" i="8"/>
  <c r="B4" i="8"/>
  <c r="O332" i="7"/>
  <c r="X332" i="7" s="1"/>
  <c r="O333" i="7"/>
  <c r="X333" i="7" s="1"/>
  <c r="O334" i="7"/>
  <c r="X334" i="7" s="1"/>
  <c r="O335" i="7"/>
  <c r="X335" i="7" s="1"/>
  <c r="O336" i="7"/>
  <c r="X336" i="7" s="1"/>
  <c r="O328" i="7"/>
  <c r="X328" i="7" s="1"/>
  <c r="R334" i="7"/>
  <c r="S332" i="7"/>
  <c r="S333" i="7"/>
  <c r="S334" i="7"/>
  <c r="S335" i="7"/>
  <c r="S336" i="7"/>
  <c r="S328" i="7"/>
  <c r="O359" i="7"/>
  <c r="X359" i="7" s="1"/>
  <c r="O360" i="7"/>
  <c r="X360" i="7" s="1"/>
  <c r="O361" i="7"/>
  <c r="X361" i="7" s="1"/>
  <c r="O362" i="7"/>
  <c r="X362" i="7" s="1"/>
  <c r="O363" i="7"/>
  <c r="X363" i="7" s="1"/>
  <c r="O342" i="7"/>
  <c r="X342" i="7" s="1"/>
  <c r="O343" i="7"/>
  <c r="X343" i="7" s="1"/>
  <c r="O344" i="7"/>
  <c r="X344" i="7" s="1"/>
  <c r="O345" i="7"/>
  <c r="X345" i="7" s="1"/>
  <c r="O341" i="7"/>
  <c r="X341" i="7" s="1"/>
  <c r="S359" i="7"/>
  <c r="S360" i="7"/>
  <c r="S361" i="7"/>
  <c r="S362" i="7"/>
  <c r="S363" i="7"/>
  <c r="S342" i="7"/>
  <c r="S343" i="7"/>
  <c r="S344" i="7"/>
  <c r="S345" i="7"/>
  <c r="S341" i="7"/>
  <c r="O364" i="7"/>
  <c r="X364" i="7" s="1"/>
  <c r="O346" i="7"/>
  <c r="X346" i="7" s="1"/>
  <c r="O347" i="7"/>
  <c r="X347" i="7" s="1"/>
  <c r="O353" i="7"/>
  <c r="X353" i="7" s="1"/>
  <c r="O354" i="7"/>
  <c r="X354" i="7" s="1"/>
  <c r="O355" i="7"/>
  <c r="X355" i="7" s="1"/>
  <c r="O356" i="7"/>
  <c r="X356" i="7" s="1"/>
  <c r="O357" i="7"/>
  <c r="X357" i="7" s="1"/>
  <c r="O358" i="7"/>
  <c r="X358" i="7" s="1"/>
  <c r="S364" i="7"/>
  <c r="S346" i="7"/>
  <c r="S347" i="7"/>
  <c r="S353" i="7"/>
  <c r="S354" i="7"/>
  <c r="S355" i="7"/>
  <c r="S356" i="7"/>
  <c r="S357" i="7"/>
  <c r="S358" i="7"/>
  <c r="O365" i="7"/>
  <c r="X365" i="7" s="1"/>
  <c r="O348" i="7"/>
  <c r="X348" i="7" s="1"/>
  <c r="O349" i="7"/>
  <c r="X349" i="7" s="1"/>
  <c r="O350" i="7"/>
  <c r="X350" i="7" s="1"/>
  <c r="O351" i="7"/>
  <c r="X351" i="7" s="1"/>
  <c r="O352" i="7"/>
  <c r="X352" i="7" s="1"/>
  <c r="O337" i="7"/>
  <c r="X337" i="7" s="1"/>
  <c r="O338" i="7"/>
  <c r="X338" i="7" s="1"/>
  <c r="O339" i="7"/>
  <c r="X339" i="7" s="1"/>
  <c r="O340" i="7"/>
  <c r="X340" i="7" s="1"/>
  <c r="O329" i="7"/>
  <c r="X329" i="7" s="1"/>
  <c r="S365" i="7"/>
  <c r="S348" i="7"/>
  <c r="S349" i="7"/>
  <c r="S350" i="7"/>
  <c r="S351" i="7"/>
  <c r="S352" i="7"/>
  <c r="S337" i="7"/>
  <c r="S338" i="7"/>
  <c r="S339" i="7"/>
  <c r="S340" i="7"/>
  <c r="S329" i="7"/>
  <c r="U43" i="11" l="1"/>
  <c r="J43" i="11"/>
  <c r="L43" i="11"/>
  <c r="P43" i="11"/>
  <c r="R43" i="11"/>
  <c r="I43" i="11"/>
  <c r="M43" i="11"/>
  <c r="O43" i="11"/>
  <c r="S43" i="11"/>
  <c r="U33" i="11"/>
  <c r="J33" i="11"/>
  <c r="L33" i="11"/>
  <c r="P33" i="11"/>
  <c r="R33" i="11"/>
  <c r="I33" i="11"/>
  <c r="M33" i="11"/>
  <c r="O33" i="11"/>
  <c r="S33" i="11"/>
  <c r="I10" i="11"/>
  <c r="M10" i="11"/>
  <c r="O10" i="11"/>
  <c r="S10" i="11"/>
  <c r="U10" i="11"/>
  <c r="J10" i="11"/>
  <c r="L10" i="11"/>
  <c r="P10" i="11"/>
  <c r="R10" i="11"/>
  <c r="U34" i="11"/>
  <c r="J34" i="11"/>
  <c r="L34" i="11"/>
  <c r="P34" i="11"/>
  <c r="R34" i="11"/>
  <c r="I34" i="11"/>
  <c r="M34" i="11"/>
  <c r="O34" i="11"/>
  <c r="S34" i="11"/>
  <c r="U7" i="11"/>
  <c r="I7" i="11"/>
  <c r="M7" i="11"/>
  <c r="O7" i="11"/>
  <c r="S7" i="11"/>
  <c r="J7" i="11"/>
  <c r="L7" i="11"/>
  <c r="P7" i="11"/>
  <c r="R7" i="11"/>
  <c r="I6" i="11"/>
  <c r="M6" i="11"/>
  <c r="O6" i="11"/>
  <c r="S6" i="11"/>
  <c r="U6" i="11"/>
  <c r="J6" i="11"/>
  <c r="L6" i="11"/>
  <c r="P6" i="11"/>
  <c r="R6" i="11"/>
  <c r="U27" i="11"/>
  <c r="I27" i="11"/>
  <c r="M27" i="11"/>
  <c r="O27" i="11"/>
  <c r="S27" i="11"/>
  <c r="L27" i="11"/>
  <c r="P27" i="11"/>
  <c r="J27" i="11"/>
  <c r="R27" i="11"/>
  <c r="R363" i="7"/>
  <c r="R362" i="7"/>
  <c r="R328" i="7"/>
  <c r="R344" i="7"/>
  <c r="R333" i="7"/>
  <c r="R345" i="7"/>
  <c r="R359" i="7"/>
  <c r="R343" i="7"/>
  <c r="R361" i="7"/>
  <c r="R336" i="7"/>
  <c r="R332" i="7"/>
  <c r="R348" i="7"/>
  <c r="R341" i="7"/>
  <c r="D28" i="11" s="1"/>
  <c r="R342" i="7"/>
  <c r="R360" i="7"/>
  <c r="R335" i="7"/>
  <c r="F11" i="10"/>
  <c r="I12" i="9"/>
  <c r="I11" i="9"/>
  <c r="I10" i="9"/>
  <c r="E47" i="8"/>
  <c r="E46" i="8"/>
  <c r="E45" i="8"/>
  <c r="E44" i="8"/>
  <c r="E43" i="8"/>
  <c r="E42" i="8"/>
  <c r="E41" i="8"/>
  <c r="E40" i="8"/>
  <c r="E39" i="8"/>
  <c r="E38" i="8"/>
  <c r="E37" i="8"/>
  <c r="E36" i="8"/>
  <c r="E35" i="8"/>
  <c r="E34" i="8"/>
  <c r="E33" i="8"/>
  <c r="E32" i="8"/>
  <c r="E31" i="8"/>
  <c r="E30" i="8"/>
  <c r="E29" i="8"/>
  <c r="E28" i="8"/>
  <c r="E27" i="8"/>
  <c r="E26" i="8"/>
  <c r="E25" i="8"/>
  <c r="E24" i="8"/>
  <c r="E23" i="8"/>
  <c r="E22" i="8"/>
  <c r="E21" i="8"/>
  <c r="E20" i="8"/>
  <c r="E19" i="8"/>
  <c r="E18" i="8"/>
  <c r="E17" i="8"/>
  <c r="E16" i="8"/>
  <c r="E15" i="8"/>
  <c r="E14" i="8"/>
  <c r="E13" i="8"/>
  <c r="E12" i="8"/>
  <c r="E11" i="8"/>
  <c r="F47" i="9"/>
  <c r="H47" i="9"/>
  <c r="G47" i="9"/>
  <c r="I47" i="9"/>
  <c r="F46" i="9"/>
  <c r="H46" i="9"/>
  <c r="G46" i="9"/>
  <c r="I46" i="9"/>
  <c r="F45" i="9"/>
  <c r="H45" i="9"/>
  <c r="G45" i="9"/>
  <c r="I45" i="9"/>
  <c r="F44" i="9"/>
  <c r="H44" i="9"/>
  <c r="G44" i="9"/>
  <c r="I44" i="9"/>
  <c r="F43" i="9"/>
  <c r="H43" i="9"/>
  <c r="G43" i="9"/>
  <c r="I43" i="9"/>
  <c r="F42" i="9"/>
  <c r="H42" i="9"/>
  <c r="G42" i="9"/>
  <c r="I42" i="9"/>
  <c r="F41" i="9"/>
  <c r="H41" i="9"/>
  <c r="G41" i="9"/>
  <c r="I41" i="9"/>
  <c r="F40" i="9"/>
  <c r="H40" i="9"/>
  <c r="G40" i="9"/>
  <c r="I40" i="9"/>
  <c r="F39" i="9"/>
  <c r="H39" i="9"/>
  <c r="G39" i="9"/>
  <c r="I39" i="9"/>
  <c r="F38" i="9"/>
  <c r="H38" i="9"/>
  <c r="G38" i="9"/>
  <c r="I38" i="9"/>
  <c r="F37" i="9"/>
  <c r="H37" i="9"/>
  <c r="G37" i="9"/>
  <c r="I37" i="9"/>
  <c r="F36" i="9"/>
  <c r="H36" i="9"/>
  <c r="G36" i="9"/>
  <c r="I36" i="9"/>
  <c r="F35" i="9"/>
  <c r="H35" i="9"/>
  <c r="G35" i="9"/>
  <c r="I35" i="9"/>
  <c r="F34" i="9"/>
  <c r="H34" i="9"/>
  <c r="G34" i="9"/>
  <c r="I34" i="9"/>
  <c r="F33" i="9"/>
  <c r="H33" i="9"/>
  <c r="G33" i="9"/>
  <c r="I33" i="9"/>
  <c r="F32" i="9"/>
  <c r="H32" i="9"/>
  <c r="G32" i="9"/>
  <c r="I32" i="9"/>
  <c r="F31" i="9"/>
  <c r="H31" i="9"/>
  <c r="G31" i="9"/>
  <c r="I31" i="9"/>
  <c r="F30" i="9"/>
  <c r="H30" i="9"/>
  <c r="G30" i="9"/>
  <c r="I30" i="9"/>
  <c r="F29" i="9"/>
  <c r="H29" i="9"/>
  <c r="G29" i="9"/>
  <c r="I29" i="9"/>
  <c r="F28" i="9"/>
  <c r="H28" i="9"/>
  <c r="G28" i="9"/>
  <c r="I28" i="9"/>
  <c r="F27" i="9"/>
  <c r="H27" i="9"/>
  <c r="G27" i="9"/>
  <c r="I27" i="9"/>
  <c r="F26" i="9"/>
  <c r="H26" i="9"/>
  <c r="G26" i="9"/>
  <c r="I26" i="9"/>
  <c r="F25" i="9"/>
  <c r="H25" i="9"/>
  <c r="G25" i="9"/>
  <c r="I25" i="9"/>
  <c r="F24" i="9"/>
  <c r="H24" i="9"/>
  <c r="G24" i="9"/>
  <c r="I24" i="9"/>
  <c r="F23" i="9"/>
  <c r="H23" i="9"/>
  <c r="G23" i="9"/>
  <c r="I23" i="9"/>
  <c r="F22" i="9"/>
  <c r="H22" i="9"/>
  <c r="G22" i="9"/>
  <c r="I22" i="9"/>
  <c r="F21" i="9"/>
  <c r="H21" i="9"/>
  <c r="G21" i="9"/>
  <c r="I21" i="9"/>
  <c r="F20" i="9"/>
  <c r="H20" i="9"/>
  <c r="G20" i="9"/>
  <c r="I20" i="9"/>
  <c r="F19" i="9"/>
  <c r="H19" i="9"/>
  <c r="G19" i="9"/>
  <c r="I19" i="9"/>
  <c r="F18" i="9"/>
  <c r="H18" i="9"/>
  <c r="G18" i="9"/>
  <c r="I18" i="9"/>
  <c r="F17" i="9"/>
  <c r="H17" i="9"/>
  <c r="G17" i="9"/>
  <c r="I17" i="9"/>
  <c r="F16" i="9"/>
  <c r="H16" i="9"/>
  <c r="G16" i="9"/>
  <c r="I16" i="9"/>
  <c r="F15" i="9"/>
  <c r="H15" i="9"/>
  <c r="G15" i="9"/>
  <c r="I15" i="9"/>
  <c r="F14" i="9"/>
  <c r="H14" i="9"/>
  <c r="G14" i="9"/>
  <c r="I14" i="9"/>
  <c r="F13" i="9"/>
  <c r="H13" i="9"/>
  <c r="G13" i="9"/>
  <c r="I13" i="9"/>
  <c r="F12" i="9"/>
  <c r="H12" i="9"/>
  <c r="G12" i="9"/>
  <c r="F11" i="9"/>
  <c r="H11" i="9"/>
  <c r="G11" i="9"/>
  <c r="F10" i="9"/>
  <c r="H10" i="9"/>
  <c r="G10" i="9"/>
  <c r="F9" i="9"/>
  <c r="H9" i="9"/>
  <c r="G9" i="9"/>
  <c r="I9" i="9"/>
  <c r="F8" i="9"/>
  <c r="H8" i="9"/>
  <c r="G8" i="9"/>
  <c r="I8" i="9"/>
  <c r="F7" i="9"/>
  <c r="H7" i="9"/>
  <c r="G7" i="9"/>
  <c r="I7" i="9"/>
  <c r="F6" i="9"/>
  <c r="H6" i="9"/>
  <c r="G6" i="9"/>
  <c r="I6" i="9"/>
  <c r="F7" i="11"/>
  <c r="F6" i="11"/>
  <c r="F27" i="11"/>
  <c r="F43" i="11"/>
  <c r="F10" i="11"/>
  <c r="F34" i="11"/>
  <c r="E47" i="9"/>
  <c r="E46" i="9"/>
  <c r="E45" i="9"/>
  <c r="E44" i="9"/>
  <c r="E43" i="9"/>
  <c r="E42" i="9"/>
  <c r="E41" i="9"/>
  <c r="E40" i="9"/>
  <c r="E39" i="9"/>
  <c r="E38" i="9"/>
  <c r="E37" i="9"/>
  <c r="E36" i="9"/>
  <c r="E35" i="9"/>
  <c r="E34" i="9"/>
  <c r="E33" i="9"/>
  <c r="E32" i="9"/>
  <c r="E31" i="9"/>
  <c r="E30" i="9"/>
  <c r="E29" i="9"/>
  <c r="E28" i="9"/>
  <c r="E27" i="9"/>
  <c r="E26" i="9"/>
  <c r="E25" i="9"/>
  <c r="E24" i="9"/>
  <c r="E23" i="9"/>
  <c r="E22" i="9"/>
  <c r="E21" i="9"/>
  <c r="E20" i="9"/>
  <c r="E19" i="9"/>
  <c r="E18" i="9"/>
  <c r="E17" i="9"/>
  <c r="E16" i="9"/>
  <c r="E15" i="9"/>
  <c r="E14" i="9"/>
  <c r="E13" i="9"/>
  <c r="E12" i="9"/>
  <c r="E11" i="9"/>
  <c r="E10" i="9"/>
  <c r="E9" i="9"/>
  <c r="E8" i="9"/>
  <c r="E7" i="9"/>
  <c r="E6" i="9"/>
  <c r="F33" i="11"/>
  <c r="G11" i="10"/>
  <c r="I11" i="10"/>
  <c r="H11" i="10"/>
  <c r="J11" i="10"/>
  <c r="E11" i="10"/>
  <c r="D39" i="11"/>
  <c r="D22" i="11"/>
  <c r="D23" i="11"/>
  <c r="D21" i="11"/>
  <c r="E22" i="11"/>
  <c r="E36" i="11"/>
  <c r="J36" i="11" s="1"/>
  <c r="E39" i="11"/>
  <c r="E23" i="11"/>
  <c r="E17" i="11"/>
  <c r="U17" i="11" s="1"/>
  <c r="E21" i="11"/>
  <c r="E5" i="11"/>
  <c r="I5" i="11" s="1"/>
  <c r="E8" i="11"/>
  <c r="M8" i="11" s="1"/>
  <c r="E28" i="11"/>
  <c r="E4" i="11"/>
  <c r="D4" i="11"/>
  <c r="E46" i="11"/>
  <c r="D46" i="11"/>
  <c r="E13" i="11"/>
  <c r="D13" i="11"/>
  <c r="E14" i="11"/>
  <c r="D14" i="11"/>
  <c r="E15" i="11"/>
  <c r="D15" i="11"/>
  <c r="E12" i="11"/>
  <c r="D12" i="11"/>
  <c r="D2" i="11"/>
  <c r="E2" i="11"/>
  <c r="E3" i="11"/>
  <c r="D3" i="11"/>
  <c r="E38" i="11"/>
  <c r="D38" i="11"/>
  <c r="E29" i="11"/>
  <c r="D29" i="11"/>
  <c r="E16" i="11"/>
  <c r="D16" i="11"/>
  <c r="D9" i="11"/>
  <c r="E9" i="11"/>
  <c r="C10" i="8"/>
  <c r="E10" i="8" s="1"/>
  <c r="AC329" i="7"/>
  <c r="AG329" i="7"/>
  <c r="AF329" i="7"/>
  <c r="AE329" i="7"/>
  <c r="AD329" i="7"/>
  <c r="AC339" i="7"/>
  <c r="AG339" i="7"/>
  <c r="AF339" i="7"/>
  <c r="AE339" i="7"/>
  <c r="AD339" i="7"/>
  <c r="AC337" i="7"/>
  <c r="AG337" i="7"/>
  <c r="AF337" i="7"/>
  <c r="AE337" i="7"/>
  <c r="AD337" i="7"/>
  <c r="AC351" i="7"/>
  <c r="AG351" i="7"/>
  <c r="AF351" i="7"/>
  <c r="AE351" i="7"/>
  <c r="AD351" i="7"/>
  <c r="AC349" i="7"/>
  <c r="AG349" i="7"/>
  <c r="AF349" i="7"/>
  <c r="AE349" i="7"/>
  <c r="AD349" i="7"/>
  <c r="AC365" i="7"/>
  <c r="AG365" i="7"/>
  <c r="AF365" i="7"/>
  <c r="AE365" i="7"/>
  <c r="AD365" i="7"/>
  <c r="AC357" i="7"/>
  <c r="AG357" i="7"/>
  <c r="AF357" i="7"/>
  <c r="AE357" i="7"/>
  <c r="AD357" i="7"/>
  <c r="AC355" i="7"/>
  <c r="AG355" i="7"/>
  <c r="AF355" i="7"/>
  <c r="AE355" i="7"/>
  <c r="AD355" i="7"/>
  <c r="AC353" i="7"/>
  <c r="AG353" i="7"/>
  <c r="AF353" i="7"/>
  <c r="AE353" i="7"/>
  <c r="AD353" i="7"/>
  <c r="AC346" i="7"/>
  <c r="AG346" i="7"/>
  <c r="AF346" i="7"/>
  <c r="AE346" i="7"/>
  <c r="AD346" i="7"/>
  <c r="AC345" i="7"/>
  <c r="AG345" i="7"/>
  <c r="AF345" i="7"/>
  <c r="AE345" i="7"/>
  <c r="AD345" i="7"/>
  <c r="AC343" i="7"/>
  <c r="AG343" i="7"/>
  <c r="AF343" i="7"/>
  <c r="AE343" i="7"/>
  <c r="AD343" i="7"/>
  <c r="AC363" i="7"/>
  <c r="AF363" i="7"/>
  <c r="AG363" i="7"/>
  <c r="AE363" i="7"/>
  <c r="AD363" i="7"/>
  <c r="AC361" i="7"/>
  <c r="AG361" i="7"/>
  <c r="AF361" i="7"/>
  <c r="AE361" i="7"/>
  <c r="AD361" i="7"/>
  <c r="AC359" i="7"/>
  <c r="AF359" i="7"/>
  <c r="AG359" i="7"/>
  <c r="AE359" i="7"/>
  <c r="AD359" i="7"/>
  <c r="AC336" i="7"/>
  <c r="AG336" i="7"/>
  <c r="AF336" i="7"/>
  <c r="AE336" i="7"/>
  <c r="AD336" i="7"/>
  <c r="AC334" i="7"/>
  <c r="AG334" i="7"/>
  <c r="AF334" i="7"/>
  <c r="AE334" i="7"/>
  <c r="AD334" i="7"/>
  <c r="AC332" i="7"/>
  <c r="AG332" i="7"/>
  <c r="AF332" i="7"/>
  <c r="AE332" i="7"/>
  <c r="AD332" i="7"/>
  <c r="AC330" i="7"/>
  <c r="AG330" i="7"/>
  <c r="AF330" i="7"/>
  <c r="AE330" i="7"/>
  <c r="AD330" i="7"/>
  <c r="AC321" i="7"/>
  <c r="AG321" i="7"/>
  <c r="AF321" i="7"/>
  <c r="AE321" i="7"/>
  <c r="AD321" i="7"/>
  <c r="AC319" i="7"/>
  <c r="AG319" i="7"/>
  <c r="AF319" i="7"/>
  <c r="AE319" i="7"/>
  <c r="AD319" i="7"/>
  <c r="AC317" i="7"/>
  <c r="AG317" i="7"/>
  <c r="AF317" i="7"/>
  <c r="AE317" i="7"/>
  <c r="AD317" i="7"/>
  <c r="AC324" i="7"/>
  <c r="AG324" i="7"/>
  <c r="AF324" i="7"/>
  <c r="AE324" i="7"/>
  <c r="AD324" i="7"/>
  <c r="AC306" i="7"/>
  <c r="AG306" i="7"/>
  <c r="AF306" i="7"/>
  <c r="AE306" i="7"/>
  <c r="AD306" i="7"/>
  <c r="AC294" i="7"/>
  <c r="AG294" i="7"/>
  <c r="AF294" i="7"/>
  <c r="AE294" i="7"/>
  <c r="AD294" i="7"/>
  <c r="AC283" i="7"/>
  <c r="AG283" i="7"/>
  <c r="AF283" i="7"/>
  <c r="AE283" i="7"/>
  <c r="AD283" i="7"/>
  <c r="AC308" i="7"/>
  <c r="AG308" i="7"/>
  <c r="AF308" i="7"/>
  <c r="AE308" i="7"/>
  <c r="AD308" i="7"/>
  <c r="AC304" i="7"/>
  <c r="AG304" i="7"/>
  <c r="AF304" i="7"/>
  <c r="AE304" i="7"/>
  <c r="AD304" i="7"/>
  <c r="AC302" i="7"/>
  <c r="AG302" i="7"/>
  <c r="AF302" i="7"/>
  <c r="AE302" i="7"/>
  <c r="AD302" i="7"/>
  <c r="AC300" i="7"/>
  <c r="AG300" i="7"/>
  <c r="AF300" i="7"/>
  <c r="AE300" i="7"/>
  <c r="AD300" i="7"/>
  <c r="AC298" i="7"/>
  <c r="AG298" i="7"/>
  <c r="AF298" i="7"/>
  <c r="AE298" i="7"/>
  <c r="AD298" i="7"/>
  <c r="AC296" i="7"/>
  <c r="AG296" i="7"/>
  <c r="AF296" i="7"/>
  <c r="AE296" i="7"/>
  <c r="AD296" i="7"/>
  <c r="AC315" i="7"/>
  <c r="AG315" i="7"/>
  <c r="AF315" i="7"/>
  <c r="AE315" i="7"/>
  <c r="AD315" i="7"/>
  <c r="AC313" i="7"/>
  <c r="AG313" i="7"/>
  <c r="AF313" i="7"/>
  <c r="AE313" i="7"/>
  <c r="AD313" i="7"/>
  <c r="AC311" i="7"/>
  <c r="AG311" i="7"/>
  <c r="AF311" i="7"/>
  <c r="AE311" i="7"/>
  <c r="AD311" i="7"/>
  <c r="AC340" i="7"/>
  <c r="AG340" i="7"/>
  <c r="AF340" i="7"/>
  <c r="AE340" i="7"/>
  <c r="AD340" i="7"/>
  <c r="AC338" i="7"/>
  <c r="AG338" i="7"/>
  <c r="AF338" i="7"/>
  <c r="AE338" i="7"/>
  <c r="AD338" i="7"/>
  <c r="AC352" i="7"/>
  <c r="AG352" i="7"/>
  <c r="AF352" i="7"/>
  <c r="AE352" i="7"/>
  <c r="AD352" i="7"/>
  <c r="AC350" i="7"/>
  <c r="AG350" i="7"/>
  <c r="AF350" i="7"/>
  <c r="AE350" i="7"/>
  <c r="AD350" i="7"/>
  <c r="AC348" i="7"/>
  <c r="AG348" i="7"/>
  <c r="AF348" i="7"/>
  <c r="AE348" i="7"/>
  <c r="AD348" i="7"/>
  <c r="AC358" i="7"/>
  <c r="AG358" i="7"/>
  <c r="AF358" i="7"/>
  <c r="AE358" i="7"/>
  <c r="AD358" i="7"/>
  <c r="AC356" i="7"/>
  <c r="AG356" i="7"/>
  <c r="AF356" i="7"/>
  <c r="AE356" i="7"/>
  <c r="AD356" i="7"/>
  <c r="AC354" i="7"/>
  <c r="AG354" i="7"/>
  <c r="AF354" i="7"/>
  <c r="AE354" i="7"/>
  <c r="AD354" i="7"/>
  <c r="AC347" i="7"/>
  <c r="AG347" i="7"/>
  <c r="AF347" i="7"/>
  <c r="AE347" i="7"/>
  <c r="AD347" i="7"/>
  <c r="AC364" i="7"/>
  <c r="AG364" i="7"/>
  <c r="AF364" i="7"/>
  <c r="AE364" i="7"/>
  <c r="AD364" i="7"/>
  <c r="AC341" i="7"/>
  <c r="AG341" i="7"/>
  <c r="AF341" i="7"/>
  <c r="AE341" i="7"/>
  <c r="AD341" i="7"/>
  <c r="AC344" i="7"/>
  <c r="AG344" i="7"/>
  <c r="AF344" i="7"/>
  <c r="AE344" i="7"/>
  <c r="AD344" i="7"/>
  <c r="AC342" i="7"/>
  <c r="AG342" i="7"/>
  <c r="AF342" i="7"/>
  <c r="AE342" i="7"/>
  <c r="AD342" i="7"/>
  <c r="AC362" i="7"/>
  <c r="AG362" i="7"/>
  <c r="AF362" i="7"/>
  <c r="AE362" i="7"/>
  <c r="AD362" i="7"/>
  <c r="AC360" i="7"/>
  <c r="AG360" i="7"/>
  <c r="AF360" i="7"/>
  <c r="AE360" i="7"/>
  <c r="AD360" i="7"/>
  <c r="AC328" i="7"/>
  <c r="AG328" i="7"/>
  <c r="AF328" i="7"/>
  <c r="AE328" i="7"/>
  <c r="AD328" i="7"/>
  <c r="AC335" i="7"/>
  <c r="AG335" i="7"/>
  <c r="AF335" i="7"/>
  <c r="AE335" i="7"/>
  <c r="AD335" i="7"/>
  <c r="AC333" i="7"/>
  <c r="AG333" i="7"/>
  <c r="AF333" i="7"/>
  <c r="AE333" i="7"/>
  <c r="AD333" i="7"/>
  <c r="AC331" i="7"/>
  <c r="AG331" i="7"/>
  <c r="AF331" i="7"/>
  <c r="AE331" i="7"/>
  <c r="AD331" i="7"/>
  <c r="AC322" i="7"/>
  <c r="AG322" i="7"/>
  <c r="AF322" i="7"/>
  <c r="AE322" i="7"/>
  <c r="AD322" i="7"/>
  <c r="AC320" i="7"/>
  <c r="AG320" i="7"/>
  <c r="AF320" i="7"/>
  <c r="AE320" i="7"/>
  <c r="AD320" i="7"/>
  <c r="AC318" i="7"/>
  <c r="AG318" i="7"/>
  <c r="AF318" i="7"/>
  <c r="AE318" i="7"/>
  <c r="AD318" i="7"/>
  <c r="AC327" i="7"/>
  <c r="AG327" i="7"/>
  <c r="AF327" i="7"/>
  <c r="AE327" i="7"/>
  <c r="AD327" i="7"/>
  <c r="AC293" i="7"/>
  <c r="AG293" i="7"/>
  <c r="AF293" i="7"/>
  <c r="AE293" i="7"/>
  <c r="AD293" i="7"/>
  <c r="AC295" i="7"/>
  <c r="AG295" i="7"/>
  <c r="AF295" i="7"/>
  <c r="AE295" i="7"/>
  <c r="AD295" i="7"/>
  <c r="AC284" i="7"/>
  <c r="AG284" i="7"/>
  <c r="AF284" i="7"/>
  <c r="AE284" i="7"/>
  <c r="AD284" i="7"/>
  <c r="AC309" i="7"/>
  <c r="AG309" i="7"/>
  <c r="AF309" i="7"/>
  <c r="AE309" i="7"/>
  <c r="AD309" i="7"/>
  <c r="AC307" i="7"/>
  <c r="AG307" i="7"/>
  <c r="AF307" i="7"/>
  <c r="AE307" i="7"/>
  <c r="AD307" i="7"/>
  <c r="AC303" i="7"/>
  <c r="AG303" i="7"/>
  <c r="AF303" i="7"/>
  <c r="AE303" i="7"/>
  <c r="AD303" i="7"/>
  <c r="AC301" i="7"/>
  <c r="AG301" i="7"/>
  <c r="AF301" i="7"/>
  <c r="AE301" i="7"/>
  <c r="AD301" i="7"/>
  <c r="AC299" i="7"/>
  <c r="AG299" i="7"/>
  <c r="AF299" i="7"/>
  <c r="AE299" i="7"/>
  <c r="AD299" i="7"/>
  <c r="AC297" i="7"/>
  <c r="AG297" i="7"/>
  <c r="AF297" i="7"/>
  <c r="AE297" i="7"/>
  <c r="AD297" i="7"/>
  <c r="AC316" i="7"/>
  <c r="AG316" i="7"/>
  <c r="AF316" i="7"/>
  <c r="AE316" i="7"/>
  <c r="AD316" i="7"/>
  <c r="AC314" i="7"/>
  <c r="AG314" i="7"/>
  <c r="AF314" i="7"/>
  <c r="AE314" i="7"/>
  <c r="AD314" i="7"/>
  <c r="AC312" i="7"/>
  <c r="AG312" i="7"/>
  <c r="AF312" i="7"/>
  <c r="AE312" i="7"/>
  <c r="AD312" i="7"/>
  <c r="AC310" i="7"/>
  <c r="AG310" i="7"/>
  <c r="AF310" i="7"/>
  <c r="AE310" i="7"/>
  <c r="AD310" i="7"/>
  <c r="AC325" i="7"/>
  <c r="AG325" i="7"/>
  <c r="AF325" i="7"/>
  <c r="AE325" i="7"/>
  <c r="AD325" i="7"/>
  <c r="AC292" i="7"/>
  <c r="AD292" i="7"/>
  <c r="AG292" i="7"/>
  <c r="AF292" i="7"/>
  <c r="AE292" i="7"/>
  <c r="AC291" i="7"/>
  <c r="AG291" i="7"/>
  <c r="AF291" i="7"/>
  <c r="AE291" i="7"/>
  <c r="AD291" i="7"/>
  <c r="AC290" i="7"/>
  <c r="AD290" i="7"/>
  <c r="AG290" i="7"/>
  <c r="AF290" i="7"/>
  <c r="AE290" i="7"/>
  <c r="AC286" i="7"/>
  <c r="AG286" i="7"/>
  <c r="AF286" i="7"/>
  <c r="AE286" i="7"/>
  <c r="AD286" i="7"/>
  <c r="AC285" i="7"/>
  <c r="AD285" i="7"/>
  <c r="AG285" i="7"/>
  <c r="AF285" i="7"/>
  <c r="AE285" i="7"/>
  <c r="AC287" i="7"/>
  <c r="AF287" i="7"/>
  <c r="AG287" i="7"/>
  <c r="AE287" i="7"/>
  <c r="AD287" i="7"/>
  <c r="AC326" i="7"/>
  <c r="AD326" i="7"/>
  <c r="AG326" i="7"/>
  <c r="AF326" i="7"/>
  <c r="AE326" i="7"/>
  <c r="R321" i="7"/>
  <c r="R319" i="7"/>
  <c r="R317" i="7"/>
  <c r="R324" i="7"/>
  <c r="R315" i="7"/>
  <c r="E47" i="11" s="1"/>
  <c r="R313" i="7"/>
  <c r="R311" i="7"/>
  <c r="R340" i="7"/>
  <c r="R338" i="7"/>
  <c r="R352" i="7"/>
  <c r="R350" i="7"/>
  <c r="R357" i="7"/>
  <c r="R355" i="7"/>
  <c r="R353" i="7"/>
  <c r="R346" i="7"/>
  <c r="R329" i="7"/>
  <c r="R339" i="7"/>
  <c r="R337" i="7"/>
  <c r="R351" i="7"/>
  <c r="R349" i="7"/>
  <c r="R365" i="7"/>
  <c r="R358" i="7"/>
  <c r="R356" i="7"/>
  <c r="R354" i="7"/>
  <c r="R347" i="7"/>
  <c r="R364" i="7"/>
  <c r="D9" i="10"/>
  <c r="C9" i="10"/>
  <c r="R322" i="7"/>
  <c r="R320" i="7"/>
  <c r="R318" i="7"/>
  <c r="R326" i="7"/>
  <c r="R327" i="7"/>
  <c r="D10" i="10"/>
  <c r="C10" i="10"/>
  <c r="R316" i="7"/>
  <c r="E48" i="11" s="1"/>
  <c r="R314" i="7"/>
  <c r="E44" i="11" s="1"/>
  <c r="R312" i="7"/>
  <c r="R310" i="7"/>
  <c r="R325" i="7"/>
  <c r="E24" i="11" s="1"/>
  <c r="D4" i="10"/>
  <c r="C4" i="10"/>
  <c r="C2" i="9"/>
  <c r="C3" i="10"/>
  <c r="D3" i="10"/>
  <c r="D6" i="10"/>
  <c r="C6" i="10"/>
  <c r="D5" i="10"/>
  <c r="C5" i="10"/>
  <c r="D8" i="10"/>
  <c r="C8" i="10"/>
  <c r="D7" i="10"/>
  <c r="C7" i="10"/>
  <c r="D742" i="6"/>
  <c r="D753" i="6"/>
  <c r="D751" i="6"/>
  <c r="D749" i="6"/>
  <c r="D747" i="6"/>
  <c r="D745" i="6"/>
  <c r="D743" i="6"/>
  <c r="D752" i="6"/>
  <c r="D750" i="6"/>
  <c r="D748" i="6"/>
  <c r="D746" i="6"/>
  <c r="D744" i="6"/>
  <c r="D9" i="8"/>
  <c r="C7" i="8"/>
  <c r="C6" i="8"/>
  <c r="D7" i="8"/>
  <c r="D6" i="8"/>
  <c r="C8" i="8"/>
  <c r="D8" i="8"/>
  <c r="D4" i="8"/>
  <c r="D2" i="8"/>
  <c r="D3" i="8"/>
  <c r="D5" i="8"/>
  <c r="C5" i="8"/>
  <c r="C4" i="8"/>
  <c r="C2" i="8"/>
  <c r="C3" i="8"/>
  <c r="D12" i="6"/>
  <c r="C4" i="9"/>
  <c r="C3" i="9"/>
  <c r="C5" i="9"/>
  <c r="D5" i="9"/>
  <c r="D4" i="9"/>
  <c r="D3" i="9"/>
  <c r="D2" i="9"/>
  <c r="B601" i="6"/>
  <c r="D601" i="6"/>
  <c r="B602" i="6"/>
  <c r="D602" i="6"/>
  <c r="B603" i="6"/>
  <c r="D603" i="6"/>
  <c r="B604" i="6"/>
  <c r="D604" i="6"/>
  <c r="B605" i="6"/>
  <c r="D605" i="6"/>
  <c r="B606" i="6"/>
  <c r="D606" i="6"/>
  <c r="B607" i="6"/>
  <c r="D607" i="6"/>
  <c r="B609" i="6"/>
  <c r="D609" i="6"/>
  <c r="B610" i="6"/>
  <c r="D610" i="6"/>
  <c r="B611" i="6"/>
  <c r="D611" i="6"/>
  <c r="B612" i="6"/>
  <c r="D612" i="6"/>
  <c r="B613" i="6"/>
  <c r="D613" i="6"/>
  <c r="B614" i="6"/>
  <c r="D614" i="6"/>
  <c r="B615" i="6"/>
  <c r="D615" i="6"/>
  <c r="B616" i="6"/>
  <c r="D616" i="6"/>
  <c r="B618" i="6"/>
  <c r="D618" i="6"/>
  <c r="B619" i="6"/>
  <c r="D619" i="6"/>
  <c r="B620" i="6"/>
  <c r="D620" i="6"/>
  <c r="B621" i="6"/>
  <c r="D621" i="6"/>
  <c r="B622" i="6"/>
  <c r="D622" i="6"/>
  <c r="B623" i="6"/>
  <c r="D623" i="6"/>
  <c r="B624" i="6"/>
  <c r="D624" i="6"/>
  <c r="B625" i="6"/>
  <c r="D625" i="6"/>
  <c r="B627" i="6"/>
  <c r="D627" i="6"/>
  <c r="B628" i="6"/>
  <c r="D628" i="6"/>
  <c r="B629" i="6"/>
  <c r="D629" i="6"/>
  <c r="B630" i="6"/>
  <c r="D630" i="6"/>
  <c r="B631" i="6"/>
  <c r="D631" i="6"/>
  <c r="B632" i="6"/>
  <c r="D632" i="6"/>
  <c r="B633" i="6"/>
  <c r="D633" i="6"/>
  <c r="B634" i="6"/>
  <c r="D634" i="6"/>
  <c r="B635" i="6"/>
  <c r="D635" i="6"/>
  <c r="B636" i="6"/>
  <c r="D636" i="6"/>
  <c r="B637" i="6"/>
  <c r="D637" i="6"/>
  <c r="B638" i="6"/>
  <c r="D638" i="6"/>
  <c r="B639" i="6"/>
  <c r="D639" i="6"/>
  <c r="B640" i="6"/>
  <c r="D640" i="6"/>
  <c r="B642" i="6"/>
  <c r="D642" i="6"/>
  <c r="B643" i="6"/>
  <c r="D643" i="6"/>
  <c r="B644" i="6"/>
  <c r="D644" i="6"/>
  <c r="B645" i="6"/>
  <c r="D645" i="6"/>
  <c r="B646" i="6"/>
  <c r="D646" i="6"/>
  <c r="B647" i="6"/>
  <c r="D647" i="6"/>
  <c r="B648" i="6"/>
  <c r="D648" i="6"/>
  <c r="B649" i="6"/>
  <c r="D649" i="6"/>
  <c r="B650" i="6"/>
  <c r="D650" i="6"/>
  <c r="B651" i="6"/>
  <c r="D651" i="6"/>
  <c r="B652" i="6"/>
  <c r="D652" i="6"/>
  <c r="B653" i="6"/>
  <c r="D653" i="6"/>
  <c r="B654" i="6"/>
  <c r="D654" i="6"/>
  <c r="B655" i="6"/>
  <c r="D655" i="6"/>
  <c r="B656" i="6"/>
  <c r="D656" i="6"/>
  <c r="B657" i="6"/>
  <c r="D657" i="6"/>
  <c r="B659" i="6"/>
  <c r="D659" i="6"/>
  <c r="B660" i="6"/>
  <c r="D660" i="6"/>
  <c r="B661" i="6"/>
  <c r="D661" i="6"/>
  <c r="B662" i="6"/>
  <c r="D662" i="6"/>
  <c r="B663" i="6"/>
  <c r="D663" i="6"/>
  <c r="B664" i="6"/>
  <c r="D664" i="6"/>
  <c r="B665" i="6"/>
  <c r="D665" i="6"/>
  <c r="B666" i="6"/>
  <c r="D666" i="6"/>
  <c r="B667" i="6"/>
  <c r="D667" i="6"/>
  <c r="B668" i="6"/>
  <c r="D668" i="6"/>
  <c r="B669" i="6"/>
  <c r="D669" i="6"/>
  <c r="B670" i="6"/>
  <c r="D670" i="6"/>
  <c r="B671" i="6"/>
  <c r="D671" i="6"/>
  <c r="B672" i="6"/>
  <c r="D672" i="6"/>
  <c r="B673" i="6"/>
  <c r="D673" i="6"/>
  <c r="B674" i="6"/>
  <c r="D674" i="6"/>
  <c r="B675" i="6"/>
  <c r="D675" i="6"/>
  <c r="B676" i="6"/>
  <c r="D676" i="6"/>
  <c r="B678" i="6"/>
  <c r="D678" i="6"/>
  <c r="B679" i="6"/>
  <c r="D679" i="6"/>
  <c r="B680" i="6"/>
  <c r="D680" i="6"/>
  <c r="B681" i="6"/>
  <c r="D681" i="6"/>
  <c r="B682" i="6"/>
  <c r="D682" i="6"/>
  <c r="B683" i="6"/>
  <c r="D683" i="6"/>
  <c r="B684" i="6"/>
  <c r="D684" i="6"/>
  <c r="B685" i="6"/>
  <c r="D685" i="6"/>
  <c r="B686" i="6"/>
  <c r="D686" i="6"/>
  <c r="B687" i="6"/>
  <c r="D687" i="6"/>
  <c r="B688" i="6"/>
  <c r="D688" i="6"/>
  <c r="B689" i="6"/>
  <c r="D689" i="6"/>
  <c r="B690" i="6"/>
  <c r="D690" i="6"/>
  <c r="B691" i="6"/>
  <c r="D691" i="6"/>
  <c r="B692" i="6"/>
  <c r="D692" i="6"/>
  <c r="B693" i="6"/>
  <c r="D693" i="6"/>
  <c r="B695" i="6"/>
  <c r="D695" i="6"/>
  <c r="B696" i="6"/>
  <c r="D696" i="6"/>
  <c r="B697" i="6"/>
  <c r="D697" i="6"/>
  <c r="B698" i="6"/>
  <c r="D698" i="6"/>
  <c r="B699" i="6"/>
  <c r="D699" i="6"/>
  <c r="B700" i="6"/>
  <c r="D700" i="6"/>
  <c r="B701" i="6"/>
  <c r="D701" i="6"/>
  <c r="B702" i="6"/>
  <c r="D702" i="6"/>
  <c r="B703" i="6"/>
  <c r="D703" i="6"/>
  <c r="B704" i="6"/>
  <c r="D704" i="6"/>
  <c r="B705" i="6"/>
  <c r="D705" i="6"/>
  <c r="B706" i="6"/>
  <c r="D706" i="6"/>
  <c r="B707" i="6"/>
  <c r="D707" i="6"/>
  <c r="B708" i="6"/>
  <c r="D708" i="6"/>
  <c r="B709" i="6"/>
  <c r="D709" i="6"/>
  <c r="B710" i="6"/>
  <c r="D710" i="6"/>
  <c r="B712" i="6"/>
  <c r="D712" i="6"/>
  <c r="B713" i="6"/>
  <c r="D713" i="6"/>
  <c r="B714" i="6"/>
  <c r="D714" i="6"/>
  <c r="B715" i="6"/>
  <c r="D715" i="6"/>
  <c r="B716" i="6"/>
  <c r="D716" i="6"/>
  <c r="B717" i="6"/>
  <c r="D717" i="6"/>
  <c r="B718" i="6"/>
  <c r="D718" i="6"/>
  <c r="B719" i="6"/>
  <c r="D719" i="6"/>
  <c r="B720" i="6"/>
  <c r="D720" i="6"/>
  <c r="B721" i="6"/>
  <c r="D721" i="6"/>
  <c r="B723" i="6"/>
  <c r="D723" i="6"/>
  <c r="B724" i="6"/>
  <c r="D724" i="6"/>
  <c r="B725" i="6"/>
  <c r="D725" i="6"/>
  <c r="B726" i="6"/>
  <c r="D726" i="6"/>
  <c r="B727" i="6"/>
  <c r="D727" i="6"/>
  <c r="B728" i="6"/>
  <c r="D728" i="6"/>
  <c r="B729" i="6"/>
  <c r="D729" i="6"/>
  <c r="B730" i="6"/>
  <c r="D730" i="6"/>
  <c r="B731" i="6"/>
  <c r="D731" i="6"/>
  <c r="B732" i="6"/>
  <c r="D732" i="6"/>
  <c r="B733" i="6"/>
  <c r="D733" i="6"/>
  <c r="B734" i="6"/>
  <c r="D734" i="6"/>
  <c r="B735" i="6"/>
  <c r="D735" i="6"/>
  <c r="B736" i="6"/>
  <c r="D736" i="6"/>
  <c r="B737" i="6"/>
  <c r="D737" i="6"/>
  <c r="B738" i="6"/>
  <c r="D738" i="6"/>
  <c r="B739" i="6"/>
  <c r="D739" i="6"/>
  <c r="B740" i="6"/>
  <c r="D740" i="6"/>
  <c r="B502" i="6"/>
  <c r="D502" i="6"/>
  <c r="B503" i="6"/>
  <c r="D503" i="6"/>
  <c r="B504" i="6"/>
  <c r="D504" i="6"/>
  <c r="B505" i="6"/>
  <c r="D505" i="6"/>
  <c r="B506" i="6"/>
  <c r="D506" i="6"/>
  <c r="B507" i="6"/>
  <c r="D507" i="6"/>
  <c r="B508" i="6"/>
  <c r="D508" i="6"/>
  <c r="B509" i="6"/>
  <c r="D509" i="6"/>
  <c r="B510" i="6"/>
  <c r="D510" i="6"/>
  <c r="B511" i="6"/>
  <c r="D511" i="6"/>
  <c r="B513" i="6"/>
  <c r="D513" i="6"/>
  <c r="B514" i="6"/>
  <c r="D514" i="6"/>
  <c r="B515" i="6"/>
  <c r="D515" i="6"/>
  <c r="B516" i="6"/>
  <c r="D516" i="6"/>
  <c r="B517" i="6"/>
  <c r="D517" i="6"/>
  <c r="B518" i="6"/>
  <c r="D518" i="6"/>
  <c r="B519" i="6"/>
  <c r="D519" i="6"/>
  <c r="B520" i="6"/>
  <c r="D520" i="6"/>
  <c r="B521" i="6"/>
  <c r="D521" i="6"/>
  <c r="B522" i="6"/>
  <c r="D522" i="6"/>
  <c r="B523" i="6"/>
  <c r="D523" i="6"/>
  <c r="B524" i="6"/>
  <c r="D524" i="6"/>
  <c r="B525" i="6"/>
  <c r="D525" i="6"/>
  <c r="B526" i="6"/>
  <c r="D526" i="6"/>
  <c r="B527" i="6"/>
  <c r="D527" i="6"/>
  <c r="B528" i="6"/>
  <c r="D528" i="6"/>
  <c r="B529" i="6"/>
  <c r="D529" i="6"/>
  <c r="B530" i="6"/>
  <c r="D530" i="6"/>
  <c r="B531" i="6"/>
  <c r="D531" i="6"/>
  <c r="B532" i="6"/>
  <c r="D532" i="6"/>
  <c r="B533" i="6"/>
  <c r="D533" i="6"/>
  <c r="B534" i="6"/>
  <c r="D534" i="6"/>
  <c r="B536" i="6"/>
  <c r="D536" i="6"/>
  <c r="B537" i="6"/>
  <c r="D537" i="6"/>
  <c r="B538" i="6"/>
  <c r="D538" i="6"/>
  <c r="B539" i="6"/>
  <c r="D539" i="6"/>
  <c r="B540" i="6"/>
  <c r="D540" i="6"/>
  <c r="B541" i="6"/>
  <c r="D541" i="6"/>
  <c r="B542" i="6"/>
  <c r="D542" i="6"/>
  <c r="B543" i="6"/>
  <c r="D543" i="6"/>
  <c r="B544" i="6"/>
  <c r="D544" i="6"/>
  <c r="B545" i="6"/>
  <c r="D545" i="6"/>
  <c r="B547" i="6"/>
  <c r="D547" i="6"/>
  <c r="B548" i="6"/>
  <c r="D548" i="6"/>
  <c r="B549" i="6"/>
  <c r="D549" i="6"/>
  <c r="B550" i="6"/>
  <c r="D550" i="6"/>
  <c r="B551" i="6"/>
  <c r="D551" i="6"/>
  <c r="B552" i="6"/>
  <c r="D552" i="6"/>
  <c r="B553" i="6"/>
  <c r="D553" i="6"/>
  <c r="B554" i="6"/>
  <c r="D554" i="6"/>
  <c r="B555" i="6"/>
  <c r="D555" i="6"/>
  <c r="B556" i="6"/>
  <c r="D556" i="6"/>
  <c r="B557" i="6"/>
  <c r="D557" i="6"/>
  <c r="B558" i="6"/>
  <c r="D558" i="6"/>
  <c r="B560" i="6"/>
  <c r="D560" i="6"/>
  <c r="B561" i="6"/>
  <c r="D561" i="6"/>
  <c r="B562" i="6"/>
  <c r="D562" i="6"/>
  <c r="B563" i="6"/>
  <c r="D563" i="6"/>
  <c r="B564" i="6"/>
  <c r="D564" i="6"/>
  <c r="B565" i="6"/>
  <c r="D565" i="6"/>
  <c r="B566" i="6"/>
  <c r="D566" i="6"/>
  <c r="B567" i="6"/>
  <c r="D567" i="6"/>
  <c r="B568" i="6"/>
  <c r="D568" i="6"/>
  <c r="B569" i="6"/>
  <c r="D569" i="6"/>
  <c r="B570" i="6"/>
  <c r="D570" i="6"/>
  <c r="B571" i="6"/>
  <c r="D571" i="6"/>
  <c r="B572" i="6"/>
  <c r="D572" i="6"/>
  <c r="B573" i="6"/>
  <c r="D573" i="6"/>
  <c r="B574" i="6"/>
  <c r="D574" i="6"/>
  <c r="B575" i="6"/>
  <c r="D575" i="6"/>
  <c r="B577" i="6"/>
  <c r="D577" i="6"/>
  <c r="B578" i="6"/>
  <c r="D578" i="6"/>
  <c r="B579" i="6"/>
  <c r="D579" i="6"/>
  <c r="B580" i="6"/>
  <c r="D580" i="6"/>
  <c r="B581" i="6"/>
  <c r="D581" i="6"/>
  <c r="B582" i="6"/>
  <c r="D582" i="6"/>
  <c r="B583" i="6"/>
  <c r="D583" i="6"/>
  <c r="B584" i="6"/>
  <c r="D584" i="6"/>
  <c r="B585" i="6"/>
  <c r="D585" i="6"/>
  <c r="B586" i="6"/>
  <c r="D586" i="6"/>
  <c r="B587" i="6"/>
  <c r="D587" i="6"/>
  <c r="B588" i="6"/>
  <c r="D588" i="6"/>
  <c r="B590" i="6"/>
  <c r="D590" i="6"/>
  <c r="B591" i="6"/>
  <c r="D591" i="6"/>
  <c r="B592" i="6"/>
  <c r="D592" i="6"/>
  <c r="B593" i="6"/>
  <c r="D593" i="6"/>
  <c r="B594" i="6"/>
  <c r="D594" i="6"/>
  <c r="B595" i="6"/>
  <c r="D595" i="6"/>
  <c r="B596" i="6"/>
  <c r="D596" i="6"/>
  <c r="B597" i="6"/>
  <c r="D597" i="6"/>
  <c r="B598" i="6"/>
  <c r="D598" i="6"/>
  <c r="B599" i="6"/>
  <c r="D599" i="6"/>
  <c r="B600" i="6"/>
  <c r="D600" i="6"/>
  <c r="B337" i="6"/>
  <c r="D337" i="6"/>
  <c r="B338" i="6"/>
  <c r="D338" i="6"/>
  <c r="B339" i="6"/>
  <c r="D339" i="6"/>
  <c r="B340" i="6"/>
  <c r="D340" i="6"/>
  <c r="B341" i="6"/>
  <c r="D341" i="6"/>
  <c r="B342" i="6"/>
  <c r="D342" i="6"/>
  <c r="B343" i="6"/>
  <c r="D343" i="6"/>
  <c r="B344" i="6"/>
  <c r="D344" i="6"/>
  <c r="B345" i="6"/>
  <c r="D345" i="6"/>
  <c r="B346" i="6"/>
  <c r="D346" i="6"/>
  <c r="B347" i="6"/>
  <c r="D347" i="6"/>
  <c r="B348" i="6"/>
  <c r="D348" i="6"/>
  <c r="S36" i="11" l="1"/>
  <c r="M36" i="11"/>
  <c r="R36" i="11"/>
  <c r="L36" i="11"/>
  <c r="U36" i="11"/>
  <c r="O17" i="11"/>
  <c r="I17" i="11"/>
  <c r="P17" i="11"/>
  <c r="J17" i="11"/>
  <c r="R8" i="11"/>
  <c r="L8" i="11"/>
  <c r="U8" i="11"/>
  <c r="O8" i="11"/>
  <c r="I8" i="11"/>
  <c r="L5" i="11"/>
  <c r="M5" i="11"/>
  <c r="P5" i="11"/>
  <c r="O5" i="11"/>
  <c r="O36" i="11"/>
  <c r="I36" i="11"/>
  <c r="P36" i="11"/>
  <c r="S17" i="11"/>
  <c r="M17" i="11"/>
  <c r="R17" i="11"/>
  <c r="L17" i="11"/>
  <c r="P8" i="11"/>
  <c r="J8" i="11"/>
  <c r="S8" i="11"/>
  <c r="R5" i="11"/>
  <c r="S5" i="11"/>
  <c r="U5" i="11"/>
  <c r="J5" i="11"/>
  <c r="U9" i="11"/>
  <c r="I9" i="11"/>
  <c r="M9" i="11"/>
  <c r="O9" i="11"/>
  <c r="S9" i="11"/>
  <c r="J9" i="11"/>
  <c r="L9" i="11"/>
  <c r="P9" i="11"/>
  <c r="R9" i="11"/>
  <c r="U16" i="11"/>
  <c r="J16" i="11"/>
  <c r="L16" i="11"/>
  <c r="P16" i="11"/>
  <c r="R16" i="11"/>
  <c r="I16" i="11"/>
  <c r="M16" i="11"/>
  <c r="O16" i="11"/>
  <c r="S16" i="11"/>
  <c r="U29" i="11"/>
  <c r="J29" i="11"/>
  <c r="L29" i="11"/>
  <c r="P29" i="11"/>
  <c r="R29" i="11"/>
  <c r="I29" i="11"/>
  <c r="M29" i="11"/>
  <c r="O29" i="11"/>
  <c r="S29" i="11"/>
  <c r="U38" i="11"/>
  <c r="J38" i="11"/>
  <c r="L38" i="11"/>
  <c r="P38" i="11"/>
  <c r="R38" i="11"/>
  <c r="I38" i="11"/>
  <c r="M38" i="11"/>
  <c r="O38" i="11"/>
  <c r="S38" i="11"/>
  <c r="U3" i="11"/>
  <c r="I3" i="11"/>
  <c r="M3" i="11"/>
  <c r="O3" i="11"/>
  <c r="S3" i="11"/>
  <c r="J3" i="11"/>
  <c r="L3" i="11"/>
  <c r="P3" i="11"/>
  <c r="R3" i="11"/>
  <c r="R2" i="11"/>
  <c r="L2" i="11"/>
  <c r="O2" i="11"/>
  <c r="I2" i="11"/>
  <c r="I12" i="11"/>
  <c r="M12" i="11"/>
  <c r="O12" i="11"/>
  <c r="S12" i="11"/>
  <c r="U12" i="11"/>
  <c r="J12" i="11"/>
  <c r="L12" i="11"/>
  <c r="P12" i="11"/>
  <c r="R12" i="11"/>
  <c r="U15" i="11"/>
  <c r="J15" i="11"/>
  <c r="L15" i="11"/>
  <c r="P15" i="11"/>
  <c r="R15" i="11"/>
  <c r="I15" i="11"/>
  <c r="M15" i="11"/>
  <c r="O15" i="11"/>
  <c r="S15" i="11"/>
  <c r="U14" i="11"/>
  <c r="J14" i="11"/>
  <c r="L14" i="11"/>
  <c r="P14" i="11"/>
  <c r="R14" i="11"/>
  <c r="I14" i="11"/>
  <c r="M14" i="11"/>
  <c r="O14" i="11"/>
  <c r="S14" i="11"/>
  <c r="U13" i="11"/>
  <c r="I13" i="11"/>
  <c r="J13" i="11"/>
  <c r="L13" i="11"/>
  <c r="P13" i="11"/>
  <c r="R13" i="11"/>
  <c r="M13" i="11"/>
  <c r="O13" i="11"/>
  <c r="S13" i="11"/>
  <c r="U46" i="11"/>
  <c r="J46" i="11"/>
  <c r="L46" i="11"/>
  <c r="P46" i="11"/>
  <c r="R46" i="11"/>
  <c r="I46" i="11"/>
  <c r="M46" i="11"/>
  <c r="O46" i="11"/>
  <c r="S46" i="11"/>
  <c r="I4" i="11"/>
  <c r="M4" i="11"/>
  <c r="O4" i="11"/>
  <c r="S4" i="11"/>
  <c r="U4" i="11"/>
  <c r="J4" i="11"/>
  <c r="L4" i="11"/>
  <c r="P4" i="11"/>
  <c r="R4" i="11"/>
  <c r="U21" i="11"/>
  <c r="J21" i="11"/>
  <c r="L21" i="11"/>
  <c r="P21" i="11"/>
  <c r="R21" i="11"/>
  <c r="I21" i="11"/>
  <c r="M21" i="11"/>
  <c r="O21" i="11"/>
  <c r="S21" i="11"/>
  <c r="U23" i="11"/>
  <c r="J23" i="11"/>
  <c r="L23" i="11"/>
  <c r="P23" i="11"/>
  <c r="R23" i="11"/>
  <c r="I23" i="11"/>
  <c r="M23" i="11"/>
  <c r="O23" i="11"/>
  <c r="S23" i="11"/>
  <c r="U22" i="11"/>
  <c r="J22" i="11"/>
  <c r="L22" i="11"/>
  <c r="P22" i="11"/>
  <c r="R22" i="11"/>
  <c r="I22" i="11"/>
  <c r="M22" i="11"/>
  <c r="O22" i="11"/>
  <c r="S22" i="11"/>
  <c r="U39" i="11"/>
  <c r="J39" i="11"/>
  <c r="L39" i="11"/>
  <c r="P39" i="11"/>
  <c r="R39" i="11"/>
  <c r="I39" i="11"/>
  <c r="M39" i="11"/>
  <c r="O39" i="11"/>
  <c r="S39" i="11"/>
  <c r="U28" i="11"/>
  <c r="I28" i="11"/>
  <c r="L28" i="11"/>
  <c r="P28" i="11"/>
  <c r="R28" i="11"/>
  <c r="J28" i="11"/>
  <c r="M28" i="11"/>
  <c r="O28" i="11"/>
  <c r="S28" i="11"/>
  <c r="J2" i="11"/>
  <c r="E2" i="8"/>
  <c r="E26" i="11"/>
  <c r="E5" i="8"/>
  <c r="E8" i="8"/>
  <c r="E7" i="8"/>
  <c r="E3" i="8"/>
  <c r="E4" i="8"/>
  <c r="E6" i="8"/>
  <c r="F5" i="9"/>
  <c r="H5" i="9"/>
  <c r="G5" i="9"/>
  <c r="I5" i="9"/>
  <c r="F3" i="9"/>
  <c r="H3" i="9"/>
  <c r="G3" i="9"/>
  <c r="I3" i="9"/>
  <c r="F4" i="9"/>
  <c r="H4" i="9"/>
  <c r="G4" i="9"/>
  <c r="I4" i="9"/>
  <c r="I2" i="9"/>
  <c r="G2" i="9"/>
  <c r="O2" i="9"/>
  <c r="H2" i="9"/>
  <c r="F2" i="9"/>
  <c r="C9" i="8"/>
  <c r="E9" i="8" s="1"/>
  <c r="F14" i="11"/>
  <c r="F13" i="11"/>
  <c r="F46" i="11"/>
  <c r="F4" i="11"/>
  <c r="F16" i="11"/>
  <c r="F29" i="11"/>
  <c r="F38" i="11"/>
  <c r="F3" i="11"/>
  <c r="F12" i="11"/>
  <c r="F15" i="11"/>
  <c r="E5" i="9"/>
  <c r="E3" i="9"/>
  <c r="E4" i="9"/>
  <c r="E2" i="9"/>
  <c r="F9" i="11"/>
  <c r="F21" i="11"/>
  <c r="F22" i="11"/>
  <c r="F28" i="11"/>
  <c r="F36" i="11"/>
  <c r="F17" i="11"/>
  <c r="F7" i="10"/>
  <c r="F3" i="10"/>
  <c r="F5" i="10"/>
  <c r="F6" i="10"/>
  <c r="F4" i="10"/>
  <c r="F23" i="11"/>
  <c r="F39" i="11"/>
  <c r="F5" i="11"/>
  <c r="F8" i="11"/>
  <c r="H7" i="10"/>
  <c r="I7" i="10"/>
  <c r="J7" i="10"/>
  <c r="G7" i="10"/>
  <c r="I8" i="10"/>
  <c r="G8" i="10"/>
  <c r="J8" i="10"/>
  <c r="H8" i="10"/>
  <c r="I5" i="10"/>
  <c r="J5" i="10"/>
  <c r="G5" i="10"/>
  <c r="H5" i="10"/>
  <c r="I6" i="10"/>
  <c r="H6" i="10"/>
  <c r="G6" i="10"/>
  <c r="J6" i="10"/>
  <c r="J3" i="10"/>
  <c r="G3" i="10"/>
  <c r="H3" i="10"/>
  <c r="I3" i="10"/>
  <c r="J4" i="10"/>
  <c r="G4" i="10"/>
  <c r="H4" i="10"/>
  <c r="I4" i="10"/>
  <c r="I9" i="10"/>
  <c r="J9" i="10"/>
  <c r="H9" i="10"/>
  <c r="G9" i="10"/>
  <c r="E7" i="10"/>
  <c r="E3" i="10"/>
  <c r="E4" i="10"/>
  <c r="E10" i="10"/>
  <c r="F10" i="10"/>
  <c r="H10" i="10"/>
  <c r="J10" i="10"/>
  <c r="G10" i="10"/>
  <c r="I10" i="10"/>
  <c r="E9" i="10"/>
  <c r="F2" i="11"/>
  <c r="F8" i="10"/>
  <c r="F9" i="10"/>
  <c r="E8" i="10"/>
  <c r="E5" i="10"/>
  <c r="E6" i="10"/>
  <c r="E11" i="11"/>
  <c r="D41" i="11"/>
  <c r="E41" i="11"/>
  <c r="E42" i="11"/>
  <c r="D42" i="11"/>
  <c r="D24" i="11"/>
  <c r="D26" i="11"/>
  <c r="D11" i="11"/>
  <c r="D48" i="11"/>
  <c r="D44" i="11"/>
  <c r="D47" i="11"/>
  <c r="D40" i="11"/>
  <c r="E40" i="11"/>
  <c r="E18" i="11"/>
  <c r="D18" i="11"/>
  <c r="D35" i="11"/>
  <c r="E35" i="11"/>
  <c r="M10" i="10"/>
  <c r="M29" i="10"/>
  <c r="M21" i="10"/>
  <c r="M13" i="10"/>
  <c r="M32" i="10"/>
  <c r="M24" i="10"/>
  <c r="M16" i="10"/>
  <c r="M8" i="10"/>
  <c r="M27" i="10"/>
  <c r="M19" i="10"/>
  <c r="M11" i="10"/>
  <c r="M30" i="10"/>
  <c r="M22" i="10"/>
  <c r="M14" i="10"/>
  <c r="M33" i="10"/>
  <c r="M25" i="10"/>
  <c r="M17" i="10"/>
  <c r="M9" i="10"/>
  <c r="M28" i="10"/>
  <c r="M20" i="10"/>
  <c r="M12" i="10"/>
  <c r="M31" i="10"/>
  <c r="M23" i="10"/>
  <c r="M15" i="10"/>
  <c r="M7" i="10"/>
  <c r="M26" i="10"/>
  <c r="M18" i="10"/>
  <c r="M6" i="10"/>
  <c r="B296" i="6"/>
  <c r="D296" i="6"/>
  <c r="B297" i="6"/>
  <c r="D297" i="6"/>
  <c r="B298" i="6"/>
  <c r="D298" i="6"/>
  <c r="B299" i="6"/>
  <c r="D299" i="6"/>
  <c r="B300" i="6"/>
  <c r="D300" i="6"/>
  <c r="B301" i="6"/>
  <c r="D301" i="6"/>
  <c r="B302" i="6"/>
  <c r="D302" i="6"/>
  <c r="B303" i="6"/>
  <c r="D303" i="6"/>
  <c r="B304" i="6"/>
  <c r="D304" i="6"/>
  <c r="B305" i="6"/>
  <c r="D305" i="6"/>
  <c r="B306" i="6"/>
  <c r="D306" i="6"/>
  <c r="B307" i="6"/>
  <c r="D307" i="6"/>
  <c r="B47" i="9"/>
  <c r="B46" i="9"/>
  <c r="B45" i="9"/>
  <c r="B44" i="9"/>
  <c r="B43" i="9"/>
  <c r="B42" i="9"/>
  <c r="B41" i="9"/>
  <c r="B40" i="9"/>
  <c r="B39" i="9"/>
  <c r="B38" i="9"/>
  <c r="B37" i="9"/>
  <c r="B36" i="9"/>
  <c r="B35" i="9"/>
  <c r="B34" i="9"/>
  <c r="B33" i="9"/>
  <c r="B32" i="9"/>
  <c r="B31" i="9"/>
  <c r="B30" i="9"/>
  <c r="B29" i="9"/>
  <c r="B28" i="9"/>
  <c r="B27" i="9"/>
  <c r="B26" i="9"/>
  <c r="B25" i="9"/>
  <c r="B24" i="9"/>
  <c r="B23" i="9"/>
  <c r="B22" i="9"/>
  <c r="B21" i="9"/>
  <c r="B20" i="9"/>
  <c r="B19" i="9"/>
  <c r="B18" i="9"/>
  <c r="B17" i="9"/>
  <c r="B16" i="9"/>
  <c r="B15" i="9"/>
  <c r="B14" i="9"/>
  <c r="B13" i="9"/>
  <c r="B12" i="9"/>
  <c r="B11" i="9"/>
  <c r="B10" i="9"/>
  <c r="B9" i="9"/>
  <c r="B8" i="9"/>
  <c r="B7" i="9"/>
  <c r="B6" i="9"/>
  <c r="B5" i="9"/>
  <c r="P13" i="9"/>
  <c r="O13" i="9"/>
  <c r="N13" i="9"/>
  <c r="P12" i="9"/>
  <c r="O12" i="9"/>
  <c r="N12" i="9"/>
  <c r="P11" i="9"/>
  <c r="O11" i="9"/>
  <c r="N11" i="9"/>
  <c r="P10" i="9"/>
  <c r="O10" i="9"/>
  <c r="N10" i="9"/>
  <c r="P9" i="9"/>
  <c r="O9" i="9"/>
  <c r="N9" i="9"/>
  <c r="P8" i="9"/>
  <c r="O8" i="9"/>
  <c r="N8" i="9"/>
  <c r="X7" i="9"/>
  <c r="W7" i="9"/>
  <c r="V7" i="9"/>
  <c r="P7" i="9"/>
  <c r="O7" i="9"/>
  <c r="N7" i="9"/>
  <c r="X6" i="9"/>
  <c r="W6" i="9"/>
  <c r="V6" i="9"/>
  <c r="P6" i="9"/>
  <c r="O6" i="9"/>
  <c r="N6" i="9"/>
  <c r="P5" i="9"/>
  <c r="O5" i="9"/>
  <c r="N5" i="9"/>
  <c r="P4" i="9"/>
  <c r="O4" i="9"/>
  <c r="N4" i="9"/>
  <c r="R6" i="8"/>
  <c r="S6" i="8"/>
  <c r="T6" i="8"/>
  <c r="R7" i="8"/>
  <c r="S7" i="8"/>
  <c r="T7" i="8"/>
  <c r="L4" i="8"/>
  <c r="L5" i="8"/>
  <c r="L6" i="8"/>
  <c r="L7" i="8"/>
  <c r="L8" i="8"/>
  <c r="L9" i="8"/>
  <c r="L10" i="8"/>
  <c r="L11" i="8"/>
  <c r="L12" i="8"/>
  <c r="L13" i="8"/>
  <c r="K4" i="8"/>
  <c r="K5" i="8"/>
  <c r="K6" i="8"/>
  <c r="K7" i="8"/>
  <c r="K8" i="8"/>
  <c r="K9" i="8"/>
  <c r="K10" i="8"/>
  <c r="K11" i="8"/>
  <c r="K12" i="8"/>
  <c r="K13" i="8"/>
  <c r="B18" i="8"/>
  <c r="B19" i="8"/>
  <c r="B20" i="8"/>
  <c r="B21" i="8"/>
  <c r="B22" i="8"/>
  <c r="B23" i="8"/>
  <c r="B24" i="8"/>
  <c r="B25" i="8"/>
  <c r="B26" i="8"/>
  <c r="B27" i="8"/>
  <c r="B28" i="8"/>
  <c r="B29" i="8"/>
  <c r="B30" i="8"/>
  <c r="B31" i="8"/>
  <c r="B32" i="8"/>
  <c r="B33" i="8"/>
  <c r="B34" i="8"/>
  <c r="B35" i="8"/>
  <c r="B36" i="8"/>
  <c r="B37" i="8"/>
  <c r="B38" i="8"/>
  <c r="B39" i="8"/>
  <c r="B40" i="8"/>
  <c r="B41" i="8"/>
  <c r="B42" i="8"/>
  <c r="B43" i="8"/>
  <c r="B44" i="8"/>
  <c r="B45" i="8"/>
  <c r="B46" i="8"/>
  <c r="B47" i="8"/>
  <c r="B6" i="8"/>
  <c r="B7" i="8"/>
  <c r="B8" i="8"/>
  <c r="B9" i="8"/>
  <c r="B10" i="8"/>
  <c r="B11" i="8"/>
  <c r="B12" i="8"/>
  <c r="B13" i="8"/>
  <c r="B14" i="8"/>
  <c r="B15" i="8"/>
  <c r="B16" i="8"/>
  <c r="B17" i="8"/>
  <c r="J4" i="8"/>
  <c r="J5" i="8"/>
  <c r="J6" i="8"/>
  <c r="J7" i="8"/>
  <c r="J8" i="8"/>
  <c r="J9" i="8"/>
  <c r="J10" i="8"/>
  <c r="J11" i="8"/>
  <c r="J12" i="8"/>
  <c r="J13" i="8"/>
  <c r="U35" i="11" l="1"/>
  <c r="J35" i="11"/>
  <c r="L35" i="11"/>
  <c r="P35" i="11"/>
  <c r="R35" i="11"/>
  <c r="I35" i="11"/>
  <c r="M35" i="11"/>
  <c r="O35" i="11"/>
  <c r="S35" i="11"/>
  <c r="U18" i="11"/>
  <c r="J18" i="11"/>
  <c r="L18" i="11"/>
  <c r="P18" i="11"/>
  <c r="R18" i="11"/>
  <c r="I18" i="11"/>
  <c r="M18" i="11"/>
  <c r="O18" i="11"/>
  <c r="S18" i="11"/>
  <c r="U40" i="11"/>
  <c r="J40" i="11"/>
  <c r="L40" i="11"/>
  <c r="P40" i="11"/>
  <c r="R40" i="11"/>
  <c r="I40" i="11"/>
  <c r="M40" i="11"/>
  <c r="O40" i="11"/>
  <c r="S40" i="11"/>
  <c r="U47" i="11"/>
  <c r="M47" i="11"/>
  <c r="O47" i="11"/>
  <c r="R47" i="11"/>
  <c r="I47" i="11"/>
  <c r="L47" i="11"/>
  <c r="S47" i="11"/>
  <c r="P47" i="11"/>
  <c r="J47" i="11"/>
  <c r="U44" i="11"/>
  <c r="J44" i="11"/>
  <c r="L44" i="11"/>
  <c r="P44" i="11"/>
  <c r="R44" i="11"/>
  <c r="I44" i="11"/>
  <c r="M44" i="11"/>
  <c r="O44" i="11"/>
  <c r="S44" i="11"/>
  <c r="U48" i="11"/>
  <c r="M48" i="11"/>
  <c r="O48" i="11"/>
  <c r="R48" i="11"/>
  <c r="I48" i="11"/>
  <c r="L48" i="11"/>
  <c r="S48" i="11"/>
  <c r="P48" i="11"/>
  <c r="J48" i="11"/>
  <c r="U11" i="11"/>
  <c r="I11" i="11"/>
  <c r="M11" i="11"/>
  <c r="O11" i="11"/>
  <c r="S11" i="11"/>
  <c r="J11" i="11"/>
  <c r="L11" i="11"/>
  <c r="P11" i="11"/>
  <c r="R11" i="11"/>
  <c r="F26" i="11"/>
  <c r="U26" i="11"/>
  <c r="J26" i="11"/>
  <c r="L26" i="11"/>
  <c r="I26" i="11"/>
  <c r="M26" i="11"/>
  <c r="O26" i="11"/>
  <c r="S26" i="11"/>
  <c r="P26" i="11"/>
  <c r="R26" i="11"/>
  <c r="F24" i="11"/>
  <c r="U24" i="11"/>
  <c r="J24" i="11"/>
  <c r="L24" i="11"/>
  <c r="P24" i="11"/>
  <c r="R24" i="11"/>
  <c r="I24" i="11"/>
  <c r="M24" i="11"/>
  <c r="O24" i="11"/>
  <c r="S24" i="11"/>
  <c r="U42" i="11"/>
  <c r="J42" i="11"/>
  <c r="L42" i="11"/>
  <c r="P42" i="11"/>
  <c r="R42" i="11"/>
  <c r="I42" i="11"/>
  <c r="M42" i="11"/>
  <c r="O42" i="11"/>
  <c r="S42" i="11"/>
  <c r="U41" i="11"/>
  <c r="J41" i="11"/>
  <c r="L41" i="11"/>
  <c r="P41" i="11"/>
  <c r="R41" i="11"/>
  <c r="I41" i="11"/>
  <c r="M41" i="11"/>
  <c r="O41" i="11"/>
  <c r="S41" i="11"/>
  <c r="M12" i="8"/>
  <c r="M8" i="8"/>
  <c r="M4" i="8"/>
  <c r="M11" i="8"/>
  <c r="M7" i="8"/>
  <c r="M10" i="8"/>
  <c r="M6" i="8"/>
  <c r="M13" i="8"/>
  <c r="M9" i="8"/>
  <c r="M5" i="8"/>
  <c r="F11" i="11"/>
  <c r="F18" i="11"/>
  <c r="O2" i="10"/>
  <c r="O3" i="10" s="1"/>
  <c r="Q2" i="10"/>
  <c r="Q3" i="10" s="1"/>
  <c r="F35" i="11"/>
  <c r="F40" i="11"/>
  <c r="F41" i="11"/>
  <c r="P2" i="10"/>
  <c r="P3" i="10" s="1"/>
  <c r="N2" i="10"/>
  <c r="F47" i="11"/>
  <c r="F44" i="11"/>
  <c r="F48" i="11"/>
  <c r="F42" i="11"/>
  <c r="M2" i="10"/>
  <c r="M3" i="10" s="1"/>
  <c r="U6" i="8"/>
  <c r="Q5" i="9"/>
  <c r="Y6" i="9"/>
  <c r="Y7" i="9"/>
  <c r="Q9" i="9"/>
  <c r="Q11" i="9"/>
  <c r="Q13" i="9"/>
  <c r="U7" i="8"/>
  <c r="Q4" i="9"/>
  <c r="Q6" i="9"/>
  <c r="Q7" i="9"/>
  <c r="Q8" i="9"/>
  <c r="Q10" i="9"/>
  <c r="Q12" i="9"/>
  <c r="L3" i="8"/>
  <c r="O3" i="9"/>
  <c r="P2" i="9"/>
  <c r="N3" i="9"/>
  <c r="P3" i="9"/>
  <c r="K3" i="8"/>
  <c r="V5" i="9"/>
  <c r="V2" i="9" s="1"/>
  <c r="W5" i="9"/>
  <c r="N2" i="9"/>
  <c r="X5" i="9"/>
  <c r="X2" i="9" s="1"/>
  <c r="T5" i="8"/>
  <c r="J3" i="8"/>
  <c r="M3" i="8" l="1"/>
  <c r="R2" i="10"/>
  <c r="R3" i="10" s="1"/>
  <c r="N3" i="10"/>
  <c r="Q2" i="9"/>
  <c r="Y5" i="9"/>
  <c r="Y2" i="9" s="1"/>
  <c r="Q3" i="9"/>
  <c r="W2" i="9"/>
  <c r="S5" i="8"/>
  <c r="U5" i="8" s="1"/>
  <c r="U2" i="8" s="1"/>
  <c r="K2" i="8"/>
  <c r="T2" i="8"/>
  <c r="L2" i="8"/>
  <c r="B5" i="8"/>
  <c r="M2" i="8" l="1"/>
  <c r="J2" i="8"/>
  <c r="S2" i="8"/>
  <c r="R5" i="8"/>
  <c r="B501" i="6"/>
  <c r="B500" i="6"/>
  <c r="B499" i="6"/>
  <c r="B498" i="6"/>
  <c r="B497" i="6"/>
  <c r="B496" i="6"/>
  <c r="B495" i="6"/>
  <c r="B494" i="6"/>
  <c r="B493" i="6"/>
  <c r="B492" i="6"/>
  <c r="B490" i="6"/>
  <c r="B489" i="6"/>
  <c r="B488" i="6"/>
  <c r="B487" i="6"/>
  <c r="B486" i="6"/>
  <c r="B485" i="6"/>
  <c r="B484" i="6"/>
  <c r="B483" i="6"/>
  <c r="B482" i="6"/>
  <c r="B481" i="6"/>
  <c r="B480" i="6"/>
  <c r="B479" i="6"/>
  <c r="B477" i="6"/>
  <c r="B476" i="6"/>
  <c r="B475" i="6"/>
  <c r="B474" i="6"/>
  <c r="B473" i="6"/>
  <c r="B472" i="6"/>
  <c r="B471" i="6"/>
  <c r="B470" i="6"/>
  <c r="B469" i="6"/>
  <c r="B468" i="6"/>
  <c r="B467" i="6"/>
  <c r="B466" i="6"/>
  <c r="B465" i="6"/>
  <c r="B464" i="6"/>
  <c r="B462" i="6"/>
  <c r="B461" i="6"/>
  <c r="B460" i="6"/>
  <c r="B459" i="6"/>
  <c r="B458" i="6"/>
  <c r="B457" i="6"/>
  <c r="B456" i="6"/>
  <c r="B455" i="6"/>
  <c r="B454" i="6"/>
  <c r="B453" i="6"/>
  <c r="B451" i="6"/>
  <c r="B450" i="6"/>
  <c r="B449" i="6"/>
  <c r="B448" i="6"/>
  <c r="B447" i="6"/>
  <c r="B446" i="6"/>
  <c r="B445" i="6"/>
  <c r="B444" i="6"/>
  <c r="B443" i="6"/>
  <c r="B442" i="6"/>
  <c r="B440" i="6"/>
  <c r="B439" i="6"/>
  <c r="B438" i="6"/>
  <c r="B437" i="6"/>
  <c r="B436" i="6"/>
  <c r="B435" i="6"/>
  <c r="B434" i="6"/>
  <c r="B433" i="6"/>
  <c r="B432" i="6"/>
  <c r="B431" i="6"/>
  <c r="B430" i="6"/>
  <c r="B429" i="6"/>
  <c r="B427" i="6"/>
  <c r="B426" i="6"/>
  <c r="B425" i="6"/>
  <c r="B424" i="6"/>
  <c r="B423" i="6"/>
  <c r="B422" i="6"/>
  <c r="B421" i="6"/>
  <c r="B420" i="6"/>
  <c r="B419" i="6"/>
  <c r="B418" i="6"/>
  <c r="B417" i="6"/>
  <c r="B416" i="6"/>
  <c r="B415" i="6"/>
  <c r="B414" i="6"/>
  <c r="B413" i="6"/>
  <c r="B412" i="6"/>
  <c r="B411" i="6"/>
  <c r="B410" i="6"/>
  <c r="B409" i="6"/>
  <c r="B406" i="6"/>
  <c r="B405" i="6"/>
  <c r="B404" i="6"/>
  <c r="B403" i="6"/>
  <c r="B402" i="6"/>
  <c r="B401" i="6"/>
  <c r="B400" i="6"/>
  <c r="B399" i="6"/>
  <c r="B398" i="6"/>
  <c r="B397" i="6"/>
  <c r="B396" i="6"/>
  <c r="B395" i="6"/>
  <c r="B394" i="6"/>
  <c r="B393" i="6"/>
  <c r="B392" i="6"/>
  <c r="B391" i="6"/>
  <c r="B390" i="6"/>
  <c r="B389" i="6"/>
  <c r="B388" i="6"/>
  <c r="B386" i="6"/>
  <c r="B385" i="6"/>
  <c r="B384" i="6"/>
  <c r="B383" i="6"/>
  <c r="B382" i="6"/>
  <c r="B381" i="6"/>
  <c r="B380" i="6"/>
  <c r="B379" i="6"/>
  <c r="B378" i="6"/>
  <c r="B377" i="6"/>
  <c r="B376" i="6"/>
  <c r="B375" i="6"/>
  <c r="B374" i="6"/>
  <c r="B373" i="6"/>
  <c r="B372" i="6"/>
  <c r="B371" i="6"/>
  <c r="B370" i="6"/>
  <c r="B369" i="6"/>
  <c r="B368" i="6"/>
  <c r="B367" i="6"/>
  <c r="B365" i="6"/>
  <c r="B364" i="6"/>
  <c r="B363" i="6"/>
  <c r="B362" i="6"/>
  <c r="B361" i="6"/>
  <c r="B360" i="6"/>
  <c r="B359" i="6"/>
  <c r="B358" i="6"/>
  <c r="B357" i="6"/>
  <c r="B356" i="6"/>
  <c r="B355" i="6"/>
  <c r="B354" i="6"/>
  <c r="B353" i="6"/>
  <c r="B352" i="6"/>
  <c r="B351" i="6"/>
  <c r="B350" i="6"/>
  <c r="B335" i="6"/>
  <c r="B334" i="6"/>
  <c r="B333" i="6"/>
  <c r="B332" i="6"/>
  <c r="B331" i="6"/>
  <c r="B330" i="6"/>
  <c r="B329" i="6"/>
  <c r="B328" i="6"/>
  <c r="B327" i="6"/>
  <c r="B326" i="6"/>
  <c r="B324" i="6"/>
  <c r="B323" i="6"/>
  <c r="B322" i="6"/>
  <c r="B321" i="6"/>
  <c r="B320" i="6"/>
  <c r="B319" i="6"/>
  <c r="B318" i="6"/>
  <c r="B317" i="6"/>
  <c r="B316" i="6"/>
  <c r="B315" i="6"/>
  <c r="B314" i="6"/>
  <c r="B313" i="6"/>
  <c r="B312" i="6"/>
  <c r="B311" i="6"/>
  <c r="B310" i="6"/>
  <c r="B309" i="6"/>
  <c r="B294" i="6"/>
  <c r="B293" i="6"/>
  <c r="B292" i="6"/>
  <c r="B291" i="6"/>
  <c r="B290" i="6"/>
  <c r="B289" i="6"/>
  <c r="B288" i="6"/>
  <c r="B287" i="6"/>
  <c r="B286" i="6"/>
  <c r="B285" i="6"/>
  <c r="B284" i="6"/>
  <c r="B283" i="6"/>
  <c r="B282" i="6"/>
  <c r="B281" i="6"/>
  <c r="B280" i="6"/>
  <c r="B279" i="6"/>
  <c r="B277" i="6"/>
  <c r="B276" i="6"/>
  <c r="B275" i="6"/>
  <c r="B274" i="6"/>
  <c r="B273" i="6"/>
  <c r="B272" i="6"/>
  <c r="B271" i="6"/>
  <c r="B270" i="6"/>
  <c r="B269" i="6"/>
  <c r="B268" i="6"/>
  <c r="B267" i="6"/>
  <c r="B266" i="6"/>
  <c r="B265" i="6"/>
  <c r="B264" i="6"/>
  <c r="B262" i="6"/>
  <c r="B261" i="6"/>
  <c r="B260" i="6"/>
  <c r="B259" i="6"/>
  <c r="B258" i="6"/>
  <c r="B257" i="6"/>
  <c r="B256" i="6"/>
  <c r="B255" i="6"/>
  <c r="B254" i="6"/>
  <c r="B253" i="6"/>
  <c r="B252" i="6"/>
  <c r="B251" i="6"/>
  <c r="B250" i="6"/>
  <c r="B249" i="6"/>
  <c r="B248" i="6"/>
  <c r="B247" i="6"/>
  <c r="B246" i="6"/>
  <c r="B245" i="6"/>
  <c r="B243" i="6"/>
  <c r="B242" i="6"/>
  <c r="B241" i="6"/>
  <c r="B240" i="6"/>
  <c r="B239" i="6"/>
  <c r="B238" i="6"/>
  <c r="B237" i="6"/>
  <c r="B236" i="6"/>
  <c r="B235" i="6"/>
  <c r="B234" i="6"/>
  <c r="B233" i="6"/>
  <c r="B232" i="6"/>
  <c r="B231" i="6"/>
  <c r="B230" i="6"/>
  <c r="B229" i="6"/>
  <c r="B228" i="6"/>
  <c r="B226" i="6"/>
  <c r="B225" i="6"/>
  <c r="B224" i="6"/>
  <c r="B223" i="6"/>
  <c r="B222" i="6"/>
  <c r="B221" i="6"/>
  <c r="B220" i="6"/>
  <c r="B219" i="6"/>
  <c r="B218" i="6"/>
  <c r="B217" i="6"/>
  <c r="B216" i="6"/>
  <c r="B215" i="6"/>
  <c r="B214" i="6"/>
  <c r="B213" i="6"/>
  <c r="B211" i="6"/>
  <c r="B210" i="6"/>
  <c r="B209" i="6"/>
  <c r="B208" i="6"/>
  <c r="B207" i="6"/>
  <c r="B206" i="6"/>
  <c r="B205" i="6"/>
  <c r="B204" i="6"/>
  <c r="B203" i="6"/>
  <c r="B202" i="6"/>
  <c r="B201" i="6"/>
  <c r="B200" i="6"/>
  <c r="B199" i="6"/>
  <c r="B198" i="6"/>
  <c r="B197" i="6"/>
  <c r="B196" i="6"/>
  <c r="B195" i="6"/>
  <c r="B194" i="6"/>
  <c r="B192" i="6"/>
  <c r="B191" i="6"/>
  <c r="B190" i="6"/>
  <c r="B189" i="6"/>
  <c r="B188" i="6"/>
  <c r="B187" i="6"/>
  <c r="B186" i="6"/>
  <c r="B185" i="6"/>
  <c r="B184" i="6"/>
  <c r="B183" i="6"/>
  <c r="B182" i="6"/>
  <c r="B181" i="6"/>
  <c r="B180" i="6"/>
  <c r="B179" i="6"/>
  <c r="B178" i="6"/>
  <c r="B177" i="6"/>
  <c r="B175" i="6"/>
  <c r="B174" i="6"/>
  <c r="B173" i="6"/>
  <c r="B172" i="6"/>
  <c r="B171" i="6"/>
  <c r="B170" i="6"/>
  <c r="B169" i="6"/>
  <c r="B168" i="6"/>
  <c r="B167" i="6"/>
  <c r="B166" i="6"/>
  <c r="B165" i="6"/>
  <c r="B164" i="6"/>
  <c r="B162" i="6"/>
  <c r="B161" i="6"/>
  <c r="B160" i="6"/>
  <c r="B159" i="6"/>
  <c r="B158" i="6"/>
  <c r="B157" i="6"/>
  <c r="B156" i="6"/>
  <c r="B155" i="6"/>
  <c r="B154" i="6"/>
  <c r="B153" i="6"/>
  <c r="B152" i="6"/>
  <c r="B151" i="6"/>
  <c r="B149" i="6"/>
  <c r="B148" i="6"/>
  <c r="B147" i="6"/>
  <c r="B146" i="6"/>
  <c r="B145" i="6"/>
  <c r="B144" i="6"/>
  <c r="B143" i="6"/>
  <c r="B142" i="6"/>
  <c r="B141" i="6"/>
  <c r="B140" i="6"/>
  <c r="B139" i="6"/>
  <c r="B138" i="6"/>
  <c r="B136" i="6"/>
  <c r="B135" i="6"/>
  <c r="B134" i="6"/>
  <c r="B133" i="6"/>
  <c r="B132" i="6"/>
  <c r="B131" i="6"/>
  <c r="B130" i="6"/>
  <c r="B129" i="6"/>
  <c r="B128" i="6"/>
  <c r="B126" i="6"/>
  <c r="B125" i="6"/>
  <c r="B124" i="6"/>
  <c r="B123" i="6"/>
  <c r="B122" i="6"/>
  <c r="B121" i="6"/>
  <c r="B120" i="6"/>
  <c r="B119" i="6"/>
  <c r="B118" i="6"/>
  <c r="B117" i="6"/>
  <c r="B116" i="6"/>
  <c r="B115" i="6"/>
  <c r="B114" i="6"/>
  <c r="B113" i="6"/>
  <c r="B112" i="6"/>
  <c r="B111" i="6"/>
  <c r="B110" i="6"/>
  <c r="B109" i="6"/>
  <c r="B108" i="6"/>
  <c r="B107" i="6"/>
  <c r="B106" i="6"/>
  <c r="B105" i="6"/>
  <c r="B104" i="6"/>
  <c r="B103" i="6"/>
  <c r="B101" i="6"/>
  <c r="B100" i="6"/>
  <c r="B99" i="6"/>
  <c r="B98" i="6"/>
  <c r="B97" i="6"/>
  <c r="B96" i="6"/>
  <c r="B95" i="6"/>
  <c r="B94" i="6"/>
  <c r="B93" i="6"/>
  <c r="B92" i="6"/>
  <c r="B91" i="6"/>
  <c r="B90" i="6"/>
  <c r="B89" i="6"/>
  <c r="B88" i="6"/>
  <c r="B87" i="6"/>
  <c r="B86" i="6"/>
  <c r="B85" i="6"/>
  <c r="B84" i="6"/>
  <c r="B83" i="6"/>
  <c r="B82" i="6"/>
  <c r="B80" i="6"/>
  <c r="B79" i="6"/>
  <c r="B78" i="6"/>
  <c r="B77" i="6"/>
  <c r="B76" i="6"/>
  <c r="B75" i="6"/>
  <c r="B74" i="6"/>
  <c r="B73" i="6"/>
  <c r="B72" i="6"/>
  <c r="B71" i="6"/>
  <c r="B70" i="6"/>
  <c r="B69" i="6"/>
  <c r="B68" i="6"/>
  <c r="B67" i="6"/>
  <c r="B66" i="6"/>
  <c r="B65" i="6"/>
  <c r="B64" i="6"/>
  <c r="B63" i="6"/>
  <c r="B61" i="6"/>
  <c r="B60" i="6"/>
  <c r="B59" i="6"/>
  <c r="B58" i="6"/>
  <c r="B57" i="6"/>
  <c r="B56" i="6"/>
  <c r="B55" i="6"/>
  <c r="B54" i="6"/>
  <c r="B53" i="6"/>
  <c r="B52" i="6"/>
  <c r="B51" i="6"/>
  <c r="B50" i="6"/>
  <c r="B49" i="6"/>
  <c r="B48" i="6"/>
  <c r="B47" i="6"/>
  <c r="B46" i="6"/>
  <c r="B45" i="6"/>
  <c r="B44" i="6"/>
  <c r="B42" i="6"/>
  <c r="B41" i="6"/>
  <c r="B40" i="6"/>
  <c r="B39" i="6"/>
  <c r="B38" i="6"/>
  <c r="B37" i="6"/>
  <c r="B36" i="6"/>
  <c r="B35" i="6"/>
  <c r="B34" i="6"/>
  <c r="B33" i="6"/>
  <c r="B32" i="6"/>
  <c r="B31" i="6"/>
  <c r="B30" i="6"/>
  <c r="B29" i="6"/>
  <c r="B28" i="6"/>
  <c r="B27" i="6"/>
  <c r="B26" i="6"/>
  <c r="B25" i="6"/>
  <c r="B24" i="6"/>
  <c r="B23" i="6"/>
  <c r="B21" i="6"/>
  <c r="B20" i="6"/>
  <c r="B19" i="6"/>
  <c r="B18" i="6"/>
  <c r="B17" i="6"/>
  <c r="B16" i="6"/>
  <c r="B15" i="6"/>
  <c r="B14" i="6"/>
  <c r="B13" i="6"/>
  <c r="B12" i="6"/>
  <c r="B11" i="6"/>
  <c r="B10" i="6"/>
  <c r="B9" i="6"/>
  <c r="B8" i="6"/>
  <c r="B7" i="6"/>
  <c r="B6" i="6"/>
  <c r="B5" i="6"/>
  <c r="B4" i="6"/>
  <c r="B3" i="6"/>
  <c r="B2" i="6"/>
  <c r="D501" i="6"/>
  <c r="D500" i="6"/>
  <c r="D499" i="6"/>
  <c r="D498" i="6"/>
  <c r="D497" i="6"/>
  <c r="D496" i="6"/>
  <c r="D495" i="6"/>
  <c r="D494" i="6"/>
  <c r="D493" i="6"/>
  <c r="D492" i="6"/>
  <c r="D490" i="6"/>
  <c r="D489" i="6"/>
  <c r="D488" i="6"/>
  <c r="D487" i="6"/>
  <c r="D486" i="6"/>
  <c r="D485" i="6"/>
  <c r="D484" i="6"/>
  <c r="D483" i="6"/>
  <c r="D482" i="6"/>
  <c r="D481" i="6"/>
  <c r="D480" i="6"/>
  <c r="D479" i="6"/>
  <c r="D477" i="6"/>
  <c r="D476" i="6"/>
  <c r="D475" i="6"/>
  <c r="D474" i="6"/>
  <c r="D473" i="6"/>
  <c r="D472" i="6"/>
  <c r="D471" i="6"/>
  <c r="D470" i="6"/>
  <c r="D469" i="6"/>
  <c r="D468" i="6"/>
  <c r="D467" i="6"/>
  <c r="D466" i="6"/>
  <c r="D465" i="6"/>
  <c r="D464" i="6"/>
  <c r="D462" i="6"/>
  <c r="D461" i="6"/>
  <c r="D460" i="6"/>
  <c r="D459" i="6"/>
  <c r="D458" i="6"/>
  <c r="D457" i="6"/>
  <c r="D456" i="6"/>
  <c r="D455" i="6"/>
  <c r="D454" i="6"/>
  <c r="D453" i="6"/>
  <c r="D451" i="6"/>
  <c r="D450" i="6"/>
  <c r="D449" i="6"/>
  <c r="D448" i="6"/>
  <c r="D447" i="6"/>
  <c r="D446" i="6"/>
  <c r="D445" i="6"/>
  <c r="D444" i="6"/>
  <c r="D443" i="6"/>
  <c r="D442" i="6"/>
  <c r="D440" i="6"/>
  <c r="D439" i="6"/>
  <c r="D438" i="6"/>
  <c r="D437" i="6"/>
  <c r="D436" i="6"/>
  <c r="D435" i="6"/>
  <c r="D434" i="6"/>
  <c r="D433" i="6"/>
  <c r="D432" i="6"/>
  <c r="D431" i="6"/>
  <c r="D430" i="6"/>
  <c r="D429" i="6"/>
  <c r="D427" i="6"/>
  <c r="D426" i="6"/>
  <c r="D425" i="6"/>
  <c r="D424" i="6"/>
  <c r="D423" i="6"/>
  <c r="D422" i="6"/>
  <c r="D421" i="6"/>
  <c r="D420" i="6"/>
  <c r="D419" i="6"/>
  <c r="D418" i="6"/>
  <c r="D417" i="6"/>
  <c r="D416" i="6"/>
  <c r="D415" i="6"/>
  <c r="D414" i="6"/>
  <c r="D413" i="6"/>
  <c r="D412" i="6"/>
  <c r="D411" i="6"/>
  <c r="D410" i="6"/>
  <c r="D409" i="6"/>
  <c r="D408" i="6"/>
  <c r="D406" i="6"/>
  <c r="D405" i="6"/>
  <c r="D404" i="6"/>
  <c r="D403" i="6"/>
  <c r="D402" i="6"/>
  <c r="D401" i="6"/>
  <c r="D400" i="6"/>
  <c r="D399" i="6"/>
  <c r="D398" i="6"/>
  <c r="D397" i="6"/>
  <c r="D396" i="6"/>
  <c r="D395" i="6"/>
  <c r="D394" i="6"/>
  <c r="D393" i="6"/>
  <c r="D392" i="6"/>
  <c r="D391" i="6"/>
  <c r="D390" i="6"/>
  <c r="D389" i="6"/>
  <c r="D388" i="6"/>
  <c r="D386" i="6"/>
  <c r="D385" i="6"/>
  <c r="D384" i="6"/>
  <c r="D383" i="6"/>
  <c r="D382" i="6"/>
  <c r="D381" i="6"/>
  <c r="D380" i="6"/>
  <c r="D379" i="6"/>
  <c r="D378" i="6"/>
  <c r="D377" i="6"/>
  <c r="D376" i="6"/>
  <c r="D375" i="6"/>
  <c r="D374" i="6"/>
  <c r="D373" i="6"/>
  <c r="D372" i="6"/>
  <c r="D371" i="6"/>
  <c r="D370" i="6"/>
  <c r="D369" i="6"/>
  <c r="D368" i="6"/>
  <c r="D367" i="6"/>
  <c r="D365" i="6"/>
  <c r="D364" i="6"/>
  <c r="D363" i="6"/>
  <c r="D362" i="6"/>
  <c r="D361" i="6"/>
  <c r="D360" i="6"/>
  <c r="D359" i="6"/>
  <c r="D358" i="6"/>
  <c r="D357" i="6"/>
  <c r="D356" i="6"/>
  <c r="D355" i="6"/>
  <c r="D354" i="6"/>
  <c r="D353" i="6"/>
  <c r="D352" i="6"/>
  <c r="D351" i="6"/>
  <c r="D350" i="6"/>
  <c r="D335" i="6"/>
  <c r="D334" i="6"/>
  <c r="D333" i="6"/>
  <c r="D332" i="6"/>
  <c r="D331" i="6"/>
  <c r="D330" i="6"/>
  <c r="D329" i="6"/>
  <c r="D328" i="6"/>
  <c r="D327" i="6"/>
  <c r="D326" i="6"/>
  <c r="D324" i="6"/>
  <c r="D323" i="6"/>
  <c r="D322" i="6"/>
  <c r="D321" i="6"/>
  <c r="D320" i="6"/>
  <c r="D319" i="6"/>
  <c r="D318" i="6"/>
  <c r="D317" i="6"/>
  <c r="D316" i="6"/>
  <c r="D315" i="6"/>
  <c r="D314" i="6"/>
  <c r="D313" i="6"/>
  <c r="D312" i="6"/>
  <c r="D311" i="6"/>
  <c r="D310" i="6"/>
  <c r="D309" i="6"/>
  <c r="D294" i="6"/>
  <c r="D293" i="6"/>
  <c r="D292" i="6"/>
  <c r="D291" i="6"/>
  <c r="D290" i="6"/>
  <c r="D289" i="6"/>
  <c r="D288" i="6"/>
  <c r="D287" i="6"/>
  <c r="D286" i="6"/>
  <c r="D285" i="6"/>
  <c r="D284" i="6"/>
  <c r="D283" i="6"/>
  <c r="D282" i="6"/>
  <c r="D281" i="6"/>
  <c r="D280" i="6"/>
  <c r="D279" i="6"/>
  <c r="D277" i="6"/>
  <c r="D276" i="6"/>
  <c r="D275" i="6"/>
  <c r="D274" i="6"/>
  <c r="D273" i="6"/>
  <c r="D272" i="6"/>
  <c r="D271" i="6"/>
  <c r="D270" i="6"/>
  <c r="D269" i="6"/>
  <c r="D268" i="6"/>
  <c r="D267" i="6"/>
  <c r="D266" i="6"/>
  <c r="D265" i="6"/>
  <c r="D264" i="6"/>
  <c r="D262" i="6"/>
  <c r="D261" i="6"/>
  <c r="D260" i="6"/>
  <c r="D259" i="6"/>
  <c r="D258" i="6"/>
  <c r="D257" i="6"/>
  <c r="D256" i="6"/>
  <c r="D255" i="6"/>
  <c r="D254" i="6"/>
  <c r="D253" i="6"/>
  <c r="D252" i="6"/>
  <c r="D251" i="6"/>
  <c r="D250" i="6"/>
  <c r="D249" i="6"/>
  <c r="D248" i="6"/>
  <c r="D247" i="6"/>
  <c r="D246" i="6"/>
  <c r="D245" i="6"/>
  <c r="D243" i="6"/>
  <c r="D242" i="6"/>
  <c r="D241" i="6"/>
  <c r="D240" i="6"/>
  <c r="D239" i="6"/>
  <c r="D238" i="6"/>
  <c r="D237" i="6"/>
  <c r="D236" i="6"/>
  <c r="D235" i="6"/>
  <c r="D234" i="6"/>
  <c r="D233" i="6"/>
  <c r="D232" i="6"/>
  <c r="D231" i="6"/>
  <c r="D230" i="6"/>
  <c r="D229" i="6"/>
  <c r="D228" i="6"/>
  <c r="D226" i="6"/>
  <c r="D225" i="6"/>
  <c r="D224" i="6"/>
  <c r="D223" i="6"/>
  <c r="D222" i="6"/>
  <c r="D221" i="6"/>
  <c r="D220" i="6"/>
  <c r="D219" i="6"/>
  <c r="D218" i="6"/>
  <c r="D217" i="6"/>
  <c r="D216" i="6"/>
  <c r="D215" i="6"/>
  <c r="D214" i="6"/>
  <c r="D213" i="6"/>
  <c r="D211" i="6"/>
  <c r="D210" i="6"/>
  <c r="D209" i="6"/>
  <c r="D208" i="6"/>
  <c r="D207" i="6"/>
  <c r="D206" i="6"/>
  <c r="D205" i="6"/>
  <c r="D204" i="6"/>
  <c r="D203" i="6"/>
  <c r="D202" i="6"/>
  <c r="D201" i="6"/>
  <c r="D200" i="6"/>
  <c r="D199" i="6"/>
  <c r="D198" i="6"/>
  <c r="D197" i="6"/>
  <c r="D196" i="6"/>
  <c r="D195" i="6"/>
  <c r="D194" i="6"/>
  <c r="D192" i="6"/>
  <c r="D191" i="6"/>
  <c r="D190" i="6"/>
  <c r="D189" i="6"/>
  <c r="D188" i="6"/>
  <c r="D187" i="6"/>
  <c r="D186" i="6"/>
  <c r="D185" i="6"/>
  <c r="D184" i="6"/>
  <c r="D183" i="6"/>
  <c r="D182" i="6"/>
  <c r="D181" i="6"/>
  <c r="D180" i="6"/>
  <c r="D179" i="6"/>
  <c r="D178" i="6"/>
  <c r="D177" i="6"/>
  <c r="D175" i="6"/>
  <c r="D174" i="6"/>
  <c r="D173" i="6"/>
  <c r="D172" i="6"/>
  <c r="D171" i="6"/>
  <c r="D170" i="6"/>
  <c r="D169" i="6"/>
  <c r="D168" i="6"/>
  <c r="D167" i="6"/>
  <c r="D166" i="6"/>
  <c r="D165" i="6"/>
  <c r="D164" i="6"/>
  <c r="D162" i="6"/>
  <c r="D161" i="6"/>
  <c r="D160" i="6"/>
  <c r="D159" i="6"/>
  <c r="D158" i="6"/>
  <c r="D157" i="6"/>
  <c r="D156" i="6"/>
  <c r="D155" i="6"/>
  <c r="D154" i="6"/>
  <c r="D153" i="6"/>
  <c r="D152" i="6"/>
  <c r="D151" i="6"/>
  <c r="D149" i="6"/>
  <c r="D148" i="6"/>
  <c r="D147" i="6"/>
  <c r="D146" i="6"/>
  <c r="D145" i="6"/>
  <c r="D144" i="6"/>
  <c r="D143" i="6"/>
  <c r="D142" i="6"/>
  <c r="D141" i="6"/>
  <c r="D140" i="6"/>
  <c r="D139" i="6"/>
  <c r="D138" i="6"/>
  <c r="D136" i="6"/>
  <c r="D135" i="6"/>
  <c r="D134" i="6"/>
  <c r="D133" i="6"/>
  <c r="D132" i="6"/>
  <c r="D131" i="6"/>
  <c r="D130" i="6"/>
  <c r="D129" i="6"/>
  <c r="D128" i="6"/>
  <c r="D126" i="6"/>
  <c r="D125" i="6"/>
  <c r="D124" i="6"/>
  <c r="D123" i="6"/>
  <c r="D122" i="6"/>
  <c r="D121" i="6"/>
  <c r="D120" i="6"/>
  <c r="D119" i="6"/>
  <c r="D118" i="6"/>
  <c r="D117" i="6"/>
  <c r="D116" i="6"/>
  <c r="D115" i="6"/>
  <c r="D114" i="6"/>
  <c r="D113" i="6"/>
  <c r="D112" i="6"/>
  <c r="D111" i="6"/>
  <c r="D110" i="6"/>
  <c r="D109" i="6"/>
  <c r="D108" i="6"/>
  <c r="D107" i="6"/>
  <c r="D106" i="6"/>
  <c r="D105" i="6"/>
  <c r="D104" i="6"/>
  <c r="D103" i="6"/>
  <c r="D101" i="6"/>
  <c r="D100" i="6"/>
  <c r="D99" i="6"/>
  <c r="D98" i="6"/>
  <c r="D97" i="6"/>
  <c r="D96" i="6"/>
  <c r="D95" i="6"/>
  <c r="D94" i="6"/>
  <c r="D93" i="6"/>
  <c r="D92" i="6"/>
  <c r="D91" i="6"/>
  <c r="D90" i="6"/>
  <c r="D89" i="6"/>
  <c r="D88" i="6"/>
  <c r="D87" i="6"/>
  <c r="D86" i="6"/>
  <c r="D85" i="6"/>
  <c r="D84" i="6"/>
  <c r="D83" i="6"/>
  <c r="M7" i="1" s="1"/>
  <c r="D82" i="6"/>
  <c r="D80" i="6"/>
  <c r="D79" i="6"/>
  <c r="D78" i="6"/>
  <c r="D77" i="6"/>
  <c r="D76" i="6"/>
  <c r="D75" i="6"/>
  <c r="D74" i="6"/>
  <c r="D73" i="6"/>
  <c r="D72" i="6"/>
  <c r="D71" i="6"/>
  <c r="D70" i="6"/>
  <c r="D69" i="6"/>
  <c r="D68" i="6"/>
  <c r="D67" i="6"/>
  <c r="D66" i="6"/>
  <c r="D65" i="6"/>
  <c r="D64" i="6"/>
  <c r="D63" i="6"/>
  <c r="D61" i="6"/>
  <c r="D60" i="6"/>
  <c r="D59" i="6"/>
  <c r="D58" i="6"/>
  <c r="D57" i="6"/>
  <c r="D56" i="6"/>
  <c r="D55" i="6"/>
  <c r="D54" i="6"/>
  <c r="D53" i="6"/>
  <c r="D52" i="6"/>
  <c r="D51" i="6"/>
  <c r="D50" i="6"/>
  <c r="D49" i="6"/>
  <c r="D48" i="6"/>
  <c r="D47" i="6"/>
  <c r="D46" i="6"/>
  <c r="D45" i="6"/>
  <c r="D44" i="6"/>
  <c r="D42" i="6"/>
  <c r="D41" i="6"/>
  <c r="D40" i="6"/>
  <c r="D39" i="6"/>
  <c r="D38" i="6"/>
  <c r="D37" i="6"/>
  <c r="D36" i="6"/>
  <c r="D35" i="6"/>
  <c r="D34" i="6"/>
  <c r="D33" i="6"/>
  <c r="D32" i="6"/>
  <c r="D31" i="6"/>
  <c r="D30" i="6"/>
  <c r="D29" i="6"/>
  <c r="D28" i="6"/>
  <c r="D27" i="6"/>
  <c r="D26" i="6"/>
  <c r="D25" i="6"/>
  <c r="D24" i="6"/>
  <c r="D23" i="6"/>
  <c r="D21" i="6"/>
  <c r="D20" i="6"/>
  <c r="D19" i="6"/>
  <c r="D18" i="6"/>
  <c r="D17" i="6"/>
  <c r="D16" i="6"/>
  <c r="D15" i="6"/>
  <c r="D14" i="6"/>
  <c r="D13" i="6"/>
  <c r="D11" i="6"/>
  <c r="D10" i="6"/>
  <c r="D9" i="6"/>
  <c r="D8" i="6"/>
  <c r="D7" i="6"/>
  <c r="D6" i="6"/>
  <c r="D5" i="6"/>
  <c r="D4" i="6"/>
  <c r="D3" i="6"/>
  <c r="D2" i="6"/>
  <c r="M6" i="1" l="1"/>
  <c r="M9" i="1"/>
  <c r="L10" i="1"/>
  <c r="M13" i="1"/>
  <c r="L12" i="1"/>
  <c r="L11" i="1"/>
  <c r="M10" i="1"/>
  <c r="L13" i="1"/>
  <c r="M12" i="1"/>
  <c r="M11" i="1"/>
  <c r="L6" i="1"/>
  <c r="K6" i="1" s="1"/>
  <c r="L7" i="1"/>
  <c r="K7" i="1" s="1"/>
  <c r="L8" i="1"/>
  <c r="L9" i="1"/>
  <c r="M8" i="1"/>
  <c r="L3" i="1"/>
  <c r="L2" i="1"/>
  <c r="L4" i="1"/>
  <c r="L5" i="1"/>
  <c r="R2" i="8"/>
  <c r="F12" i="1"/>
  <c r="F13" i="1"/>
  <c r="AF11" i="7" l="1"/>
  <c r="AD11" i="7"/>
  <c r="AG11" i="7"/>
  <c r="AE11" i="7"/>
  <c r="AF10" i="7"/>
  <c r="AD10" i="7"/>
  <c r="AG10" i="7"/>
  <c r="AE10" i="7"/>
  <c r="AF30" i="7"/>
  <c r="AD30" i="7"/>
  <c r="AG30" i="7"/>
  <c r="AE30" i="7"/>
  <c r="AG31" i="7"/>
  <c r="AE31" i="7"/>
  <c r="AD31" i="7"/>
  <c r="AF31" i="7"/>
  <c r="K13" i="1"/>
  <c r="K9" i="1"/>
  <c r="K12" i="1"/>
  <c r="K11" i="1"/>
  <c r="K10" i="1"/>
  <c r="K8" i="1"/>
  <c r="H13" i="1"/>
  <c r="J13" i="1"/>
  <c r="G13" i="1"/>
  <c r="I13" i="1"/>
  <c r="H12" i="1"/>
  <c r="J12" i="1"/>
  <c r="G12" i="1"/>
  <c r="I12" i="1"/>
  <c r="AE57" i="7" l="1"/>
  <c r="AD57" i="7"/>
  <c r="AE56" i="7"/>
  <c r="AD56" i="7"/>
  <c r="AG57" i="7"/>
  <c r="AF57" i="7"/>
  <c r="AG56" i="7"/>
  <c r="AF56" i="7"/>
  <c r="AE124" i="7"/>
  <c r="AD124" i="7"/>
  <c r="AE123" i="7"/>
  <c r="AD123" i="7"/>
  <c r="AG124" i="7"/>
  <c r="AF124" i="7"/>
  <c r="AG123" i="7"/>
  <c r="AF123" i="7"/>
  <c r="AE112" i="7"/>
  <c r="AD112" i="7"/>
  <c r="AE111" i="7"/>
  <c r="AD111" i="7"/>
  <c r="AG112" i="7"/>
  <c r="AF112" i="7"/>
  <c r="AG111" i="7"/>
  <c r="AF111" i="7"/>
  <c r="AE107" i="7"/>
  <c r="AE106" i="7"/>
  <c r="AD106" i="7"/>
  <c r="AD107" i="7"/>
  <c r="AG107" i="7"/>
  <c r="AF107" i="7"/>
  <c r="AG106" i="7"/>
  <c r="AF106" i="7"/>
  <c r="AG65" i="7"/>
  <c r="AE65" i="7"/>
  <c r="AD65" i="7"/>
  <c r="AF65" i="7"/>
  <c r="AE47" i="7"/>
  <c r="AD47" i="7"/>
  <c r="AG47" i="7"/>
  <c r="AF47" i="7"/>
  <c r="AG95" i="7"/>
  <c r="AF95" i="7"/>
  <c r="AG94" i="7"/>
  <c r="AE95" i="7"/>
  <c r="AD95" i="7"/>
  <c r="AE94" i="7"/>
  <c r="AD94" i="7"/>
  <c r="AF94" i="7"/>
  <c r="AD78" i="7"/>
  <c r="AE79" i="7"/>
  <c r="AD79" i="7"/>
  <c r="AE78" i="7"/>
  <c r="AG79" i="7"/>
  <c r="AF79" i="7"/>
  <c r="AG78" i="7"/>
  <c r="AF78" i="7"/>
  <c r="M3" i="1"/>
  <c r="M4" i="1"/>
  <c r="K4" i="1" s="1"/>
  <c r="M5" i="1"/>
  <c r="K5" i="1" s="1"/>
  <c r="M2" i="1"/>
  <c r="F5" i="1"/>
  <c r="F2" i="1"/>
  <c r="F7" i="1"/>
  <c r="F4" i="1"/>
  <c r="F6" i="1"/>
  <c r="F3" i="1"/>
  <c r="F11" i="1"/>
  <c r="F9" i="1"/>
  <c r="F8" i="1"/>
  <c r="F10" i="1"/>
  <c r="AG3" i="7" l="1"/>
  <c r="AE3" i="7"/>
  <c r="AF3" i="7"/>
  <c r="AD3" i="7"/>
  <c r="AG4" i="7"/>
  <c r="AE4" i="7"/>
  <c r="AF4" i="7"/>
  <c r="AD4" i="7"/>
  <c r="AG2" i="7"/>
  <c r="AE2" i="7"/>
  <c r="AD2" i="7"/>
  <c r="AF2" i="7"/>
  <c r="AG5" i="7"/>
  <c r="AE5" i="7"/>
  <c r="AF5" i="7"/>
  <c r="AD5" i="7"/>
  <c r="AF9" i="7"/>
  <c r="AD9" i="7"/>
  <c r="AG9" i="7"/>
  <c r="AE9" i="7"/>
  <c r="AF16" i="7"/>
  <c r="AD16" i="7"/>
  <c r="AG16" i="7"/>
  <c r="AE16" i="7"/>
  <c r="AF13" i="7"/>
  <c r="AD13" i="7"/>
  <c r="AG13" i="7"/>
  <c r="AE13" i="7"/>
  <c r="AF14" i="7"/>
  <c r="AD14" i="7"/>
  <c r="AG14" i="7"/>
  <c r="AE14" i="7"/>
  <c r="AF8" i="7"/>
  <c r="AD8" i="7"/>
  <c r="AG8" i="7"/>
  <c r="AE8" i="7"/>
  <c r="AF17" i="7"/>
  <c r="AD17" i="7"/>
  <c r="AG17" i="7"/>
  <c r="AE17" i="7"/>
  <c r="AF6" i="7"/>
  <c r="AD6" i="7"/>
  <c r="AG6" i="7"/>
  <c r="AE6" i="7"/>
  <c r="AF12" i="7"/>
  <c r="AD12" i="7"/>
  <c r="AG12" i="7"/>
  <c r="AE12" i="7"/>
  <c r="AF7" i="7"/>
  <c r="AD7" i="7"/>
  <c r="AG7" i="7"/>
  <c r="AE7" i="7"/>
  <c r="AF15" i="7"/>
  <c r="AD15" i="7"/>
  <c r="AG15" i="7"/>
  <c r="AE15" i="7"/>
  <c r="AG32" i="7"/>
  <c r="AF32" i="7"/>
  <c r="AD32" i="7"/>
  <c r="AE32" i="7"/>
  <c r="AF34" i="7"/>
  <c r="AD34" i="7"/>
  <c r="AG34" i="7"/>
  <c r="AE34" i="7"/>
  <c r="AF33" i="7"/>
  <c r="AD33" i="7"/>
  <c r="AG33" i="7"/>
  <c r="AE33" i="7"/>
  <c r="AF18" i="7"/>
  <c r="AD18" i="7"/>
  <c r="AG18" i="7"/>
  <c r="AE18" i="7"/>
  <c r="AF20" i="7"/>
  <c r="AD20" i="7"/>
  <c r="AG20" i="7"/>
  <c r="AE20" i="7"/>
  <c r="AF19" i="7"/>
  <c r="AD19" i="7"/>
  <c r="AG19" i="7"/>
  <c r="AE19" i="7"/>
  <c r="AF26" i="7"/>
  <c r="AD26" i="7"/>
  <c r="AG26" i="7"/>
  <c r="AE26" i="7"/>
  <c r="AF21" i="7"/>
  <c r="AD21" i="7"/>
  <c r="AG21" i="7"/>
  <c r="AE21" i="7"/>
  <c r="AF23" i="7"/>
  <c r="AD23" i="7"/>
  <c r="AG23" i="7"/>
  <c r="AE23" i="7"/>
  <c r="AF25" i="7"/>
  <c r="AD25" i="7"/>
  <c r="AG25" i="7"/>
  <c r="AE25" i="7"/>
  <c r="AF24" i="7"/>
  <c r="AD24" i="7"/>
  <c r="AG24" i="7"/>
  <c r="AE24" i="7"/>
  <c r="AG27" i="7"/>
  <c r="AE27" i="7"/>
  <c r="AD27" i="7"/>
  <c r="AF27" i="7"/>
  <c r="AF28" i="7"/>
  <c r="AD28" i="7"/>
  <c r="AG28" i="7"/>
  <c r="AE28" i="7"/>
  <c r="AG29" i="7"/>
  <c r="AF29" i="7"/>
  <c r="AD29" i="7"/>
  <c r="AE29" i="7"/>
  <c r="AF22" i="7"/>
  <c r="AD22" i="7"/>
  <c r="AG22" i="7"/>
  <c r="AE22" i="7"/>
  <c r="AF52" i="7"/>
  <c r="AD52" i="7"/>
  <c r="AG52" i="7"/>
  <c r="AE52" i="7"/>
  <c r="AF51" i="7"/>
  <c r="AD51" i="7"/>
  <c r="AG51" i="7"/>
  <c r="AE51" i="7"/>
  <c r="AF178" i="7"/>
  <c r="AD178" i="7"/>
  <c r="AG178" i="7"/>
  <c r="AE178" i="7"/>
  <c r="AF53" i="7"/>
  <c r="AD53" i="7"/>
  <c r="AG53" i="7"/>
  <c r="AE53" i="7"/>
  <c r="AF54" i="7"/>
  <c r="AD54" i="7"/>
  <c r="AG54" i="7"/>
  <c r="AE54" i="7"/>
  <c r="G8" i="1"/>
  <c r="H8" i="1"/>
  <c r="J8" i="1"/>
  <c r="I8" i="1"/>
  <c r="G7" i="1"/>
  <c r="H7" i="1"/>
  <c r="J7" i="1"/>
  <c r="I7" i="1"/>
  <c r="K3" i="1"/>
  <c r="I5" i="1"/>
  <c r="G5" i="1"/>
  <c r="J5" i="1"/>
  <c r="H5" i="1"/>
  <c r="I9" i="1"/>
  <c r="G9" i="1"/>
  <c r="J9" i="1"/>
  <c r="H9" i="1"/>
  <c r="I11" i="1"/>
  <c r="G11" i="1"/>
  <c r="J11" i="1"/>
  <c r="H11" i="1"/>
  <c r="I6" i="1"/>
  <c r="G6" i="1"/>
  <c r="J6" i="1"/>
  <c r="H6" i="1"/>
  <c r="I10" i="1"/>
  <c r="G10" i="1"/>
  <c r="J10" i="1"/>
  <c r="H10" i="1"/>
  <c r="J4" i="1"/>
  <c r="I4" i="1"/>
  <c r="G4" i="1"/>
  <c r="H4" i="1"/>
  <c r="K2" i="1"/>
  <c r="J2" i="1"/>
  <c r="I2" i="1"/>
  <c r="H2" i="1"/>
  <c r="G2" i="1"/>
  <c r="J3" i="1"/>
  <c r="I3" i="1"/>
  <c r="H3" i="1"/>
  <c r="G3" i="1"/>
  <c r="Q8" i="10" l="1"/>
  <c r="Q10" i="10"/>
  <c r="Q12" i="10"/>
  <c r="Q14" i="10"/>
  <c r="Q16" i="10"/>
  <c r="Q18" i="10"/>
  <c r="Q20" i="10"/>
  <c r="Q22" i="10"/>
  <c r="Q24" i="10"/>
  <c r="Q26" i="10"/>
  <c r="Q30" i="10"/>
  <c r="Q6" i="10"/>
  <c r="Q7" i="10"/>
  <c r="Q9" i="10"/>
  <c r="Q11" i="10"/>
  <c r="Q13" i="10"/>
  <c r="Q15" i="10"/>
  <c r="Q17" i="10"/>
  <c r="Q19" i="10"/>
  <c r="Q21" i="10"/>
  <c r="Q23" i="10"/>
  <c r="Q25" i="10"/>
  <c r="Q27" i="10"/>
  <c r="Q29" i="10"/>
  <c r="Q31" i="10"/>
  <c r="Q33" i="10"/>
  <c r="Q28" i="10"/>
  <c r="Q32" i="10"/>
  <c r="AE288" i="7"/>
  <c r="AD288" i="7"/>
  <c r="AE193" i="7"/>
  <c r="AD193" i="7"/>
  <c r="AE212" i="7"/>
  <c r="AD212" i="7"/>
  <c r="AE168" i="7"/>
  <c r="AD168" i="7"/>
  <c r="AE305" i="7"/>
  <c r="AD305" i="7"/>
  <c r="AE289" i="7"/>
  <c r="AD289" i="7"/>
  <c r="AE86" i="7"/>
  <c r="AD86" i="7"/>
  <c r="AE194" i="7"/>
  <c r="AD194" i="7"/>
  <c r="AE55" i="7"/>
  <c r="AD55" i="7"/>
  <c r="AE167" i="7"/>
  <c r="T32" i="10"/>
  <c r="U32" i="10" s="1"/>
  <c r="T33" i="10"/>
  <c r="U33" i="10" s="1"/>
  <c r="T7" i="10"/>
  <c r="T8" i="10"/>
  <c r="T9" i="10"/>
  <c r="U9" i="10" s="1"/>
  <c r="T10" i="10"/>
  <c r="T11" i="10"/>
  <c r="T12" i="10"/>
  <c r="T13" i="10"/>
  <c r="T14" i="10"/>
  <c r="T15" i="10"/>
  <c r="U15" i="10" s="1"/>
  <c r="T16" i="10"/>
  <c r="T17" i="10"/>
  <c r="U17" i="10" s="1"/>
  <c r="T18" i="10"/>
  <c r="U18" i="10" s="1"/>
  <c r="T19" i="10"/>
  <c r="U19" i="10" s="1"/>
  <c r="T20" i="10"/>
  <c r="T21" i="10"/>
  <c r="T22" i="10"/>
  <c r="T23" i="10"/>
  <c r="T24" i="10"/>
  <c r="T25" i="10"/>
  <c r="U25" i="10" s="1"/>
  <c r="T26" i="10"/>
  <c r="U26" i="10" s="1"/>
  <c r="T27" i="10"/>
  <c r="T28" i="10"/>
  <c r="U28" i="10" s="1"/>
  <c r="T29" i="10"/>
  <c r="T30" i="10"/>
  <c r="U30" i="10" s="1"/>
  <c r="T31" i="10"/>
  <c r="U31" i="10" s="1"/>
  <c r="T6" i="10"/>
  <c r="AD167" i="7"/>
  <c r="AG288" i="7"/>
  <c r="AF288" i="7"/>
  <c r="AG193" i="7"/>
  <c r="AF193" i="7"/>
  <c r="AG212" i="7"/>
  <c r="AF212" i="7"/>
  <c r="AG168" i="7"/>
  <c r="AF168" i="7"/>
  <c r="AG305" i="7"/>
  <c r="AF305" i="7"/>
  <c r="AG289" i="7"/>
  <c r="AF289" i="7"/>
  <c r="AG86" i="7"/>
  <c r="AF86" i="7"/>
  <c r="AG194" i="7"/>
  <c r="AF194" i="7"/>
  <c r="AG55" i="7"/>
  <c r="AF55" i="7"/>
  <c r="AG167" i="7"/>
  <c r="Z32" i="10"/>
  <c r="AA32" i="10" s="1"/>
  <c r="Z33" i="10"/>
  <c r="AA33" i="10" s="1"/>
  <c r="Z6" i="10"/>
  <c r="Z7" i="10"/>
  <c r="Z8" i="10"/>
  <c r="Z9" i="10"/>
  <c r="AA9" i="10" s="1"/>
  <c r="Z10" i="10"/>
  <c r="Z11" i="10"/>
  <c r="Z12" i="10"/>
  <c r="Z13" i="10"/>
  <c r="Z14" i="10"/>
  <c r="AA14" i="10" s="1"/>
  <c r="Z15" i="10"/>
  <c r="AA15" i="10" s="1"/>
  <c r="Z16" i="10"/>
  <c r="AA16" i="10" s="1"/>
  <c r="Z17" i="10"/>
  <c r="AA17" i="10" s="1"/>
  <c r="Z18" i="10"/>
  <c r="AA18" i="10" s="1"/>
  <c r="Z19" i="10"/>
  <c r="AA19" i="10" s="1"/>
  <c r="Z20" i="10"/>
  <c r="AA20" i="10" s="1"/>
  <c r="Z21" i="10"/>
  <c r="Z22" i="10"/>
  <c r="Z23" i="10"/>
  <c r="Z24" i="10"/>
  <c r="Z25" i="10"/>
  <c r="AA25" i="10" s="1"/>
  <c r="Z26" i="10"/>
  <c r="AA26" i="10" s="1"/>
  <c r="Z27" i="10"/>
  <c r="Z28" i="10"/>
  <c r="AA28" i="10" s="1"/>
  <c r="Z29" i="10"/>
  <c r="AA29" i="10" s="1"/>
  <c r="Z30" i="10"/>
  <c r="AA30" i="10" s="1"/>
  <c r="Z31" i="10"/>
  <c r="AA31" i="10" s="1"/>
  <c r="AF167" i="7"/>
  <c r="W32" i="10"/>
  <c r="X32" i="10" s="1"/>
  <c r="W33" i="10"/>
  <c r="X33" i="10" s="1"/>
  <c r="W7" i="10"/>
  <c r="W8" i="10"/>
  <c r="X8" i="10" s="1"/>
  <c r="W9" i="10"/>
  <c r="X9" i="10" s="1"/>
  <c r="W10" i="10"/>
  <c r="X10" i="10" s="1"/>
  <c r="W11" i="10"/>
  <c r="W12" i="10"/>
  <c r="W13" i="10"/>
  <c r="W14" i="10"/>
  <c r="W15" i="10"/>
  <c r="W16" i="10"/>
  <c r="W17" i="10"/>
  <c r="X17" i="10" s="1"/>
  <c r="W18" i="10"/>
  <c r="W19" i="10"/>
  <c r="X19" i="10" s="1"/>
  <c r="W20" i="10"/>
  <c r="X20" i="10" s="1"/>
  <c r="W21" i="10"/>
  <c r="W22" i="10"/>
  <c r="W23" i="10"/>
  <c r="W24" i="10"/>
  <c r="W25" i="10"/>
  <c r="W26" i="10"/>
  <c r="W27" i="10"/>
  <c r="W28" i="10"/>
  <c r="W29" i="10"/>
  <c r="X29" i="10" s="1"/>
  <c r="W30" i="10"/>
  <c r="X30" i="10" s="1"/>
  <c r="W31" i="10"/>
  <c r="W6" i="10"/>
  <c r="X6" i="10" s="1"/>
  <c r="AE323" i="7"/>
  <c r="AD323" i="7"/>
  <c r="AG323" i="7"/>
  <c r="AF323" i="7"/>
  <c r="AE131" i="7"/>
  <c r="AD131" i="7"/>
  <c r="AE129" i="7"/>
  <c r="AD129" i="7"/>
  <c r="AE126" i="7"/>
  <c r="AD126" i="7"/>
  <c r="AE128" i="7"/>
  <c r="AD128" i="7"/>
  <c r="AE127" i="7"/>
  <c r="AD127" i="7"/>
  <c r="AE130" i="7"/>
  <c r="AD130" i="7"/>
  <c r="AE125" i="7"/>
  <c r="AD125" i="7"/>
  <c r="AG131" i="7"/>
  <c r="AF131" i="7"/>
  <c r="AG129" i="7"/>
  <c r="AF129" i="7"/>
  <c r="AG126" i="7"/>
  <c r="AF126" i="7"/>
  <c r="AG128" i="7"/>
  <c r="AF128" i="7"/>
  <c r="AG127" i="7"/>
  <c r="AF127" i="7"/>
  <c r="AG130" i="7"/>
  <c r="AF130" i="7"/>
  <c r="AG125" i="7"/>
  <c r="AF125" i="7"/>
  <c r="AE119" i="7"/>
  <c r="AD119" i="7"/>
  <c r="AE117" i="7"/>
  <c r="AD117" i="7"/>
  <c r="AE120" i="7"/>
  <c r="AD120" i="7"/>
  <c r="AE114" i="7"/>
  <c r="AD114" i="7"/>
  <c r="AE116" i="7"/>
  <c r="AD116" i="7"/>
  <c r="AE115" i="7"/>
  <c r="AD115" i="7"/>
  <c r="AE122" i="7"/>
  <c r="AD122" i="7"/>
  <c r="AE121" i="7"/>
  <c r="AD121" i="7"/>
  <c r="AE118" i="7"/>
  <c r="AD118" i="7"/>
  <c r="AE113" i="7"/>
  <c r="AD113" i="7"/>
  <c r="AG119" i="7"/>
  <c r="AF119" i="7"/>
  <c r="AG117" i="7"/>
  <c r="AF117" i="7"/>
  <c r="AG120" i="7"/>
  <c r="AF120" i="7"/>
  <c r="AG114" i="7"/>
  <c r="AF114" i="7"/>
  <c r="AG116" i="7"/>
  <c r="AF116" i="7"/>
  <c r="AG115" i="7"/>
  <c r="AF115" i="7"/>
  <c r="AG122" i="7"/>
  <c r="AF122" i="7"/>
  <c r="AG121" i="7"/>
  <c r="AF121" i="7"/>
  <c r="AG118" i="7"/>
  <c r="AF118" i="7"/>
  <c r="AG113" i="7"/>
  <c r="AF113" i="7"/>
  <c r="AE102" i="7"/>
  <c r="AD102" i="7"/>
  <c r="AE100" i="7"/>
  <c r="AD100" i="7"/>
  <c r="AE108" i="7"/>
  <c r="AD108" i="7"/>
  <c r="AE97" i="7"/>
  <c r="AD97" i="7"/>
  <c r="AE99" i="7"/>
  <c r="AD99" i="7"/>
  <c r="AE98" i="7"/>
  <c r="AD98" i="7"/>
  <c r="AE110" i="7"/>
  <c r="AD110" i="7"/>
  <c r="AE109" i="7"/>
  <c r="AD109" i="7"/>
  <c r="AE101" i="7"/>
  <c r="AD101" i="7"/>
  <c r="AE96" i="7"/>
  <c r="AD96" i="7"/>
  <c r="AG102" i="7"/>
  <c r="AF102" i="7"/>
  <c r="AG100" i="7"/>
  <c r="AF100" i="7"/>
  <c r="AG108" i="7"/>
  <c r="AF108" i="7"/>
  <c r="AG97" i="7"/>
  <c r="AF97" i="7"/>
  <c r="AG99" i="7"/>
  <c r="AF99" i="7"/>
  <c r="AG98" i="7"/>
  <c r="AF98" i="7"/>
  <c r="AG110" i="7"/>
  <c r="AF110" i="7"/>
  <c r="AG109" i="7"/>
  <c r="AF109" i="7"/>
  <c r="AG101" i="7"/>
  <c r="AF101" i="7"/>
  <c r="AG96" i="7"/>
  <c r="AF96" i="7"/>
  <c r="AE85" i="7"/>
  <c r="AD85" i="7"/>
  <c r="AE83" i="7"/>
  <c r="AD83" i="7"/>
  <c r="AE103" i="7"/>
  <c r="AD103" i="7"/>
  <c r="AE67" i="7"/>
  <c r="AD67" i="7"/>
  <c r="AE69" i="7"/>
  <c r="AD69" i="7"/>
  <c r="AE68" i="7"/>
  <c r="AD68" i="7"/>
  <c r="AE105" i="7"/>
  <c r="AD105" i="7"/>
  <c r="AE104" i="7"/>
  <c r="AD104" i="7"/>
  <c r="AE84" i="7"/>
  <c r="AD84" i="7"/>
  <c r="AE66" i="7"/>
  <c r="AD66" i="7"/>
  <c r="AG85" i="7"/>
  <c r="AF85" i="7"/>
  <c r="AG83" i="7"/>
  <c r="AF83" i="7"/>
  <c r="AG103" i="7"/>
  <c r="AF103" i="7"/>
  <c r="AG67" i="7"/>
  <c r="AF67" i="7"/>
  <c r="AG69" i="7"/>
  <c r="AF69" i="7"/>
  <c r="AG68" i="7"/>
  <c r="AF68" i="7"/>
  <c r="AG105" i="7"/>
  <c r="AF105" i="7"/>
  <c r="AG104" i="7"/>
  <c r="AF104" i="7"/>
  <c r="AG84" i="7"/>
  <c r="AF84" i="7"/>
  <c r="AG66" i="7"/>
  <c r="AF66" i="7"/>
  <c r="AE61" i="7"/>
  <c r="AD61" i="7"/>
  <c r="AE59" i="7"/>
  <c r="AD59" i="7"/>
  <c r="AE62" i="7"/>
  <c r="AD62" i="7"/>
  <c r="AE49" i="7"/>
  <c r="AD49" i="7"/>
  <c r="AE58" i="7"/>
  <c r="AD58" i="7"/>
  <c r="AE50" i="7"/>
  <c r="AD50" i="7"/>
  <c r="AE64" i="7"/>
  <c r="AD64" i="7"/>
  <c r="AE63" i="7"/>
  <c r="AD63" i="7"/>
  <c r="AE60" i="7"/>
  <c r="AD60" i="7"/>
  <c r="AE48" i="7"/>
  <c r="AD48" i="7"/>
  <c r="AG61" i="7"/>
  <c r="AF61" i="7"/>
  <c r="AG59" i="7"/>
  <c r="AF59" i="7"/>
  <c r="AG62" i="7"/>
  <c r="AF62" i="7"/>
  <c r="AG49" i="7"/>
  <c r="AF49" i="7"/>
  <c r="AG58" i="7"/>
  <c r="AF58" i="7"/>
  <c r="AG50" i="7"/>
  <c r="AF50" i="7"/>
  <c r="AG64" i="7"/>
  <c r="AF64" i="7"/>
  <c r="AG63" i="7"/>
  <c r="AF63" i="7"/>
  <c r="AG60" i="7"/>
  <c r="AF60" i="7"/>
  <c r="AG48" i="7"/>
  <c r="AF48" i="7"/>
  <c r="AE43" i="7"/>
  <c r="AD43" i="7"/>
  <c r="AE88" i="7"/>
  <c r="AD88" i="7"/>
  <c r="AE44" i="7"/>
  <c r="AD44" i="7"/>
  <c r="AE81" i="7"/>
  <c r="AD81" i="7"/>
  <c r="AE87" i="7"/>
  <c r="AD87" i="7"/>
  <c r="AE82" i="7"/>
  <c r="AD82" i="7"/>
  <c r="AE46" i="7"/>
  <c r="AD46" i="7"/>
  <c r="AE45" i="7"/>
  <c r="AD45" i="7"/>
  <c r="AE89" i="7"/>
  <c r="AD89" i="7"/>
  <c r="AE80" i="7"/>
  <c r="AD80" i="7"/>
  <c r="AG43" i="7"/>
  <c r="AF43" i="7"/>
  <c r="AG88" i="7"/>
  <c r="AF88" i="7"/>
  <c r="AG44" i="7"/>
  <c r="AF44" i="7"/>
  <c r="AG81" i="7"/>
  <c r="AF81" i="7"/>
  <c r="AG87" i="7"/>
  <c r="AF87" i="7"/>
  <c r="AG82" i="7"/>
  <c r="AF82" i="7"/>
  <c r="AG46" i="7"/>
  <c r="AF46" i="7"/>
  <c r="AG45" i="7"/>
  <c r="AF45" i="7"/>
  <c r="AG89" i="7"/>
  <c r="AF89" i="7"/>
  <c r="AG80" i="7"/>
  <c r="AF80" i="7"/>
  <c r="AE90" i="7"/>
  <c r="AD90" i="7"/>
  <c r="AE74" i="7"/>
  <c r="AD74" i="7"/>
  <c r="AE91" i="7"/>
  <c r="AD91" i="7"/>
  <c r="AE71" i="7"/>
  <c r="AD71" i="7"/>
  <c r="AE73" i="7"/>
  <c r="AD73" i="7"/>
  <c r="AE72" i="7"/>
  <c r="AD72" i="7"/>
  <c r="AE93" i="7"/>
  <c r="AD93" i="7"/>
  <c r="AE92" i="7"/>
  <c r="AD92" i="7"/>
  <c r="AE75" i="7"/>
  <c r="AD75" i="7"/>
  <c r="AE70" i="7"/>
  <c r="AD70" i="7"/>
  <c r="AG90" i="7"/>
  <c r="AF90" i="7"/>
  <c r="AG74" i="7"/>
  <c r="AF74" i="7"/>
  <c r="AG91" i="7"/>
  <c r="AF91" i="7"/>
  <c r="AG71" i="7"/>
  <c r="AF71" i="7"/>
  <c r="AG73" i="7"/>
  <c r="AF73" i="7"/>
  <c r="AG72" i="7"/>
  <c r="AF72" i="7"/>
  <c r="AG93" i="7"/>
  <c r="AF93" i="7"/>
  <c r="AG92" i="7"/>
  <c r="AF92" i="7"/>
  <c r="AG75" i="7"/>
  <c r="AF75" i="7"/>
  <c r="AG70" i="7"/>
  <c r="AF70" i="7"/>
  <c r="AE41" i="7"/>
  <c r="AD41" i="7"/>
  <c r="AE39" i="7"/>
  <c r="AD39" i="7"/>
  <c r="AE42" i="7"/>
  <c r="AD42" i="7"/>
  <c r="AE36" i="7"/>
  <c r="AD36" i="7"/>
  <c r="AE38" i="7"/>
  <c r="AD38" i="7"/>
  <c r="AE37" i="7"/>
  <c r="AD37" i="7"/>
  <c r="AE77" i="7"/>
  <c r="AD77" i="7"/>
  <c r="AE76" i="7"/>
  <c r="AD76" i="7"/>
  <c r="AE40" i="7"/>
  <c r="AD40" i="7"/>
  <c r="AE35" i="7"/>
  <c r="S6" i="10" s="1"/>
  <c r="AD35" i="7"/>
  <c r="P6" i="10" s="1"/>
  <c r="AG41" i="7"/>
  <c r="AF41" i="7"/>
  <c r="AG39" i="7"/>
  <c r="AF39" i="7"/>
  <c r="AG42" i="7"/>
  <c r="AF42" i="7"/>
  <c r="AG36" i="7"/>
  <c r="AF36" i="7"/>
  <c r="AG38" i="7"/>
  <c r="AF38" i="7"/>
  <c r="AG37" i="7"/>
  <c r="AF37" i="7"/>
  <c r="AG77" i="7"/>
  <c r="AF77" i="7"/>
  <c r="AG76" i="7"/>
  <c r="AF76" i="7"/>
  <c r="AG40" i="7"/>
  <c r="AF40" i="7"/>
  <c r="AG35" i="7"/>
  <c r="AF35" i="7"/>
  <c r="R6" i="10" l="1"/>
  <c r="N6" i="10"/>
  <c r="O6" i="10" s="1"/>
  <c r="N2" i="11"/>
  <c r="P2" i="11" s="1"/>
  <c r="Q2" i="11"/>
  <c r="S2" i="11" s="1"/>
  <c r="K2" i="11"/>
  <c r="N33" i="10"/>
  <c r="O33" i="10" s="1"/>
  <c r="R33" i="10"/>
  <c r="N30" i="10"/>
  <c r="O30" i="10" s="1"/>
  <c r="N28" i="10"/>
  <c r="O28" i="10" s="1"/>
  <c r="R26" i="10"/>
  <c r="N26" i="10"/>
  <c r="O26" i="10" s="1"/>
  <c r="N24" i="10"/>
  <c r="O24" i="10" s="1"/>
  <c r="N22" i="10"/>
  <c r="O22" i="10" s="1"/>
  <c r="R20" i="10"/>
  <c r="N20" i="10"/>
  <c r="O20" i="10" s="1"/>
  <c r="R18" i="10"/>
  <c r="N18" i="10"/>
  <c r="O18" i="10" s="1"/>
  <c r="N16" i="10"/>
  <c r="O16" i="10" s="1"/>
  <c r="N14" i="10"/>
  <c r="O14" i="10" s="1"/>
  <c r="N12" i="10"/>
  <c r="O12" i="10" s="1"/>
  <c r="N10" i="10"/>
  <c r="O10" i="10" s="1"/>
  <c r="N8" i="10"/>
  <c r="O8" i="10" s="1"/>
  <c r="N7" i="10"/>
  <c r="O7" i="10" s="1"/>
  <c r="N31" i="10"/>
  <c r="O31" i="10" s="1"/>
  <c r="R29" i="10"/>
  <c r="N29" i="10"/>
  <c r="O29" i="10" s="1"/>
  <c r="N27" i="10"/>
  <c r="O27" i="10" s="1"/>
  <c r="N25" i="10"/>
  <c r="O25" i="10" s="1"/>
  <c r="N23" i="10"/>
  <c r="O23" i="10" s="1"/>
  <c r="N21" i="10"/>
  <c r="O21" i="10" s="1"/>
  <c r="N19" i="10"/>
  <c r="O19" i="10" s="1"/>
  <c r="N17" i="10"/>
  <c r="O17" i="10" s="1"/>
  <c r="N15" i="10"/>
  <c r="O15" i="10" s="1"/>
  <c r="N13" i="10"/>
  <c r="O13" i="10" s="1"/>
  <c r="N11" i="10"/>
  <c r="O11" i="10" s="1"/>
  <c r="N9" i="10"/>
  <c r="O9" i="10" s="1"/>
  <c r="N32" i="10"/>
  <c r="O32" i="10" s="1"/>
  <c r="R32" i="10"/>
  <c r="V32" i="10"/>
  <c r="V7" i="10"/>
  <c r="X7" i="10" s="1"/>
  <c r="V8" i="10"/>
  <c r="V9" i="10"/>
  <c r="V10" i="10"/>
  <c r="V11" i="10"/>
  <c r="X11" i="10" s="1"/>
  <c r="V12" i="10"/>
  <c r="X12" i="10" s="1"/>
  <c r="V13" i="10"/>
  <c r="X13" i="10" s="1"/>
  <c r="V14" i="10"/>
  <c r="X14" i="10" s="1"/>
  <c r="V15" i="10"/>
  <c r="X15" i="10" s="1"/>
  <c r="V16" i="10"/>
  <c r="X16" i="10" s="1"/>
  <c r="V17" i="10"/>
  <c r="V18" i="10"/>
  <c r="X18" i="10" s="1"/>
  <c r="V19" i="10"/>
  <c r="V20" i="10"/>
  <c r="V21" i="10"/>
  <c r="X21" i="10" s="1"/>
  <c r="V22" i="10"/>
  <c r="X22" i="10" s="1"/>
  <c r="V33" i="10"/>
  <c r="V23" i="10"/>
  <c r="X23" i="10" s="1"/>
  <c r="V24" i="10"/>
  <c r="X24" i="10" s="1"/>
  <c r="V25" i="10"/>
  <c r="X25" i="10" s="1"/>
  <c r="V26" i="10"/>
  <c r="X26" i="10" s="1"/>
  <c r="V27" i="10"/>
  <c r="X27" i="10" s="1"/>
  <c r="V28" i="10"/>
  <c r="X28" i="10" s="1"/>
  <c r="V29" i="10"/>
  <c r="V30" i="10"/>
  <c r="V31" i="10"/>
  <c r="X31" i="10" s="1"/>
  <c r="Y32" i="10"/>
  <c r="Y7" i="10"/>
  <c r="AA7" i="10" s="1"/>
  <c r="Y8" i="10"/>
  <c r="AA8" i="10" s="1"/>
  <c r="Y9" i="10"/>
  <c r="Y10" i="10"/>
  <c r="AA10" i="10" s="1"/>
  <c r="Y11" i="10"/>
  <c r="AA11" i="10" s="1"/>
  <c r="Y12" i="10"/>
  <c r="AA12" i="10" s="1"/>
  <c r="Y13" i="10"/>
  <c r="AA13" i="10" s="1"/>
  <c r="Y14" i="10"/>
  <c r="Y15" i="10"/>
  <c r="Y16" i="10"/>
  <c r="Y17" i="10"/>
  <c r="Y18" i="10"/>
  <c r="Y19" i="10"/>
  <c r="Y20" i="10"/>
  <c r="Y21" i="10"/>
  <c r="AA21" i="10" s="1"/>
  <c r="Y22" i="10"/>
  <c r="AA22" i="10" s="1"/>
  <c r="Y33" i="10"/>
  <c r="Y23" i="10"/>
  <c r="AA23" i="10" s="1"/>
  <c r="Y24" i="10"/>
  <c r="AA24" i="10" s="1"/>
  <c r="Y25" i="10"/>
  <c r="Y26" i="10"/>
  <c r="Y27" i="10"/>
  <c r="AA27" i="10" s="1"/>
  <c r="Y28" i="10"/>
  <c r="Y29" i="10"/>
  <c r="Y30" i="10"/>
  <c r="Y31" i="10"/>
  <c r="Y6" i="10"/>
  <c r="AA6" i="10" s="1"/>
  <c r="P32" i="10"/>
  <c r="P7" i="10"/>
  <c r="R7" i="10" s="1"/>
  <c r="P8" i="10"/>
  <c r="R8" i="10" s="1"/>
  <c r="P9" i="10"/>
  <c r="R9" i="10" s="1"/>
  <c r="P10" i="10"/>
  <c r="R10" i="10" s="1"/>
  <c r="P11" i="10"/>
  <c r="R11" i="10" s="1"/>
  <c r="P12" i="10"/>
  <c r="R12" i="10" s="1"/>
  <c r="P13" i="10"/>
  <c r="R13" i="10" s="1"/>
  <c r="P14" i="10"/>
  <c r="R14" i="10" s="1"/>
  <c r="P15" i="10"/>
  <c r="R15" i="10" s="1"/>
  <c r="P16" i="10"/>
  <c r="R16" i="10" s="1"/>
  <c r="P17" i="10"/>
  <c r="R17" i="10" s="1"/>
  <c r="P18" i="10"/>
  <c r="P19" i="10"/>
  <c r="R19" i="10" s="1"/>
  <c r="P20" i="10"/>
  <c r="P21" i="10"/>
  <c r="R21" i="10" s="1"/>
  <c r="P22" i="10"/>
  <c r="R22" i="10" s="1"/>
  <c r="P23" i="10"/>
  <c r="R23" i="10" s="1"/>
  <c r="P33" i="10"/>
  <c r="P24" i="10"/>
  <c r="R24" i="10" s="1"/>
  <c r="P25" i="10"/>
  <c r="R25" i="10" s="1"/>
  <c r="P26" i="10"/>
  <c r="P27" i="10"/>
  <c r="R27" i="10" s="1"/>
  <c r="P28" i="10"/>
  <c r="R28" i="10" s="1"/>
  <c r="P29" i="10"/>
  <c r="P30" i="10"/>
  <c r="R30" i="10" s="1"/>
  <c r="P31" i="10"/>
  <c r="R31" i="10" s="1"/>
  <c r="S32" i="10"/>
  <c r="S7" i="10"/>
  <c r="U7" i="10" s="1"/>
  <c r="S8" i="10"/>
  <c r="U8" i="10" s="1"/>
  <c r="S9" i="10"/>
  <c r="S10" i="10"/>
  <c r="U10" i="10" s="1"/>
  <c r="S11" i="10"/>
  <c r="U11" i="10" s="1"/>
  <c r="S12" i="10"/>
  <c r="U12" i="10" s="1"/>
  <c r="S13" i="10"/>
  <c r="U13" i="10" s="1"/>
  <c r="S14" i="10"/>
  <c r="U14" i="10" s="1"/>
  <c r="S15" i="10"/>
  <c r="S16" i="10"/>
  <c r="U16" i="10" s="1"/>
  <c r="S17" i="10"/>
  <c r="S18" i="10"/>
  <c r="S19" i="10"/>
  <c r="S20" i="10"/>
  <c r="U20" i="10" s="1"/>
  <c r="S21" i="10"/>
  <c r="U21" i="10" s="1"/>
  <c r="S22" i="10"/>
  <c r="U22" i="10" s="1"/>
  <c r="S23" i="10"/>
  <c r="U23" i="10" s="1"/>
  <c r="S33" i="10"/>
  <c r="S24" i="10"/>
  <c r="U24" i="10" s="1"/>
  <c r="S25" i="10"/>
  <c r="S26" i="10"/>
  <c r="S27" i="10"/>
  <c r="U27" i="10" s="1"/>
  <c r="S28" i="10"/>
  <c r="S29" i="10"/>
  <c r="U29" i="10" s="1"/>
  <c r="S30" i="10"/>
  <c r="S31" i="10"/>
  <c r="U6" i="10"/>
  <c r="V6" i="10"/>
  <c r="M2" i="11" l="1"/>
  <c r="U2" i="11"/>
</calcChain>
</file>

<file path=xl/sharedStrings.xml><?xml version="1.0" encoding="utf-8"?>
<sst xmlns="http://schemas.openxmlformats.org/spreadsheetml/2006/main" count="5672" uniqueCount="924">
  <si>
    <t>Guingamp</t>
  </si>
  <si>
    <t>Lyon</t>
  </si>
  <si>
    <t>Angers</t>
  </si>
  <si>
    <t>Montpellier</t>
  </si>
  <si>
    <t>Date</t>
  </si>
  <si>
    <t>Amiens</t>
  </si>
  <si>
    <t>Bordeaux</t>
  </si>
  <si>
    <t>Caen</t>
  </si>
  <si>
    <t>Dijon</t>
  </si>
  <si>
    <t>Lille</t>
  </si>
  <si>
    <t>Marseille</t>
  </si>
  <si>
    <t>Monaco</t>
  </si>
  <si>
    <t>Nantes</t>
  </si>
  <si>
    <t>Nice</t>
  </si>
  <si>
    <t>Nimes</t>
  </si>
  <si>
    <t>PSG</t>
  </si>
  <si>
    <t>Reims</t>
  </si>
  <si>
    <t>Rennes</t>
  </si>
  <si>
    <t>Saint-Etienne</t>
  </si>
  <si>
    <t>Strasbourg</t>
  </si>
  <si>
    <t>Toulouse</t>
  </si>
  <si>
    <t>Equipe</t>
  </si>
  <si>
    <t>Inscrits</t>
  </si>
  <si>
    <t>Encaissés</t>
  </si>
  <si>
    <t>Extérieur</t>
  </si>
  <si>
    <t>Domicile</t>
  </si>
  <si>
    <t>Score 1</t>
  </si>
  <si>
    <t>Score 2</t>
  </si>
  <si>
    <t>Score 3</t>
  </si>
  <si>
    <t>Score 4</t>
  </si>
  <si>
    <t>FT</t>
  </si>
  <si>
    <t>Résultats</t>
  </si>
  <si>
    <t>Colonne1</t>
  </si>
  <si>
    <t>Colonne2</t>
  </si>
  <si>
    <t>Pays</t>
  </si>
  <si>
    <t>Championnat</t>
  </si>
  <si>
    <t>France</t>
  </si>
  <si>
    <t>Ligue_1</t>
  </si>
  <si>
    <t>Ligue_2</t>
  </si>
  <si>
    <t>Journée</t>
  </si>
  <si>
    <t>SEP</t>
  </si>
  <si>
    <t>Se.dom</t>
  </si>
  <si>
    <t>Se.ext</t>
  </si>
  <si>
    <t>Résultat FT</t>
  </si>
  <si>
    <t>Colonne3</t>
  </si>
  <si>
    <t>AC Ajaccio</t>
  </si>
  <si>
    <t>Auxerre</t>
  </si>
  <si>
    <t>Beziers</t>
  </si>
  <si>
    <t>Brest</t>
  </si>
  <si>
    <t>Chateauroux</t>
  </si>
  <si>
    <t>Clermont</t>
  </si>
  <si>
    <t>GFC Ajaccio</t>
  </si>
  <si>
    <t>Grenoble Foot</t>
  </si>
  <si>
    <t>Le Havre</t>
  </si>
  <si>
    <t>Lens</t>
  </si>
  <si>
    <t>Lorient</t>
  </si>
  <si>
    <t>Metz</t>
  </si>
  <si>
    <t>Nancy</t>
  </si>
  <si>
    <t>Niort</t>
  </si>
  <si>
    <t>Orléans</t>
  </si>
  <si>
    <t>Paris FC</t>
  </si>
  <si>
    <t>Red Star</t>
  </si>
  <si>
    <t>Sochaux</t>
  </si>
  <si>
    <t>Troyes</t>
  </si>
  <si>
    <t>Valenciennes</t>
  </si>
  <si>
    <t>Allemagne</t>
  </si>
  <si>
    <t>Angleterre</t>
  </si>
  <si>
    <t>Espagne</t>
  </si>
  <si>
    <t>Portugal</t>
  </si>
  <si>
    <t>Italie</t>
  </si>
  <si>
    <t>Autriche</t>
  </si>
  <si>
    <t>Japon</t>
  </si>
  <si>
    <t>Belgique</t>
  </si>
  <si>
    <t>Bosnie</t>
  </si>
  <si>
    <t>Turquie</t>
  </si>
  <si>
    <t>Bulgarie</t>
  </si>
  <si>
    <t>Chypre</t>
  </si>
  <si>
    <t>Croatie</t>
  </si>
  <si>
    <t>Danemark</t>
  </si>
  <si>
    <t>Ecosse</t>
  </si>
  <si>
    <t>Estonie</t>
  </si>
  <si>
    <t>Irlande_Nord</t>
  </si>
  <si>
    <t>Irlande</t>
  </si>
  <si>
    <t>Lettonie</t>
  </si>
  <si>
    <t>Luxembourg</t>
  </si>
  <si>
    <t>Lituanie</t>
  </si>
  <si>
    <t>Pays_Galles</t>
  </si>
  <si>
    <t>Pays_Bas</t>
  </si>
  <si>
    <t>Pologne</t>
  </si>
  <si>
    <t>Rep_Tcheque</t>
  </si>
  <si>
    <t>Roumanie</t>
  </si>
  <si>
    <t>Serbie</t>
  </si>
  <si>
    <t>Slovenie</t>
  </si>
  <si>
    <t>Slovaquie</t>
  </si>
  <si>
    <t>Russie</t>
  </si>
  <si>
    <t>Finlande</t>
  </si>
  <si>
    <t>Suisse</t>
  </si>
  <si>
    <t>Ukraine</t>
  </si>
  <si>
    <t>Bundesliga</t>
  </si>
  <si>
    <t>Bundesliga_2</t>
  </si>
  <si>
    <t>Premier_League_Ang</t>
  </si>
  <si>
    <t>Championship</t>
  </si>
  <si>
    <t>LaLiga</t>
  </si>
  <si>
    <t>LaLiga_2</t>
  </si>
  <si>
    <t>Serie_A_Bre</t>
  </si>
  <si>
    <t>Serie_A_Ita</t>
  </si>
  <si>
    <t>Tipico</t>
  </si>
  <si>
    <t>Jupiler_League</t>
  </si>
  <si>
    <t>NIFL</t>
  </si>
  <si>
    <t>Premiership</t>
  </si>
  <si>
    <t>Vysshaya_Liga</t>
  </si>
  <si>
    <t>Premier_League_Bos</t>
  </si>
  <si>
    <t>Parva_Liga</t>
  </si>
  <si>
    <t>Premiere_Division_Chy</t>
  </si>
  <si>
    <t>Superliga</t>
  </si>
  <si>
    <t>Meistriliiga</t>
  </si>
  <si>
    <t>Super_League_Gre</t>
  </si>
  <si>
    <t>J_League</t>
  </si>
  <si>
    <t>SynotTip</t>
  </si>
  <si>
    <t>Premier_League_Gal</t>
  </si>
  <si>
    <t>Eredivisie</t>
  </si>
  <si>
    <t>Ekstraklasa</t>
  </si>
  <si>
    <t>Liga_1</t>
  </si>
  <si>
    <t>Premier_League_Rus</t>
  </si>
  <si>
    <t>Super_Liga</t>
  </si>
  <si>
    <t>Fortuna_Liga</t>
  </si>
  <si>
    <t>Prva_Liga</t>
  </si>
  <si>
    <t>Raiffeisen_League</t>
  </si>
  <si>
    <t>Super_Lig</t>
  </si>
  <si>
    <t>Premier_League_Ukr</t>
  </si>
  <si>
    <t>National_Division</t>
  </si>
  <si>
    <t>Liga_NOS</t>
  </si>
  <si>
    <t>Liga_2_Cabovisao</t>
  </si>
  <si>
    <t>Premier_League_Arm</t>
  </si>
  <si>
    <t>A_Lyga</t>
  </si>
  <si>
    <t>Eliteserien</t>
  </si>
  <si>
    <t>Allsvenskan</t>
  </si>
  <si>
    <t>Veikkausliga</t>
  </si>
  <si>
    <t>Premier_Division_Irl</t>
  </si>
  <si>
    <t>Augsburg</t>
  </si>
  <si>
    <t>Bayern</t>
  </si>
  <si>
    <t>Bremen</t>
  </si>
  <si>
    <t>Dortmund</t>
  </si>
  <si>
    <t>Dusseldorf</t>
  </si>
  <si>
    <t>Frankfurt</t>
  </si>
  <si>
    <t>Freiburg</t>
  </si>
  <si>
    <t>Hannover</t>
  </si>
  <si>
    <t>Hertha</t>
  </si>
  <si>
    <t>Hoffenheim</t>
  </si>
  <si>
    <t>Leverkusen</t>
  </si>
  <si>
    <t>Mainz</t>
  </si>
  <si>
    <t>Monchengladbach</t>
  </si>
  <si>
    <t>Nurnberg</t>
  </si>
  <si>
    <t>RB Leipzig</t>
  </si>
  <si>
    <t>Schalke 04</t>
  </si>
  <si>
    <t>Stuttgart</t>
  </si>
  <si>
    <t>Wolfsburg</t>
  </si>
  <si>
    <t>Aue</t>
  </si>
  <si>
    <t>Bielefeld</t>
  </si>
  <si>
    <t>Bochum</t>
  </si>
  <si>
    <t>Darmstadt</t>
  </si>
  <si>
    <t>Dresden</t>
  </si>
  <si>
    <t>Duisburg</t>
  </si>
  <si>
    <t>FC Koln</t>
  </si>
  <si>
    <t>Furth</t>
  </si>
  <si>
    <t>Hamburger SV</t>
  </si>
  <si>
    <t>Heidenheim</t>
  </si>
  <si>
    <t>Ingolstadt</t>
  </si>
  <si>
    <t>Kiel</t>
  </si>
  <si>
    <t>Magdeburg</t>
  </si>
  <si>
    <t>Paderborn</t>
  </si>
  <si>
    <t>Regensburg</t>
  </si>
  <si>
    <t>Sandhausen</t>
  </si>
  <si>
    <t>St. Pauli</t>
  </si>
  <si>
    <t>Union Berlin</t>
  </si>
  <si>
    <t>Arsenal</t>
  </si>
  <si>
    <t>Bournemouth</t>
  </si>
  <si>
    <t>Brighton</t>
  </si>
  <si>
    <t>Burnley</t>
  </si>
  <si>
    <t>Cardiff</t>
  </si>
  <si>
    <t>Chelsea</t>
  </si>
  <si>
    <t>Crystal Palace</t>
  </si>
  <si>
    <t>Everton</t>
  </si>
  <si>
    <t>Fulham</t>
  </si>
  <si>
    <t>Huddersfield</t>
  </si>
  <si>
    <t>Leicester</t>
  </si>
  <si>
    <t>Liverpool</t>
  </si>
  <si>
    <t>Manchester City</t>
  </si>
  <si>
    <t>Manchester Utd</t>
  </si>
  <si>
    <t>Newcastle</t>
  </si>
  <si>
    <t>Southampton</t>
  </si>
  <si>
    <t>Tottenham</t>
  </si>
  <si>
    <t>Watford</t>
  </si>
  <si>
    <t>West Ham</t>
  </si>
  <si>
    <t>Wolves</t>
  </si>
  <si>
    <t>      </t>
  </si>
  <si>
    <t>Aston Villa</t>
  </si>
  <si>
    <t>Birmingham</t>
  </si>
  <si>
    <t>Blackburn</t>
  </si>
  <si>
    <t>Bolton</t>
  </si>
  <si>
    <t>Brentford</t>
  </si>
  <si>
    <t>Bristol City</t>
  </si>
  <si>
    <t>Derby</t>
  </si>
  <si>
    <t>Hull</t>
  </si>
  <si>
    <t>Ipswich</t>
  </si>
  <si>
    <t>Leeds</t>
  </si>
  <si>
    <t>Middlesbrough</t>
  </si>
  <si>
    <t>Millwall</t>
  </si>
  <si>
    <t>Norwich</t>
  </si>
  <si>
    <t>Nottingham</t>
  </si>
  <si>
    <t>Preston</t>
  </si>
  <si>
    <t>QPR</t>
  </si>
  <si>
    <t>Reading</t>
  </si>
  <si>
    <t>Rotherham</t>
  </si>
  <si>
    <t>Sheffield Utd</t>
  </si>
  <si>
    <t>Sheffield Wed</t>
  </si>
  <si>
    <t>Stoke</t>
  </si>
  <si>
    <t>Swansea</t>
  </si>
  <si>
    <t>West Brom</t>
  </si>
  <si>
    <t>Wigan</t>
  </si>
  <si>
    <t>Bielorussie</t>
  </si>
  <si>
    <t>Bresil</t>
  </si>
  <si>
    <t>Grece</t>
  </si>
  <si>
    <t>Armenie</t>
  </si>
  <si>
    <t>Suede</t>
  </si>
  <si>
    <t>Norvege</t>
  </si>
  <si>
    <t>Cote SE</t>
  </si>
  <si>
    <t>Cote FT</t>
  </si>
  <si>
    <t>Bet</t>
  </si>
  <si>
    <t>Gagné</t>
  </si>
  <si>
    <t>Perdu</t>
  </si>
  <si>
    <t>% Réussite</t>
  </si>
  <si>
    <t>Gagné / Perdu</t>
  </si>
  <si>
    <t>Nul</t>
  </si>
  <si>
    <t>Mois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</si>
  <si>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</si>
  <si>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</si>
  <si>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</si>
  <si>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</si>
  <si>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</si>
  <si>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</si>
  <si>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</si>
  <si>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</si>
  <si>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</si>
  <si>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</si>
  <si>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</si>
  <si>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</si>
  <si>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Jour</t>
  </si>
  <si>
    <t>Année</t>
  </si>
  <si>
    <t>Général</t>
  </si>
  <si>
    <t>Résultat</t>
  </si>
  <si>
    <t>Résultats SE</t>
  </si>
  <si>
    <t>Alashkert</t>
  </si>
  <si>
    <t>Ararat</t>
  </si>
  <si>
    <t>Ararat-Armenia</t>
  </si>
  <si>
    <t>Artsakh</t>
  </si>
  <si>
    <t>Banants</t>
  </si>
  <si>
    <t>Gandzasar</t>
  </si>
  <si>
    <t>Lori</t>
  </si>
  <si>
    <t>Pyunik</t>
  </si>
  <si>
    <t>Shirak</t>
  </si>
  <si>
    <t>Celik Zenica</t>
  </si>
  <si>
    <t>GOSK Gabela</t>
  </si>
  <si>
    <t>Krupa</t>
  </si>
  <si>
    <t>Mladost DK</t>
  </si>
  <si>
    <t>Radnik Bijeljina</t>
  </si>
  <si>
    <t>Sarajevo</t>
  </si>
  <si>
    <t>Siroki Brijeg</t>
  </si>
  <si>
    <t>Sloboda</t>
  </si>
  <si>
    <t>Tuzla City</t>
  </si>
  <si>
    <t>Zeljeznicar</t>
  </si>
  <si>
    <t>Zrinjski</t>
  </si>
  <si>
    <t>Zvijezda 09</t>
  </si>
  <si>
    <t>Aberystwyth</t>
  </si>
  <si>
    <t>Bala Town</t>
  </si>
  <si>
    <t>Barry</t>
  </si>
  <si>
    <t>Caernarfon</t>
  </si>
  <si>
    <t>Cardiff Metropolitan</t>
  </si>
  <si>
    <t>Carmarthen</t>
  </si>
  <si>
    <t>Connah's Q.</t>
  </si>
  <si>
    <t>Druids</t>
  </si>
  <si>
    <t>Llandudno</t>
  </si>
  <si>
    <t>Llanelli</t>
  </si>
  <si>
    <t>Newtown</t>
  </si>
  <si>
    <t>TNS</t>
  </si>
  <si>
    <t>A. Kiev</t>
  </si>
  <si>
    <t>Ch. Odessa</t>
  </si>
  <si>
    <t>Desna</t>
  </si>
  <si>
    <t>Dyn. Kiev</t>
  </si>
  <si>
    <t>Karpaty</t>
  </si>
  <si>
    <t>Lviv</t>
  </si>
  <si>
    <t>Mariupol</t>
  </si>
  <si>
    <t>Oleksandriya</t>
  </si>
  <si>
    <t>Olimpik Donetsk</t>
  </si>
  <si>
    <t>Shakhtar</t>
  </si>
  <si>
    <t>Vorskla</t>
  </si>
  <si>
    <t>Zorya</t>
  </si>
  <si>
    <t>Akhmat Grozny</t>
  </si>
  <si>
    <t>Anzhi</t>
  </si>
  <si>
    <t>Arsenal Tula</t>
  </si>
  <si>
    <t>CSKA Moscou</t>
  </si>
  <si>
    <t>Din. Moscou</t>
  </si>
  <si>
    <t>FK Rostov</t>
  </si>
  <si>
    <t>Kazan</t>
  </si>
  <si>
    <t>Krasnodar</t>
  </si>
  <si>
    <t>Lok. Moscou</t>
  </si>
  <si>
    <t>Orenburg</t>
  </si>
  <si>
    <t>Samara</t>
  </si>
  <si>
    <t>Sp. Moscou</t>
  </si>
  <si>
    <t>Ufa</t>
  </si>
  <si>
    <t>Ural</t>
  </si>
  <si>
    <t>Yenisey</t>
  </si>
  <si>
    <t>Zenit Petersburg</t>
  </si>
  <si>
    <t>Aves</t>
  </si>
  <si>
    <t>Belenenses</t>
  </si>
  <si>
    <t>Benfica</t>
  </si>
  <si>
    <t>Boavista</t>
  </si>
  <si>
    <t>Braga</t>
  </si>
  <si>
    <t>Chaves</t>
  </si>
  <si>
    <t>FC Porto</t>
  </si>
  <si>
    <t>Feirense</t>
  </si>
  <si>
    <t>Guimaraes</t>
  </si>
  <si>
    <t>Maritimo</t>
  </si>
  <si>
    <t>Moreirense</t>
  </si>
  <si>
    <t>Nacional</t>
  </si>
  <si>
    <t>Portimonense</t>
  </si>
  <si>
    <t>Rio Ave</t>
  </si>
  <si>
    <t>Santa Clara</t>
  </si>
  <si>
    <t>Setubal</t>
  </si>
  <si>
    <t>Sporting</t>
  </si>
  <si>
    <t>Tondela</t>
  </si>
  <si>
    <t>Astra</t>
  </si>
  <si>
    <t>Botosani</t>
  </si>
  <si>
    <t>Calarasi</t>
  </si>
  <si>
    <t>CFR Cluj</t>
  </si>
  <si>
    <t>Concordia</t>
  </si>
  <si>
    <t>D. Bucarest</t>
  </si>
  <si>
    <t>FC Hermannstadt</t>
  </si>
  <si>
    <t>FCSB</t>
  </si>
  <si>
    <t>Gaz Metan</t>
  </si>
  <si>
    <t>Poli Iasi</t>
  </si>
  <si>
    <t>Sepsi</t>
  </si>
  <si>
    <t>U Craiova 1948 CS</t>
  </si>
  <si>
    <t>Viitorul Constanta</t>
  </si>
  <si>
    <t>Voluntari</t>
  </si>
  <si>
    <t>Bohemians 1905</t>
  </si>
  <si>
    <t>Dukla Prague</t>
  </si>
  <si>
    <t>Jablonec</t>
  </si>
  <si>
    <t>Karvina</t>
  </si>
  <si>
    <t>Liberec</t>
  </si>
  <si>
    <t>Mlada Boleslav</t>
  </si>
  <si>
    <t>Opava</t>
  </si>
  <si>
    <t>Ostrava</t>
  </si>
  <si>
    <t>Plzen</t>
  </si>
  <si>
    <t>Pribram</t>
  </si>
  <si>
    <t>Sigma Olomouc</t>
  </si>
  <si>
    <t>Slavia Prague</t>
  </si>
  <si>
    <t>Slovacko</t>
  </si>
  <si>
    <t>Sparta Prague</t>
  </si>
  <si>
    <t>Teplice</t>
  </si>
  <si>
    <t>Zlin</t>
  </si>
  <si>
    <t>Academica</t>
  </si>
  <si>
    <t>Academico Viseu</t>
  </si>
  <si>
    <t>Arouca</t>
  </si>
  <si>
    <t>Benfica B</t>
  </si>
  <si>
    <t>Braga B</t>
  </si>
  <si>
    <t>CD Cova da Piedade</t>
  </si>
  <si>
    <t>Covilha</t>
  </si>
  <si>
    <t>Estoril</t>
  </si>
  <si>
    <t>Famalicao</t>
  </si>
  <si>
    <t>Farense</t>
  </si>
  <si>
    <t>FC Porto B</t>
  </si>
  <si>
    <t>Guimaraes B</t>
  </si>
  <si>
    <t>Leixoes</t>
  </si>
  <si>
    <t>Mafra</t>
  </si>
  <si>
    <t>Oliveirense</t>
  </si>
  <si>
    <t>Paços Ferreira</t>
  </si>
  <si>
    <t>Penafiel</t>
  </si>
  <si>
    <t>Varzim</t>
  </si>
  <si>
    <t>Beroe</t>
  </si>
  <si>
    <t>Bistritsa</t>
  </si>
  <si>
    <t>Botev Plovdiv</t>
  </si>
  <si>
    <t>Botev Vratsa</t>
  </si>
  <si>
    <t>Cherno More</t>
  </si>
  <si>
    <t>CSKA Sofia</t>
  </si>
  <si>
    <t>Dunav Ruse</t>
  </si>
  <si>
    <t>Etar</t>
  </si>
  <si>
    <t>Levski</t>
  </si>
  <si>
    <t>Lok. Plovdiv</t>
  </si>
  <si>
    <t>Ludogorets</t>
  </si>
  <si>
    <t>Septemvri Sofia</t>
  </si>
  <si>
    <t>Slavia Sofia</t>
  </si>
  <si>
    <t>Vereya</t>
  </si>
  <si>
    <t>BATE </t>
  </si>
  <si>
    <t>Din. Minsk</t>
  </si>
  <si>
    <t>Dnepr Mogilev </t>
  </si>
  <si>
    <t>FC Minsk</t>
  </si>
  <si>
    <t>Gomel</t>
  </si>
  <si>
    <t>Gorodeja</t>
  </si>
  <si>
    <t>Isloch Minsk</t>
  </si>
  <si>
    <t>Luch Minsk</t>
  </si>
  <si>
    <t>Neman</t>
  </si>
  <si>
    <t>Slutsk</t>
  </si>
  <si>
    <t>Smolevichi STI</t>
  </si>
  <si>
    <t>Soligorsk</t>
  </si>
  <si>
    <t>Torpedo Minsk</t>
  </si>
  <si>
    <t>Vitebsk</t>
  </si>
  <si>
    <t>Zhodino</t>
  </si>
  <si>
    <t>Dun. Streda</t>
  </si>
  <si>
    <t>Michalovce</t>
  </si>
  <si>
    <t>Nitra</t>
  </si>
  <si>
    <t>Podbrezova</t>
  </si>
  <si>
    <t>Ruzomberok</t>
  </si>
  <si>
    <t>Senica</t>
  </si>
  <si>
    <t>Sered</t>
  </si>
  <si>
    <t>Slovan Bratislava</t>
  </si>
  <si>
    <t>Trencin</t>
  </si>
  <si>
    <t>Trnava</t>
  </si>
  <si>
    <t>Z. Moravce</t>
  </si>
  <si>
    <t>Zilina</t>
  </si>
  <si>
    <t>Backa</t>
  </si>
  <si>
    <t>Cukaricki</t>
  </si>
  <si>
    <t>Din. Vranje</t>
  </si>
  <si>
    <t>Étoile Rouge Belgrade</t>
  </si>
  <si>
    <t>FK Vozdovac</t>
  </si>
  <si>
    <t>Macva</t>
  </si>
  <si>
    <t>Mladost</t>
  </si>
  <si>
    <t>Napredak</t>
  </si>
  <si>
    <t>Partizan Belgrade</t>
  </si>
  <si>
    <t>Proleter</t>
  </si>
  <si>
    <t>Rad</t>
  </si>
  <si>
    <t>Radnicki Nis</t>
  </si>
  <si>
    <t>Radnik</t>
  </si>
  <si>
    <t>Sp. Subotica</t>
  </si>
  <si>
    <t>Vojvodina</t>
  </si>
  <si>
    <t>Zemun</t>
  </si>
  <si>
    <t>Aluminij</t>
  </si>
  <si>
    <t>Celje</t>
  </si>
  <si>
    <t>Domzale</t>
  </si>
  <si>
    <t>Gorica</t>
  </si>
  <si>
    <t>Krsko</t>
  </si>
  <si>
    <t>Maribor</t>
  </si>
  <si>
    <t>Mura</t>
  </si>
  <si>
    <t>O. Ljubljana</t>
  </si>
  <si>
    <t>Rudar</t>
  </si>
  <si>
    <t>Triglav</t>
  </si>
  <si>
    <t>AC Wolfsberger</t>
  </si>
  <si>
    <t>Admira</t>
  </si>
  <si>
    <t>Altach</t>
  </si>
  <si>
    <t>Austria Vienne</t>
  </si>
  <si>
    <t>Hartberg</t>
  </si>
  <si>
    <t>Innsbruck</t>
  </si>
  <si>
    <t>LASK Linz</t>
  </si>
  <si>
    <t>Mattersburg</t>
  </si>
  <si>
    <t>Rapid Vienne</t>
  </si>
  <si>
    <t>Red Bull Salzbourg</t>
  </si>
  <si>
    <t>St. Polten</t>
  </si>
  <si>
    <t>Sturm Graz</t>
  </si>
  <si>
    <t>Anderlecht</t>
  </si>
  <si>
    <t>Antwerp</t>
  </si>
  <si>
    <t>Cercle Bruges</t>
  </si>
  <si>
    <t>Charleroi</t>
  </si>
  <si>
    <t>Club Brugge</t>
  </si>
  <si>
    <t>Courtrai</t>
  </si>
  <si>
    <t>Eupen</t>
  </si>
  <si>
    <t>Genk</t>
  </si>
  <si>
    <t>La Gantoise</t>
  </si>
  <si>
    <t>Lokeren</t>
  </si>
  <si>
    <t>Mouscron</t>
  </si>
  <si>
    <t>Ostende</t>
  </si>
  <si>
    <t>Saint-Trond</t>
  </si>
  <si>
    <t>Standard Liège</t>
  </si>
  <si>
    <t>Waasland-Beveren</t>
  </si>
  <si>
    <t>Zulte-Waregem</t>
  </si>
  <si>
    <t>AC Milan</t>
  </si>
  <si>
    <t>AS Rome</t>
  </si>
  <si>
    <t>Atalanta</t>
  </si>
  <si>
    <t>Bologne</t>
  </si>
  <si>
    <t>Cagliari</t>
  </si>
  <si>
    <t>Chievo</t>
  </si>
  <si>
    <t>Empoli</t>
  </si>
  <si>
    <t>Fiorentina</t>
  </si>
  <si>
    <t>Frosinone</t>
  </si>
  <si>
    <t>Genoa</t>
  </si>
  <si>
    <t>Inter</t>
  </si>
  <si>
    <t>Juventus</t>
  </si>
  <si>
    <t>Lazio</t>
  </si>
  <si>
    <t>Naples</t>
  </si>
  <si>
    <t>Parma</t>
  </si>
  <si>
    <t>Sampdoria</t>
  </si>
  <si>
    <t>Sassuolo</t>
  </si>
  <si>
    <t>Spal</t>
  </si>
  <si>
    <t>Torino</t>
  </si>
  <si>
    <t>Udinese</t>
  </si>
  <si>
    <t>Serie_B_Ita</t>
  </si>
  <si>
    <t>Ascoli</t>
  </si>
  <si>
    <t>Benevento</t>
  </si>
  <si>
    <t>Brescia</t>
  </si>
  <si>
    <t>Carpi</t>
  </si>
  <si>
    <t>Cittadella</t>
  </si>
  <si>
    <t>Cosenza</t>
  </si>
  <si>
    <t>Cremonese</t>
  </si>
  <si>
    <t>Crotone</t>
  </si>
  <si>
    <t>Foggia</t>
  </si>
  <si>
    <t>Hellas Vérone</t>
  </si>
  <si>
    <t>Lecce</t>
  </si>
  <si>
    <t>Livorno</t>
  </si>
  <si>
    <t>Padova</t>
  </si>
  <si>
    <t>Palerme</t>
  </si>
  <si>
    <t>Perugia</t>
  </si>
  <si>
    <t>Pescara</t>
  </si>
  <si>
    <t>Salernitana</t>
  </si>
  <si>
    <t>Spezia</t>
  </si>
  <si>
    <t>Venezia</t>
  </si>
  <si>
    <t>Palmeiras</t>
  </si>
  <si>
    <t>Internacional</t>
  </si>
  <si>
    <t>Flamengo</t>
  </si>
  <si>
    <t>Gremio</t>
  </si>
  <si>
    <t>Sao Paulo</t>
  </si>
  <si>
    <t>Atletico-MG</t>
  </si>
  <si>
    <t>Cruzeiro</t>
  </si>
  <si>
    <t>Atletico-PR</t>
  </si>
  <si>
    <t>Santos</t>
  </si>
  <si>
    <t>Bahia</t>
  </si>
  <si>
    <t>Fluminense</t>
  </si>
  <si>
    <t>Botafogo RJ</t>
  </si>
  <si>
    <t>Corinthians</t>
  </si>
  <si>
    <t>Vasco</t>
  </si>
  <si>
    <t>Sport Recife</t>
  </si>
  <si>
    <t>Ceara</t>
  </si>
  <si>
    <t>Chapecoense-SC</t>
  </si>
  <si>
    <t>Vitoria</t>
  </si>
  <si>
    <t>America MG</t>
  </si>
  <si>
    <t>Parana</t>
  </si>
  <si>
    <t>AEK Larnaca</t>
  </si>
  <si>
    <t>AEL Limassol</t>
  </si>
  <si>
    <t>Alki Oroklini</t>
  </si>
  <si>
    <t>Anorthosis</t>
  </si>
  <si>
    <t>APOEL</t>
  </si>
  <si>
    <t>Apollon</t>
  </si>
  <si>
    <t>Doxa</t>
  </si>
  <si>
    <t>Nea Salamis</t>
  </si>
  <si>
    <t>Omonia</t>
  </si>
  <si>
    <t>Paphos</t>
  </si>
  <si>
    <t>Paralimni</t>
  </si>
  <si>
    <t>Bohemians</t>
  </si>
  <si>
    <t>     </t>
  </si>
  <si>
    <t>Bray</t>
  </si>
  <si>
    <t>Cork City</t>
  </si>
  <si>
    <t>Derry City</t>
  </si>
  <si>
    <t>Dundalk</t>
  </si>
  <si>
    <t>Limerick</t>
  </si>
  <si>
    <t>Shamrock Rovers</t>
  </si>
  <si>
    <t>Sligo Rovers</t>
  </si>
  <si>
    <t>St. Patricks</t>
  </si>
  <si>
    <t>Waterford</t>
  </si>
  <si>
    <t>Din. Zagreb</t>
  </si>
  <si>
    <t>Hajduk Split</t>
  </si>
  <si>
    <t>Istra 1961</t>
  </si>
  <si>
    <t>Lok. Zagreb</t>
  </si>
  <si>
    <t>Osijek</t>
  </si>
  <si>
    <t>Rijeka</t>
  </si>
  <si>
    <t>Rudes</t>
  </si>
  <si>
    <t>Slaven Belupo</t>
  </si>
  <si>
    <t>Zapresic</t>
  </si>
  <si>
    <t>Aalborg</t>
  </si>
  <si>
    <t>Aarhus</t>
  </si>
  <si>
    <t>Brondby</t>
  </si>
  <si>
    <t>Esbjerg</t>
  </si>
  <si>
    <t>FC Copenhagen</t>
  </si>
  <si>
    <t>Hobro</t>
  </si>
  <si>
    <t>Horsens</t>
  </si>
  <si>
    <t>Midtjylland</t>
  </si>
  <si>
    <t>Nordsjaelland</t>
  </si>
  <si>
    <t>Odense</t>
  </si>
  <si>
    <t>Randers</t>
  </si>
  <si>
    <t>Sonderjyske</t>
  </si>
  <si>
    <t>Vejle</t>
  </si>
  <si>
    <t>Vendsyssel</t>
  </si>
  <si>
    <t>Aberdeen</t>
  </si>
  <si>
    <t>Celtic</t>
  </si>
  <si>
    <t>Dundee FC</t>
  </si>
  <si>
    <t>Hamilton</t>
  </si>
  <si>
    <t>Hearts</t>
  </si>
  <si>
    <t>Hibernian</t>
  </si>
  <si>
    <t>Kilmarnock</t>
  </si>
  <si>
    <t>Livingston</t>
  </si>
  <si>
    <t>Motherwell</t>
  </si>
  <si>
    <t>Rangers</t>
  </si>
  <si>
    <t>St. Johnstone</t>
  </si>
  <si>
    <t>St. Mirren</t>
  </si>
  <si>
    <t>Alaves</t>
  </si>
  <si>
    <t>Ath. Bilbao</t>
  </si>
  <si>
    <t>Atl. Madrid</t>
  </si>
  <si>
    <t>Barcelone</t>
  </si>
  <si>
    <t>Betis</t>
  </si>
  <si>
    <t>Celta Vigo</t>
  </si>
  <si>
    <t>Eibar</t>
  </si>
  <si>
    <t>Espanyol</t>
  </si>
  <si>
    <t>FC Séville</t>
  </si>
  <si>
    <t>Getafe</t>
  </si>
  <si>
    <t>Girona</t>
  </si>
  <si>
    <t>Huesca</t>
  </si>
  <si>
    <t>Leganes</t>
  </si>
  <si>
    <t>Levante</t>
  </si>
  <si>
    <t>Real Madrid</t>
  </si>
  <si>
    <t>Real Sociedad</t>
  </si>
  <si>
    <t>Valence</t>
  </si>
  <si>
    <t>Valladolid</t>
  </si>
  <si>
    <t>Vallecano</t>
  </si>
  <si>
    <t>Villarreal</t>
  </si>
  <si>
    <t>Albacete</t>
  </si>
  <si>
    <t>Alcorcon</t>
  </si>
  <si>
    <t>Almeria</t>
  </si>
  <si>
    <t>Cadiz</t>
  </si>
  <si>
    <t>Cordoba</t>
  </si>
  <si>
    <t>Elche</t>
  </si>
  <si>
    <t>Extremadura UD</t>
  </si>
  <si>
    <t>Gijon</t>
  </si>
  <si>
    <t>Gimnastic</t>
  </si>
  <si>
    <t>Grenade</t>
  </si>
  <si>
    <t>La Corogne</t>
  </si>
  <si>
    <t>Las Palmas</t>
  </si>
  <si>
    <t>Lugo</t>
  </si>
  <si>
    <t>Malaga</t>
  </si>
  <si>
    <t>Mallorca</t>
  </si>
  <si>
    <t>Numancia</t>
  </si>
  <si>
    <t>Osasuna</t>
  </si>
  <si>
    <t>R. Oviedo</t>
  </si>
  <si>
    <t>Rayo Majadahonda</t>
  </si>
  <si>
    <t>Reus Deportiu</t>
  </si>
  <si>
    <t>Tenerife</t>
  </si>
  <si>
    <t>Zaragosse</t>
  </si>
  <si>
    <t>Flora</t>
  </si>
  <si>
    <t>Kalju</t>
  </si>
  <si>
    <t>Kuressaare</t>
  </si>
  <si>
    <t>Levadia</t>
  </si>
  <si>
    <t>Narva</t>
  </si>
  <si>
    <t>Paide</t>
  </si>
  <si>
    <t>Parnu JK Vaprus</t>
  </si>
  <si>
    <t>Tallinna Kalev</t>
  </si>
  <si>
    <t>Tammeka</t>
  </si>
  <si>
    <t>Tulevik</t>
  </si>
  <si>
    <t>HJK</t>
  </si>
  <si>
    <t>Honka</t>
  </si>
  <si>
    <t>Ilves</t>
  </si>
  <si>
    <t>Inter Turku</t>
  </si>
  <si>
    <t>Kemi</t>
  </si>
  <si>
    <t>KuPS</t>
  </si>
  <si>
    <t>Lahti</t>
  </si>
  <si>
    <t>Mariehamn</t>
  </si>
  <si>
    <t>Rovaniemi</t>
  </si>
  <si>
    <t>SJK</t>
  </si>
  <si>
    <t>TPS Turku</t>
  </si>
  <si>
    <t>VPS</t>
  </si>
  <si>
    <t>AEK</t>
  </si>
  <si>
    <t>AEL Larissa</t>
  </si>
  <si>
    <t>Aris</t>
  </si>
  <si>
    <t>Asteras T.</t>
  </si>
  <si>
    <t>Atromitos</t>
  </si>
  <si>
    <t>Giannina</t>
  </si>
  <si>
    <t>Lamia</t>
  </si>
  <si>
    <t>Levadiakos</t>
  </si>
  <si>
    <t>OFI Crete</t>
  </si>
  <si>
    <t>Olympiakos</t>
  </si>
  <si>
    <t>Panathinaikos</t>
  </si>
  <si>
    <t>Panetolikos</t>
  </si>
  <si>
    <t>Panionios</t>
  </si>
  <si>
    <t>PAOK</t>
  </si>
  <si>
    <t>Smyrnis</t>
  </si>
  <si>
    <t>Xanthi</t>
  </si>
  <si>
    <t>Ards</t>
  </si>
  <si>
    <t>Ballymena</t>
  </si>
  <si>
    <t>Cliftonville</t>
  </si>
  <si>
    <t>Coleraine</t>
  </si>
  <si>
    <t>Crusaders</t>
  </si>
  <si>
    <t>Dungannon</t>
  </si>
  <si>
    <t>Glenavon</t>
  </si>
  <si>
    <t>Glentoran</t>
  </si>
  <si>
    <t>Institute</t>
  </si>
  <si>
    <t>Linfield</t>
  </si>
  <si>
    <t>Newry City</t>
  </si>
  <si>
    <t>Warrenpoint</t>
  </si>
  <si>
    <t>C-Osaka</t>
  </si>
  <si>
    <t>G-Osaka</t>
  </si>
  <si>
    <t>Hiroshima</t>
  </si>
  <si>
    <t>Iwata</t>
  </si>
  <si>
    <t>Kashima</t>
  </si>
  <si>
    <t>Kashiwa</t>
  </si>
  <si>
    <t>Kawasaki </t>
  </si>
  <si>
    <t>Kobe</t>
  </si>
  <si>
    <t>Nagoya</t>
  </si>
  <si>
    <t>Sagan Tosu</t>
  </si>
  <si>
    <t>Sapporo</t>
  </si>
  <si>
    <t>Shimizu</t>
  </si>
  <si>
    <t>Shonan</t>
  </si>
  <si>
    <t>Tokyo</t>
  </si>
  <si>
    <t>Urawa</t>
  </si>
  <si>
    <t>V-Varen Nagasaki </t>
  </si>
  <si>
    <t>Vegalta Sendai</t>
  </si>
  <si>
    <t>Yokohama M.</t>
  </si>
  <si>
    <t>FK Liepaja</t>
  </si>
  <si>
    <t>Jelgava</t>
  </si>
  <si>
    <t>Metta/LU</t>
  </si>
  <si>
    <t>RFS</t>
  </si>
  <si>
    <t>Riga FC</t>
  </si>
  <si>
    <t>Spartaks</t>
  </si>
  <si>
    <t>Valmiera</t>
  </si>
  <si>
    <t>Ventspils</t>
  </si>
  <si>
    <t>Atlantas</t>
  </si>
  <si>
    <t>Jonava</t>
  </si>
  <si>
    <t>Kauno Zalgiris</t>
  </si>
  <si>
    <t>Palanga</t>
  </si>
  <si>
    <t>Stumbras</t>
  </si>
  <si>
    <t>Suduva</t>
  </si>
  <si>
    <t>Trakai</t>
  </si>
  <si>
    <t>Zalgiris</t>
  </si>
  <si>
    <t>Differdange</t>
  </si>
  <si>
    <t>Dudelange</t>
  </si>
  <si>
    <t>Ettelbruck</t>
  </si>
  <si>
    <t>Fola</t>
  </si>
  <si>
    <t>Hostert</t>
  </si>
  <si>
    <t>Jeunesse Esch</t>
  </si>
  <si>
    <t>Mondorf</t>
  </si>
  <si>
    <t>Niedercorn</t>
  </si>
  <si>
    <t>Racing Luxembourg</t>
  </si>
  <si>
    <t>Rumelange</t>
  </si>
  <si>
    <t>UNA Strassen</t>
  </si>
  <si>
    <t>Union Titus Petange</t>
  </si>
  <si>
    <t>Victoria Rosport</t>
  </si>
  <si>
    <t>Bodo/Glimt</t>
  </si>
  <si>
    <t>Brann </t>
  </si>
  <si>
    <t>Haugesund</t>
  </si>
  <si>
    <t>Kristiansund</t>
  </si>
  <si>
    <t>Lilleström</t>
  </si>
  <si>
    <t>Molde </t>
  </si>
  <si>
    <t>Odd</t>
  </si>
  <si>
    <t>Ranheim</t>
  </si>
  <si>
    <t>Rosenborg </t>
  </si>
  <si>
    <t>Sandefjord </t>
  </si>
  <si>
    <t>Sarpsborg 08</t>
  </si>
  <si>
    <t>Stabaek</t>
  </si>
  <si>
    <t>Start</t>
  </si>
  <si>
    <t>Strömsgodset</t>
  </si>
  <si>
    <t>Tromsø</t>
  </si>
  <si>
    <t>Vålerenga</t>
  </si>
  <si>
    <t>Ajax</t>
  </si>
  <si>
    <t>Alkmaar</t>
  </si>
  <si>
    <t>Breda</t>
  </si>
  <si>
    <t>Den Haag</t>
  </si>
  <si>
    <t>Excelsior</t>
  </si>
  <si>
    <t>FC Emmen</t>
  </si>
  <si>
    <t>Feyenoord</t>
  </si>
  <si>
    <t>Graafschap</t>
  </si>
  <si>
    <t>Groningen</t>
  </si>
  <si>
    <t>Heerenveen</t>
  </si>
  <si>
    <t>Heracles</t>
  </si>
  <si>
    <t>PSV</t>
  </si>
  <si>
    <t>Sittard</t>
  </si>
  <si>
    <t>Utrecht</t>
  </si>
  <si>
    <t>Venlo</t>
  </si>
  <si>
    <t>Vitesse</t>
  </si>
  <si>
    <t>Willem II</t>
  </si>
  <si>
    <t>Zwolle</t>
  </si>
  <si>
    <t>Arka</t>
  </si>
  <si>
    <t>Cracovia</t>
  </si>
  <si>
    <t>Gornik Z.</t>
  </si>
  <si>
    <t>Jagiellonia</t>
  </si>
  <si>
    <t>Korona</t>
  </si>
  <si>
    <t>Lech</t>
  </si>
  <si>
    <t>Lechia</t>
  </si>
  <si>
    <t>Legia</t>
  </si>
  <si>
    <t>Legnica</t>
  </si>
  <si>
    <t>Piast</t>
  </si>
  <si>
    <t>Plock</t>
  </si>
  <si>
    <t>Pogon Szczecin</t>
  </si>
  <si>
    <t>Slask</t>
  </si>
  <si>
    <t>Sosnowiec</t>
  </si>
  <si>
    <t>Wisla</t>
  </si>
  <si>
    <t>Zaglebie</t>
  </si>
  <si>
    <t>AIK Stockholm</t>
  </si>
  <si>
    <t>Brommapojkarna</t>
  </si>
  <si>
    <t>Dalkurd</t>
  </si>
  <si>
    <t>Djurgarden</t>
  </si>
  <si>
    <t>Elfsborg</t>
  </si>
  <si>
    <t>Göteborg</t>
  </si>
  <si>
    <t>Hacken</t>
  </si>
  <si>
    <t>Hammarby</t>
  </si>
  <si>
    <t>Kalmar</t>
  </si>
  <si>
    <t>Malmo FF</t>
  </si>
  <si>
    <t>Norrkoping</t>
  </si>
  <si>
    <t>Örebro</t>
  </si>
  <si>
    <t>Östersunds</t>
  </si>
  <si>
    <t>Sirius</t>
  </si>
  <si>
    <t>Sundsvall</t>
  </si>
  <si>
    <t>Trelleborgs</t>
  </si>
  <si>
    <t>Bale</t>
  </si>
  <si>
    <t>Grasshoppers</t>
  </si>
  <si>
    <t>Lugano</t>
  </si>
  <si>
    <t>Luzern</t>
  </si>
  <si>
    <t>Sion</t>
  </si>
  <si>
    <t>St. Gallen</t>
  </si>
  <si>
    <t>Thun</t>
  </si>
  <si>
    <t>Xamax</t>
  </si>
  <si>
    <t>Young Boys</t>
  </si>
  <si>
    <t>Zurich</t>
  </si>
  <si>
    <t>Akhisar Belediye</t>
  </si>
  <si>
    <t>Alanyaspor</t>
  </si>
  <si>
    <t>Ankaragucu</t>
  </si>
  <si>
    <t>Antalyaspor</t>
  </si>
  <si>
    <t>Basaksehir</t>
  </si>
  <si>
    <t>Besiktas</t>
  </si>
  <si>
    <t>Bursaspor</t>
  </si>
  <si>
    <t>Erzurum BB</t>
  </si>
  <si>
    <t>Fenerbahce</t>
  </si>
  <si>
    <t>Galatasaray</t>
  </si>
  <si>
    <t>Goztepe</t>
  </si>
  <si>
    <t>Kasimpasa</t>
  </si>
  <si>
    <t>Kayserispor</t>
  </si>
  <si>
    <t>Konyaspor</t>
  </si>
  <si>
    <t>Rizespor</t>
  </si>
  <si>
    <t>Sivasspor</t>
  </si>
  <si>
    <t>Trabzonspor</t>
  </si>
  <si>
    <t>Yeni Malatyaspor</t>
  </si>
  <si>
    <t xml:space="preserve">0-1 / 0-0 / 0-2 / 0-3 </t>
  </si>
  <si>
    <t>0-1</t>
  </si>
  <si>
    <t>0-0</t>
  </si>
  <si>
    <t>0-2</t>
  </si>
  <si>
    <t>0-3</t>
  </si>
  <si>
    <t xml:space="preserve">1-0 / 0-0 / 2-0 / 3-0 </t>
  </si>
  <si>
    <t>1-0</t>
  </si>
  <si>
    <t>2-0</t>
  </si>
  <si>
    <t>3-0</t>
  </si>
  <si>
    <t xml:space="preserve">1-1 / 1-0 / 0-1 / 0-0 </t>
  </si>
  <si>
    <t>1-1</t>
  </si>
  <si>
    <t xml:space="preserve">0-2 / 0-1 / 0-3 / 0-0 </t>
  </si>
  <si>
    <t xml:space="preserve">2-2 / 2-1 / 1-2 / 1-1 </t>
  </si>
  <si>
    <t>2-2</t>
  </si>
  <si>
    <t>2-1</t>
  </si>
  <si>
    <t>1-2</t>
  </si>
  <si>
    <t xml:space="preserve">1-3 / 1-2 / 0-3 / 0-2 </t>
  </si>
  <si>
    <t>1-3</t>
  </si>
  <si>
    <t xml:space="preserve">2-1 / 2-0 / 1-1 / 1-0 </t>
  </si>
  <si>
    <t xml:space="preserve">1-2 / 1-1 / 0-2 / 0-1 </t>
  </si>
  <si>
    <t xml:space="preserve">0-0 / 7-7 / 7-6 / 7-5 </t>
  </si>
  <si>
    <t>7-7</t>
  </si>
  <si>
    <t>7-6</t>
  </si>
  <si>
    <t>7-5</t>
  </si>
  <si>
    <t>But Dom</t>
  </si>
  <si>
    <t>But Ext</t>
  </si>
  <si>
    <t>-</t>
  </si>
  <si>
    <t>2-3</t>
  </si>
  <si>
    <t>1-4</t>
  </si>
  <si>
    <t>3-1</t>
  </si>
  <si>
    <t>HNL_1</t>
  </si>
  <si>
    <t xml:space="preserve">5-1 / 5-0 / 4-1 / 4-0 </t>
  </si>
  <si>
    <t>5-1</t>
  </si>
  <si>
    <t>5-0</t>
  </si>
  <si>
    <t>4-1</t>
  </si>
  <si>
    <t>4-0</t>
  </si>
  <si>
    <t>Liga_1_RepTcheque</t>
  </si>
  <si>
    <t xml:space="preserve">2-0 / 1-0 / 3-0 / 0-0 </t>
  </si>
  <si>
    <t>OTP_Bank_Liga</t>
  </si>
  <si>
    <t>Hongrie</t>
  </si>
  <si>
    <t>Debrecen</t>
  </si>
  <si>
    <t>DVTK</t>
  </si>
  <si>
    <t>Ferencvaros</t>
  </si>
  <si>
    <t>Haladas</t>
  </si>
  <si>
    <t>Honved</t>
  </si>
  <si>
    <t>Kisvarda</t>
  </si>
  <si>
    <t>Mezokovesd</t>
  </si>
  <si>
    <t>MOL Vidi</t>
  </si>
  <si>
    <t>MTK Budapest</t>
  </si>
  <si>
    <t>Paks</t>
  </si>
  <si>
    <t>Puskas Academy</t>
  </si>
  <si>
    <t>Ujpest</t>
  </si>
  <si>
    <t xml:space="preserve">3-0 / 2-0 / 4-0 / 1-0 </t>
  </si>
  <si>
    <t xml:space="preserve">0-3 / 0-2 / 0-4 / 0-1 </t>
  </si>
  <si>
    <t>0-4</t>
  </si>
  <si>
    <t xml:space="preserve">4-0 / 3-0 / 5-0 / 2-0 </t>
  </si>
  <si>
    <t xml:space="preserve">3-1 / 3-0 / 2-1 / 2-0 </t>
  </si>
  <si>
    <t xml:space="preserve">5-0 / 4-0 / 6-0 / 3-0 </t>
  </si>
  <si>
    <t>6-0</t>
  </si>
  <si>
    <t xml:space="preserve">0-4 / 0-3 / 0-5 / 0-2 </t>
  </si>
  <si>
    <t>0-5</t>
  </si>
  <si>
    <t xml:space="preserve">0-5 / 0-4 / 0-6 / 0-3 </t>
  </si>
  <si>
    <t>0-6</t>
  </si>
  <si>
    <t xml:space="preserve">6-0 / 5-0 / 7-0 / 4-0 </t>
  </si>
  <si>
    <t>7-0</t>
  </si>
  <si>
    <t xml:space="preserve">3-3 / 3-2 / 2-3 / 2-2 </t>
  </si>
  <si>
    <t>3-3</t>
  </si>
  <si>
    <t>3-2</t>
  </si>
  <si>
    <t>Score 1 Suivi</t>
  </si>
  <si>
    <t>Score 2 Suivi</t>
  </si>
  <si>
    <t>Score 3 Suivi</t>
  </si>
  <si>
    <t>Score 4 Suivi</t>
  </si>
  <si>
    <t>Scores Exacts</t>
  </si>
  <si>
    <t>Score 4 Gain</t>
  </si>
  <si>
    <t>Score 3 Gain</t>
  </si>
  <si>
    <t>Score 2 Gain</t>
  </si>
  <si>
    <t>Score 1 Gain</t>
  </si>
  <si>
    <t>Resultats Gain</t>
  </si>
  <si>
    <t>Gain / Perte</t>
  </si>
  <si>
    <t>ROI</t>
  </si>
  <si>
    <t>1-5</t>
  </si>
  <si>
    <t>SE 1 Gain</t>
  </si>
  <si>
    <t>SE 2 Gain</t>
  </si>
  <si>
    <t>SE 3 Gain</t>
  </si>
  <si>
    <t>SE 4 Gain</t>
  </si>
  <si>
    <t>SE</t>
  </si>
  <si>
    <t>SE Gain</t>
  </si>
  <si>
    <t>Apparition</t>
  </si>
  <si>
    <t xml:space="preserve">1-5 / 1-4 / 0-5 / 0-4 </t>
  </si>
  <si>
    <t xml:space="preserve">2-3 / 2-2 / 1-3 / 1-2 </t>
  </si>
  <si>
    <t>6-1</t>
  </si>
  <si>
    <t>1-6</t>
  </si>
  <si>
    <t>SE Tot</t>
  </si>
  <si>
    <t>% Tot</t>
  </si>
  <si>
    <t>5-2</t>
  </si>
  <si>
    <t>Ermis</t>
  </si>
  <si>
    <t>J2 : J42</t>
  </si>
  <si>
    <t>4-2</t>
  </si>
  <si>
    <t>2-4</t>
  </si>
  <si>
    <t>Colonne22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</si>
</sst>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4"/>
      <color rgb="FFC00000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6"/>
      <color rgb="FF0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5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13">
    <xf numFmtId="0" fontId="0" fillId="0" borderId="0" xfId="0"/>
    <xf numFmtId="0" fontId="0" fillId="0" borderId="0" xfId="0" applyNumberFormat="1"/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14" fontId="1" fillId="0" borderId="1" xfId="0" applyNumberFormat="1" applyFont="1" applyFill="1" applyBorder="1" applyAlignment="1">
      <alignment horizontal="center" vertical="center"/>
    </xf>
    <xf numFmtId="0" fontId="1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14" fontId="1" fillId="0" borderId="1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4" fontId="0" fillId="0" borderId="0" xfId="0" applyNumberFormat="1"/>
    <xf numFmtId="0" fontId="3" fillId="4" borderId="3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49" fontId="4" fillId="3" borderId="2" xfId="0" applyNumberFormat="1" applyFont="1" applyFill="1" applyBorder="1" applyAlignment="1">
      <alignment horizontal="center" vertical="center" wrapText="1"/>
    </xf>
    <xf numFmtId="0" fontId="4" fillId="0" borderId="2" xfId="0" applyNumberFormat="1" applyFont="1" applyFill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4" fillId="0" borderId="4" xfId="0" applyNumberFormat="1" applyFont="1" applyFill="1" applyBorder="1" applyAlignment="1">
      <alignment horizontal="center" vertical="center" wrapText="1"/>
    </xf>
    <xf numFmtId="10" fontId="1" fillId="0" borderId="1" xfId="1" applyNumberFormat="1" applyFon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14" fontId="3" fillId="4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4" borderId="0" xfId="0" applyFont="1" applyFill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" fillId="4" borderId="0" xfId="0" applyNumberFormat="1" applyFont="1" applyFill="1" applyAlignment="1">
      <alignment horizontal="center" vertical="center"/>
    </xf>
    <xf numFmtId="46" fontId="1" fillId="0" borderId="0" xfId="0" applyNumberFormat="1" applyFont="1" applyAlignment="1">
      <alignment horizontal="center" vertical="center"/>
    </xf>
    <xf numFmtId="20" fontId="1" fillId="0" borderId="0" xfId="0" applyNumberFormat="1" applyFont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46" fontId="1" fillId="0" borderId="0" xfId="0" applyNumberFormat="1" applyFont="1" applyFill="1" applyAlignment="1">
      <alignment horizontal="center" vertical="center"/>
    </xf>
    <xf numFmtId="20" fontId="1" fillId="0" borderId="0" xfId="0" applyNumberFormat="1" applyFont="1" applyFill="1" applyAlignment="1">
      <alignment horizontal="center" vertical="center"/>
    </xf>
    <xf numFmtId="0" fontId="8" fillId="0" borderId="7" xfId="2" applyFont="1" applyFill="1" applyBorder="1" applyAlignment="1">
      <alignment horizontal="center" vertical="center"/>
    </xf>
    <xf numFmtId="0" fontId="8" fillId="0" borderId="8" xfId="2" applyFont="1" applyFill="1" applyBorder="1" applyAlignment="1">
      <alignment horizontal="center" vertical="center"/>
    </xf>
    <xf numFmtId="0" fontId="8" fillId="0" borderId="9" xfId="2" applyFont="1" applyFill="1" applyBorder="1" applyAlignment="1">
      <alignment horizontal="center" vertical="center"/>
    </xf>
    <xf numFmtId="0" fontId="8" fillId="0" borderId="10" xfId="2" applyFont="1" applyFill="1" applyBorder="1" applyAlignment="1">
      <alignment horizontal="center" vertical="center"/>
    </xf>
    <xf numFmtId="0" fontId="8" fillId="0" borderId="11" xfId="2" applyFont="1" applyFill="1" applyBorder="1" applyAlignment="1">
      <alignment horizontal="center" vertical="center"/>
    </xf>
    <xf numFmtId="0" fontId="8" fillId="0" borderId="13" xfId="2" applyFont="1" applyFill="1" applyBorder="1" applyAlignment="1">
      <alignment horizontal="center" vertical="center"/>
    </xf>
    <xf numFmtId="0" fontId="8" fillId="0" borderId="14" xfId="2" applyFont="1" applyFill="1" applyBorder="1" applyAlignment="1">
      <alignment horizontal="center" vertical="center"/>
    </xf>
    <xf numFmtId="0" fontId="8" fillId="0" borderId="15" xfId="2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20" fontId="0" fillId="0" borderId="0" xfId="0" applyNumberFormat="1" applyAlignment="1">
      <alignment vertical="center" wrapText="1"/>
    </xf>
    <xf numFmtId="46" fontId="0" fillId="0" borderId="0" xfId="0" applyNumberFormat="1" applyAlignment="1">
      <alignment vertical="center" wrapText="1"/>
    </xf>
    <xf numFmtId="0" fontId="8" fillId="5" borderId="12" xfId="2" applyFont="1" applyFill="1" applyBorder="1" applyAlignment="1">
      <alignment horizontal="center" vertical="center"/>
    </xf>
    <xf numFmtId="0" fontId="1" fillId="0" borderId="1" xfId="1" applyNumberFormat="1" applyFont="1" applyBorder="1" applyAlignment="1">
      <alignment horizontal="center" vertical="center"/>
    </xf>
    <xf numFmtId="2" fontId="0" fillId="0" borderId="0" xfId="0" applyNumberFormat="1"/>
    <xf numFmtId="1" fontId="4" fillId="0" borderId="1" xfId="0" applyNumberFormat="1" applyFont="1" applyFill="1" applyBorder="1" applyAlignment="1">
      <alignment horizontal="center" vertical="center" wrapText="1"/>
    </xf>
    <xf numFmtId="1" fontId="0" fillId="0" borderId="0" xfId="0" applyNumberFormat="1"/>
    <xf numFmtId="0" fontId="4" fillId="3" borderId="17" xfId="0" applyFont="1" applyFill="1" applyBorder="1" applyAlignment="1">
      <alignment horizontal="center" vertical="center"/>
    </xf>
    <xf numFmtId="10" fontId="1" fillId="0" borderId="17" xfId="1" applyNumberFormat="1" applyFont="1" applyBorder="1" applyAlignment="1">
      <alignment horizontal="center" vertical="center"/>
    </xf>
    <xf numFmtId="0" fontId="4" fillId="3" borderId="18" xfId="0" applyFont="1" applyFill="1" applyBorder="1" applyAlignment="1">
      <alignment horizontal="center" vertical="center"/>
    </xf>
    <xf numFmtId="0" fontId="4" fillId="3" borderId="19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1" fillId="0" borderId="21" xfId="1" applyNumberFormat="1" applyFont="1" applyBorder="1" applyAlignment="1">
      <alignment horizontal="center" vertical="center"/>
    </xf>
    <xf numFmtId="0" fontId="1" fillId="0" borderId="22" xfId="1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0" borderId="2" xfId="0" applyNumberFormat="1" applyFont="1" applyFill="1" applyBorder="1" applyAlignment="1">
      <alignment horizontal="center" vertical="center"/>
    </xf>
    <xf numFmtId="0" fontId="2" fillId="0" borderId="1" xfId="0" applyNumberFormat="1" applyFont="1" applyFill="1" applyBorder="1" applyAlignment="1">
      <alignment horizontal="center" vertical="center"/>
    </xf>
    <xf numFmtId="164" fontId="4" fillId="0" borderId="2" xfId="0" applyNumberFormat="1" applyFont="1" applyFill="1" applyBorder="1" applyAlignment="1">
      <alignment horizontal="center" vertical="center" wrapText="1"/>
    </xf>
    <xf numFmtId="164" fontId="2" fillId="0" borderId="1" xfId="0" applyNumberFormat="1" applyFont="1" applyFill="1" applyBorder="1" applyAlignment="1">
      <alignment horizontal="center" vertical="center"/>
    </xf>
    <xf numFmtId="164" fontId="2" fillId="0" borderId="26" xfId="0" applyNumberFormat="1" applyFont="1" applyFill="1" applyBorder="1" applyAlignment="1">
      <alignment horizontal="center" vertical="center"/>
    </xf>
    <xf numFmtId="164" fontId="0" fillId="0" borderId="0" xfId="0" applyNumberFormat="1"/>
    <xf numFmtId="14" fontId="3" fillId="4" borderId="17" xfId="0" applyNumberFormat="1" applyFont="1" applyFill="1" applyBorder="1" applyAlignment="1">
      <alignment horizontal="center" vertical="center"/>
    </xf>
    <xf numFmtId="10" fontId="1" fillId="0" borderId="2" xfId="1" applyNumberFormat="1" applyFont="1" applyBorder="1" applyAlignment="1">
      <alignment horizontal="center" vertical="center"/>
    </xf>
    <xf numFmtId="164" fontId="1" fillId="0" borderId="2" xfId="1" applyNumberFormat="1" applyFont="1" applyBorder="1" applyAlignment="1">
      <alignment horizontal="center" vertical="center"/>
    </xf>
    <xf numFmtId="0" fontId="4" fillId="3" borderId="23" xfId="0" applyFont="1" applyFill="1" applyBorder="1" applyAlignment="1">
      <alignment horizontal="center" vertical="center"/>
    </xf>
    <xf numFmtId="0" fontId="4" fillId="3" borderId="24" xfId="0" applyFont="1" applyFill="1" applyBorder="1" applyAlignment="1">
      <alignment horizontal="center" vertical="center"/>
    </xf>
    <xf numFmtId="0" fontId="4" fillId="3" borderId="25" xfId="0" applyFont="1" applyFill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0" fontId="2" fillId="0" borderId="1" xfId="0" applyNumberFormat="1" applyFont="1" applyBorder="1" applyAlignment="1">
      <alignment horizontal="center" vertical="center"/>
    </xf>
    <xf numFmtId="49" fontId="3" fillId="4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0" borderId="1" xfId="0" applyNumberFormat="1" applyFont="1" applyFill="1" applyBorder="1" applyAlignment="1">
      <alignment horizontal="center" vertical="center" wrapText="1"/>
    </xf>
    <xf numFmtId="8" fontId="2" fillId="2" borderId="18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10" fontId="1" fillId="0" borderId="1" xfId="1" applyNumberFormat="1" applyFon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10" fontId="1" fillId="0" borderId="1" xfId="0" applyNumberFormat="1" applyFont="1" applyBorder="1" applyAlignment="1">
      <alignment horizontal="center"/>
    </xf>
    <xf numFmtId="0" fontId="2" fillId="0" borderId="29" xfId="0" applyFont="1" applyFill="1" applyBorder="1" applyAlignment="1">
      <alignment horizontal="center"/>
    </xf>
    <xf numFmtId="10" fontId="1" fillId="0" borderId="28" xfId="1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164" fontId="9" fillId="0" borderId="2" xfId="1" applyNumberFormat="1" applyFont="1" applyBorder="1" applyAlignment="1">
      <alignment horizontal="center" vertical="center"/>
    </xf>
    <xf numFmtId="164" fontId="4" fillId="0" borderId="1" xfId="0" applyNumberFormat="1" applyFont="1" applyFill="1" applyBorder="1" applyAlignment="1">
      <alignment horizontal="center" vertical="center" wrapText="1"/>
    </xf>
    <xf numFmtId="0" fontId="1" fillId="8" borderId="0" xfId="0" applyFont="1" applyFill="1" applyAlignment="1">
      <alignment horizontal="center" vertical="center"/>
    </xf>
    <xf numFmtId="0" fontId="1" fillId="8" borderId="0" xfId="0" applyNumberFormat="1" applyFont="1" applyFill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4" fillId="3" borderId="17" xfId="0" applyFont="1" applyFill="1" applyBorder="1" applyAlignment="1">
      <alignment horizontal="center" vertical="center"/>
    </xf>
    <xf numFmtId="0" fontId="4" fillId="3" borderId="30" xfId="0" applyFont="1" applyFill="1" applyBorder="1" applyAlignment="1">
      <alignment horizontal="center" vertical="center"/>
    </xf>
    <xf numFmtId="0" fontId="4" fillId="3" borderId="27" xfId="0" applyFont="1" applyFill="1" applyBorder="1" applyAlignment="1">
      <alignment horizontal="center" vertical="center"/>
    </xf>
    <xf numFmtId="8" fontId="2" fillId="0" borderId="0" xfId="0" applyNumberFormat="1" applyFont="1" applyBorder="1" applyAlignment="1">
      <alignment horizontal="center" vertical="center"/>
    </xf>
    <xf numFmtId="8" fontId="2" fillId="0" borderId="16" xfId="0" applyNumberFormat="1" applyFont="1" applyBorder="1" applyAlignment="1">
      <alignment horizontal="center" vertical="center"/>
    </xf>
    <xf numFmtId="0" fontId="4" fillId="3" borderId="19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2" fillId="6" borderId="17" xfId="0" applyFont="1" applyFill="1" applyBorder="1" applyAlignment="1">
      <alignment horizontal="center"/>
    </xf>
    <xf numFmtId="0" fontId="2" fillId="6" borderId="27" xfId="0" applyFont="1" applyFill="1" applyBorder="1" applyAlignment="1">
      <alignment horizontal="center"/>
    </xf>
    <xf numFmtId="0" fontId="2" fillId="6" borderId="30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10" fontId="1" fillId="9" borderId="1" xfId="1" applyNumberFormat="1" applyFont="1" applyFill="1" applyBorder="1" applyAlignment="1">
      <alignment horizontal="center"/>
    </xf>
    <xf numFmtId="10" fontId="1" fillId="9" borderId="1" xfId="0" applyNumberFormat="1" applyFont="1" applyFill="1" applyBorder="1" applyAlignment="1">
      <alignment horizontal="center"/>
    </xf>
    <xf numFmtId="49" fontId="0" fillId="0" borderId="0" xfId="0" applyNumberFormat="1"/>
  </cellXfs>
  <cellStyles count="3">
    <cellStyle name="Lien hypertexte" xfId="2" builtinId="8"/>
    <cellStyle name="Normal" xfId="0" builtinId="0"/>
    <cellStyle name="Pourcentage" xfId="1" builtinId="5"/>
  </cellStyles>
  <dxfs count="77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name val="Calibri"/>
        <scheme val="minor"/>
      </font>
      <numFmt numFmtId="0" formatCode="General"/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numFmt numFmtId="0" formatCode="General"/>
      <fill>
        <patternFill patternType="solid">
          <fgColor indexed="64"/>
          <bgColor rgb="FFFFC00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</border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theme="0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strike val="0"/>
        <outline val="0"/>
        <shadow val="0"/>
        <u val="none"/>
        <vertAlign val="baseline"/>
        <sz val="14"/>
        <name val="Calibri"/>
        <scheme val="minor"/>
      </font>
      <numFmt numFmtId="0" formatCode="General"/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numFmt numFmtId="0" formatCode="General"/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numFmt numFmtId="0" formatCode="General"/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fill>
        <patternFill patternType="solid">
          <fgColor indexed="64"/>
          <bgColor rgb="FFC00000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4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4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4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4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4"/>
        <name val="Calibri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4"/>
        <name val="Calibri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4"/>
        <name val="Calibri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4"/>
        <name val="Calibri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4"/>
        <name val="Calibri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4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4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4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4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4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numFmt numFmtId="0" formatCode="General"/>
      <fill>
        <patternFill patternType="solid">
          <fgColor indexed="64"/>
          <bgColor rgb="FFFFC0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F7C80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3527262509708899E-2"/>
          <c:y val="2.6052330519917424E-2"/>
          <c:w val="0.90956710212771386"/>
          <c:h val="0.7644161937926919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Suivi_FT!$J$1</c:f>
              <c:strCache>
                <c:ptCount val="1"/>
                <c:pt idx="0">
                  <c:v>Bet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strRef>
              <c:f>Suivi_FT!$I$2:$I$13</c:f>
              <c:strCache>
                <c:ptCount val="12"/>
                <c:pt idx="0">
                  <c:v>Novembre</c:v>
                </c:pt>
                <c:pt idx="1">
                  <c:v>Décembre</c:v>
                </c:pt>
                <c:pt idx="2">
                  <c:v>Janvier</c:v>
                </c:pt>
                <c:pt idx="3">
                  <c:v>Février</c:v>
                </c:pt>
                <c:pt idx="4">
                  <c:v>Mars</c:v>
                </c:pt>
                <c:pt idx="5">
                  <c:v>Avril</c:v>
                </c:pt>
                <c:pt idx="6">
                  <c:v>Mai</c:v>
                </c:pt>
                <c:pt idx="7">
                  <c:v>Juin</c:v>
                </c:pt>
                <c:pt idx="8">
                  <c:v>Juillet</c:v>
                </c:pt>
                <c:pt idx="9">
                  <c:v>Août</c:v>
                </c:pt>
                <c:pt idx="10">
                  <c:v>Septembre</c:v>
                </c:pt>
                <c:pt idx="11">
                  <c:v>Octobre</c:v>
                </c:pt>
              </c:strCache>
            </c:strRef>
          </c:cat>
          <c:val>
            <c:numRef>
              <c:f>Suivi_FT!$J$2:$J$13</c:f>
              <c:numCache>
                <c:formatCode>General</c:formatCode>
                <c:ptCount val="12"/>
                <c:pt idx="0">
                  <c:v>364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tx>
            <c:strRef>
              <c:f>Suivi_FT!$K$1</c:f>
              <c:strCache>
                <c:ptCount val="1"/>
                <c:pt idx="0">
                  <c:v>Gagné</c:v>
                </c:pt>
              </c:strCache>
            </c:strRef>
          </c:tx>
          <c:spPr>
            <a:solidFill>
              <a:srgbClr val="00B050"/>
            </a:solidFill>
          </c:spPr>
          <c:invertIfNegative val="0"/>
          <c:cat>
            <c:strRef>
              <c:f>Suivi_FT!$I$2:$I$13</c:f>
              <c:strCache>
                <c:ptCount val="12"/>
                <c:pt idx="0">
                  <c:v>Novembre</c:v>
                </c:pt>
                <c:pt idx="1">
                  <c:v>Décembre</c:v>
                </c:pt>
                <c:pt idx="2">
                  <c:v>Janvier</c:v>
                </c:pt>
                <c:pt idx="3">
                  <c:v>Février</c:v>
                </c:pt>
                <c:pt idx="4">
                  <c:v>Mars</c:v>
                </c:pt>
                <c:pt idx="5">
                  <c:v>Avril</c:v>
                </c:pt>
                <c:pt idx="6">
                  <c:v>Mai</c:v>
                </c:pt>
                <c:pt idx="7">
                  <c:v>Juin</c:v>
                </c:pt>
                <c:pt idx="8">
                  <c:v>Juillet</c:v>
                </c:pt>
                <c:pt idx="9">
                  <c:v>Août</c:v>
                </c:pt>
                <c:pt idx="10">
                  <c:v>Septembre</c:v>
                </c:pt>
                <c:pt idx="11">
                  <c:v>Octobre</c:v>
                </c:pt>
              </c:strCache>
            </c:strRef>
          </c:cat>
          <c:val>
            <c:numRef>
              <c:f>Suivi_FT!$K$2:$K$13</c:f>
              <c:numCache>
                <c:formatCode>General</c:formatCode>
                <c:ptCount val="12"/>
                <c:pt idx="0">
                  <c:v>136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"/>
          <c:order val="2"/>
          <c:tx>
            <c:strRef>
              <c:f>Suivi_FT!$L$1</c:f>
              <c:strCache>
                <c:ptCount val="1"/>
                <c:pt idx="0">
                  <c:v>Perdu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cat>
            <c:strRef>
              <c:f>Suivi_FT!$I$2:$I$13</c:f>
              <c:strCache>
                <c:ptCount val="12"/>
                <c:pt idx="0">
                  <c:v>Novembre</c:v>
                </c:pt>
                <c:pt idx="1">
                  <c:v>Décembre</c:v>
                </c:pt>
                <c:pt idx="2">
                  <c:v>Janvier</c:v>
                </c:pt>
                <c:pt idx="3">
                  <c:v>Février</c:v>
                </c:pt>
                <c:pt idx="4">
                  <c:v>Mars</c:v>
                </c:pt>
                <c:pt idx="5">
                  <c:v>Avril</c:v>
                </c:pt>
                <c:pt idx="6">
                  <c:v>Mai</c:v>
                </c:pt>
                <c:pt idx="7">
                  <c:v>Juin</c:v>
                </c:pt>
                <c:pt idx="8">
                  <c:v>Juillet</c:v>
                </c:pt>
                <c:pt idx="9">
                  <c:v>Août</c:v>
                </c:pt>
                <c:pt idx="10">
                  <c:v>Septembre</c:v>
                </c:pt>
                <c:pt idx="11">
                  <c:v>Octobre</c:v>
                </c:pt>
              </c:strCache>
            </c:strRef>
          </c:cat>
          <c:val>
            <c:numRef>
              <c:f>Suivi_FT!$L$2:$L$13</c:f>
              <c:numCache>
                <c:formatCode>General</c:formatCode>
                <c:ptCount val="12"/>
                <c:pt idx="0">
                  <c:v>212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1734016"/>
        <c:axId val="51735552"/>
      </c:barChart>
      <c:catAx>
        <c:axId val="51734016"/>
        <c:scaling>
          <c:orientation val="minMax"/>
        </c:scaling>
        <c:delete val="0"/>
        <c:axPos val="b"/>
        <c:majorTickMark val="out"/>
        <c:minorTickMark val="none"/>
        <c:tickLblPos val="nextTo"/>
        <c:crossAx val="51735552"/>
        <c:crosses val="autoZero"/>
        <c:auto val="1"/>
        <c:lblAlgn val="ctr"/>
        <c:lblOffset val="100"/>
        <c:noMultiLvlLbl val="0"/>
      </c:catAx>
      <c:valAx>
        <c:axId val="51735552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5173401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25357568822999932"/>
          <c:y val="0.91015004596603488"/>
          <c:w val="0.49280107512668425"/>
          <c:h val="6.6208571613038128E-2"/>
        </c:manualLayout>
      </c:layout>
      <c:overlay val="0"/>
    </c:legend>
    <c:plotVisOnly val="1"/>
    <c:dispBlanksAs val="gap"/>
    <c:showDLblsOverMax val="0"/>
  </c:chart>
  <c:spPr>
    <a:ln>
      <a:solidFill>
        <a:schemeClr val="bg2"/>
      </a:solidFill>
    </a:ln>
  </c:spPr>
  <c:printSettings>
    <c:headerFooter/>
    <c:pageMargins b="0.75000000000000144" l="0.70000000000000062" r="0.70000000000000062" t="0.75000000000000144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5014088594866413E-2"/>
          <c:y val="2.2140657826249212E-2"/>
          <c:w val="0.90956710212771386"/>
          <c:h val="0.85611720862688634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Suivi_FT!$R$4</c:f>
              <c:strCache>
                <c:ptCount val="1"/>
                <c:pt idx="0">
                  <c:v>Bet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numRef>
              <c:f>Suivi_FT!$Q$5:$Q$7</c:f>
              <c:numCache>
                <c:formatCode>General</c:formatCode>
                <c:ptCount val="3"/>
                <c:pt idx="0">
                  <c:v>2018</c:v>
                </c:pt>
                <c:pt idx="1">
                  <c:v>2019</c:v>
                </c:pt>
                <c:pt idx="2">
                  <c:v>2020</c:v>
                </c:pt>
              </c:numCache>
            </c:numRef>
          </c:cat>
          <c:val>
            <c:numRef>
              <c:f>Suivi_FT!$R$5:$R$7</c:f>
              <c:numCache>
                <c:formatCode>General</c:formatCode>
                <c:ptCount val="3"/>
                <c:pt idx="0">
                  <c:v>364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ser>
          <c:idx val="1"/>
          <c:order val="1"/>
          <c:tx>
            <c:strRef>
              <c:f>Suivi_FT!$S$4</c:f>
              <c:strCache>
                <c:ptCount val="1"/>
                <c:pt idx="0">
                  <c:v>Gagné</c:v>
                </c:pt>
              </c:strCache>
            </c:strRef>
          </c:tx>
          <c:spPr>
            <a:solidFill>
              <a:srgbClr val="00B050"/>
            </a:solidFill>
          </c:spPr>
          <c:invertIfNegative val="0"/>
          <c:cat>
            <c:numRef>
              <c:f>Suivi_FT!$Q$5:$Q$7</c:f>
              <c:numCache>
                <c:formatCode>General</c:formatCode>
                <c:ptCount val="3"/>
                <c:pt idx="0">
                  <c:v>2018</c:v>
                </c:pt>
                <c:pt idx="1">
                  <c:v>2019</c:v>
                </c:pt>
                <c:pt idx="2">
                  <c:v>2020</c:v>
                </c:pt>
              </c:numCache>
            </c:numRef>
          </c:cat>
          <c:val>
            <c:numRef>
              <c:f>Suivi_FT!$S$5:$S$7</c:f>
              <c:numCache>
                <c:formatCode>General</c:formatCode>
                <c:ptCount val="3"/>
                <c:pt idx="0">
                  <c:v>136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ser>
          <c:idx val="2"/>
          <c:order val="2"/>
          <c:tx>
            <c:strRef>
              <c:f>Suivi_FT!$T$4</c:f>
              <c:strCache>
                <c:ptCount val="1"/>
                <c:pt idx="0">
                  <c:v>Perdu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cat>
            <c:numRef>
              <c:f>Suivi_FT!$Q$5:$Q$7</c:f>
              <c:numCache>
                <c:formatCode>General</c:formatCode>
                <c:ptCount val="3"/>
                <c:pt idx="0">
                  <c:v>2018</c:v>
                </c:pt>
                <c:pt idx="1">
                  <c:v>2019</c:v>
                </c:pt>
                <c:pt idx="2">
                  <c:v>2020</c:v>
                </c:pt>
              </c:numCache>
            </c:numRef>
          </c:cat>
          <c:val>
            <c:numRef>
              <c:f>Suivi_FT!$T$5:$T$7</c:f>
              <c:numCache>
                <c:formatCode>General</c:formatCode>
                <c:ptCount val="3"/>
                <c:pt idx="0">
                  <c:v>212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1533184"/>
        <c:axId val="101534720"/>
      </c:barChart>
      <c:catAx>
        <c:axId val="10153318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1534720"/>
        <c:crosses val="autoZero"/>
        <c:auto val="1"/>
        <c:lblAlgn val="ctr"/>
        <c:lblOffset val="100"/>
        <c:noMultiLvlLbl val="0"/>
      </c:catAx>
      <c:valAx>
        <c:axId val="101534720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101533184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25357568822999932"/>
          <c:y val="0.93949437071297759"/>
          <c:w val="0.4994413744802913"/>
          <c:h val="6.0505629287022474E-2"/>
        </c:manualLayout>
      </c:layout>
      <c:overlay val="0"/>
    </c:legend>
    <c:plotVisOnly val="1"/>
    <c:dispBlanksAs val="gap"/>
    <c:showDLblsOverMax val="0"/>
  </c:chart>
  <c:spPr>
    <a:ln>
      <a:solidFill>
        <a:schemeClr val="bg2"/>
      </a:solidFill>
    </a:ln>
  </c:spPr>
  <c:printSettings>
    <c:headerFooter/>
    <c:pageMargins b="0.75000000000000144" l="0.70000000000000062" r="0.70000000000000062" t="0.75000000000000144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0771643851750183E-2"/>
          <c:y val="2.2384289926549655E-2"/>
          <c:w val="0.90956710212771386"/>
          <c:h val="0.7644161937926919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Suivi_SE!$N$1</c:f>
              <c:strCache>
                <c:ptCount val="1"/>
                <c:pt idx="0">
                  <c:v>Bet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strRef>
              <c:f>Suivi_SE!$M$2:$M$13</c:f>
              <c:strCache>
                <c:ptCount val="12"/>
                <c:pt idx="0">
                  <c:v>Novembre</c:v>
                </c:pt>
                <c:pt idx="1">
                  <c:v>Décembre</c:v>
                </c:pt>
                <c:pt idx="2">
                  <c:v>Janvier</c:v>
                </c:pt>
                <c:pt idx="3">
                  <c:v>Février</c:v>
                </c:pt>
                <c:pt idx="4">
                  <c:v>Mars</c:v>
                </c:pt>
                <c:pt idx="5">
                  <c:v>Avril</c:v>
                </c:pt>
                <c:pt idx="6">
                  <c:v>Mai</c:v>
                </c:pt>
                <c:pt idx="7">
                  <c:v>Juin</c:v>
                </c:pt>
                <c:pt idx="8">
                  <c:v>Juillet</c:v>
                </c:pt>
                <c:pt idx="9">
                  <c:v>Août</c:v>
                </c:pt>
                <c:pt idx="10">
                  <c:v>Septembre</c:v>
                </c:pt>
                <c:pt idx="11">
                  <c:v>Octobre</c:v>
                </c:pt>
              </c:strCache>
            </c:strRef>
          </c:cat>
          <c:val>
            <c:numRef>
              <c:f>Suivi_SE!$N$2:$N$13</c:f>
              <c:numCache>
                <c:formatCode>General</c:formatCode>
                <c:ptCount val="12"/>
                <c:pt idx="0">
                  <c:v>364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tx>
            <c:strRef>
              <c:f>Suivi_SE!$O$1</c:f>
              <c:strCache>
                <c:ptCount val="1"/>
                <c:pt idx="0">
                  <c:v>Gagné</c:v>
                </c:pt>
              </c:strCache>
            </c:strRef>
          </c:tx>
          <c:spPr>
            <a:solidFill>
              <a:srgbClr val="00B050"/>
            </a:solidFill>
          </c:spPr>
          <c:invertIfNegative val="0"/>
          <c:cat>
            <c:strRef>
              <c:f>Suivi_SE!$M$2:$M$13</c:f>
              <c:strCache>
                <c:ptCount val="12"/>
                <c:pt idx="0">
                  <c:v>Novembre</c:v>
                </c:pt>
                <c:pt idx="1">
                  <c:v>Décembre</c:v>
                </c:pt>
                <c:pt idx="2">
                  <c:v>Janvier</c:v>
                </c:pt>
                <c:pt idx="3">
                  <c:v>Février</c:v>
                </c:pt>
                <c:pt idx="4">
                  <c:v>Mars</c:v>
                </c:pt>
                <c:pt idx="5">
                  <c:v>Avril</c:v>
                </c:pt>
                <c:pt idx="6">
                  <c:v>Mai</c:v>
                </c:pt>
                <c:pt idx="7">
                  <c:v>Juin</c:v>
                </c:pt>
                <c:pt idx="8">
                  <c:v>Juillet</c:v>
                </c:pt>
                <c:pt idx="9">
                  <c:v>Août</c:v>
                </c:pt>
                <c:pt idx="10">
                  <c:v>Septembre</c:v>
                </c:pt>
                <c:pt idx="11">
                  <c:v>Octobre</c:v>
                </c:pt>
              </c:strCache>
            </c:strRef>
          </c:cat>
          <c:val>
            <c:numRef>
              <c:f>Suivi_SE!$O$2:$O$13</c:f>
              <c:numCache>
                <c:formatCode>General</c:formatCode>
                <c:ptCount val="12"/>
                <c:pt idx="0">
                  <c:v>124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"/>
          <c:order val="2"/>
          <c:tx>
            <c:strRef>
              <c:f>Suivi_SE!$P$1</c:f>
              <c:strCache>
                <c:ptCount val="1"/>
                <c:pt idx="0">
                  <c:v>Perdu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cat>
            <c:strRef>
              <c:f>Suivi_SE!$M$2:$M$13</c:f>
              <c:strCache>
                <c:ptCount val="12"/>
                <c:pt idx="0">
                  <c:v>Novembre</c:v>
                </c:pt>
                <c:pt idx="1">
                  <c:v>Décembre</c:v>
                </c:pt>
                <c:pt idx="2">
                  <c:v>Janvier</c:v>
                </c:pt>
                <c:pt idx="3">
                  <c:v>Février</c:v>
                </c:pt>
                <c:pt idx="4">
                  <c:v>Mars</c:v>
                </c:pt>
                <c:pt idx="5">
                  <c:v>Avril</c:v>
                </c:pt>
                <c:pt idx="6">
                  <c:v>Mai</c:v>
                </c:pt>
                <c:pt idx="7">
                  <c:v>Juin</c:v>
                </c:pt>
                <c:pt idx="8">
                  <c:v>Juillet</c:v>
                </c:pt>
                <c:pt idx="9">
                  <c:v>Août</c:v>
                </c:pt>
                <c:pt idx="10">
                  <c:v>Septembre</c:v>
                </c:pt>
                <c:pt idx="11">
                  <c:v>Octobre</c:v>
                </c:pt>
              </c:strCache>
            </c:strRef>
          </c:cat>
          <c:val>
            <c:numRef>
              <c:f>Suivi_SE!$P$2:$P$13</c:f>
              <c:numCache>
                <c:formatCode>General</c:formatCode>
                <c:ptCount val="12"/>
                <c:pt idx="0">
                  <c:v>224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41949184"/>
        <c:axId val="141955072"/>
      </c:barChart>
      <c:catAx>
        <c:axId val="141949184"/>
        <c:scaling>
          <c:orientation val="minMax"/>
        </c:scaling>
        <c:delete val="0"/>
        <c:axPos val="b"/>
        <c:majorTickMark val="out"/>
        <c:minorTickMark val="none"/>
        <c:tickLblPos val="nextTo"/>
        <c:crossAx val="141955072"/>
        <c:crosses val="autoZero"/>
        <c:auto val="1"/>
        <c:lblAlgn val="ctr"/>
        <c:lblOffset val="100"/>
        <c:noMultiLvlLbl val="0"/>
      </c:catAx>
      <c:valAx>
        <c:axId val="141955072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141949184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25357568822999932"/>
          <c:y val="0.91015004596603488"/>
          <c:w val="0.49280107512668425"/>
          <c:h val="6.6208571613038128E-2"/>
        </c:manualLayout>
      </c:layout>
      <c:overlay val="0"/>
    </c:legend>
    <c:plotVisOnly val="1"/>
    <c:dispBlanksAs val="gap"/>
    <c:showDLblsOverMax val="0"/>
  </c:chart>
  <c:spPr>
    <a:ln>
      <a:solidFill>
        <a:schemeClr val="bg2"/>
      </a:solidFill>
    </a:ln>
  </c:spPr>
  <c:printSettings>
    <c:headerFooter/>
    <c:pageMargins b="0.75000000000000144" l="0.70000000000000062" r="0.70000000000000062" t="0.75000000000000144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5014088594866413E-2"/>
          <c:y val="2.2140657826249212E-2"/>
          <c:w val="0.90956710212771386"/>
          <c:h val="0.85611720862688634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Suivi_SE!$V$4</c:f>
              <c:strCache>
                <c:ptCount val="1"/>
                <c:pt idx="0">
                  <c:v>Bet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numRef>
              <c:f>Suivi_SE!$U$5:$U$7</c:f>
              <c:numCache>
                <c:formatCode>General</c:formatCode>
                <c:ptCount val="3"/>
                <c:pt idx="0">
                  <c:v>2018</c:v>
                </c:pt>
                <c:pt idx="1">
                  <c:v>2019</c:v>
                </c:pt>
                <c:pt idx="2">
                  <c:v>2020</c:v>
                </c:pt>
              </c:numCache>
            </c:numRef>
          </c:cat>
          <c:val>
            <c:numRef>
              <c:f>Suivi_SE!$V$5:$V$7</c:f>
              <c:numCache>
                <c:formatCode>General</c:formatCode>
                <c:ptCount val="3"/>
                <c:pt idx="0">
                  <c:v>364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ser>
          <c:idx val="1"/>
          <c:order val="1"/>
          <c:tx>
            <c:strRef>
              <c:f>Suivi_SE!$W$4</c:f>
              <c:strCache>
                <c:ptCount val="1"/>
                <c:pt idx="0">
                  <c:v>Gagné</c:v>
                </c:pt>
              </c:strCache>
            </c:strRef>
          </c:tx>
          <c:spPr>
            <a:solidFill>
              <a:srgbClr val="00B050"/>
            </a:solidFill>
          </c:spPr>
          <c:invertIfNegative val="0"/>
          <c:cat>
            <c:numRef>
              <c:f>Suivi_SE!$U$5:$U$7</c:f>
              <c:numCache>
                <c:formatCode>General</c:formatCode>
                <c:ptCount val="3"/>
                <c:pt idx="0">
                  <c:v>2018</c:v>
                </c:pt>
                <c:pt idx="1">
                  <c:v>2019</c:v>
                </c:pt>
                <c:pt idx="2">
                  <c:v>2020</c:v>
                </c:pt>
              </c:numCache>
            </c:numRef>
          </c:cat>
          <c:val>
            <c:numRef>
              <c:f>Suivi_SE!$W$5:$W$7</c:f>
              <c:numCache>
                <c:formatCode>General</c:formatCode>
                <c:ptCount val="3"/>
                <c:pt idx="0">
                  <c:v>124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ser>
          <c:idx val="2"/>
          <c:order val="2"/>
          <c:tx>
            <c:strRef>
              <c:f>Suivi_SE!$X$4</c:f>
              <c:strCache>
                <c:ptCount val="1"/>
                <c:pt idx="0">
                  <c:v>Perdu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cat>
            <c:numRef>
              <c:f>Suivi_SE!$U$5:$U$7</c:f>
              <c:numCache>
                <c:formatCode>General</c:formatCode>
                <c:ptCount val="3"/>
                <c:pt idx="0">
                  <c:v>2018</c:v>
                </c:pt>
                <c:pt idx="1">
                  <c:v>2019</c:v>
                </c:pt>
                <c:pt idx="2">
                  <c:v>2020</c:v>
                </c:pt>
              </c:numCache>
            </c:numRef>
          </c:cat>
          <c:val>
            <c:numRef>
              <c:f>Suivi_SE!$X$5:$X$7</c:f>
              <c:numCache>
                <c:formatCode>General</c:formatCode>
                <c:ptCount val="3"/>
                <c:pt idx="0">
                  <c:v>224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42004224"/>
        <c:axId val="142005760"/>
      </c:barChart>
      <c:catAx>
        <c:axId val="1420042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42005760"/>
        <c:crosses val="autoZero"/>
        <c:auto val="1"/>
        <c:lblAlgn val="ctr"/>
        <c:lblOffset val="100"/>
        <c:noMultiLvlLbl val="0"/>
      </c:catAx>
      <c:valAx>
        <c:axId val="142005760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142004224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25357568822999932"/>
          <c:y val="0.93949437071297759"/>
          <c:w val="0.4994413744802913"/>
          <c:h val="6.0505629287022474E-2"/>
        </c:manualLayout>
      </c:layout>
      <c:overlay val="0"/>
    </c:legend>
    <c:plotVisOnly val="1"/>
    <c:dispBlanksAs val="gap"/>
    <c:showDLblsOverMax val="0"/>
  </c:chart>
  <c:spPr>
    <a:ln>
      <a:solidFill>
        <a:schemeClr val="bg2"/>
      </a:solidFill>
    </a:ln>
  </c:spPr>
  <c:printSettings>
    <c:headerFooter/>
    <c:pageMargins b="0.75000000000000144" l="0.70000000000000062" r="0.70000000000000062" t="0.75000000000000144" header="0.30000000000000032" footer="0.30000000000000032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95250</xdr:colOff>
          <xdr:row>0</xdr:row>
          <xdr:rowOff>28575</xdr:rowOff>
        </xdr:from>
        <xdr:to>
          <xdr:col>13</xdr:col>
          <xdr:colOff>1209675</xdr:colOff>
          <xdr:row>1</xdr:row>
          <xdr:rowOff>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9525</xdr:colOff>
      <xdr:row>13</xdr:row>
      <xdr:rowOff>309561</xdr:rowOff>
    </xdr:from>
    <xdr:to>
      <xdr:col>13</xdr:col>
      <xdr:colOff>9526</xdr:colOff>
      <xdr:row>25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16</xdr:col>
      <xdr:colOff>9525</xdr:colOff>
      <xdr:row>8</xdr:row>
      <xdr:rowOff>9525</xdr:rowOff>
    </xdr:from>
    <xdr:to>
      <xdr:col>21</xdr:col>
      <xdr:colOff>9526</xdr:colOff>
      <xdr:row>19</xdr:row>
      <xdr:rowOff>14289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9525</xdr:colOff>
      <xdr:row>13</xdr:row>
      <xdr:rowOff>309561</xdr:rowOff>
    </xdr:from>
    <xdr:to>
      <xdr:col>17</xdr:col>
      <xdr:colOff>9526</xdr:colOff>
      <xdr:row>25</xdr:row>
      <xdr:rowOff>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20</xdr:col>
      <xdr:colOff>9525</xdr:colOff>
      <xdr:row>8</xdr:row>
      <xdr:rowOff>9525</xdr:rowOff>
    </xdr:from>
    <xdr:to>
      <xdr:col>25</xdr:col>
      <xdr:colOff>9526</xdr:colOff>
      <xdr:row>19</xdr:row>
      <xdr:rowOff>14289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Résultats" displayName="Résultats" ref="A1:K13" totalsRowShown="0" headerRowDxfId="76" dataDxfId="75">
  <autoFilter ref="A1:K13"/>
  <tableColumns count="11">
    <tableColumn id="1" name="Date" dataDxfId="74"/>
    <tableColumn id="13" name="Pays" dataDxfId="73"/>
    <tableColumn id="12" name="Championnat" dataDxfId="72"/>
    <tableColumn id="2" name="Domicile" dataDxfId="71"/>
    <tableColumn id="3" name="Extérieur" dataDxfId="70"/>
    <tableColumn id="14" name="SEP" dataDxfId="69">
      <calculatedColumnFormula>MSE(L2,M2,4)</calculatedColumnFormula>
    </tableColumn>
    <tableColumn id="8" name="Score 1" dataDxfId="68">
      <calculatedColumnFormula>IFERROR(MID(Résultats[SEP],1,3),"")</calculatedColumnFormula>
    </tableColumn>
    <tableColumn id="7" name="Score 2" dataDxfId="67">
      <calculatedColumnFormula>IFERROR(MID(Résultats[SEP],7,3),"")</calculatedColumnFormula>
    </tableColumn>
    <tableColumn id="6" name="Score 3" dataDxfId="66">
      <calculatedColumnFormula>IFERROR(MID(Résultats[SEP],13,3),"")</calculatedColumnFormula>
    </tableColumn>
    <tableColumn id="5" name="Score 4" dataDxfId="65">
      <calculatedColumnFormula>IFERROR(MID(Résultats[SEP],19,3),"")</calculatedColumnFormula>
    </tableColumn>
    <tableColumn id="11" name="Résultats" dataDxfId="64">
      <calculatedColumnFormula>IF(D2="","",IF(L2&gt;M2,D2,IF(L2=M2,"Nul",IF(L2&lt;M2,E2,""))))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4" name="Report" displayName="Report" ref="A1:AG365" totalsRowShown="0" headerRowDxfId="63" dataDxfId="61" headerRowBorderDxfId="62" tableBorderDxfId="60" totalsRowBorderDxfId="59">
  <autoFilter ref="A1:AG365"/>
  <sortState ref="A2:AG373">
    <sortCondition descending="1" ref="A1:A334"/>
    <sortCondition descending="1" ref="A1:A346"/>
    <sortCondition descending="1" ref="A1:A358"/>
    <sortCondition descending="1" ref="A1:A360"/>
    <sortCondition descending="1" ref="A1:A361"/>
    <sortCondition descending="1" ref="A1:A373"/>
  </sortState>
  <tableColumns count="33">
    <tableColumn id="1" name="Date" dataDxfId="58"/>
    <tableColumn id="2" name="Pays" dataDxfId="57"/>
    <tableColumn id="3" name="Championnat" dataDxfId="56"/>
    <tableColumn id="4" name="Domicile" dataDxfId="55"/>
    <tableColumn id="5" name="Extérieur" dataDxfId="54"/>
    <tableColumn id="6" name="SEP" dataDxfId="53"/>
    <tableColumn id="7" name="Score 1" dataDxfId="52"/>
    <tableColumn id="8" name="Score 2" dataDxfId="51"/>
    <tableColumn id="9" name="Score 3" dataDxfId="50"/>
    <tableColumn id="10" name="Score 4" dataDxfId="49"/>
    <tableColumn id="11" name="Résultats" dataDxfId="48"/>
    <tableColumn id="12" name="Cote FT" dataDxfId="47"/>
    <tableColumn id="17" name="Cote SE" dataDxfId="46"/>
    <tableColumn id="13" name="FT" dataDxfId="0"/>
    <tableColumn id="14" name="Résultat FT" dataDxfId="45">
      <calculatedColumnFormula>IF(Report[[#This Row],[FT]]="","",IF((LEFT(Report[[#This Row],[FT]],1))&lt;(RIGHT(Report[[#This Row],[FT]],1)),Report[[#This Row],[Extérieur]],IF((LEFT(Report[[#This Row],[FT]],1))&gt;(RIGHT(Report[[#This Row],[FT]],1)),Report[[#This Row],[Domicile]],"Nul")))</calculatedColumnFormula>
    </tableColumn>
    <tableColumn id="15" name="But Dom" dataDxfId="44">
      <calculatedColumnFormula>IF(Report[[#This Row],[FT]]="",,(LEFT(Report[[#This Row],[FT]],SEARCH("-",Report[[#This Row],[FT]])-1)*1))</calculatedColumnFormula>
    </tableColumn>
    <tableColumn id="16" name="But Ext" dataDxfId="2">
      <calculatedColumnFormula>IF(Report[[#This Row],[FT]]="",,(RIGHT(Report[[#This Row],[FT]],SEARCH("-",Report[[#This Row],[FT]])-1)*1))</calculatedColumnFormula>
    </tableColumn>
    <tableColumn id="18" name="Gagné / Perdu" dataDxfId="43">
      <calculatedColumnFormula>IF(Report[Résultat FT]="","",IF(Report[Résultat FT]=Report[Résultats],"Gagné","Perdu"))</calculatedColumnFormula>
    </tableColumn>
    <tableColumn id="19" name="Résultats SE" dataDxfId="42">
      <calculatedColumnFormula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calculatedColumnFormula>
    </tableColumn>
    <tableColumn id="20" name="Score 1 Suivi" dataDxfId="41">
      <calculatedColumnFormula>IF(Report[[#This Row],[FT]]="","",IF(Report[[#This Row],[FT]]=Report[[#This Row],[Score 1]],1,0))</calculatedColumnFormula>
    </tableColumn>
    <tableColumn id="21" name="Score 2 Suivi" dataDxfId="40">
      <calculatedColumnFormula>IF(Report[[#This Row],[FT]]="","",IF(Report[ [#This Row],[FT] ]=Report[[#This Row],[Score 2]],1,0))</calculatedColumnFormula>
    </tableColumn>
    <tableColumn id="22" name="Score 3 Suivi" dataDxfId="39">
      <calculatedColumnFormula>IF(Report[[#This Row],[FT]]="","",IF(Report[[#This Row],[FT]]=Report[[#This Row],[Score 3]],1,0))</calculatedColumnFormula>
    </tableColumn>
    <tableColumn id="23" name="Score 4 Suivi" dataDxfId="38">
      <calculatedColumnFormula>IF(Report[[#This Row],[FT]]="","",IF(Report[[#This Row],[FT]]=Report[[#This Row],[Score 4]],1,0))</calculatedColumnFormula>
    </tableColumn>
    <tableColumn id="24" name="Resultats Gain" dataDxfId="37">
      <calculatedColumnFormula>IF(Report[[#This Row],[Résultat FT]]="",,IF(Report[[#This Row],[Résultat FT]]=Report[[#This Row],[Résultats]],(Suivi_Gain!$B$1*Report[[#This Row],[Cote FT]])-Suivi_Gain!$B$1,-Suivi_Gain!$B$1))</calculatedColumnFormula>
    </tableColumn>
    <tableColumn id="25" name="Score 1 Gain" dataDxfId="36">
      <calculatedColumnFormula>IF(Report[[#This Row],[FT]]="",,IF(Report[[#This Row],[FT]]=Report[[#This Row],[Score 1]],(Suivi_Gain!$G$1*Report[[#This Row],[Cote SE]])-Suivi_Gain!$G$1,-Suivi_Gain!$G$1))</calculatedColumnFormula>
    </tableColumn>
    <tableColumn id="26" name="Score 2 Gain" dataDxfId="35">
      <calculatedColumnFormula>IF(Report[[#This Row],[FT]]="",,IF(Report[[#This Row],[FT]]=Report[[#This Row],[Score 2]],Suivi_Gain!$A$1*Report[[#This Row],[Cote SE]],-Suivi_Gain!$A$1))</calculatedColumnFormula>
    </tableColumn>
    <tableColumn id="27" name="Score 3 Gain" dataDxfId="34">
      <calculatedColumnFormula>IF(Report[[#This Row],[FT]]="",,IF(Report[[#This Row],[FT]]=Report[[#This Row],[Score 3]],Suivi_Gain!$A$1*Report[[#This Row],[Cote SE]],-Suivi_Gain!$A$1))</calculatedColumnFormula>
    </tableColumn>
    <tableColumn id="28" name="Score 4 Gain" dataDxfId="33">
      <calculatedColumnFormula>IF(Report[[#This Row],[FT]]="",,IF(Report[[#This Row],[FT]]=Report[[#This Row],[Score 4]],Suivi_Gain!$A$1*Report[[#This Row],[Cote SE]],-Suivi_Gain!$A$1))</calculatedColumnFormula>
    </tableColumn>
    <tableColumn id="33" name="SE Gain" dataDxfId="32">
      <calculatedColumnFormula>IF(Report[[#This Row],[Résultats SE]]="Gagné",Report[[#This Row],[FT]],"")</calculatedColumnFormula>
    </tableColumn>
    <tableColumn id="34" name="SE 1 Gain" dataDxfId="31">
      <calculatedColumnFormula>IF(AND(Report[[#This Row],[Résultats SE]]="Gagné",Report[[#This Row],[FT]]=Report[[#This Row],[Score 1]]),Report[[#This Row],[FT]],"")</calculatedColumnFormula>
    </tableColumn>
    <tableColumn id="35" name="SE 2 Gain" dataDxfId="30">
      <calculatedColumnFormula>IF(AND(Report[[#This Row],[Résultats SE]]="Gagné",Report[[#This Row],[FT]]=Report[[#This Row],[Score 2]]),Report[[#This Row],[FT]],"")</calculatedColumnFormula>
    </tableColumn>
    <tableColumn id="36" name="SE 3 Gain" dataDxfId="29">
      <calculatedColumnFormula>IF(AND(Report[[#This Row],[Résultats SE]]="Gagné",Report[[#This Row],[FT]]=Report[[#This Row],[Score 3]]),Report[[#This Row],[FT]],"")</calculatedColumnFormula>
    </tableColumn>
    <tableColumn id="37" name="SE 4 Gain" dataDxfId="28">
      <calculatedColumnFormula>IF(AND(Report[[#This Row],[Résultats SE]]="Gagné",Report[[#This Row],[FT]]=Report[[#This Row],[Score 4]]),Report[[#This Row],[FT]],"")</calculatedColumnFormula>
    </tableColumn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2" name="Classement" displayName="Classement" ref="A1:H754" totalsRowShown="0" headerRowDxfId="27" dataDxfId="26">
  <autoFilter ref="A1:H754"/>
  <sortState ref="A2:G600">
    <sortCondition ref="A2"/>
  </sortState>
  <tableColumns count="8">
    <tableColumn id="1" name="Equipe" dataDxfId="25"/>
    <tableColumn id="4" name="Journée" dataDxfId="24">
      <calculatedColumnFormula>COUNTIF(Données!D:E,Classement[[#This Row],[Equipe]])+Classement[[#This Row],[Colonne3]]</calculatedColumnFormula>
    </tableColumn>
    <tableColumn id="2" name="Inscrits" dataDxfId="23">
      <calculatedColumnFormula>SUMPRODUCT(#REF!*(Résultats[Domicile]=Classement[[#This Row],[Equipe]]))+SUMPRODUCT(#REF!*(Résultats[Extérieur]=Classement[[#This Row],[Equipe]]))+Classement[[#This Row],[Colonne1]]</calculatedColumnFormula>
    </tableColumn>
    <tableColumn id="3" name="Encaissés" dataDxfId="22">
      <calculatedColumnFormula>SUMPRODUCT(#REF!*(Résultats[Domicile]=Classement[[#This Row],[Equipe]]))+SUMPRODUCT(#REF!*(Résultats[Extérieur]=Classement[[#This Row],[Equipe]]))+Classement[[#This Row],[Colonne2]]</calculatedColumnFormula>
    </tableColumn>
    <tableColumn id="7" name="Colonne3" dataDxfId="21"/>
    <tableColumn id="5" name="Colonne1" dataDxfId="20"/>
    <tableColumn id="6" name="Colonne2" dataDxfId="19"/>
    <tableColumn id="8" name="Colonne22" dataDxfId="1">
      <calculatedColumnFormula>IF(Classement[[#This Row],[Equipe]]=Report_Données!$D:$D,SUM(Report_Données!$P:$P),3)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FF00"/>
  </sheetPr>
  <dimension ref="A1:M20"/>
  <sheetViews>
    <sheetView showGridLines="0" zoomScaleNormal="100" workbookViewId="0">
      <pane ySplit="1" topLeftCell="A2" activePane="bottomLeft" state="frozen"/>
      <selection pane="bottomLeft" activeCell="C31" sqref="C31"/>
    </sheetView>
  </sheetViews>
  <sheetFormatPr baseColWidth="10" defaultColWidth="18.7109375" defaultRowHeight="20.100000000000001" customHeight="1" x14ac:dyDescent="0.25"/>
  <cols>
    <col min="1" max="1" width="14.7109375" style="3" bestFit="1" customWidth="1"/>
    <col min="2" max="2" width="18.7109375" style="3"/>
    <col min="3" max="5" width="25.7109375" style="3" customWidth="1"/>
    <col min="6" max="6" width="18.7109375" style="3" hidden="1" customWidth="1"/>
    <col min="7" max="10" width="14.7109375" style="3" hidden="1" customWidth="1"/>
    <col min="11" max="11" width="25.7109375" style="3" hidden="1" customWidth="1"/>
    <col min="12" max="13" width="18.7109375" style="3" hidden="1" customWidth="1"/>
    <col min="14" max="16384" width="18.7109375" style="3"/>
  </cols>
  <sheetData>
    <row r="1" spans="1:13" s="12" customFormat="1" ht="24.95" customHeight="1" x14ac:dyDescent="0.25">
      <c r="A1" s="5" t="s">
        <v>4</v>
      </c>
      <c r="B1" s="5" t="s">
        <v>34</v>
      </c>
      <c r="C1" s="5" t="s">
        <v>35</v>
      </c>
      <c r="D1" s="5" t="s">
        <v>25</v>
      </c>
      <c r="E1" s="5" t="s">
        <v>24</v>
      </c>
      <c r="F1" s="6" t="s">
        <v>40</v>
      </c>
      <c r="G1" s="6" t="s">
        <v>26</v>
      </c>
      <c r="H1" s="6" t="s">
        <v>27</v>
      </c>
      <c r="I1" s="6" t="s">
        <v>28</v>
      </c>
      <c r="J1" s="6" t="s">
        <v>29</v>
      </c>
      <c r="K1" s="6" t="s">
        <v>31</v>
      </c>
      <c r="L1" s="12" t="s">
        <v>41</v>
      </c>
      <c r="M1" s="12" t="s">
        <v>42</v>
      </c>
    </row>
    <row r="2" spans="1:13" s="2" customFormat="1" ht="20.100000000000001" customHeight="1" x14ac:dyDescent="0.25">
      <c r="A2" s="11"/>
      <c r="B2" s="7"/>
      <c r="C2" s="7"/>
      <c r="D2" s="10"/>
      <c r="E2" s="10"/>
      <c r="F2" s="7" t="e">
        <f t="shared" ref="F2:F13" si="0">MSE(L2,M2,4)</f>
        <v>#VALUE!</v>
      </c>
      <c r="G2" s="8" t="str">
        <f>IFERROR(MID(Résultats[SEP],1,3),"")</f>
        <v/>
      </c>
      <c r="H2" s="9" t="str">
        <f>IFERROR(MID(Résultats[SEP],7,3),"")</f>
        <v/>
      </c>
      <c r="I2" s="9" t="str">
        <f>IFERROR(MID(Résultats[SEP],13,3),"")</f>
        <v/>
      </c>
      <c r="J2" s="9" t="str">
        <f>IFERROR(MID(Résultats[SEP],19,3),"")</f>
        <v/>
      </c>
      <c r="K2" s="9" t="str">
        <f>IF(D2="","",IF(L2&gt;M2,D2,IF(L2=M2,"Nul",IF(L2&lt;M2,E2,""))))</f>
        <v/>
      </c>
      <c r="L2" s="46" t="e">
        <f>ROUNDDOWN(((VLOOKUP(Données!$D2,Classement!$A$1:$D$754,3,FALSE)/(VLOOKUP(Données!$D2,Classement!$A$1:$D$10000,2,FALSE)))*(VLOOKUP(Données!$E2,Classement!$A$1:$D$10000,4,FALSE)/(VLOOKUP(Données!$E2,Classement!$A$1:$D$10000,2,FALSE)))),)</f>
        <v>#N/A</v>
      </c>
      <c r="M2" s="2" t="e">
        <f>ROUNDDOWN(((VLOOKUP(Données!$D2,Classement!$A$1:$D$10000,4,FALSE)/(VLOOKUP(Données!$D2,Classement!$A$1:$D$10000,2,FALSE)))*(VLOOKUP(Données!$E2,Classement!$A$1:$D$10000,3,FALSE)/(VLOOKUP(Données!$E2,Classement!$A$1:$D$10000,2,FALSE)))),)</f>
        <v>#N/A</v>
      </c>
    </row>
    <row r="3" spans="1:13" s="2" customFormat="1" ht="20.100000000000001" customHeight="1" x14ac:dyDescent="0.25">
      <c r="A3" s="11"/>
      <c r="B3" s="7"/>
      <c r="C3" s="7"/>
      <c r="D3" s="10"/>
      <c r="E3" s="10"/>
      <c r="F3" s="7" t="e">
        <f t="shared" si="0"/>
        <v>#VALUE!</v>
      </c>
      <c r="G3" s="8" t="str">
        <f>IFERROR(MID(Résultats[SEP],1,3),"")</f>
        <v/>
      </c>
      <c r="H3" s="9" t="str">
        <f>IFERROR(MID(Résultats[SEP],7,3),"")</f>
        <v/>
      </c>
      <c r="I3" s="9" t="str">
        <f>IFERROR(MID(Résultats[SEP],13,3),"")</f>
        <v/>
      </c>
      <c r="J3" s="9" t="str">
        <f>IFERROR(MID(Résultats[SEP],19,3),"")</f>
        <v/>
      </c>
      <c r="K3" s="9" t="str">
        <f t="shared" ref="K3:K13" si="1">IF(D3="","",IF(L3&gt;M3,D3,IF(L3=M3,"Nul",IF(L3&lt;M3,E3,""))))</f>
        <v/>
      </c>
      <c r="L3" s="46" t="e">
        <f>ROUNDDOWN(((VLOOKUP(Données!$D3,Classement!$A$1:$D$754,3,FALSE)/(VLOOKUP(Données!$D3,Classement!$A$1:$D$10000,2,FALSE)))*(VLOOKUP(Données!$E3,Classement!$A$1:$D$10000,4,FALSE)/(VLOOKUP(Données!$E3,Classement!$A$1:$D$10000,2,FALSE)))),)</f>
        <v>#N/A</v>
      </c>
      <c r="M3" s="2" t="e">
        <f>ROUNDDOWN(((VLOOKUP(Données!$D3,Classement!$A$1:$D$10000,4,FALSE)/(VLOOKUP(Données!$D3,Classement!$A$1:$D$10000,2,FALSE)))*(VLOOKUP(Données!$E3,Classement!$A$1:$D$10000,3,FALSE)/(VLOOKUP(Données!$E3,Classement!$A$1:$D$10000,2,FALSE)))),)</f>
        <v>#N/A</v>
      </c>
    </row>
    <row r="4" spans="1:13" s="2" customFormat="1" ht="20.100000000000001" customHeight="1" x14ac:dyDescent="0.25">
      <c r="A4" s="11"/>
      <c r="B4" s="7"/>
      <c r="C4" s="7"/>
      <c r="D4" s="10"/>
      <c r="E4" s="10"/>
      <c r="F4" s="7" t="e">
        <f t="shared" si="0"/>
        <v>#VALUE!</v>
      </c>
      <c r="G4" s="8" t="str">
        <f>IFERROR(MID(Résultats[SEP],1,3),"")</f>
        <v/>
      </c>
      <c r="H4" s="9" t="str">
        <f>IFERROR(MID(Résultats[SEP],7,3),"")</f>
        <v/>
      </c>
      <c r="I4" s="9" t="str">
        <f>IFERROR(MID(Résultats[SEP],13,3),"")</f>
        <v/>
      </c>
      <c r="J4" s="9" t="str">
        <f>IFERROR(MID(Résultats[SEP],19,3),"")</f>
        <v/>
      </c>
      <c r="K4" s="9" t="str">
        <f t="shared" si="1"/>
        <v/>
      </c>
      <c r="L4" s="46" t="e">
        <f>ROUNDDOWN(((VLOOKUP(Données!$D4,Classement!$A$1:$D$754,3,FALSE)/(VLOOKUP(Données!$D4,Classement!$A$1:$D$10000,2,FALSE)))*(VLOOKUP(Données!$E4,Classement!$A$1:$D$10000,4,FALSE)/(VLOOKUP(Données!$E4,Classement!$A$1:$D$10000,2,FALSE)))),)</f>
        <v>#N/A</v>
      </c>
      <c r="M4" s="2" t="e">
        <f>ROUNDDOWN(((VLOOKUP(Données!$D4,Classement!$A$1:$D$10000,4,FALSE)/(VLOOKUP(Données!$D4,Classement!$A$1:$D$10000,2,FALSE)))*(VLOOKUP(Données!$E4,Classement!$A$1:$D$10000,3,FALSE)/(VLOOKUP(Données!$E4,Classement!$A$1:$D$10000,2,FALSE)))),)</f>
        <v>#N/A</v>
      </c>
    </row>
    <row r="5" spans="1:13" s="2" customFormat="1" ht="20.100000000000001" customHeight="1" x14ac:dyDescent="0.25">
      <c r="A5" s="11"/>
      <c r="B5" s="7"/>
      <c r="C5" s="7"/>
      <c r="D5" s="10"/>
      <c r="E5" s="10"/>
      <c r="F5" s="7" t="e">
        <f t="shared" si="0"/>
        <v>#VALUE!</v>
      </c>
      <c r="G5" s="8" t="str">
        <f>IFERROR(MID(Résultats[SEP],1,3),"")</f>
        <v/>
      </c>
      <c r="H5" s="9" t="str">
        <f>IFERROR(MID(Résultats[SEP],7,3),"")</f>
        <v/>
      </c>
      <c r="I5" s="9" t="str">
        <f>IFERROR(MID(Résultats[SEP],13,3),"")</f>
        <v/>
      </c>
      <c r="J5" s="9" t="str">
        <f>IFERROR(MID(Résultats[SEP],19,3),"")</f>
        <v/>
      </c>
      <c r="K5" s="9" t="str">
        <f t="shared" si="1"/>
        <v/>
      </c>
      <c r="L5" s="46" t="e">
        <f>ROUNDDOWN(((VLOOKUP(Données!$D5,Classement!$A$1:$D$754,3,FALSE)/(VLOOKUP(Données!$D5,Classement!$A$1:$D$10000,2,FALSE)))*(VLOOKUP(Données!$E5,Classement!$A$1:$D$10000,4,FALSE)/(VLOOKUP(Données!$E5,Classement!$A$1:$D$10000,2,FALSE)))),)</f>
        <v>#N/A</v>
      </c>
      <c r="M5" s="2" t="e">
        <f>ROUNDDOWN(((VLOOKUP(Données!$D5,Classement!$A$1:$D$10000,4,FALSE)/(VLOOKUP(Données!$D5,Classement!$A$1:$D$10000,2,FALSE)))*(VLOOKUP(Données!$E5,Classement!$A$1:$D$10000,3,FALSE)/(VLOOKUP(Données!$E5,Classement!$A$1:$D$10000,2,FALSE)))),)</f>
        <v>#N/A</v>
      </c>
    </row>
    <row r="6" spans="1:13" s="2" customFormat="1" ht="20.100000000000001" customHeight="1" x14ac:dyDescent="0.25">
      <c r="A6" s="11"/>
      <c r="B6" s="7"/>
      <c r="C6" s="7"/>
      <c r="D6" s="10"/>
      <c r="E6" s="10"/>
      <c r="F6" s="7" t="e">
        <f t="shared" si="0"/>
        <v>#VALUE!</v>
      </c>
      <c r="G6" s="8" t="str">
        <f>IFERROR(MID(Résultats[SEP],1,3),"")</f>
        <v/>
      </c>
      <c r="H6" s="9" t="str">
        <f>IFERROR(MID(Résultats[SEP],7,3),"")</f>
        <v/>
      </c>
      <c r="I6" s="9" t="str">
        <f>IFERROR(MID(Résultats[SEP],13,3),"")</f>
        <v/>
      </c>
      <c r="J6" s="9" t="str">
        <f>IFERROR(MID(Résultats[SEP],19,3),"")</f>
        <v/>
      </c>
      <c r="K6" s="9" t="str">
        <f t="shared" si="1"/>
        <v/>
      </c>
      <c r="L6" s="46" t="e">
        <f>ROUNDDOWN(((VLOOKUP(Données!$D6,Classement!$A$1:$D$754,3,FALSE)/(VLOOKUP(Données!$D6,Classement!$A$1:$D$10000,2,FALSE)))*(VLOOKUP(Données!$E6,Classement!$A$1:$D$10000,4,FALSE)/(VLOOKUP(Données!$E6,Classement!$A$1:$D$10000,2,FALSE)))),)</f>
        <v>#N/A</v>
      </c>
      <c r="M6" s="2" t="e">
        <f>ROUNDDOWN(((VLOOKUP(Données!$D6,Classement!$A$1:$D$10000,4,FALSE)/(VLOOKUP(Données!$D6,Classement!$A$1:$D$10000,2,FALSE)))*(VLOOKUP(Données!$E6,Classement!$A$1:$D$10000,3,FALSE)/(VLOOKUP(Données!$E6,Classement!$A$1:$D$10000,2,FALSE)))),)</f>
        <v>#N/A</v>
      </c>
    </row>
    <row r="7" spans="1:13" s="2" customFormat="1" ht="20.100000000000001" customHeight="1" x14ac:dyDescent="0.25">
      <c r="A7" s="11"/>
      <c r="B7" s="7"/>
      <c r="C7" s="7"/>
      <c r="D7" s="10"/>
      <c r="E7" s="10"/>
      <c r="F7" s="7" t="e">
        <f t="shared" si="0"/>
        <v>#VALUE!</v>
      </c>
      <c r="G7" s="8" t="str">
        <f>IFERROR(MID(Résultats[SEP],1,3),"")</f>
        <v/>
      </c>
      <c r="H7" s="9" t="str">
        <f>IFERROR(MID(Résultats[SEP],7,3),"")</f>
        <v/>
      </c>
      <c r="I7" s="9" t="str">
        <f>IFERROR(MID(Résultats[SEP],13,3),"")</f>
        <v/>
      </c>
      <c r="J7" s="9" t="str">
        <f>IFERROR(MID(Résultats[SEP],19,3),"")</f>
        <v/>
      </c>
      <c r="K7" s="9" t="str">
        <f t="shared" si="1"/>
        <v/>
      </c>
      <c r="L7" s="46" t="e">
        <f>ROUNDDOWN(((VLOOKUP(Données!$D7,Classement!$A$1:$D$754,3,FALSE)/(VLOOKUP(Données!$D7,Classement!$A$1:$D$10000,2,FALSE)))*(VLOOKUP(Données!$E7,Classement!$A$1:$D$10000,4,FALSE)/(VLOOKUP(Données!$E7,Classement!$A$1:$D$10000,2,FALSE)))),)</f>
        <v>#N/A</v>
      </c>
      <c r="M7" s="2" t="e">
        <f>ROUNDDOWN(((VLOOKUP(Données!$D7,Classement!$A$1:$D$10000,4,FALSE)/(VLOOKUP(Données!$D7,Classement!$A$1:$D$10000,2,FALSE)))*(VLOOKUP(Données!$E7,Classement!$A$1:$D$10000,3,FALSE)/(VLOOKUP(Données!$E7,Classement!$A$1:$D$10000,2,FALSE)))),)</f>
        <v>#N/A</v>
      </c>
    </row>
    <row r="8" spans="1:13" s="2" customFormat="1" ht="20.100000000000001" customHeight="1" x14ac:dyDescent="0.25">
      <c r="A8" s="11"/>
      <c r="B8" s="7"/>
      <c r="C8" s="7"/>
      <c r="D8" s="10"/>
      <c r="E8" s="10"/>
      <c r="F8" s="7" t="e">
        <f t="shared" si="0"/>
        <v>#VALUE!</v>
      </c>
      <c r="G8" s="8" t="str">
        <f>IFERROR(MID(Résultats[SEP],1,3),"")</f>
        <v/>
      </c>
      <c r="H8" s="9" t="str">
        <f>IFERROR(MID(Résultats[SEP],7,3),"")</f>
        <v/>
      </c>
      <c r="I8" s="9" t="str">
        <f>IFERROR(MID(Résultats[SEP],13,3),"")</f>
        <v/>
      </c>
      <c r="J8" s="9" t="str">
        <f>IFERROR(MID(Résultats[SEP],19,3),"")</f>
        <v/>
      </c>
      <c r="K8" s="9" t="str">
        <f t="shared" si="1"/>
        <v/>
      </c>
      <c r="L8" s="46" t="e">
        <f>ROUNDDOWN(((VLOOKUP(Données!$D8,Classement!$A$1:$D$754,3,FALSE)/(VLOOKUP(Données!$D8,Classement!$A$1:$D$10000,2,FALSE)))*(VLOOKUP(Données!$E8,Classement!$A$1:$D$10000,4,FALSE)/(VLOOKUP(Données!$E8,Classement!$A$1:$D$10000,2,FALSE)))),)</f>
        <v>#N/A</v>
      </c>
      <c r="M8" s="2" t="e">
        <f>ROUNDDOWN(((VLOOKUP(Données!$D8,Classement!$A$1:$D$10000,4,FALSE)/(VLOOKUP(Données!$D8,Classement!$A$1:$D$10000,2,FALSE)))*(VLOOKUP(Données!$E8,Classement!$A$1:$D$10000,3,FALSE)/(VLOOKUP(Données!$E8,Classement!$A$1:$D$10000,2,FALSE)))),)</f>
        <v>#N/A</v>
      </c>
    </row>
    <row r="9" spans="1:13" s="2" customFormat="1" ht="20.100000000000001" customHeight="1" x14ac:dyDescent="0.25">
      <c r="A9" s="11"/>
      <c r="B9" s="7"/>
      <c r="C9" s="7"/>
      <c r="D9" s="10"/>
      <c r="E9" s="10"/>
      <c r="F9" s="7" t="e">
        <f t="shared" si="0"/>
        <v>#VALUE!</v>
      </c>
      <c r="G9" s="8" t="str">
        <f>IFERROR(MID(Résultats[SEP],1,3),"")</f>
        <v/>
      </c>
      <c r="H9" s="9" t="str">
        <f>IFERROR(MID(Résultats[SEP],7,3),"")</f>
        <v/>
      </c>
      <c r="I9" s="9" t="str">
        <f>IFERROR(MID(Résultats[SEP],13,3),"")</f>
        <v/>
      </c>
      <c r="J9" s="9" t="str">
        <f>IFERROR(MID(Résultats[SEP],19,3),"")</f>
        <v/>
      </c>
      <c r="K9" s="9" t="str">
        <f t="shared" si="1"/>
        <v/>
      </c>
      <c r="L9" s="46" t="e">
        <f>ROUNDDOWN(((VLOOKUP(Données!$D9,Classement!$A$1:$D$754,3,FALSE)/(VLOOKUP(Données!$D9,Classement!$A$1:$D$10000,2,FALSE)))*(VLOOKUP(Données!$E9,Classement!$A$1:$D$10000,4,FALSE)/(VLOOKUP(Données!$E9,Classement!$A$1:$D$10000,2,FALSE)))),)</f>
        <v>#N/A</v>
      </c>
      <c r="M9" s="2" t="e">
        <f>ROUNDDOWN(((VLOOKUP(Données!$D9,Classement!$A$1:$D$10000,4,FALSE)/(VLOOKUP(Données!$D9,Classement!$A$1:$D$10000,2,FALSE)))*(VLOOKUP(Données!$E9,Classement!$A$1:$D$10000,3,FALSE)/(VLOOKUP(Données!$E9,Classement!$A$1:$D$10000,2,FALSE)))),)</f>
        <v>#N/A</v>
      </c>
    </row>
    <row r="10" spans="1:13" s="2" customFormat="1" ht="20.100000000000001" customHeight="1" x14ac:dyDescent="0.25">
      <c r="A10" s="11"/>
      <c r="B10" s="7"/>
      <c r="C10" s="7"/>
      <c r="D10" s="10"/>
      <c r="E10" s="10"/>
      <c r="F10" s="7" t="e">
        <f t="shared" si="0"/>
        <v>#VALUE!</v>
      </c>
      <c r="G10" s="8" t="str">
        <f>IFERROR(MID(Résultats[SEP],1,3),"")</f>
        <v/>
      </c>
      <c r="H10" s="9" t="str">
        <f>IFERROR(MID(Résultats[SEP],7,3),"")</f>
        <v/>
      </c>
      <c r="I10" s="9" t="str">
        <f>IFERROR(MID(Résultats[SEP],13,3),"")</f>
        <v/>
      </c>
      <c r="J10" s="9" t="str">
        <f>IFERROR(MID(Résultats[SEP],19,3),"")</f>
        <v/>
      </c>
      <c r="K10" s="9" t="str">
        <f t="shared" si="1"/>
        <v/>
      </c>
      <c r="L10" s="46" t="e">
        <f>ROUNDDOWN(((VLOOKUP(Données!$D10,Classement!$A$1:$D$754,3,FALSE)/(VLOOKUP(Données!$D10,Classement!$A$1:$D$10000,2,FALSE)))*(VLOOKUP(Données!$E10,Classement!$A$1:$D$10000,4,FALSE)/(VLOOKUP(Données!$E10,Classement!$A$1:$D$10000,2,FALSE)))),)</f>
        <v>#N/A</v>
      </c>
      <c r="M10" s="2" t="e">
        <f>ROUNDDOWN(((VLOOKUP(Données!$D10,Classement!$A$1:$D$10000,4,FALSE)/(VLOOKUP(Données!$D10,Classement!$A$1:$D$10000,2,FALSE)))*(VLOOKUP(Données!$E10,Classement!$A$1:$D$10000,3,FALSE)/(VLOOKUP(Données!$E10,Classement!$A$1:$D$10000,2,FALSE)))),)</f>
        <v>#N/A</v>
      </c>
    </row>
    <row r="11" spans="1:13" s="2" customFormat="1" ht="20.100000000000001" customHeight="1" x14ac:dyDescent="0.25">
      <c r="A11" s="11"/>
      <c r="B11" s="7"/>
      <c r="C11" s="7"/>
      <c r="D11" s="10"/>
      <c r="E11" s="10"/>
      <c r="F11" s="7" t="e">
        <f t="shared" si="0"/>
        <v>#VALUE!</v>
      </c>
      <c r="G11" s="8" t="str">
        <f>IFERROR(MID(Résultats[SEP],1,3),"")</f>
        <v/>
      </c>
      <c r="H11" s="9" t="str">
        <f>IFERROR(MID(Résultats[SEP],7,3),"")</f>
        <v/>
      </c>
      <c r="I11" s="9" t="str">
        <f>IFERROR(MID(Résultats[SEP],13,3),"")</f>
        <v/>
      </c>
      <c r="J11" s="9" t="str">
        <f>IFERROR(MID(Résultats[SEP],19,3),"")</f>
        <v/>
      </c>
      <c r="K11" s="9" t="str">
        <f t="shared" si="1"/>
        <v/>
      </c>
      <c r="L11" s="46" t="e">
        <f>ROUNDDOWN(((VLOOKUP(Données!$D11,Classement!$A$1:$D$754,3,FALSE)/(VLOOKUP(Données!$D11,Classement!$A$1:$D$10000,2,FALSE)))*(VLOOKUP(Données!$E11,Classement!$A$1:$D$10000,4,FALSE)/(VLOOKUP(Données!$E11,Classement!$A$1:$D$10000,2,FALSE)))),)</f>
        <v>#N/A</v>
      </c>
      <c r="M11" s="2" t="e">
        <f>ROUNDDOWN(((VLOOKUP(Données!$D11,Classement!$A$1:$D$10000,4,FALSE)/(VLOOKUP(Données!$D11,Classement!$A$1:$D$10000,2,FALSE)))*(VLOOKUP(Données!$E11,Classement!$A$1:$D$10000,3,FALSE)/(VLOOKUP(Données!$E11,Classement!$A$1:$D$10000,2,FALSE)))),)</f>
        <v>#N/A</v>
      </c>
    </row>
    <row r="12" spans="1:13" ht="20.100000000000001" customHeight="1" x14ac:dyDescent="0.25">
      <c r="A12" s="11"/>
      <c r="B12" s="7"/>
      <c r="C12" s="7"/>
      <c r="D12" s="19"/>
      <c r="E12" s="19"/>
      <c r="F12" s="7" t="e">
        <f t="shared" si="0"/>
        <v>#VALUE!</v>
      </c>
      <c r="G12" s="20" t="str">
        <f>IFERROR(MID(Résultats[SEP],1,3),"")</f>
        <v/>
      </c>
      <c r="H12" s="20" t="str">
        <f>IFERROR(MID(Résultats[SEP],7,3),"")</f>
        <v/>
      </c>
      <c r="I12" s="20" t="str">
        <f>IFERROR(MID(Résultats[SEP],13,3),"")</f>
        <v/>
      </c>
      <c r="J12" s="20" t="str">
        <f>IFERROR(MID(Résultats[SEP],19,3),"")</f>
        <v/>
      </c>
      <c r="K12" s="9" t="str">
        <f>IF(D12="","",IF(L12&gt;M12,D12,IF(L12=M12,"Nul",IF(L12&lt;M12,E12,""))))</f>
        <v/>
      </c>
      <c r="L12" s="46" t="e">
        <f>ROUNDDOWN(((VLOOKUP(Données!$D12,Classement!$A$1:$D$754,3,FALSE)/(VLOOKUP(Données!$D12,Classement!$A$1:$D$10000,2,FALSE)))*(VLOOKUP(Données!$E12,Classement!$A$1:$D$10000,4,FALSE)/(VLOOKUP(Données!$E12,Classement!$A$1:$D$10000,2,FALSE)))),)</f>
        <v>#N/A</v>
      </c>
      <c r="M12" s="2" t="e">
        <f>ROUNDDOWN(((VLOOKUP(Données!$D12,Classement!$A$1:$D$10000,4,FALSE)/(VLOOKUP(Données!$D12,Classement!$A$1:$D$10000,2,FALSE)))*(VLOOKUP(Données!$E12,Classement!$A$1:$D$10000,3,FALSE)/(VLOOKUP(Données!$E12,Classement!$A$1:$D$10000,2,FALSE)))),)</f>
        <v>#N/A</v>
      </c>
    </row>
    <row r="13" spans="1:13" ht="20.100000000000001" customHeight="1" x14ac:dyDescent="0.25">
      <c r="A13" s="11"/>
      <c r="B13" s="7"/>
      <c r="C13" s="7"/>
      <c r="D13" s="19"/>
      <c r="E13" s="19"/>
      <c r="F13" s="7" t="e">
        <f t="shared" si="0"/>
        <v>#VALUE!</v>
      </c>
      <c r="G13" s="20" t="str">
        <f>IFERROR(MID(Résultats[SEP],1,3),"")</f>
        <v/>
      </c>
      <c r="H13" s="20" t="str">
        <f>IFERROR(MID(Résultats[SEP],7,3),"")</f>
        <v/>
      </c>
      <c r="I13" s="20" t="str">
        <f>IFERROR(MID(Résultats[SEP],13,3),"")</f>
        <v/>
      </c>
      <c r="J13" s="20" t="str">
        <f>IFERROR(MID(Résultats[SEP],19,3),"")</f>
        <v/>
      </c>
      <c r="K13" s="9" t="str">
        <f t="shared" si="1"/>
        <v/>
      </c>
      <c r="L13" s="46" t="e">
        <f>ROUNDDOWN(((VLOOKUP(Données!$D13,Classement!$A$1:$D$754,3,FALSE)/(VLOOKUP(Données!$D13,Classement!$A$1:$D$10000,2,FALSE)))*(VLOOKUP(Données!$E13,Classement!$A$1:$D$10000,4,FALSE)/(VLOOKUP(Données!$E13,Classement!$A$1:$D$10000,2,FALSE)))),)</f>
        <v>#N/A</v>
      </c>
      <c r="M13" s="2" t="e">
        <f>ROUNDDOWN(((VLOOKUP(Données!$D13,Classement!$A$1:$D$10000,4,FALSE)/(VLOOKUP(Données!$D13,Classement!$A$1:$D$10000,2,FALSE)))*(VLOOKUP(Données!$E13,Classement!$A$1:$D$10000,3,FALSE)/(VLOOKUP(Données!$E13,Classement!$A$1:$D$10000,2,FALSE)))),)</f>
        <v>#N/A</v>
      </c>
    </row>
    <row r="14" spans="1:13" ht="20.100000000000001" customHeight="1" x14ac:dyDescent="0.25">
      <c r="A14" s="4"/>
      <c r="B14" s="4"/>
      <c r="C14" s="4"/>
      <c r="D14" s="4"/>
      <c r="E14" s="4"/>
      <c r="F14" s="4"/>
    </row>
    <row r="15" spans="1:13" ht="20.100000000000001" customHeight="1" x14ac:dyDescent="0.25">
      <c r="A15" s="4" t="s">
        <v>920</v>
      </c>
      <c r="B15" s="4"/>
      <c r="C15" s="4"/>
      <c r="D15" s="4"/>
      <c r="E15" s="4"/>
      <c r="F15" s="4"/>
    </row>
    <row r="16" spans="1:13" ht="20.100000000000001" customHeight="1" x14ac:dyDescent="0.25">
      <c r="A16" s="4"/>
      <c r="B16" s="4"/>
      <c r="C16" s="4"/>
      <c r="D16" s="4"/>
      <c r="E16" s="29"/>
      <c r="F16" s="4"/>
    </row>
    <row r="17" spans="1:6" ht="20.100000000000001" customHeight="1" x14ac:dyDescent="0.25">
      <c r="A17" s="4"/>
      <c r="B17" s="4"/>
      <c r="C17" s="4"/>
      <c r="D17" s="4"/>
      <c r="E17" s="4"/>
      <c r="F17" s="4"/>
    </row>
    <row r="18" spans="1:6" ht="20.100000000000001" customHeight="1" x14ac:dyDescent="0.25">
      <c r="A18" s="4"/>
      <c r="B18" s="4"/>
      <c r="C18" s="4"/>
      <c r="D18" s="4"/>
      <c r="E18" s="4"/>
      <c r="F18" s="4"/>
    </row>
    <row r="19" spans="1:6" ht="20.100000000000001" customHeight="1" x14ac:dyDescent="0.25">
      <c r="A19" s="4"/>
      <c r="B19" s="4"/>
      <c r="C19" s="4"/>
      <c r="D19" s="4"/>
      <c r="E19" s="4"/>
      <c r="F19" s="4"/>
    </row>
    <row r="20" spans="1:6" ht="20.100000000000001" customHeight="1" x14ac:dyDescent="0.25">
      <c r="A20" s="4"/>
      <c r="B20" s="4"/>
      <c r="C20" s="4"/>
      <c r="D20" s="4"/>
      <c r="E20" s="4"/>
      <c r="F20" s="4"/>
    </row>
  </sheetData>
  <dataValidations count="2">
    <dataValidation type="list" allowBlank="1" showInputMessage="1" showErrorMessage="1" sqref="C2:C13">
      <formula1>INDIRECT($B2)</formula1>
    </dataValidation>
    <dataValidation type="list" allowBlank="1" showInputMessage="1" showErrorMessage="1" sqref="D2:E13">
      <formula1>INDIRECT($C2)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Copier_Coller_Insertion">
                <anchor moveWithCells="1" sizeWithCells="1">
                  <from>
                    <xdr:col>13</xdr:col>
                    <xdr:colOff>95250</xdr:colOff>
                    <xdr:row>0</xdr:row>
                    <xdr:rowOff>28575</xdr:rowOff>
                  </from>
                  <to>
                    <xdr:col>13</xdr:col>
                    <xdr:colOff>1209675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Classement!$J$2:$J$42</xm:f>
          </x14:formula1>
          <xm:sqref>B2:B13</xm:sqref>
        </x14:dataValidation>
        <x14:dataValidation type="list" allowBlank="1" showInputMessage="1" showErrorMessage="1">
          <x14:formula1>
            <xm:f>Classement!$J$2:$J$42</xm:f>
          </x14:formula1>
          <xm:sqref>B3:B13</xm:sqref>
        </x14:dataValidation>
        <x14:dataValidation type="list" allowBlank="1" showInputMessage="1" showErrorMessage="1">
          <x14:formula1>
            <xm:f>Classement!$J$2:$J$42</xm:f>
          </x14:formula1>
          <xm:sqref>B2:B13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C00000"/>
    <pageSetUpPr fitToPage="1"/>
  </sheetPr>
  <dimension ref="A1:AG365"/>
  <sheetViews>
    <sheetView tabSelected="1" zoomScale="70" zoomScaleNormal="70" workbookViewId="0">
      <pane ySplit="1" topLeftCell="A2" activePane="bottomLeft" state="frozen"/>
      <selection pane="bottomLeft" activeCell="L26" sqref="L26"/>
    </sheetView>
  </sheetViews>
  <sheetFormatPr baseColWidth="10" defaultColWidth="18.7109375" defaultRowHeight="20.100000000000001" customHeight="1" x14ac:dyDescent="0.3"/>
  <cols>
    <col min="1" max="1" width="14.7109375" style="13" customWidth="1"/>
    <col min="3" max="5" width="25.7109375" customWidth="1"/>
    <col min="6" max="6" width="0" hidden="1" customWidth="1"/>
    <col min="7" max="10" width="14.7109375" customWidth="1"/>
    <col min="11" max="11" width="25.7109375" customWidth="1"/>
    <col min="12" max="13" width="14.7109375" customWidth="1"/>
    <col min="14" max="14" width="14.7109375" style="112" customWidth="1"/>
    <col min="15" max="15" width="25.7109375" style="1" customWidth="1"/>
    <col min="16" max="18" width="18.7109375" style="1" customWidth="1"/>
    <col min="19" max="19" width="18.7109375" style="27" customWidth="1"/>
    <col min="20" max="20" width="18.7109375" style="54" customWidth="1"/>
    <col min="21" max="21" width="18.7109375" style="52" customWidth="1"/>
    <col min="22" max="22" width="18.7109375" style="54" customWidth="1"/>
    <col min="23" max="23" width="18.7109375" style="52" customWidth="1"/>
    <col min="24" max="28" width="18.7109375" style="68" customWidth="1"/>
    <col min="29" max="33" width="18.7109375" style="1" customWidth="1"/>
  </cols>
  <sheetData>
    <row r="1" spans="1:33" ht="20.100000000000001" customHeight="1" x14ac:dyDescent="0.25">
      <c r="A1" s="14" t="s">
        <v>4</v>
      </c>
      <c r="B1" s="15" t="s">
        <v>34</v>
      </c>
      <c r="C1" s="15" t="s">
        <v>35</v>
      </c>
      <c r="D1" s="15" t="s">
        <v>25</v>
      </c>
      <c r="E1" s="15" t="s">
        <v>24</v>
      </c>
      <c r="F1" s="15" t="s">
        <v>40</v>
      </c>
      <c r="G1" s="15" t="s">
        <v>26</v>
      </c>
      <c r="H1" s="15" t="s">
        <v>27</v>
      </c>
      <c r="I1" s="15" t="s">
        <v>28</v>
      </c>
      <c r="J1" s="15" t="s">
        <v>29</v>
      </c>
      <c r="K1" s="15" t="s">
        <v>31</v>
      </c>
      <c r="L1" s="16" t="s">
        <v>227</v>
      </c>
      <c r="M1" s="16" t="s">
        <v>226</v>
      </c>
      <c r="N1" s="17" t="s">
        <v>30</v>
      </c>
      <c r="O1" s="18" t="s">
        <v>43</v>
      </c>
      <c r="P1" s="18" t="s">
        <v>848</v>
      </c>
      <c r="Q1" s="18" t="s">
        <v>849</v>
      </c>
      <c r="R1" s="18" t="s">
        <v>232</v>
      </c>
      <c r="S1" s="18" t="s">
        <v>251</v>
      </c>
      <c r="T1" s="53" t="s">
        <v>892</v>
      </c>
      <c r="U1" s="53" t="s">
        <v>893</v>
      </c>
      <c r="V1" s="53" t="s">
        <v>894</v>
      </c>
      <c r="W1" s="53" t="s">
        <v>895</v>
      </c>
      <c r="X1" s="65" t="s">
        <v>901</v>
      </c>
      <c r="Y1" s="65" t="s">
        <v>900</v>
      </c>
      <c r="Z1" s="65" t="s">
        <v>899</v>
      </c>
      <c r="AA1" s="65" t="s">
        <v>898</v>
      </c>
      <c r="AB1" s="65" t="s">
        <v>897</v>
      </c>
      <c r="AC1" s="18" t="s">
        <v>910</v>
      </c>
      <c r="AD1" s="18" t="s">
        <v>905</v>
      </c>
      <c r="AE1" s="18" t="s">
        <v>906</v>
      </c>
      <c r="AF1" s="18" t="s">
        <v>907</v>
      </c>
      <c r="AG1" s="18" t="s">
        <v>908</v>
      </c>
    </row>
    <row r="2" spans="1:33" ht="20.100000000000001" customHeight="1" x14ac:dyDescent="0.25">
      <c r="A2" s="11">
        <v>43432</v>
      </c>
      <c r="B2" s="7" t="s">
        <v>223</v>
      </c>
      <c r="C2" s="7" t="s">
        <v>133</v>
      </c>
      <c r="D2" s="10" t="s">
        <v>253</v>
      </c>
      <c r="E2" s="10" t="s">
        <v>257</v>
      </c>
      <c r="F2" s="7" t="s">
        <v>824</v>
      </c>
      <c r="G2" s="8" t="s">
        <v>825</v>
      </c>
      <c r="H2" s="9" t="s">
        <v>826</v>
      </c>
      <c r="I2" s="9" t="s">
        <v>827</v>
      </c>
      <c r="J2" s="9" t="s">
        <v>828</v>
      </c>
      <c r="K2" s="9" t="s">
        <v>257</v>
      </c>
      <c r="L2" s="16"/>
      <c r="M2" s="16"/>
      <c r="N2" s="17"/>
      <c r="O2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/>
      </c>
      <c r="P2" s="18">
        <f>IF(Report[[#This Row],[FT]]="",,(LEFT(Report[[#This Row],[FT]],SEARCH("-",Report[[#This Row],[FT]])-1)*1))</f>
        <v>0</v>
      </c>
      <c r="Q2" s="22">
        <f>IF(Report[[#This Row],[FT]]="",,(RIGHT(Report[[#This Row],[FT]],SEARCH("-",Report[[#This Row],[FT]])-1)*1))</f>
        <v>0</v>
      </c>
      <c r="R2" s="18" t="str">
        <f>IF(Report[Résultat FT]="","",IF(Report[Résultat FT]=Report[Résultats],"Gagné","Perdu"))</f>
        <v/>
      </c>
      <c r="S2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/>
      </c>
      <c r="T2" s="53" t="str">
        <f>IF(Report[[#This Row],[FT]]="","",IF(Report[[#This Row],[FT]]=Report[[#This Row],[Score 1]],1,0))</f>
        <v/>
      </c>
      <c r="U2" s="53" t="str">
        <f>IF(Report[[#This Row],[FT]]="","",IF(Report[ [#This Row],[FT] ]=Report[[#This Row],[Score 2]],1,0))</f>
        <v/>
      </c>
      <c r="V2" s="53" t="str">
        <f>IF(Report[[#This Row],[FT]]="","",IF(Report[[#This Row],[FT]]=Report[[#This Row],[Score 3]],1,0))</f>
        <v/>
      </c>
      <c r="W2" s="53" t="str">
        <f>IF(Report[[#This Row],[FT]]="","",IF(Report[[#This Row],[FT]]=Report[[#This Row],[Score 4]],1,0))</f>
        <v/>
      </c>
      <c r="X2" s="65">
        <f>IF(Report[[#This Row],[Résultat FT]]="",,IF(Report[[#This Row],[Résultat FT]]=Report[[#This Row],[Résultats]],(Suivi_Gain!$B$1*Report[[#This Row],[Cote FT]])-Suivi_Gain!$B$1,-Suivi_Gain!$B$1))</f>
        <v>0</v>
      </c>
      <c r="Y2" s="65">
        <f>IF(Report[[#This Row],[FT]]="",,IF(Report[[#This Row],[FT]]=Report[[#This Row],[Score 1]],(Suivi_Gain!$G$1*Report[[#This Row],[Cote SE]])-Suivi_Gain!$G$1,-Suivi_Gain!$G$1))</f>
        <v>0</v>
      </c>
      <c r="Z2" s="65">
        <f>IF(Report[[#This Row],[FT]]="",,IF(Report[[#This Row],[FT]]=Report[[#This Row],[Score 2]],Suivi_Gain!$A$1*Report[[#This Row],[Cote SE]],-Suivi_Gain!$A$1))</f>
        <v>0</v>
      </c>
      <c r="AA2" s="65">
        <f>IF(Report[[#This Row],[FT]]="",,IF(Report[[#This Row],[FT]]=Report[[#This Row],[Score 3]],Suivi_Gain!$A$1*Report[[#This Row],[Cote SE]],-Suivi_Gain!$A$1))</f>
        <v>0</v>
      </c>
      <c r="AB2" s="65">
        <f>IF(Report[[#This Row],[FT]]="",,IF(Report[[#This Row],[FT]]=Report[[#This Row],[Score 4]],Suivi_Gain!$A$1*Report[[#This Row],[Cote SE]],-Suivi_Gain!$A$1))</f>
        <v>0</v>
      </c>
      <c r="AC2" s="18" t="str">
        <f>IF(Report[[#This Row],[Résultats SE]]="Gagné",Report[[#This Row],[FT]],"")</f>
        <v/>
      </c>
      <c r="AD2" s="18" t="str">
        <f>IF(AND(Report[[#This Row],[Résultats SE]]="Gagné",Report[[#This Row],[FT]]=Report[[#This Row],[Score 1]]),Report[[#This Row],[FT]],"")</f>
        <v/>
      </c>
      <c r="AE2" s="18" t="str">
        <f>IF(AND(Report[[#This Row],[Résultats SE]]="Gagné",Report[[#This Row],[FT]]=Report[[#This Row],[Score 2]]),Report[[#This Row],[FT]],"")</f>
        <v/>
      </c>
      <c r="AF2" s="18" t="str">
        <f>IF(AND(Report[[#This Row],[Résultats SE]]="Gagné",Report[[#This Row],[FT]]=Report[[#This Row],[Score 3]]),Report[[#This Row],[FT]],"")</f>
        <v/>
      </c>
      <c r="AG2" s="18" t="str">
        <f>IF(AND(Report[[#This Row],[Résultats SE]]="Gagné",Report[[#This Row],[FT]]=Report[[#This Row],[Score 4]]),Report[[#This Row],[FT]],"")</f>
        <v/>
      </c>
    </row>
    <row r="3" spans="1:33" ht="20.100000000000001" customHeight="1" x14ac:dyDescent="0.25">
      <c r="A3" s="11">
        <v>43432</v>
      </c>
      <c r="B3" s="7" t="s">
        <v>223</v>
      </c>
      <c r="C3" s="7" t="s">
        <v>133</v>
      </c>
      <c r="D3" s="10" t="s">
        <v>255</v>
      </c>
      <c r="E3" s="10" t="s">
        <v>260</v>
      </c>
      <c r="F3" s="7" t="s">
        <v>824</v>
      </c>
      <c r="G3" s="8" t="s">
        <v>825</v>
      </c>
      <c r="H3" s="9" t="s">
        <v>826</v>
      </c>
      <c r="I3" s="9" t="s">
        <v>827</v>
      </c>
      <c r="J3" s="9" t="s">
        <v>828</v>
      </c>
      <c r="K3" s="9" t="s">
        <v>260</v>
      </c>
      <c r="L3" s="16"/>
      <c r="M3" s="16"/>
      <c r="N3" s="17"/>
      <c r="O3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/>
      </c>
      <c r="P3" s="18">
        <f>IF(Report[[#This Row],[FT]]="",,(LEFT(Report[[#This Row],[FT]],SEARCH("-",Report[[#This Row],[FT]])-1)*1))</f>
        <v>0</v>
      </c>
      <c r="Q3" s="22">
        <f>IF(Report[[#This Row],[FT]]="",,(RIGHT(Report[[#This Row],[FT]],SEARCH("-",Report[[#This Row],[FT]])-1)*1))</f>
        <v>0</v>
      </c>
      <c r="R3" s="18" t="str">
        <f>IF(Report[Résultat FT]="","",IF(Report[Résultat FT]=Report[Résultats],"Gagné","Perdu"))</f>
        <v/>
      </c>
      <c r="S3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/>
      </c>
      <c r="T3" s="53" t="str">
        <f>IF(Report[[#This Row],[FT]]="","",IF(Report[[#This Row],[FT]]=Report[[#This Row],[Score 1]],1,0))</f>
        <v/>
      </c>
      <c r="U3" s="53" t="str">
        <f>IF(Report[[#This Row],[FT]]="","",IF(Report[ [#This Row],[FT] ]=Report[[#This Row],[Score 2]],1,0))</f>
        <v/>
      </c>
      <c r="V3" s="53" t="str">
        <f>IF(Report[[#This Row],[FT]]="","",IF(Report[[#This Row],[FT]]=Report[[#This Row],[Score 3]],1,0))</f>
        <v/>
      </c>
      <c r="W3" s="53" t="str">
        <f>IF(Report[[#This Row],[FT]]="","",IF(Report[[#This Row],[FT]]=Report[[#This Row],[Score 4]],1,0))</f>
        <v/>
      </c>
      <c r="X3" s="65">
        <f>IF(Report[[#This Row],[Résultat FT]]="",,IF(Report[[#This Row],[Résultat FT]]=Report[[#This Row],[Résultats]],(Suivi_Gain!$B$1*Report[[#This Row],[Cote FT]])-Suivi_Gain!$B$1,-Suivi_Gain!$B$1))</f>
        <v>0</v>
      </c>
      <c r="Y3" s="65">
        <f>IF(Report[[#This Row],[FT]]="",,IF(Report[[#This Row],[FT]]=Report[[#This Row],[Score 1]],(Suivi_Gain!$G$1*Report[[#This Row],[Cote SE]])-Suivi_Gain!$G$1,-Suivi_Gain!$G$1))</f>
        <v>0</v>
      </c>
      <c r="Z3" s="65">
        <f>IF(Report[[#This Row],[FT]]="",,IF(Report[[#This Row],[FT]]=Report[[#This Row],[Score 2]],Suivi_Gain!$A$1*Report[[#This Row],[Cote SE]],-Suivi_Gain!$A$1))</f>
        <v>0</v>
      </c>
      <c r="AA3" s="65">
        <f>IF(Report[[#This Row],[FT]]="",,IF(Report[[#This Row],[FT]]=Report[[#This Row],[Score 3]],Suivi_Gain!$A$1*Report[[#This Row],[Cote SE]],-Suivi_Gain!$A$1))</f>
        <v>0</v>
      </c>
      <c r="AB3" s="65">
        <f>IF(Report[[#This Row],[FT]]="",,IF(Report[[#This Row],[FT]]=Report[[#This Row],[Score 4]],Suivi_Gain!$A$1*Report[[#This Row],[Cote SE]],-Suivi_Gain!$A$1))</f>
        <v>0</v>
      </c>
      <c r="AC3" s="18" t="str">
        <f>IF(Report[[#This Row],[Résultats SE]]="Gagné",Report[[#This Row],[FT]],"")</f>
        <v/>
      </c>
      <c r="AD3" s="18" t="str">
        <f>IF(AND(Report[[#This Row],[Résultats SE]]="Gagné",Report[[#This Row],[FT]]=Report[[#This Row],[Score 1]]),Report[[#This Row],[FT]],"")</f>
        <v/>
      </c>
      <c r="AE3" s="18" t="str">
        <f>IF(AND(Report[[#This Row],[Résultats SE]]="Gagné",Report[[#This Row],[FT]]=Report[[#This Row],[Score 2]]),Report[[#This Row],[FT]],"")</f>
        <v/>
      </c>
      <c r="AF3" s="18" t="str">
        <f>IF(AND(Report[[#This Row],[Résultats SE]]="Gagné",Report[[#This Row],[FT]]=Report[[#This Row],[Score 3]]),Report[[#This Row],[FT]],"")</f>
        <v/>
      </c>
      <c r="AG3" s="18" t="str">
        <f>IF(AND(Report[[#This Row],[Résultats SE]]="Gagné",Report[[#This Row],[FT]]=Report[[#This Row],[Score 4]]),Report[[#This Row],[FT]],"")</f>
        <v/>
      </c>
    </row>
    <row r="4" spans="1:33" ht="20.100000000000001" customHeight="1" x14ac:dyDescent="0.25">
      <c r="A4" s="11">
        <v>43432</v>
      </c>
      <c r="B4" s="7" t="s">
        <v>223</v>
      </c>
      <c r="C4" s="7" t="s">
        <v>133</v>
      </c>
      <c r="D4" s="10" t="s">
        <v>256</v>
      </c>
      <c r="E4" s="10" t="s">
        <v>254</v>
      </c>
      <c r="F4" s="7" t="s">
        <v>833</v>
      </c>
      <c r="G4" s="8" t="s">
        <v>834</v>
      </c>
      <c r="H4" s="9" t="s">
        <v>830</v>
      </c>
      <c r="I4" s="9" t="s">
        <v>825</v>
      </c>
      <c r="J4" s="9" t="s">
        <v>826</v>
      </c>
      <c r="K4" s="9" t="s">
        <v>233</v>
      </c>
      <c r="L4" s="16"/>
      <c r="M4" s="16"/>
      <c r="N4" s="17"/>
      <c r="O4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/>
      </c>
      <c r="P4" s="18">
        <f>IF(Report[[#This Row],[FT]]="",,(LEFT(Report[[#This Row],[FT]],SEARCH("-",Report[[#This Row],[FT]])-1)*1))</f>
        <v>0</v>
      </c>
      <c r="Q4" s="22">
        <f>IF(Report[[#This Row],[FT]]="",,(RIGHT(Report[[#This Row],[FT]],SEARCH("-",Report[[#This Row],[FT]])-1)*1))</f>
        <v>0</v>
      </c>
      <c r="R4" s="18" t="str">
        <f>IF(Report[Résultat FT]="","",IF(Report[Résultat FT]=Report[Résultats],"Gagné","Perdu"))</f>
        <v/>
      </c>
      <c r="S4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/>
      </c>
      <c r="T4" s="53" t="str">
        <f>IF(Report[[#This Row],[FT]]="","",IF(Report[[#This Row],[FT]]=Report[[#This Row],[Score 1]],1,0))</f>
        <v/>
      </c>
      <c r="U4" s="53" t="str">
        <f>IF(Report[[#This Row],[FT]]="","",IF(Report[ [#This Row],[FT] ]=Report[[#This Row],[Score 2]],1,0))</f>
        <v/>
      </c>
      <c r="V4" s="53" t="str">
        <f>IF(Report[[#This Row],[FT]]="","",IF(Report[[#This Row],[FT]]=Report[[#This Row],[Score 3]],1,0))</f>
        <v/>
      </c>
      <c r="W4" s="53" t="str">
        <f>IF(Report[[#This Row],[FT]]="","",IF(Report[[#This Row],[FT]]=Report[[#This Row],[Score 4]],1,0))</f>
        <v/>
      </c>
      <c r="X4" s="65">
        <f>IF(Report[[#This Row],[Résultat FT]]="",,IF(Report[[#This Row],[Résultat FT]]=Report[[#This Row],[Résultats]],(Suivi_Gain!$B$1*Report[[#This Row],[Cote FT]])-Suivi_Gain!$B$1,-Suivi_Gain!$B$1))</f>
        <v>0</v>
      </c>
      <c r="Y4" s="65">
        <f>IF(Report[[#This Row],[FT]]="",,IF(Report[[#This Row],[FT]]=Report[[#This Row],[Score 1]],(Suivi_Gain!$G$1*Report[[#This Row],[Cote SE]])-Suivi_Gain!$G$1,-Suivi_Gain!$G$1))</f>
        <v>0</v>
      </c>
      <c r="Z4" s="65">
        <f>IF(Report[[#This Row],[FT]]="",,IF(Report[[#This Row],[FT]]=Report[[#This Row],[Score 2]],Suivi_Gain!$A$1*Report[[#This Row],[Cote SE]],-Suivi_Gain!$A$1))</f>
        <v>0</v>
      </c>
      <c r="AA4" s="65">
        <f>IF(Report[[#This Row],[FT]]="",,IF(Report[[#This Row],[FT]]=Report[[#This Row],[Score 3]],Suivi_Gain!$A$1*Report[[#This Row],[Cote SE]],-Suivi_Gain!$A$1))</f>
        <v>0</v>
      </c>
      <c r="AB4" s="65">
        <f>IF(Report[[#This Row],[FT]]="",,IF(Report[[#This Row],[FT]]=Report[[#This Row],[Score 4]],Suivi_Gain!$A$1*Report[[#This Row],[Cote SE]],-Suivi_Gain!$A$1))</f>
        <v>0</v>
      </c>
      <c r="AC4" s="18" t="str">
        <f>IF(Report[[#This Row],[Résultats SE]]="Gagné",Report[[#This Row],[FT]],"")</f>
        <v/>
      </c>
      <c r="AD4" s="18" t="str">
        <f>IF(AND(Report[[#This Row],[Résultats SE]]="Gagné",Report[[#This Row],[FT]]=Report[[#This Row],[Score 1]]),Report[[#This Row],[FT]],"")</f>
        <v/>
      </c>
      <c r="AE4" s="18" t="str">
        <f>IF(AND(Report[[#This Row],[Résultats SE]]="Gagné",Report[[#This Row],[FT]]=Report[[#This Row],[Score 2]]),Report[[#This Row],[FT]],"")</f>
        <v/>
      </c>
      <c r="AF4" s="18" t="str">
        <f>IF(AND(Report[[#This Row],[Résultats SE]]="Gagné",Report[[#This Row],[FT]]=Report[[#This Row],[Score 3]]),Report[[#This Row],[FT]],"")</f>
        <v/>
      </c>
      <c r="AG4" s="18" t="str">
        <f>IF(AND(Report[[#This Row],[Résultats SE]]="Gagné",Report[[#This Row],[FT]]=Report[[#This Row],[Score 4]]),Report[[#This Row],[FT]],"")</f>
        <v/>
      </c>
    </row>
    <row r="5" spans="1:33" ht="20.100000000000001" customHeight="1" x14ac:dyDescent="0.25">
      <c r="A5" s="11">
        <v>43432</v>
      </c>
      <c r="B5" s="7" t="s">
        <v>223</v>
      </c>
      <c r="C5" s="7" t="s">
        <v>133</v>
      </c>
      <c r="D5" s="10" t="s">
        <v>258</v>
      </c>
      <c r="E5" s="10" t="s">
        <v>252</v>
      </c>
      <c r="F5" s="7" t="s">
        <v>824</v>
      </c>
      <c r="G5" s="8" t="s">
        <v>825</v>
      </c>
      <c r="H5" s="9" t="s">
        <v>826</v>
      </c>
      <c r="I5" s="9" t="s">
        <v>827</v>
      </c>
      <c r="J5" s="9" t="s">
        <v>828</v>
      </c>
      <c r="K5" s="9" t="s">
        <v>252</v>
      </c>
      <c r="L5" s="16"/>
      <c r="M5" s="16"/>
      <c r="N5" s="17"/>
      <c r="O5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/>
      </c>
      <c r="P5" s="18">
        <f>IF(Report[[#This Row],[FT]]="",,(LEFT(Report[[#This Row],[FT]],SEARCH("-",Report[[#This Row],[FT]])-1)*1))</f>
        <v>0</v>
      </c>
      <c r="Q5" s="22">
        <f>IF(Report[[#This Row],[FT]]="",,(RIGHT(Report[[#This Row],[FT]],SEARCH("-",Report[[#This Row],[FT]])-1)*1))</f>
        <v>0</v>
      </c>
      <c r="R5" s="18" t="str">
        <f>IF(Report[Résultat FT]="","",IF(Report[Résultat FT]=Report[Résultats],"Gagné","Perdu"))</f>
        <v/>
      </c>
      <c r="S5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/>
      </c>
      <c r="T5" s="53" t="str">
        <f>IF(Report[[#This Row],[FT]]="","",IF(Report[[#This Row],[FT]]=Report[[#This Row],[Score 1]],1,0))</f>
        <v/>
      </c>
      <c r="U5" s="53" t="str">
        <f>IF(Report[[#This Row],[FT]]="","",IF(Report[ [#This Row],[FT] ]=Report[[#This Row],[Score 2]],1,0))</f>
        <v/>
      </c>
      <c r="V5" s="53" t="str">
        <f>IF(Report[[#This Row],[FT]]="","",IF(Report[[#This Row],[FT]]=Report[[#This Row],[Score 3]],1,0))</f>
        <v/>
      </c>
      <c r="W5" s="53" t="str">
        <f>IF(Report[[#This Row],[FT]]="","",IF(Report[[#This Row],[FT]]=Report[[#This Row],[Score 4]],1,0))</f>
        <v/>
      </c>
      <c r="X5" s="65">
        <f>IF(Report[[#This Row],[Résultat FT]]="",,IF(Report[[#This Row],[Résultat FT]]=Report[[#This Row],[Résultats]],(Suivi_Gain!$B$1*Report[[#This Row],[Cote FT]])-Suivi_Gain!$B$1,-Suivi_Gain!$B$1))</f>
        <v>0</v>
      </c>
      <c r="Y5" s="65">
        <f>IF(Report[[#This Row],[FT]]="",,IF(Report[[#This Row],[FT]]=Report[[#This Row],[Score 1]],(Suivi_Gain!$G$1*Report[[#This Row],[Cote SE]])-Suivi_Gain!$G$1,-Suivi_Gain!$G$1))</f>
        <v>0</v>
      </c>
      <c r="Z5" s="65">
        <f>IF(Report[[#This Row],[FT]]="",,IF(Report[[#This Row],[FT]]=Report[[#This Row],[Score 2]],Suivi_Gain!$A$1*Report[[#This Row],[Cote SE]],-Suivi_Gain!$A$1))</f>
        <v>0</v>
      </c>
      <c r="AA5" s="65">
        <f>IF(Report[[#This Row],[FT]]="",,IF(Report[[#This Row],[FT]]=Report[[#This Row],[Score 3]],Suivi_Gain!$A$1*Report[[#This Row],[Cote SE]],-Suivi_Gain!$A$1))</f>
        <v>0</v>
      </c>
      <c r="AB5" s="65">
        <f>IF(Report[[#This Row],[FT]]="",,IF(Report[[#This Row],[FT]]=Report[[#This Row],[Score 4]],Suivi_Gain!$A$1*Report[[#This Row],[Cote SE]],-Suivi_Gain!$A$1))</f>
        <v>0</v>
      </c>
      <c r="AC5" s="18" t="str">
        <f>IF(Report[[#This Row],[Résultats SE]]="Gagné",Report[[#This Row],[FT]],"")</f>
        <v/>
      </c>
      <c r="AD5" s="18" t="str">
        <f>IF(AND(Report[[#This Row],[Résultats SE]]="Gagné",Report[[#This Row],[FT]]=Report[[#This Row],[Score 1]]),Report[[#This Row],[FT]],"")</f>
        <v/>
      </c>
      <c r="AE5" s="18" t="str">
        <f>IF(AND(Report[[#This Row],[Résultats SE]]="Gagné",Report[[#This Row],[FT]]=Report[[#This Row],[Score 2]]),Report[[#This Row],[FT]],"")</f>
        <v/>
      </c>
      <c r="AF5" s="18" t="str">
        <f>IF(AND(Report[[#This Row],[Résultats SE]]="Gagné",Report[[#This Row],[FT]]=Report[[#This Row],[Score 3]]),Report[[#This Row],[FT]],"")</f>
        <v/>
      </c>
      <c r="AG5" s="18" t="str">
        <f>IF(AND(Report[[#This Row],[Résultats SE]]="Gagné",Report[[#This Row],[FT]]=Report[[#This Row],[Score 4]]),Report[[#This Row],[FT]],"")</f>
        <v/>
      </c>
    </row>
    <row r="6" spans="1:33" ht="20.100000000000001" customHeight="1" x14ac:dyDescent="0.25">
      <c r="A6" s="11">
        <v>43432</v>
      </c>
      <c r="B6" s="7" t="s">
        <v>66</v>
      </c>
      <c r="C6" s="7" t="s">
        <v>101</v>
      </c>
      <c r="D6" s="10" t="s">
        <v>196</v>
      </c>
      <c r="E6" s="10" t="s">
        <v>209</v>
      </c>
      <c r="F6" s="7" t="s">
        <v>833</v>
      </c>
      <c r="G6" s="8" t="s">
        <v>834</v>
      </c>
      <c r="H6" s="9" t="s">
        <v>830</v>
      </c>
      <c r="I6" s="9" t="s">
        <v>825</v>
      </c>
      <c r="J6" s="9" t="s">
        <v>826</v>
      </c>
      <c r="K6" s="9" t="s">
        <v>233</v>
      </c>
      <c r="L6" s="16"/>
      <c r="M6" s="16"/>
      <c r="N6" s="17"/>
      <c r="O6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/>
      </c>
      <c r="P6" s="18">
        <f>IF(Report[[#This Row],[FT]]="",,(LEFT(Report[[#This Row],[FT]],SEARCH("-",Report[[#This Row],[FT]])-1)*1))</f>
        <v>0</v>
      </c>
      <c r="Q6" s="22">
        <f>IF(Report[[#This Row],[FT]]="",,(RIGHT(Report[[#This Row],[FT]],SEARCH("-",Report[[#This Row],[FT]])-1)*1))</f>
        <v>0</v>
      </c>
      <c r="R6" s="18" t="str">
        <f>IF(Report[Résultat FT]="","",IF(Report[Résultat FT]=Report[Résultats],"Gagné","Perdu"))</f>
        <v/>
      </c>
      <c r="S6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/>
      </c>
      <c r="T6" s="53" t="str">
        <f>IF(Report[[#This Row],[FT]]="","",IF(Report[[#This Row],[FT]]=Report[[#This Row],[Score 1]],1,0))</f>
        <v/>
      </c>
      <c r="U6" s="53" t="str">
        <f>IF(Report[[#This Row],[FT]]="","",IF(Report[ [#This Row],[FT] ]=Report[[#This Row],[Score 2]],1,0))</f>
        <v/>
      </c>
      <c r="V6" s="53" t="str">
        <f>IF(Report[[#This Row],[FT]]="","",IF(Report[[#This Row],[FT]]=Report[[#This Row],[Score 3]],1,0))</f>
        <v/>
      </c>
      <c r="W6" s="53" t="str">
        <f>IF(Report[[#This Row],[FT]]="","",IF(Report[[#This Row],[FT]]=Report[[#This Row],[Score 4]],1,0))</f>
        <v/>
      </c>
      <c r="X6" s="65">
        <f>IF(Report[[#This Row],[Résultat FT]]="",,IF(Report[[#This Row],[Résultat FT]]=Report[[#This Row],[Résultats]],(Suivi_Gain!$B$1*Report[[#This Row],[Cote FT]])-Suivi_Gain!$B$1,-Suivi_Gain!$B$1))</f>
        <v>0</v>
      </c>
      <c r="Y6" s="65">
        <f>IF(Report[[#This Row],[FT]]="",,IF(Report[[#This Row],[FT]]=Report[[#This Row],[Score 1]],(Suivi_Gain!$G$1*Report[[#This Row],[Cote SE]])-Suivi_Gain!$G$1,-Suivi_Gain!$G$1))</f>
        <v>0</v>
      </c>
      <c r="Z6" s="65">
        <f>IF(Report[[#This Row],[FT]]="",,IF(Report[[#This Row],[FT]]=Report[[#This Row],[Score 2]],Suivi_Gain!$A$1*Report[[#This Row],[Cote SE]],-Suivi_Gain!$A$1))</f>
        <v>0</v>
      </c>
      <c r="AA6" s="65">
        <f>IF(Report[[#This Row],[FT]]="",,IF(Report[[#This Row],[FT]]=Report[[#This Row],[Score 3]],Suivi_Gain!$A$1*Report[[#This Row],[Cote SE]],-Suivi_Gain!$A$1))</f>
        <v>0</v>
      </c>
      <c r="AB6" s="65">
        <f>IF(Report[[#This Row],[FT]]="",,IF(Report[[#This Row],[FT]]=Report[[#This Row],[Score 4]],Suivi_Gain!$A$1*Report[[#This Row],[Cote SE]],-Suivi_Gain!$A$1))</f>
        <v>0</v>
      </c>
      <c r="AC6" s="18" t="str">
        <f>IF(Report[[#This Row],[Résultats SE]]="Gagné",Report[[#This Row],[FT]],"")</f>
        <v/>
      </c>
      <c r="AD6" s="18" t="str">
        <f>IF(AND(Report[[#This Row],[Résultats SE]]="Gagné",Report[[#This Row],[FT]]=Report[[#This Row],[Score 1]]),Report[[#This Row],[FT]],"")</f>
        <v/>
      </c>
      <c r="AE6" s="18" t="str">
        <f>IF(AND(Report[[#This Row],[Résultats SE]]="Gagné",Report[[#This Row],[FT]]=Report[[#This Row],[Score 2]]),Report[[#This Row],[FT]],"")</f>
        <v/>
      </c>
      <c r="AF6" s="18" t="str">
        <f>IF(AND(Report[[#This Row],[Résultats SE]]="Gagné",Report[[#This Row],[FT]]=Report[[#This Row],[Score 3]]),Report[[#This Row],[FT]],"")</f>
        <v/>
      </c>
      <c r="AG6" s="18" t="str">
        <f>IF(AND(Report[[#This Row],[Résultats SE]]="Gagné",Report[[#This Row],[FT]]=Report[[#This Row],[Score 4]]),Report[[#This Row],[FT]],"")</f>
        <v/>
      </c>
    </row>
    <row r="7" spans="1:33" ht="20.100000000000001" customHeight="1" x14ac:dyDescent="0.25">
      <c r="A7" s="11">
        <v>43432</v>
      </c>
      <c r="B7" s="7" t="s">
        <v>66</v>
      </c>
      <c r="C7" s="7" t="s">
        <v>101</v>
      </c>
      <c r="D7" s="10" t="s">
        <v>204</v>
      </c>
      <c r="E7" s="10" t="s">
        <v>201</v>
      </c>
      <c r="F7" s="7" t="s">
        <v>824</v>
      </c>
      <c r="G7" s="8" t="s">
        <v>825</v>
      </c>
      <c r="H7" s="9" t="s">
        <v>826</v>
      </c>
      <c r="I7" s="9" t="s">
        <v>827</v>
      </c>
      <c r="J7" s="9" t="s">
        <v>828</v>
      </c>
      <c r="K7" s="9" t="s">
        <v>201</v>
      </c>
      <c r="L7" s="16"/>
      <c r="M7" s="16"/>
      <c r="N7" s="17"/>
      <c r="O7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/>
      </c>
      <c r="P7" s="18">
        <f>IF(Report[[#This Row],[FT]]="",,(LEFT(Report[[#This Row],[FT]],SEARCH("-",Report[[#This Row],[FT]])-1)*1))</f>
        <v>0</v>
      </c>
      <c r="Q7" s="22">
        <f>IF(Report[[#This Row],[FT]]="",,(RIGHT(Report[[#This Row],[FT]],SEARCH("-",Report[[#This Row],[FT]])-1)*1))</f>
        <v>0</v>
      </c>
      <c r="R7" s="18" t="str">
        <f>IF(Report[Résultat FT]="","",IF(Report[Résultat FT]=Report[Résultats],"Gagné","Perdu"))</f>
        <v/>
      </c>
      <c r="S7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/>
      </c>
      <c r="T7" s="53" t="str">
        <f>IF(Report[[#This Row],[FT]]="","",IF(Report[[#This Row],[FT]]=Report[[#This Row],[Score 1]],1,0))</f>
        <v/>
      </c>
      <c r="U7" s="53" t="str">
        <f>IF(Report[[#This Row],[FT]]="","",IF(Report[ [#This Row],[FT] ]=Report[[#This Row],[Score 2]],1,0))</f>
        <v/>
      </c>
      <c r="V7" s="53" t="str">
        <f>IF(Report[[#This Row],[FT]]="","",IF(Report[[#This Row],[FT]]=Report[[#This Row],[Score 3]],1,0))</f>
        <v/>
      </c>
      <c r="W7" s="53" t="str">
        <f>IF(Report[[#This Row],[FT]]="","",IF(Report[[#This Row],[FT]]=Report[[#This Row],[Score 4]],1,0))</f>
        <v/>
      </c>
      <c r="X7" s="65">
        <f>IF(Report[[#This Row],[Résultat FT]]="",,IF(Report[[#This Row],[Résultat FT]]=Report[[#This Row],[Résultats]],(Suivi_Gain!$B$1*Report[[#This Row],[Cote FT]])-Suivi_Gain!$B$1,-Suivi_Gain!$B$1))</f>
        <v>0</v>
      </c>
      <c r="Y7" s="65">
        <f>IF(Report[[#This Row],[FT]]="",,IF(Report[[#This Row],[FT]]=Report[[#This Row],[Score 1]],(Suivi_Gain!$G$1*Report[[#This Row],[Cote SE]])-Suivi_Gain!$G$1,-Suivi_Gain!$G$1))</f>
        <v>0</v>
      </c>
      <c r="Z7" s="65">
        <f>IF(Report[[#This Row],[FT]]="",,IF(Report[[#This Row],[FT]]=Report[[#This Row],[Score 2]],Suivi_Gain!$A$1*Report[[#This Row],[Cote SE]],-Suivi_Gain!$A$1))</f>
        <v>0</v>
      </c>
      <c r="AA7" s="65">
        <f>IF(Report[[#This Row],[FT]]="",,IF(Report[[#This Row],[FT]]=Report[[#This Row],[Score 3]],Suivi_Gain!$A$1*Report[[#This Row],[Cote SE]],-Suivi_Gain!$A$1))</f>
        <v>0</v>
      </c>
      <c r="AB7" s="65">
        <f>IF(Report[[#This Row],[FT]]="",,IF(Report[[#This Row],[FT]]=Report[[#This Row],[Score 4]],Suivi_Gain!$A$1*Report[[#This Row],[Cote SE]],-Suivi_Gain!$A$1))</f>
        <v>0</v>
      </c>
      <c r="AC7" s="18" t="str">
        <f>IF(Report[[#This Row],[Résultats SE]]="Gagné",Report[[#This Row],[FT]],"")</f>
        <v/>
      </c>
      <c r="AD7" s="18" t="str">
        <f>IF(AND(Report[[#This Row],[Résultats SE]]="Gagné",Report[[#This Row],[FT]]=Report[[#This Row],[Score 1]]),Report[[#This Row],[FT]],"")</f>
        <v/>
      </c>
      <c r="AE7" s="18" t="str">
        <f>IF(AND(Report[[#This Row],[Résultats SE]]="Gagné",Report[[#This Row],[FT]]=Report[[#This Row],[Score 2]]),Report[[#This Row],[FT]],"")</f>
        <v/>
      </c>
      <c r="AF7" s="18" t="str">
        <f>IF(AND(Report[[#This Row],[Résultats SE]]="Gagné",Report[[#This Row],[FT]]=Report[[#This Row],[Score 3]]),Report[[#This Row],[FT]],"")</f>
        <v/>
      </c>
      <c r="AG7" s="18" t="str">
        <f>IF(AND(Report[[#This Row],[Résultats SE]]="Gagné",Report[[#This Row],[FT]]=Report[[#This Row],[Score 4]]),Report[[#This Row],[FT]],"")</f>
        <v/>
      </c>
    </row>
    <row r="8" spans="1:33" ht="20.100000000000001" customHeight="1" x14ac:dyDescent="0.25">
      <c r="A8" s="11">
        <v>43432</v>
      </c>
      <c r="B8" s="7" t="s">
        <v>66</v>
      </c>
      <c r="C8" s="7" t="s">
        <v>101</v>
      </c>
      <c r="D8" s="10" t="s">
        <v>207</v>
      </c>
      <c r="E8" s="10" t="s">
        <v>197</v>
      </c>
      <c r="F8" s="7" t="s">
        <v>843</v>
      </c>
      <c r="G8" s="8" t="s">
        <v>839</v>
      </c>
      <c r="H8" s="9" t="s">
        <v>834</v>
      </c>
      <c r="I8" s="9" t="s">
        <v>827</v>
      </c>
      <c r="J8" s="9" t="s">
        <v>825</v>
      </c>
      <c r="K8" s="9" t="s">
        <v>197</v>
      </c>
      <c r="L8" s="16"/>
      <c r="M8" s="16"/>
      <c r="N8" s="17"/>
      <c r="O8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/>
      </c>
      <c r="P8" s="18">
        <f>IF(Report[[#This Row],[FT]]="",,(LEFT(Report[[#This Row],[FT]],SEARCH("-",Report[[#This Row],[FT]])-1)*1))</f>
        <v>0</v>
      </c>
      <c r="Q8" s="22">
        <f>IF(Report[[#This Row],[FT]]="",,(RIGHT(Report[[#This Row],[FT]],SEARCH("-",Report[[#This Row],[FT]])-1)*1))</f>
        <v>0</v>
      </c>
      <c r="R8" s="18" t="str">
        <f>IF(Report[Résultat FT]="","",IF(Report[Résultat FT]=Report[Résultats],"Gagné","Perdu"))</f>
        <v/>
      </c>
      <c r="S8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/>
      </c>
      <c r="T8" s="53" t="str">
        <f>IF(Report[[#This Row],[FT]]="","",IF(Report[[#This Row],[FT]]=Report[[#This Row],[Score 1]],1,0))</f>
        <v/>
      </c>
      <c r="U8" s="53" t="str">
        <f>IF(Report[[#This Row],[FT]]="","",IF(Report[ [#This Row],[FT] ]=Report[[#This Row],[Score 2]],1,0))</f>
        <v/>
      </c>
      <c r="V8" s="53" t="str">
        <f>IF(Report[[#This Row],[FT]]="","",IF(Report[[#This Row],[FT]]=Report[[#This Row],[Score 3]],1,0))</f>
        <v/>
      </c>
      <c r="W8" s="53" t="str">
        <f>IF(Report[[#This Row],[FT]]="","",IF(Report[[#This Row],[FT]]=Report[[#This Row],[Score 4]],1,0))</f>
        <v/>
      </c>
      <c r="X8" s="65">
        <f>IF(Report[[#This Row],[Résultat FT]]="",,IF(Report[[#This Row],[Résultat FT]]=Report[[#This Row],[Résultats]],(Suivi_Gain!$B$1*Report[[#This Row],[Cote FT]])-Suivi_Gain!$B$1,-Suivi_Gain!$B$1))</f>
        <v>0</v>
      </c>
      <c r="Y8" s="65">
        <f>IF(Report[[#This Row],[FT]]="",,IF(Report[[#This Row],[FT]]=Report[[#This Row],[Score 1]],(Suivi_Gain!$G$1*Report[[#This Row],[Cote SE]])-Suivi_Gain!$G$1,-Suivi_Gain!$G$1))</f>
        <v>0</v>
      </c>
      <c r="Z8" s="65">
        <f>IF(Report[[#This Row],[FT]]="",,IF(Report[[#This Row],[FT]]=Report[[#This Row],[Score 2]],Suivi_Gain!$A$1*Report[[#This Row],[Cote SE]],-Suivi_Gain!$A$1))</f>
        <v>0</v>
      </c>
      <c r="AA8" s="65">
        <f>IF(Report[[#This Row],[FT]]="",,IF(Report[[#This Row],[FT]]=Report[[#This Row],[Score 3]],Suivi_Gain!$A$1*Report[[#This Row],[Cote SE]],-Suivi_Gain!$A$1))</f>
        <v>0</v>
      </c>
      <c r="AB8" s="65">
        <f>IF(Report[[#This Row],[FT]]="",,IF(Report[[#This Row],[FT]]=Report[[#This Row],[Score 4]],Suivi_Gain!$A$1*Report[[#This Row],[Cote SE]],-Suivi_Gain!$A$1))</f>
        <v>0</v>
      </c>
      <c r="AC8" s="18" t="str">
        <f>IF(Report[[#This Row],[Résultats SE]]="Gagné",Report[[#This Row],[FT]],"")</f>
        <v/>
      </c>
      <c r="AD8" s="18" t="str">
        <f>IF(AND(Report[[#This Row],[Résultats SE]]="Gagné",Report[[#This Row],[FT]]=Report[[#This Row],[Score 1]]),Report[[#This Row],[FT]],"")</f>
        <v/>
      </c>
      <c r="AE8" s="18" t="str">
        <f>IF(AND(Report[[#This Row],[Résultats SE]]="Gagné",Report[[#This Row],[FT]]=Report[[#This Row],[Score 2]]),Report[[#This Row],[FT]],"")</f>
        <v/>
      </c>
      <c r="AF8" s="18" t="str">
        <f>IF(AND(Report[[#This Row],[Résultats SE]]="Gagné",Report[[#This Row],[FT]]=Report[[#This Row],[Score 3]]),Report[[#This Row],[FT]],"")</f>
        <v/>
      </c>
      <c r="AG8" s="18" t="str">
        <f>IF(AND(Report[[#This Row],[Résultats SE]]="Gagné",Report[[#This Row],[FT]]=Report[[#This Row],[Score 4]]),Report[[#This Row],[FT]],"")</f>
        <v/>
      </c>
    </row>
    <row r="9" spans="1:33" ht="20.100000000000001" customHeight="1" x14ac:dyDescent="0.25">
      <c r="A9" s="11">
        <v>43432</v>
      </c>
      <c r="B9" s="7" t="s">
        <v>66</v>
      </c>
      <c r="C9" s="7" t="s">
        <v>101</v>
      </c>
      <c r="D9" s="10" t="s">
        <v>217</v>
      </c>
      <c r="E9" s="10" t="s">
        <v>218</v>
      </c>
      <c r="F9" s="7" t="s">
        <v>833</v>
      </c>
      <c r="G9" s="8" t="s">
        <v>834</v>
      </c>
      <c r="H9" s="9" t="s">
        <v>830</v>
      </c>
      <c r="I9" s="9" t="s">
        <v>825</v>
      </c>
      <c r="J9" s="9" t="s">
        <v>826</v>
      </c>
      <c r="K9" s="9" t="s">
        <v>233</v>
      </c>
      <c r="L9" s="16"/>
      <c r="M9" s="16"/>
      <c r="N9" s="17"/>
      <c r="O9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/>
      </c>
      <c r="P9" s="18">
        <f>IF(Report[[#This Row],[FT]]="",,(LEFT(Report[[#This Row],[FT]],SEARCH("-",Report[[#This Row],[FT]])-1)*1))</f>
        <v>0</v>
      </c>
      <c r="Q9" s="22">
        <f>IF(Report[[#This Row],[FT]]="",,(RIGHT(Report[[#This Row],[FT]],SEARCH("-",Report[[#This Row],[FT]])-1)*1))</f>
        <v>0</v>
      </c>
      <c r="R9" s="18" t="str">
        <f>IF(Report[Résultat FT]="","",IF(Report[Résultat FT]=Report[Résultats],"Gagné","Perdu"))</f>
        <v/>
      </c>
      <c r="S9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/>
      </c>
      <c r="T9" s="53" t="str">
        <f>IF(Report[[#This Row],[FT]]="","",IF(Report[[#This Row],[FT]]=Report[[#This Row],[Score 1]],1,0))</f>
        <v/>
      </c>
      <c r="U9" s="53" t="str">
        <f>IF(Report[[#This Row],[FT]]="","",IF(Report[ [#This Row],[FT] ]=Report[[#This Row],[Score 2]],1,0))</f>
        <v/>
      </c>
      <c r="V9" s="53" t="str">
        <f>IF(Report[[#This Row],[FT]]="","",IF(Report[[#This Row],[FT]]=Report[[#This Row],[Score 3]],1,0))</f>
        <v/>
      </c>
      <c r="W9" s="53" t="str">
        <f>IF(Report[[#This Row],[FT]]="","",IF(Report[[#This Row],[FT]]=Report[[#This Row],[Score 4]],1,0))</f>
        <v/>
      </c>
      <c r="X9" s="65">
        <f>IF(Report[[#This Row],[Résultat FT]]="",,IF(Report[[#This Row],[Résultat FT]]=Report[[#This Row],[Résultats]],(Suivi_Gain!$B$1*Report[[#This Row],[Cote FT]])-Suivi_Gain!$B$1,-Suivi_Gain!$B$1))</f>
        <v>0</v>
      </c>
      <c r="Y9" s="65">
        <f>IF(Report[[#This Row],[FT]]="",,IF(Report[[#This Row],[FT]]=Report[[#This Row],[Score 1]],(Suivi_Gain!$G$1*Report[[#This Row],[Cote SE]])-Suivi_Gain!$G$1,-Suivi_Gain!$G$1))</f>
        <v>0</v>
      </c>
      <c r="Z9" s="65">
        <f>IF(Report[[#This Row],[FT]]="",,IF(Report[[#This Row],[FT]]=Report[[#This Row],[Score 2]],Suivi_Gain!$A$1*Report[[#This Row],[Cote SE]],-Suivi_Gain!$A$1))</f>
        <v>0</v>
      </c>
      <c r="AA9" s="65">
        <f>IF(Report[[#This Row],[FT]]="",,IF(Report[[#This Row],[FT]]=Report[[#This Row],[Score 3]],Suivi_Gain!$A$1*Report[[#This Row],[Cote SE]],-Suivi_Gain!$A$1))</f>
        <v>0</v>
      </c>
      <c r="AB9" s="65">
        <f>IF(Report[[#This Row],[FT]]="",,IF(Report[[#This Row],[FT]]=Report[[#This Row],[Score 4]],Suivi_Gain!$A$1*Report[[#This Row],[Cote SE]],-Suivi_Gain!$A$1))</f>
        <v>0</v>
      </c>
      <c r="AC9" s="18" t="str">
        <f>IF(Report[[#This Row],[Résultats SE]]="Gagné",Report[[#This Row],[FT]],"")</f>
        <v/>
      </c>
      <c r="AD9" s="18" t="str">
        <f>IF(AND(Report[[#This Row],[Résultats SE]]="Gagné",Report[[#This Row],[FT]]=Report[[#This Row],[Score 1]]),Report[[#This Row],[FT]],"")</f>
        <v/>
      </c>
      <c r="AE9" s="18" t="str">
        <f>IF(AND(Report[[#This Row],[Résultats SE]]="Gagné",Report[[#This Row],[FT]]=Report[[#This Row],[Score 2]]),Report[[#This Row],[FT]],"")</f>
        <v/>
      </c>
      <c r="AF9" s="18" t="str">
        <f>IF(AND(Report[[#This Row],[Résultats SE]]="Gagné",Report[[#This Row],[FT]]=Report[[#This Row],[Score 3]]),Report[[#This Row],[FT]],"")</f>
        <v/>
      </c>
      <c r="AG9" s="18" t="str">
        <f>IF(AND(Report[[#This Row],[Résultats SE]]="Gagné",Report[[#This Row],[FT]]=Report[[#This Row],[Score 4]]),Report[[#This Row],[FT]],"")</f>
        <v/>
      </c>
    </row>
    <row r="10" spans="1:33" ht="20.100000000000001" customHeight="1" x14ac:dyDescent="0.25">
      <c r="A10" s="11">
        <v>43432</v>
      </c>
      <c r="B10" s="7" t="s">
        <v>66</v>
      </c>
      <c r="C10" s="7" t="s">
        <v>101</v>
      </c>
      <c r="D10" s="19" t="s">
        <v>219</v>
      </c>
      <c r="E10" s="19" t="s">
        <v>198</v>
      </c>
      <c r="F10" s="7" t="s">
        <v>833</v>
      </c>
      <c r="G10" s="20" t="s">
        <v>834</v>
      </c>
      <c r="H10" s="20" t="s">
        <v>830</v>
      </c>
      <c r="I10" s="20" t="s">
        <v>825</v>
      </c>
      <c r="J10" s="20" t="s">
        <v>826</v>
      </c>
      <c r="K10" s="9" t="s">
        <v>233</v>
      </c>
      <c r="L10" s="16"/>
      <c r="M10" s="16"/>
      <c r="N10" s="17"/>
      <c r="O10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/>
      </c>
      <c r="P10" s="18">
        <f>IF(Report[[#This Row],[FT]]="",,(LEFT(Report[[#This Row],[FT]],SEARCH("-",Report[[#This Row],[FT]])-1)*1))</f>
        <v>0</v>
      </c>
      <c r="Q10" s="22">
        <f>IF(Report[[#This Row],[FT]]="",,(RIGHT(Report[[#This Row],[FT]],SEARCH("-",Report[[#This Row],[FT]])-1)*1))</f>
        <v>0</v>
      </c>
      <c r="R10" s="18" t="str">
        <f>IF(Report[Résultat FT]="","",IF(Report[Résultat FT]=Report[Résultats],"Gagné","Perdu"))</f>
        <v/>
      </c>
      <c r="S10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/>
      </c>
      <c r="T10" s="53" t="str">
        <f>IF(Report[[#This Row],[FT]]="","",IF(Report[[#This Row],[FT]]=Report[[#This Row],[Score 1]],1,0))</f>
        <v/>
      </c>
      <c r="U10" s="53" t="str">
        <f>IF(Report[[#This Row],[FT]]="","",IF(Report[ [#This Row],[FT] ]=Report[[#This Row],[Score 2]],1,0))</f>
        <v/>
      </c>
      <c r="V10" s="53" t="str">
        <f>IF(Report[[#This Row],[FT]]="","",IF(Report[[#This Row],[FT]]=Report[[#This Row],[Score 3]],1,0))</f>
        <v/>
      </c>
      <c r="W10" s="53" t="str">
        <f>IF(Report[[#This Row],[FT]]="","",IF(Report[[#This Row],[FT]]=Report[[#This Row],[Score 4]],1,0))</f>
        <v/>
      </c>
      <c r="X10" s="65">
        <f>IF(Report[[#This Row],[Résultat FT]]="",,IF(Report[[#This Row],[Résultat FT]]=Report[[#This Row],[Résultats]],(Suivi_Gain!$B$1*Report[[#This Row],[Cote FT]])-Suivi_Gain!$B$1,-Suivi_Gain!$B$1))</f>
        <v>0</v>
      </c>
      <c r="Y10" s="65">
        <f>IF(Report[[#This Row],[FT]]="",,IF(Report[[#This Row],[FT]]=Report[[#This Row],[Score 1]],(Suivi_Gain!$G$1*Report[[#This Row],[Cote SE]])-Suivi_Gain!$G$1,-Suivi_Gain!$G$1))</f>
        <v>0</v>
      </c>
      <c r="Z10" s="65">
        <f>IF(Report[[#This Row],[FT]]="",,IF(Report[[#This Row],[FT]]=Report[[#This Row],[Score 2]],Suivi_Gain!$A$1*Report[[#This Row],[Cote SE]],-Suivi_Gain!$A$1))</f>
        <v>0</v>
      </c>
      <c r="AA10" s="65">
        <f>IF(Report[[#This Row],[FT]]="",,IF(Report[[#This Row],[FT]]=Report[[#This Row],[Score 3]],Suivi_Gain!$A$1*Report[[#This Row],[Cote SE]],-Suivi_Gain!$A$1))</f>
        <v>0</v>
      </c>
      <c r="AB10" s="65">
        <f>IF(Report[[#This Row],[FT]]="",,IF(Report[[#This Row],[FT]]=Report[[#This Row],[Score 4]],Suivi_Gain!$A$1*Report[[#This Row],[Cote SE]],-Suivi_Gain!$A$1))</f>
        <v>0</v>
      </c>
      <c r="AC10" s="18" t="str">
        <f>IF(Report[[#This Row],[Résultats SE]]="Gagné",Report[[#This Row],[FT]],"")</f>
        <v/>
      </c>
      <c r="AD10" s="18" t="str">
        <f>IF(AND(Report[[#This Row],[Résultats SE]]="Gagné",Report[[#This Row],[FT]]=Report[[#This Row],[Score 1]]),Report[[#This Row],[FT]],"")</f>
        <v/>
      </c>
      <c r="AE10" s="18" t="str">
        <f>IF(AND(Report[[#This Row],[Résultats SE]]="Gagné",Report[[#This Row],[FT]]=Report[[#This Row],[Score 2]]),Report[[#This Row],[FT]],"")</f>
        <v/>
      </c>
      <c r="AF10" s="18" t="str">
        <f>IF(AND(Report[[#This Row],[Résultats SE]]="Gagné",Report[[#This Row],[FT]]=Report[[#This Row],[Score 3]]),Report[[#This Row],[FT]],"")</f>
        <v/>
      </c>
      <c r="AG10" s="18" t="str">
        <f>IF(AND(Report[[#This Row],[Résultats SE]]="Gagné",Report[[#This Row],[FT]]=Report[[#This Row],[Score 4]]),Report[[#This Row],[FT]],"")</f>
        <v/>
      </c>
    </row>
    <row r="11" spans="1:33" ht="20.100000000000001" customHeight="1" x14ac:dyDescent="0.25">
      <c r="A11" s="11">
        <v>43432</v>
      </c>
      <c r="B11" s="7" t="s">
        <v>66</v>
      </c>
      <c r="C11" s="7" t="s">
        <v>101</v>
      </c>
      <c r="D11" s="19" t="s">
        <v>216</v>
      </c>
      <c r="E11" s="19" t="s">
        <v>202</v>
      </c>
      <c r="F11" s="7" t="s">
        <v>833</v>
      </c>
      <c r="G11" s="20" t="s">
        <v>834</v>
      </c>
      <c r="H11" s="20" t="s">
        <v>830</v>
      </c>
      <c r="I11" s="20" t="s">
        <v>825</v>
      </c>
      <c r="J11" s="20" t="s">
        <v>826</v>
      </c>
      <c r="K11" s="9" t="s">
        <v>233</v>
      </c>
      <c r="L11" s="16"/>
      <c r="M11" s="16"/>
      <c r="N11" s="17"/>
      <c r="O11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/>
      </c>
      <c r="P11" s="18">
        <f>IF(Report[[#This Row],[FT]]="",,(LEFT(Report[[#This Row],[FT]],SEARCH("-",Report[[#This Row],[FT]])-1)*1))</f>
        <v>0</v>
      </c>
      <c r="Q11" s="22">
        <f>IF(Report[[#This Row],[FT]]="",,(RIGHT(Report[[#This Row],[FT]],SEARCH("-",Report[[#This Row],[FT]])-1)*1))</f>
        <v>0</v>
      </c>
      <c r="R11" s="18" t="str">
        <f>IF(Report[Résultat FT]="","",IF(Report[Résultat FT]=Report[Résultats],"Gagné","Perdu"))</f>
        <v/>
      </c>
      <c r="S11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/>
      </c>
      <c r="T11" s="53" t="str">
        <f>IF(Report[[#This Row],[FT]]="","",IF(Report[[#This Row],[FT]]=Report[[#This Row],[Score 1]],1,0))</f>
        <v/>
      </c>
      <c r="U11" s="53" t="str">
        <f>IF(Report[[#This Row],[FT]]="","",IF(Report[ [#This Row],[FT] ]=Report[[#This Row],[Score 2]],1,0))</f>
        <v/>
      </c>
      <c r="V11" s="53" t="str">
        <f>IF(Report[[#This Row],[FT]]="","",IF(Report[[#This Row],[FT]]=Report[[#This Row],[Score 3]],1,0))</f>
        <v/>
      </c>
      <c r="W11" s="53" t="str">
        <f>IF(Report[[#This Row],[FT]]="","",IF(Report[[#This Row],[FT]]=Report[[#This Row],[Score 4]],1,0))</f>
        <v/>
      </c>
      <c r="X11" s="65">
        <f>IF(Report[[#This Row],[Résultat FT]]="",,IF(Report[[#This Row],[Résultat FT]]=Report[[#This Row],[Résultats]],(Suivi_Gain!$B$1*Report[[#This Row],[Cote FT]])-Suivi_Gain!$B$1,-Suivi_Gain!$B$1))</f>
        <v>0</v>
      </c>
      <c r="Y11" s="65">
        <f>IF(Report[[#This Row],[FT]]="",,IF(Report[[#This Row],[FT]]=Report[[#This Row],[Score 1]],(Suivi_Gain!$G$1*Report[[#This Row],[Cote SE]])-Suivi_Gain!$G$1,-Suivi_Gain!$G$1))</f>
        <v>0</v>
      </c>
      <c r="Z11" s="65">
        <f>IF(Report[[#This Row],[FT]]="",,IF(Report[[#This Row],[FT]]=Report[[#This Row],[Score 2]],Suivi_Gain!$A$1*Report[[#This Row],[Cote SE]],-Suivi_Gain!$A$1))</f>
        <v>0</v>
      </c>
      <c r="AA11" s="65">
        <f>IF(Report[[#This Row],[FT]]="",,IF(Report[[#This Row],[FT]]=Report[[#This Row],[Score 3]],Suivi_Gain!$A$1*Report[[#This Row],[Cote SE]],-Suivi_Gain!$A$1))</f>
        <v>0</v>
      </c>
      <c r="AB11" s="65">
        <f>IF(Report[[#This Row],[FT]]="",,IF(Report[[#This Row],[FT]]=Report[[#This Row],[Score 4]],Suivi_Gain!$A$1*Report[[#This Row],[Cote SE]],-Suivi_Gain!$A$1))</f>
        <v>0</v>
      </c>
      <c r="AC11" s="18" t="str">
        <f>IF(Report[[#This Row],[Résultats SE]]="Gagné",Report[[#This Row],[FT]],"")</f>
        <v/>
      </c>
      <c r="AD11" s="18" t="str">
        <f>IF(AND(Report[[#This Row],[Résultats SE]]="Gagné",Report[[#This Row],[FT]]=Report[[#This Row],[Score 1]]),Report[[#This Row],[FT]],"")</f>
        <v/>
      </c>
      <c r="AE11" s="18" t="str">
        <f>IF(AND(Report[[#This Row],[Résultats SE]]="Gagné",Report[[#This Row],[FT]]=Report[[#This Row],[Score 2]]),Report[[#This Row],[FT]],"")</f>
        <v/>
      </c>
      <c r="AF11" s="18" t="str">
        <f>IF(AND(Report[[#This Row],[Résultats SE]]="Gagné",Report[[#This Row],[FT]]=Report[[#This Row],[Score 3]]),Report[[#This Row],[FT]],"")</f>
        <v/>
      </c>
      <c r="AG11" s="18" t="str">
        <f>IF(AND(Report[[#This Row],[Résultats SE]]="Gagné",Report[[#This Row],[FT]]=Report[[#This Row],[Score 4]]),Report[[#This Row],[FT]],"")</f>
        <v/>
      </c>
    </row>
    <row r="12" spans="1:33" ht="20.100000000000001" customHeight="1" x14ac:dyDescent="0.25">
      <c r="A12" s="11">
        <v>43431</v>
      </c>
      <c r="B12" s="7" t="s">
        <v>66</v>
      </c>
      <c r="C12" s="7" t="s">
        <v>101</v>
      </c>
      <c r="D12" s="10" t="s">
        <v>200</v>
      </c>
      <c r="E12" s="10" t="s">
        <v>214</v>
      </c>
      <c r="F12" s="7" t="s">
        <v>843</v>
      </c>
      <c r="G12" s="8" t="s">
        <v>839</v>
      </c>
      <c r="H12" s="9" t="s">
        <v>834</v>
      </c>
      <c r="I12" s="9" t="s">
        <v>827</v>
      </c>
      <c r="J12" s="9" t="s">
        <v>825</v>
      </c>
      <c r="K12" s="9" t="s">
        <v>214</v>
      </c>
      <c r="L12" s="16"/>
      <c r="M12" s="16"/>
      <c r="N12" s="17"/>
      <c r="O12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/>
      </c>
      <c r="P12" s="18">
        <f>IF(Report[[#This Row],[FT]]="",,(LEFT(Report[[#This Row],[FT]],SEARCH("-",Report[[#This Row],[FT]])-1)*1))</f>
        <v>0</v>
      </c>
      <c r="Q12" s="22">
        <f>IF(Report[[#This Row],[FT]]="",,(RIGHT(Report[[#This Row],[FT]],SEARCH("-",Report[[#This Row],[FT]])-1)*1))</f>
        <v>0</v>
      </c>
      <c r="R12" s="18" t="str">
        <f>IF(Report[Résultat FT]="","",IF(Report[Résultat FT]=Report[Résultats],"Gagné","Perdu"))</f>
        <v/>
      </c>
      <c r="S12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/>
      </c>
      <c r="T12" s="53" t="str">
        <f>IF(Report[[#This Row],[FT]]="","",IF(Report[[#This Row],[FT]]=Report[[#This Row],[Score 1]],1,0))</f>
        <v/>
      </c>
      <c r="U12" s="53" t="str">
        <f>IF(Report[[#This Row],[FT]]="","",IF(Report[ [#This Row],[FT] ]=Report[[#This Row],[Score 2]],1,0))</f>
        <v/>
      </c>
      <c r="V12" s="53" t="str">
        <f>IF(Report[[#This Row],[FT]]="","",IF(Report[[#This Row],[FT]]=Report[[#This Row],[Score 3]],1,0))</f>
        <v/>
      </c>
      <c r="W12" s="53" t="str">
        <f>IF(Report[[#This Row],[FT]]="","",IF(Report[[#This Row],[FT]]=Report[[#This Row],[Score 4]],1,0))</f>
        <v/>
      </c>
      <c r="X12" s="65">
        <f>IF(Report[[#This Row],[Résultat FT]]="",,IF(Report[[#This Row],[Résultat FT]]=Report[[#This Row],[Résultats]],(Suivi_Gain!$B$1*Report[[#This Row],[Cote FT]])-Suivi_Gain!$B$1,-Suivi_Gain!$B$1))</f>
        <v>0</v>
      </c>
      <c r="Y12" s="65">
        <f>IF(Report[[#This Row],[FT]]="",,IF(Report[[#This Row],[FT]]=Report[[#This Row],[Score 1]],(Suivi_Gain!$G$1*Report[[#This Row],[Cote SE]])-Suivi_Gain!$G$1,-Suivi_Gain!$G$1))</f>
        <v>0</v>
      </c>
      <c r="Z12" s="65">
        <f>IF(Report[[#This Row],[FT]]="",,IF(Report[[#This Row],[FT]]=Report[[#This Row],[Score 2]],Suivi_Gain!$A$1*Report[[#This Row],[Cote SE]],-Suivi_Gain!$A$1))</f>
        <v>0</v>
      </c>
      <c r="AA12" s="65">
        <f>IF(Report[[#This Row],[FT]]="",,IF(Report[[#This Row],[FT]]=Report[[#This Row],[Score 3]],Suivi_Gain!$A$1*Report[[#This Row],[Cote SE]],-Suivi_Gain!$A$1))</f>
        <v>0</v>
      </c>
      <c r="AB12" s="65">
        <f>IF(Report[[#This Row],[FT]]="",,IF(Report[[#This Row],[FT]]=Report[[#This Row],[Score 4]],Suivi_Gain!$A$1*Report[[#This Row],[Cote SE]],-Suivi_Gain!$A$1))</f>
        <v>0</v>
      </c>
      <c r="AC12" s="18" t="str">
        <f>IF(Report[[#This Row],[Résultats SE]]="Gagné",Report[[#This Row],[FT]],"")</f>
        <v/>
      </c>
      <c r="AD12" s="18" t="str">
        <f>IF(AND(Report[[#This Row],[Résultats SE]]="Gagné",Report[[#This Row],[FT]]=Report[[#This Row],[Score 1]]),Report[[#This Row],[FT]],"")</f>
        <v/>
      </c>
      <c r="AE12" s="18" t="str">
        <f>IF(AND(Report[[#This Row],[Résultats SE]]="Gagné",Report[[#This Row],[FT]]=Report[[#This Row],[Score 2]]),Report[[#This Row],[FT]],"")</f>
        <v/>
      </c>
      <c r="AF12" s="18" t="str">
        <f>IF(AND(Report[[#This Row],[Résultats SE]]="Gagné",Report[[#This Row],[FT]]=Report[[#This Row],[Score 3]]),Report[[#This Row],[FT]],"")</f>
        <v/>
      </c>
      <c r="AG12" s="18" t="str">
        <f>IF(AND(Report[[#This Row],[Résultats SE]]="Gagné",Report[[#This Row],[FT]]=Report[[#This Row],[Score 4]]),Report[[#This Row],[FT]],"")</f>
        <v/>
      </c>
    </row>
    <row r="13" spans="1:33" ht="20.100000000000001" customHeight="1" x14ac:dyDescent="0.25">
      <c r="A13" s="11">
        <v>43431</v>
      </c>
      <c r="B13" s="7" t="s">
        <v>66</v>
      </c>
      <c r="C13" s="7" t="s">
        <v>101</v>
      </c>
      <c r="D13" s="10" t="s">
        <v>203</v>
      </c>
      <c r="E13" s="10" t="s">
        <v>208</v>
      </c>
      <c r="F13" s="7" t="s">
        <v>835</v>
      </c>
      <c r="G13" s="8" t="s">
        <v>827</v>
      </c>
      <c r="H13" s="9" t="s">
        <v>825</v>
      </c>
      <c r="I13" s="9" t="s">
        <v>828</v>
      </c>
      <c r="J13" s="9" t="s">
        <v>826</v>
      </c>
      <c r="K13" s="9" t="s">
        <v>208</v>
      </c>
      <c r="L13" s="16"/>
      <c r="M13" s="16"/>
      <c r="N13" s="17"/>
      <c r="O13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/>
      </c>
      <c r="P13" s="18">
        <f>IF(Report[[#This Row],[FT]]="",,(LEFT(Report[[#This Row],[FT]],SEARCH("-",Report[[#This Row],[FT]])-1)*1))</f>
        <v>0</v>
      </c>
      <c r="Q13" s="22">
        <f>IF(Report[[#This Row],[FT]]="",,(RIGHT(Report[[#This Row],[FT]],SEARCH("-",Report[[#This Row],[FT]])-1)*1))</f>
        <v>0</v>
      </c>
      <c r="R13" s="18" t="str">
        <f>IF(Report[Résultat FT]="","",IF(Report[Résultat FT]=Report[Résultats],"Gagné","Perdu"))</f>
        <v/>
      </c>
      <c r="S13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/>
      </c>
      <c r="T13" s="53" t="str">
        <f>IF(Report[[#This Row],[FT]]="","",IF(Report[[#This Row],[FT]]=Report[[#This Row],[Score 1]],1,0))</f>
        <v/>
      </c>
      <c r="U13" s="53" t="str">
        <f>IF(Report[[#This Row],[FT]]="","",IF(Report[ [#This Row],[FT] ]=Report[[#This Row],[Score 2]],1,0))</f>
        <v/>
      </c>
      <c r="V13" s="53" t="str">
        <f>IF(Report[[#This Row],[FT]]="","",IF(Report[[#This Row],[FT]]=Report[[#This Row],[Score 3]],1,0))</f>
        <v/>
      </c>
      <c r="W13" s="53" t="str">
        <f>IF(Report[[#This Row],[FT]]="","",IF(Report[[#This Row],[FT]]=Report[[#This Row],[Score 4]],1,0))</f>
        <v/>
      </c>
      <c r="X13" s="65">
        <f>IF(Report[[#This Row],[Résultat FT]]="",,IF(Report[[#This Row],[Résultat FT]]=Report[[#This Row],[Résultats]],(Suivi_Gain!$B$1*Report[[#This Row],[Cote FT]])-Suivi_Gain!$B$1,-Suivi_Gain!$B$1))</f>
        <v>0</v>
      </c>
      <c r="Y13" s="65">
        <f>IF(Report[[#This Row],[FT]]="",,IF(Report[[#This Row],[FT]]=Report[[#This Row],[Score 1]],(Suivi_Gain!$G$1*Report[[#This Row],[Cote SE]])-Suivi_Gain!$G$1,-Suivi_Gain!$G$1))</f>
        <v>0</v>
      </c>
      <c r="Z13" s="65">
        <f>IF(Report[[#This Row],[FT]]="",,IF(Report[[#This Row],[FT]]=Report[[#This Row],[Score 2]],Suivi_Gain!$A$1*Report[[#This Row],[Cote SE]],-Suivi_Gain!$A$1))</f>
        <v>0</v>
      </c>
      <c r="AA13" s="65">
        <f>IF(Report[[#This Row],[FT]]="",,IF(Report[[#This Row],[FT]]=Report[[#This Row],[Score 3]],Suivi_Gain!$A$1*Report[[#This Row],[Cote SE]],-Suivi_Gain!$A$1))</f>
        <v>0</v>
      </c>
      <c r="AB13" s="65">
        <f>IF(Report[[#This Row],[FT]]="",,IF(Report[[#This Row],[FT]]=Report[[#This Row],[Score 4]],Suivi_Gain!$A$1*Report[[#This Row],[Cote SE]],-Suivi_Gain!$A$1))</f>
        <v>0</v>
      </c>
      <c r="AC13" s="18" t="str">
        <f>IF(Report[[#This Row],[Résultats SE]]="Gagné",Report[[#This Row],[FT]],"")</f>
        <v/>
      </c>
      <c r="AD13" s="18" t="str">
        <f>IF(AND(Report[[#This Row],[Résultats SE]]="Gagné",Report[[#This Row],[FT]]=Report[[#This Row],[Score 1]]),Report[[#This Row],[FT]],"")</f>
        <v/>
      </c>
      <c r="AE13" s="18" t="str">
        <f>IF(AND(Report[[#This Row],[Résultats SE]]="Gagné",Report[[#This Row],[FT]]=Report[[#This Row],[Score 2]]),Report[[#This Row],[FT]],"")</f>
        <v/>
      </c>
      <c r="AF13" s="18" t="str">
        <f>IF(AND(Report[[#This Row],[Résultats SE]]="Gagné",Report[[#This Row],[FT]]=Report[[#This Row],[Score 3]]),Report[[#This Row],[FT]],"")</f>
        <v/>
      </c>
      <c r="AG13" s="18" t="str">
        <f>IF(AND(Report[[#This Row],[Résultats SE]]="Gagné",Report[[#This Row],[FT]]=Report[[#This Row],[Score 4]]),Report[[#This Row],[FT]],"")</f>
        <v/>
      </c>
    </row>
    <row r="14" spans="1:33" ht="20.100000000000001" customHeight="1" x14ac:dyDescent="0.25">
      <c r="A14" s="11">
        <v>43431</v>
      </c>
      <c r="B14" s="7" t="s">
        <v>66</v>
      </c>
      <c r="C14" s="7" t="s">
        <v>101</v>
      </c>
      <c r="D14" s="10" t="s">
        <v>205</v>
      </c>
      <c r="E14" s="10" t="s">
        <v>212</v>
      </c>
      <c r="F14" s="7" t="s">
        <v>842</v>
      </c>
      <c r="G14" s="8" t="s">
        <v>838</v>
      </c>
      <c r="H14" s="9" t="s">
        <v>831</v>
      </c>
      <c r="I14" s="9" t="s">
        <v>834</v>
      </c>
      <c r="J14" s="9" t="s">
        <v>830</v>
      </c>
      <c r="K14" s="9" t="s">
        <v>205</v>
      </c>
      <c r="L14" s="16"/>
      <c r="M14" s="16"/>
      <c r="N14" s="17"/>
      <c r="O14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/>
      </c>
      <c r="P14" s="18">
        <f>IF(Report[[#This Row],[FT]]="",,(LEFT(Report[[#This Row],[FT]],SEARCH("-",Report[[#This Row],[FT]])-1)*1))</f>
        <v>0</v>
      </c>
      <c r="Q14" s="22">
        <f>IF(Report[[#This Row],[FT]]="",,(RIGHT(Report[[#This Row],[FT]],SEARCH("-",Report[[#This Row],[FT]])-1)*1))</f>
        <v>0</v>
      </c>
      <c r="R14" s="18" t="str">
        <f>IF(Report[Résultat FT]="","",IF(Report[Résultat FT]=Report[Résultats],"Gagné","Perdu"))</f>
        <v/>
      </c>
      <c r="S14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/>
      </c>
      <c r="T14" s="53" t="str">
        <f>IF(Report[[#This Row],[FT]]="","",IF(Report[[#This Row],[FT]]=Report[[#This Row],[Score 1]],1,0))</f>
        <v/>
      </c>
      <c r="U14" s="53" t="str">
        <f>IF(Report[[#This Row],[FT]]="","",IF(Report[ [#This Row],[FT] ]=Report[[#This Row],[Score 2]],1,0))</f>
        <v/>
      </c>
      <c r="V14" s="53" t="str">
        <f>IF(Report[[#This Row],[FT]]="","",IF(Report[[#This Row],[FT]]=Report[[#This Row],[Score 3]],1,0))</f>
        <v/>
      </c>
      <c r="W14" s="53" t="str">
        <f>IF(Report[[#This Row],[FT]]="","",IF(Report[[#This Row],[FT]]=Report[[#This Row],[Score 4]],1,0))</f>
        <v/>
      </c>
      <c r="X14" s="65">
        <f>IF(Report[[#This Row],[Résultat FT]]="",,IF(Report[[#This Row],[Résultat FT]]=Report[[#This Row],[Résultats]],(Suivi_Gain!$B$1*Report[[#This Row],[Cote FT]])-Suivi_Gain!$B$1,-Suivi_Gain!$B$1))</f>
        <v>0</v>
      </c>
      <c r="Y14" s="65">
        <f>IF(Report[[#This Row],[FT]]="",,IF(Report[[#This Row],[FT]]=Report[[#This Row],[Score 1]],(Suivi_Gain!$G$1*Report[[#This Row],[Cote SE]])-Suivi_Gain!$G$1,-Suivi_Gain!$G$1))</f>
        <v>0</v>
      </c>
      <c r="Z14" s="65">
        <f>IF(Report[[#This Row],[FT]]="",,IF(Report[[#This Row],[FT]]=Report[[#This Row],[Score 2]],Suivi_Gain!$A$1*Report[[#This Row],[Cote SE]],-Suivi_Gain!$A$1))</f>
        <v>0</v>
      </c>
      <c r="AA14" s="65">
        <f>IF(Report[[#This Row],[FT]]="",,IF(Report[[#This Row],[FT]]=Report[[#This Row],[Score 3]],Suivi_Gain!$A$1*Report[[#This Row],[Cote SE]],-Suivi_Gain!$A$1))</f>
        <v>0</v>
      </c>
      <c r="AB14" s="65">
        <f>IF(Report[[#This Row],[FT]]="",,IF(Report[[#This Row],[FT]]=Report[[#This Row],[Score 4]],Suivi_Gain!$A$1*Report[[#This Row],[Cote SE]],-Suivi_Gain!$A$1))</f>
        <v>0</v>
      </c>
      <c r="AC14" s="18" t="str">
        <f>IF(Report[[#This Row],[Résultats SE]]="Gagné",Report[[#This Row],[FT]],"")</f>
        <v/>
      </c>
      <c r="AD14" s="18" t="str">
        <f>IF(AND(Report[[#This Row],[Résultats SE]]="Gagné",Report[[#This Row],[FT]]=Report[[#This Row],[Score 1]]),Report[[#This Row],[FT]],"")</f>
        <v/>
      </c>
      <c r="AE14" s="18" t="str">
        <f>IF(AND(Report[[#This Row],[Résultats SE]]="Gagné",Report[[#This Row],[FT]]=Report[[#This Row],[Score 2]]),Report[[#This Row],[FT]],"")</f>
        <v/>
      </c>
      <c r="AF14" s="18" t="str">
        <f>IF(AND(Report[[#This Row],[Résultats SE]]="Gagné",Report[[#This Row],[FT]]=Report[[#This Row],[Score 3]]),Report[[#This Row],[FT]],"")</f>
        <v/>
      </c>
      <c r="AG14" s="18" t="str">
        <f>IF(AND(Report[[#This Row],[Résultats SE]]="Gagné",Report[[#This Row],[FT]]=Report[[#This Row],[Score 4]]),Report[[#This Row],[FT]],"")</f>
        <v/>
      </c>
    </row>
    <row r="15" spans="1:33" ht="20.100000000000001" customHeight="1" x14ac:dyDescent="0.25">
      <c r="A15" s="11">
        <v>43431</v>
      </c>
      <c r="B15" s="7" t="s">
        <v>66</v>
      </c>
      <c r="C15" s="7" t="s">
        <v>101</v>
      </c>
      <c r="D15" s="10" t="s">
        <v>210</v>
      </c>
      <c r="E15" s="10" t="s">
        <v>206</v>
      </c>
      <c r="F15" s="7" t="s">
        <v>824</v>
      </c>
      <c r="G15" s="8" t="s">
        <v>825</v>
      </c>
      <c r="H15" s="9" t="s">
        <v>826</v>
      </c>
      <c r="I15" s="9" t="s">
        <v>827</v>
      </c>
      <c r="J15" s="9" t="s">
        <v>828</v>
      </c>
      <c r="K15" s="9" t="s">
        <v>206</v>
      </c>
      <c r="L15" s="16"/>
      <c r="M15" s="16"/>
      <c r="N15" s="17"/>
      <c r="O15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/>
      </c>
      <c r="P15" s="18">
        <f>IF(Report[[#This Row],[FT]]="",,(LEFT(Report[[#This Row],[FT]],SEARCH("-",Report[[#This Row],[FT]])-1)*1))</f>
        <v>0</v>
      </c>
      <c r="Q15" s="22">
        <f>IF(Report[[#This Row],[FT]]="",,(RIGHT(Report[[#This Row],[FT]],SEARCH("-",Report[[#This Row],[FT]])-1)*1))</f>
        <v>0</v>
      </c>
      <c r="R15" s="18" t="str">
        <f>IF(Report[Résultat FT]="","",IF(Report[Résultat FT]=Report[Résultats],"Gagné","Perdu"))</f>
        <v/>
      </c>
      <c r="S15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/>
      </c>
      <c r="T15" s="53" t="str">
        <f>IF(Report[[#This Row],[FT]]="","",IF(Report[[#This Row],[FT]]=Report[[#This Row],[Score 1]],1,0))</f>
        <v/>
      </c>
      <c r="U15" s="53" t="str">
        <f>IF(Report[[#This Row],[FT]]="","",IF(Report[ [#This Row],[FT] ]=Report[[#This Row],[Score 2]],1,0))</f>
        <v/>
      </c>
      <c r="V15" s="53" t="str">
        <f>IF(Report[[#This Row],[FT]]="","",IF(Report[[#This Row],[FT]]=Report[[#This Row],[Score 3]],1,0))</f>
        <v/>
      </c>
      <c r="W15" s="53" t="str">
        <f>IF(Report[[#This Row],[FT]]="","",IF(Report[[#This Row],[FT]]=Report[[#This Row],[Score 4]],1,0))</f>
        <v/>
      </c>
      <c r="X15" s="65">
        <f>IF(Report[[#This Row],[Résultat FT]]="",,IF(Report[[#This Row],[Résultat FT]]=Report[[#This Row],[Résultats]],(Suivi_Gain!$B$1*Report[[#This Row],[Cote FT]])-Suivi_Gain!$B$1,-Suivi_Gain!$B$1))</f>
        <v>0</v>
      </c>
      <c r="Y15" s="65">
        <f>IF(Report[[#This Row],[FT]]="",,IF(Report[[#This Row],[FT]]=Report[[#This Row],[Score 1]],(Suivi_Gain!$G$1*Report[[#This Row],[Cote SE]])-Suivi_Gain!$G$1,-Suivi_Gain!$G$1))</f>
        <v>0</v>
      </c>
      <c r="Z15" s="65">
        <f>IF(Report[[#This Row],[FT]]="",,IF(Report[[#This Row],[FT]]=Report[[#This Row],[Score 2]],Suivi_Gain!$A$1*Report[[#This Row],[Cote SE]],-Suivi_Gain!$A$1))</f>
        <v>0</v>
      </c>
      <c r="AA15" s="65">
        <f>IF(Report[[#This Row],[FT]]="",,IF(Report[[#This Row],[FT]]=Report[[#This Row],[Score 3]],Suivi_Gain!$A$1*Report[[#This Row],[Cote SE]],-Suivi_Gain!$A$1))</f>
        <v>0</v>
      </c>
      <c r="AB15" s="65">
        <f>IF(Report[[#This Row],[FT]]="",,IF(Report[[#This Row],[FT]]=Report[[#This Row],[Score 4]],Suivi_Gain!$A$1*Report[[#This Row],[Cote SE]],-Suivi_Gain!$A$1))</f>
        <v>0</v>
      </c>
      <c r="AC15" s="18" t="str">
        <f>IF(Report[[#This Row],[Résultats SE]]="Gagné",Report[[#This Row],[FT]],"")</f>
        <v/>
      </c>
      <c r="AD15" s="18" t="str">
        <f>IF(AND(Report[[#This Row],[Résultats SE]]="Gagné",Report[[#This Row],[FT]]=Report[[#This Row],[Score 1]]),Report[[#This Row],[FT]],"")</f>
        <v/>
      </c>
      <c r="AE15" s="18" t="str">
        <f>IF(AND(Report[[#This Row],[Résultats SE]]="Gagné",Report[[#This Row],[FT]]=Report[[#This Row],[Score 2]]),Report[[#This Row],[FT]],"")</f>
        <v/>
      </c>
      <c r="AF15" s="18" t="str">
        <f>IF(AND(Report[[#This Row],[Résultats SE]]="Gagné",Report[[#This Row],[FT]]=Report[[#This Row],[Score 3]]),Report[[#This Row],[FT]],"")</f>
        <v/>
      </c>
      <c r="AG15" s="18" t="str">
        <f>IF(AND(Report[[#This Row],[Résultats SE]]="Gagné",Report[[#This Row],[FT]]=Report[[#This Row],[Score 4]]),Report[[#This Row],[FT]],"")</f>
        <v/>
      </c>
    </row>
    <row r="16" spans="1:33" ht="20.100000000000001" customHeight="1" x14ac:dyDescent="0.25">
      <c r="A16" s="11">
        <v>43431</v>
      </c>
      <c r="B16" s="7" t="s">
        <v>66</v>
      </c>
      <c r="C16" s="7" t="s">
        <v>101</v>
      </c>
      <c r="D16" s="10" t="s">
        <v>213</v>
      </c>
      <c r="E16" s="10" t="s">
        <v>211</v>
      </c>
      <c r="F16" s="7" t="s">
        <v>833</v>
      </c>
      <c r="G16" s="8" t="s">
        <v>834</v>
      </c>
      <c r="H16" s="9" t="s">
        <v>830</v>
      </c>
      <c r="I16" s="9" t="s">
        <v>825</v>
      </c>
      <c r="J16" s="9" t="s">
        <v>826</v>
      </c>
      <c r="K16" s="9" t="s">
        <v>233</v>
      </c>
      <c r="L16" s="16"/>
      <c r="M16" s="16"/>
      <c r="N16" s="17"/>
      <c r="O16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/>
      </c>
      <c r="P16" s="18">
        <f>IF(Report[[#This Row],[FT]]="",,(LEFT(Report[[#This Row],[FT]],SEARCH("-",Report[[#This Row],[FT]])-1)*1))</f>
        <v>0</v>
      </c>
      <c r="Q16" s="22">
        <f>IF(Report[[#This Row],[FT]]="",,(RIGHT(Report[[#This Row],[FT]],SEARCH("-",Report[[#This Row],[FT]])-1)*1))</f>
        <v>0</v>
      </c>
      <c r="R16" s="18" t="str">
        <f>IF(Report[Résultat FT]="","",IF(Report[Résultat FT]=Report[Résultats],"Gagné","Perdu"))</f>
        <v/>
      </c>
      <c r="S16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/>
      </c>
      <c r="T16" s="53" t="str">
        <f>IF(Report[[#This Row],[FT]]="","",IF(Report[[#This Row],[FT]]=Report[[#This Row],[Score 1]],1,0))</f>
        <v/>
      </c>
      <c r="U16" s="53" t="str">
        <f>IF(Report[[#This Row],[FT]]="","",IF(Report[ [#This Row],[FT] ]=Report[[#This Row],[Score 2]],1,0))</f>
        <v/>
      </c>
      <c r="V16" s="53" t="str">
        <f>IF(Report[[#This Row],[FT]]="","",IF(Report[[#This Row],[FT]]=Report[[#This Row],[Score 3]],1,0))</f>
        <v/>
      </c>
      <c r="W16" s="53" t="str">
        <f>IF(Report[[#This Row],[FT]]="","",IF(Report[[#This Row],[FT]]=Report[[#This Row],[Score 4]],1,0))</f>
        <v/>
      </c>
      <c r="X16" s="65">
        <f>IF(Report[[#This Row],[Résultat FT]]="",,IF(Report[[#This Row],[Résultat FT]]=Report[[#This Row],[Résultats]],(Suivi_Gain!$B$1*Report[[#This Row],[Cote FT]])-Suivi_Gain!$B$1,-Suivi_Gain!$B$1))</f>
        <v>0</v>
      </c>
      <c r="Y16" s="65">
        <f>IF(Report[[#This Row],[FT]]="",,IF(Report[[#This Row],[FT]]=Report[[#This Row],[Score 1]],(Suivi_Gain!$G$1*Report[[#This Row],[Cote SE]])-Suivi_Gain!$G$1,-Suivi_Gain!$G$1))</f>
        <v>0</v>
      </c>
      <c r="Z16" s="65">
        <f>IF(Report[[#This Row],[FT]]="",,IF(Report[[#This Row],[FT]]=Report[[#This Row],[Score 2]],Suivi_Gain!$A$1*Report[[#This Row],[Cote SE]],-Suivi_Gain!$A$1))</f>
        <v>0</v>
      </c>
      <c r="AA16" s="65">
        <f>IF(Report[[#This Row],[FT]]="",,IF(Report[[#This Row],[FT]]=Report[[#This Row],[Score 3]],Suivi_Gain!$A$1*Report[[#This Row],[Cote SE]],-Suivi_Gain!$A$1))</f>
        <v>0</v>
      </c>
      <c r="AB16" s="65">
        <f>IF(Report[[#This Row],[FT]]="",,IF(Report[[#This Row],[FT]]=Report[[#This Row],[Score 4]],Suivi_Gain!$A$1*Report[[#This Row],[Cote SE]],-Suivi_Gain!$A$1))</f>
        <v>0</v>
      </c>
      <c r="AC16" s="18" t="str">
        <f>IF(Report[[#This Row],[Résultats SE]]="Gagné",Report[[#This Row],[FT]],"")</f>
        <v/>
      </c>
      <c r="AD16" s="18" t="str">
        <f>IF(AND(Report[[#This Row],[Résultats SE]]="Gagné",Report[[#This Row],[FT]]=Report[[#This Row],[Score 1]]),Report[[#This Row],[FT]],"")</f>
        <v/>
      </c>
      <c r="AE16" s="18" t="str">
        <f>IF(AND(Report[[#This Row],[Résultats SE]]="Gagné",Report[[#This Row],[FT]]=Report[[#This Row],[Score 2]]),Report[[#This Row],[FT]],"")</f>
        <v/>
      </c>
      <c r="AF16" s="18" t="str">
        <f>IF(AND(Report[[#This Row],[Résultats SE]]="Gagné",Report[[#This Row],[FT]]=Report[[#This Row],[Score 3]]),Report[[#This Row],[FT]],"")</f>
        <v/>
      </c>
      <c r="AG16" s="18" t="str">
        <f>IF(AND(Report[[#This Row],[Résultats SE]]="Gagné",Report[[#This Row],[FT]]=Report[[#This Row],[Score 4]]),Report[[#This Row],[FT]],"")</f>
        <v/>
      </c>
    </row>
    <row r="17" spans="1:33" ht="20.100000000000001" customHeight="1" x14ac:dyDescent="0.25">
      <c r="A17" s="11">
        <v>43431</v>
      </c>
      <c r="B17" s="7" t="s">
        <v>66</v>
      </c>
      <c r="C17" s="7" t="s">
        <v>101</v>
      </c>
      <c r="D17" s="10" t="s">
        <v>215</v>
      </c>
      <c r="E17" s="10" t="s">
        <v>199</v>
      </c>
      <c r="F17" s="7" t="s">
        <v>833</v>
      </c>
      <c r="G17" s="8" t="s">
        <v>834</v>
      </c>
      <c r="H17" s="9" t="s">
        <v>830</v>
      </c>
      <c r="I17" s="9" t="s">
        <v>825</v>
      </c>
      <c r="J17" s="9" t="s">
        <v>826</v>
      </c>
      <c r="K17" s="9" t="s">
        <v>233</v>
      </c>
      <c r="L17" s="16"/>
      <c r="M17" s="16"/>
      <c r="N17" s="17"/>
      <c r="O17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/>
      </c>
      <c r="P17" s="18">
        <f>IF(Report[[#This Row],[FT]]="",,(LEFT(Report[[#This Row],[FT]],SEARCH("-",Report[[#This Row],[FT]])-1)*1))</f>
        <v>0</v>
      </c>
      <c r="Q17" s="22">
        <f>IF(Report[[#This Row],[FT]]="",,(RIGHT(Report[[#This Row],[FT]],SEARCH("-",Report[[#This Row],[FT]])-1)*1))</f>
        <v>0</v>
      </c>
      <c r="R17" s="18" t="str">
        <f>IF(Report[Résultat FT]="","",IF(Report[Résultat FT]=Report[Résultats],"Gagné","Perdu"))</f>
        <v/>
      </c>
      <c r="S17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/>
      </c>
      <c r="T17" s="53" t="str">
        <f>IF(Report[[#This Row],[FT]]="","",IF(Report[[#This Row],[FT]]=Report[[#This Row],[Score 1]],1,0))</f>
        <v/>
      </c>
      <c r="U17" s="53" t="str">
        <f>IF(Report[[#This Row],[FT]]="","",IF(Report[ [#This Row],[FT] ]=Report[[#This Row],[Score 2]],1,0))</f>
        <v/>
      </c>
      <c r="V17" s="53" t="str">
        <f>IF(Report[[#This Row],[FT]]="","",IF(Report[[#This Row],[FT]]=Report[[#This Row],[Score 3]],1,0))</f>
        <v/>
      </c>
      <c r="W17" s="53" t="str">
        <f>IF(Report[[#This Row],[FT]]="","",IF(Report[[#This Row],[FT]]=Report[[#This Row],[Score 4]],1,0))</f>
        <v/>
      </c>
      <c r="X17" s="65">
        <f>IF(Report[[#This Row],[Résultat FT]]="",,IF(Report[[#This Row],[Résultat FT]]=Report[[#This Row],[Résultats]],(Suivi_Gain!$B$1*Report[[#This Row],[Cote FT]])-Suivi_Gain!$B$1,-Suivi_Gain!$B$1))</f>
        <v>0</v>
      </c>
      <c r="Y17" s="65">
        <f>IF(Report[[#This Row],[FT]]="",,IF(Report[[#This Row],[FT]]=Report[[#This Row],[Score 1]],(Suivi_Gain!$G$1*Report[[#This Row],[Cote SE]])-Suivi_Gain!$G$1,-Suivi_Gain!$G$1))</f>
        <v>0</v>
      </c>
      <c r="Z17" s="65">
        <f>IF(Report[[#This Row],[FT]]="",,IF(Report[[#This Row],[FT]]=Report[[#This Row],[Score 2]],Suivi_Gain!$A$1*Report[[#This Row],[Cote SE]],-Suivi_Gain!$A$1))</f>
        <v>0</v>
      </c>
      <c r="AA17" s="65">
        <f>IF(Report[[#This Row],[FT]]="",,IF(Report[[#This Row],[FT]]=Report[[#This Row],[Score 3]],Suivi_Gain!$A$1*Report[[#This Row],[Cote SE]],-Suivi_Gain!$A$1))</f>
        <v>0</v>
      </c>
      <c r="AB17" s="65">
        <f>IF(Report[[#This Row],[FT]]="",,IF(Report[[#This Row],[FT]]=Report[[#This Row],[Score 4]],Suivi_Gain!$A$1*Report[[#This Row],[Cote SE]],-Suivi_Gain!$A$1))</f>
        <v>0</v>
      </c>
      <c r="AC17" s="18" t="str">
        <f>IF(Report[[#This Row],[Résultats SE]]="Gagné",Report[[#This Row],[FT]],"")</f>
        <v/>
      </c>
      <c r="AD17" s="18" t="str">
        <f>IF(AND(Report[[#This Row],[Résultats SE]]="Gagné",Report[[#This Row],[FT]]=Report[[#This Row],[Score 1]]),Report[[#This Row],[FT]],"")</f>
        <v/>
      </c>
      <c r="AE17" s="18" t="str">
        <f>IF(AND(Report[[#This Row],[Résultats SE]]="Gagné",Report[[#This Row],[FT]]=Report[[#This Row],[Score 2]]),Report[[#This Row],[FT]],"")</f>
        <v/>
      </c>
      <c r="AF17" s="18" t="str">
        <f>IF(AND(Report[[#This Row],[Résultats SE]]="Gagné",Report[[#This Row],[FT]]=Report[[#This Row],[Score 3]]),Report[[#This Row],[FT]],"")</f>
        <v/>
      </c>
      <c r="AG17" s="18" t="str">
        <f>IF(AND(Report[[#This Row],[Résultats SE]]="Gagné",Report[[#This Row],[FT]]=Report[[#This Row],[Score 4]]),Report[[#This Row],[FT]],"")</f>
        <v/>
      </c>
    </row>
    <row r="18" spans="1:33" ht="20.100000000000001" customHeight="1" x14ac:dyDescent="0.25">
      <c r="A18" s="11">
        <v>43430</v>
      </c>
      <c r="B18" s="7" t="s">
        <v>88</v>
      </c>
      <c r="C18" s="7" t="s">
        <v>121</v>
      </c>
      <c r="D18" s="10" t="s">
        <v>764</v>
      </c>
      <c r="E18" s="10" t="s">
        <v>778</v>
      </c>
      <c r="F18" s="7" t="s">
        <v>833</v>
      </c>
      <c r="G18" s="8" t="s">
        <v>834</v>
      </c>
      <c r="H18" s="9" t="s">
        <v>830</v>
      </c>
      <c r="I18" s="9" t="s">
        <v>825</v>
      </c>
      <c r="J18" s="9" t="s">
        <v>826</v>
      </c>
      <c r="K18" s="9" t="s">
        <v>233</v>
      </c>
      <c r="L18" s="16" t="str">
        <f>IF(Report[Résultat FT]="","",IF(Report[Résultat FT]=Report[Résultats],"","-"))</f>
        <v>-</v>
      </c>
      <c r="M18" s="16" t="str">
        <f>IF(Report[[#This Row],[Résultat FT]]="","",IF(Report[[#This Row],[Résultats SE]]="Gagné","","-"))</f>
        <v>-</v>
      </c>
      <c r="N18" s="17" t="s">
        <v>858</v>
      </c>
      <c r="O18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Arka</v>
      </c>
      <c r="P18" s="18">
        <f>IF(Report[[#This Row],[FT]]="",,(LEFT(Report[[#This Row],[FT]],SEARCH("-",Report[[#This Row],[FT]])-1)*1))</f>
        <v>4</v>
      </c>
      <c r="Q18" s="22">
        <f>IF(Report[[#This Row],[FT]]="",,(RIGHT(Report[[#This Row],[FT]],SEARCH("-",Report[[#This Row],[FT]])-1)*1))</f>
        <v>1</v>
      </c>
      <c r="R18" s="18" t="str">
        <f>IF(Report[Résultat FT]="","",IF(Report[Résultat FT]=Report[Résultats],"Gagné","Perdu"))</f>
        <v>Perdu</v>
      </c>
      <c r="S18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8" s="53">
        <f>IF(Report[[#This Row],[FT]]="","",IF(Report[[#This Row],[FT]]=Report[[#This Row],[Score 1]],1,0))</f>
        <v>0</v>
      </c>
      <c r="U18" s="53">
        <f>IF(Report[[#This Row],[FT]]="","",IF(Report[ [#This Row],[FT] ]=Report[[#This Row],[Score 2]],1,0))</f>
        <v>0</v>
      </c>
      <c r="V18" s="53">
        <f>IF(Report[[#This Row],[FT]]="","",IF(Report[[#This Row],[FT]]=Report[[#This Row],[Score 3]],1,0))</f>
        <v>0</v>
      </c>
      <c r="W18" s="53">
        <f>IF(Report[[#This Row],[FT]]="","",IF(Report[[#This Row],[FT]]=Report[[#This Row],[Score 4]],1,0))</f>
        <v>0</v>
      </c>
      <c r="X18" s="65">
        <f>IF(Report[[#This Row],[Résultat FT]]="",,IF(Report[[#This Row],[Résultat FT]]=Report[[#This Row],[Résultats]],(Suivi_Gain!$B$1*Report[[#This Row],[Cote FT]])-Suivi_Gain!$B$1,-Suivi_Gain!$B$1))</f>
        <v>-1</v>
      </c>
      <c r="Y18" s="65">
        <f>IF(Report[[#This Row],[FT]]="",,IF(Report[[#This Row],[FT]]=Report[[#This Row],[Score 1]],(Suivi_Gain!$G$1*Report[[#This Row],[Cote SE]])-Suivi_Gain!$G$1,-Suivi_Gain!$G$1))</f>
        <v>-1</v>
      </c>
      <c r="Z18" s="65">
        <f>IF(Report[[#This Row],[FT]]="",,IF(Report[[#This Row],[FT]]=Report[[#This Row],[Score 2]],Suivi_Gain!$G$1*Report[[#This Row],[Cote SE]],-Suivi_Gain!$G$1))</f>
        <v>-1</v>
      </c>
      <c r="AA18" s="65">
        <f>IF(Report[[#This Row],[FT]]="",,IF(Report[[#This Row],[FT]]=Report[[#This Row],[Score 3]],Suivi_Gain!$G$1*Report[[#This Row],[Cote SE]],-Suivi_Gain!$G$1))</f>
        <v>-1</v>
      </c>
      <c r="AB18" s="65">
        <f>IF(Report[[#This Row],[FT]]="",,IF(Report[[#This Row],[FT]]=Report[[#This Row],[Score 4]],Suivi_Gain!$G$1*Report[[#This Row],[Cote SE]],-Suivi_Gain!$G$1))</f>
        <v>-1</v>
      </c>
      <c r="AC18" s="18" t="str">
        <f>IF(Report[[#This Row],[Résultats SE]]="Gagné",Report[[#This Row],[FT]],"")</f>
        <v/>
      </c>
      <c r="AD18" s="18" t="str">
        <f>IF(AND(Report[[#This Row],[Résultats SE]]="Gagné",Report[[#This Row],[FT]]=Report[[#This Row],[Score 1]]),Report[[#This Row],[FT]],"")</f>
        <v/>
      </c>
      <c r="AE18" s="18" t="str">
        <f>IF(AND(Report[[#This Row],[Résultats SE]]="Gagné",Report[[#This Row],[FT]]=Report[[#This Row],[Score 2]]),Report[[#This Row],[FT]],"")</f>
        <v/>
      </c>
      <c r="AF18" s="18" t="str">
        <f>IF(AND(Report[[#This Row],[Résultats SE]]="Gagné",Report[[#This Row],[FT]]=Report[[#This Row],[Score 3]]),Report[[#This Row],[FT]],"")</f>
        <v/>
      </c>
      <c r="AG18" s="18" t="str">
        <f>IF(AND(Report[[#This Row],[Résultats SE]]="Gagné",Report[[#This Row],[FT]]=Report[[#This Row],[Score 4]]),Report[[#This Row],[FT]],"")</f>
        <v/>
      </c>
    </row>
    <row r="19" spans="1:33" ht="20.100000000000001" customHeight="1" x14ac:dyDescent="0.25">
      <c r="A19" s="11">
        <v>43430</v>
      </c>
      <c r="B19" s="7" t="s">
        <v>90</v>
      </c>
      <c r="C19" s="7" t="s">
        <v>122</v>
      </c>
      <c r="D19" s="10" t="s">
        <v>332</v>
      </c>
      <c r="E19" s="10" t="s">
        <v>342</v>
      </c>
      <c r="F19" s="7" t="s">
        <v>835</v>
      </c>
      <c r="G19" s="8" t="s">
        <v>827</v>
      </c>
      <c r="H19" s="9" t="s">
        <v>825</v>
      </c>
      <c r="I19" s="9" t="s">
        <v>828</v>
      </c>
      <c r="J19" s="9" t="s">
        <v>826</v>
      </c>
      <c r="K19" s="9" t="s">
        <v>342</v>
      </c>
      <c r="L19" s="16" t="str">
        <f>IF(Report[Résultat FT]="","",IF(Report[Résultat FT]=Report[Résultats],"","-"))</f>
        <v>-</v>
      </c>
      <c r="M19" s="16" t="str">
        <f>IF(Report[[#This Row],[Résultat FT]]="","",IF(Report[[#This Row],[Résultats SE]]="Gagné","","-"))</f>
        <v>-</v>
      </c>
      <c r="N19" s="17" t="s">
        <v>838</v>
      </c>
      <c r="O19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Botosani</v>
      </c>
      <c r="P19" s="18">
        <f>IF(Report[[#This Row],[FT]]="",,(LEFT(Report[[#This Row],[FT]],SEARCH("-",Report[[#This Row],[FT]])-1)*1))</f>
        <v>2</v>
      </c>
      <c r="Q19" s="22">
        <f>IF(Report[[#This Row],[FT]]="",,(RIGHT(Report[[#This Row],[FT]],SEARCH("-",Report[[#This Row],[FT]])-1)*1))</f>
        <v>1</v>
      </c>
      <c r="R19" s="18" t="str">
        <f>IF(Report[Résultat FT]="","",IF(Report[Résultat FT]=Report[Résultats],"Gagné","Perdu"))</f>
        <v>Perdu</v>
      </c>
      <c r="S19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9" s="53">
        <f>IF(Report[[#This Row],[FT]]="","",IF(Report[[#This Row],[FT]]=Report[[#This Row],[Score 1]],1,0))</f>
        <v>0</v>
      </c>
      <c r="U19" s="53">
        <f>IF(Report[[#This Row],[FT]]="","",IF(Report[ [#This Row],[FT] ]=Report[[#This Row],[Score 2]],1,0))</f>
        <v>0</v>
      </c>
      <c r="V19" s="53">
        <f>IF(Report[[#This Row],[FT]]="","",IF(Report[[#This Row],[FT]]=Report[[#This Row],[Score 3]],1,0))</f>
        <v>0</v>
      </c>
      <c r="W19" s="53">
        <f>IF(Report[[#This Row],[FT]]="","",IF(Report[[#This Row],[FT]]=Report[[#This Row],[Score 4]],1,0))</f>
        <v>0</v>
      </c>
      <c r="X19" s="65">
        <f>IF(Report[[#This Row],[Résultat FT]]="",,IF(Report[[#This Row],[Résultat FT]]=Report[[#This Row],[Résultats]],(Suivi_Gain!$B$1*Report[[#This Row],[Cote FT]])-Suivi_Gain!$B$1,-Suivi_Gain!$B$1))</f>
        <v>-1</v>
      </c>
      <c r="Y19" s="65">
        <f>IF(Report[[#This Row],[FT]]="",,IF(Report[[#This Row],[FT]]=Report[[#This Row],[Score 1]],(Suivi_Gain!$G$1*Report[[#This Row],[Cote SE]])-Suivi_Gain!$G$1,-Suivi_Gain!$G$1))</f>
        <v>-1</v>
      </c>
      <c r="Z19" s="65">
        <f>IF(Report[[#This Row],[FT]]="",,IF(Report[[#This Row],[FT]]=Report[[#This Row],[Score 2]],Suivi_Gain!$G$1*Report[[#This Row],[Cote SE]],-Suivi_Gain!$G$1))</f>
        <v>-1</v>
      </c>
      <c r="AA19" s="65">
        <f>IF(Report[[#This Row],[FT]]="",,IF(Report[[#This Row],[FT]]=Report[[#This Row],[Score 3]],Suivi_Gain!$G$1*Report[[#This Row],[Cote SE]],-Suivi_Gain!$G$1))</f>
        <v>-1</v>
      </c>
      <c r="AB19" s="65">
        <f>IF(Report[[#This Row],[FT]]="",,IF(Report[[#This Row],[FT]]=Report[[#This Row],[Score 4]],Suivi_Gain!$G$1*Report[[#This Row],[Cote SE]],-Suivi_Gain!$G$1))</f>
        <v>-1</v>
      </c>
      <c r="AC19" s="18" t="str">
        <f>IF(Report[[#This Row],[Résultats SE]]="Gagné",Report[[#This Row],[FT]],"")</f>
        <v/>
      </c>
      <c r="AD19" s="18" t="str">
        <f>IF(AND(Report[[#This Row],[Résultats SE]]="Gagné",Report[[#This Row],[FT]]=Report[[#This Row],[Score 1]]),Report[[#This Row],[FT]],"")</f>
        <v/>
      </c>
      <c r="AE19" s="18" t="str">
        <f>IF(AND(Report[[#This Row],[Résultats SE]]="Gagné",Report[[#This Row],[FT]]=Report[[#This Row],[Score 2]]),Report[[#This Row],[FT]],"")</f>
        <v/>
      </c>
      <c r="AF19" s="18" t="str">
        <f>IF(AND(Report[[#This Row],[Résultats SE]]="Gagné",Report[[#This Row],[FT]]=Report[[#This Row],[Score 3]]),Report[[#This Row],[FT]],"")</f>
        <v/>
      </c>
      <c r="AG19" s="18" t="str">
        <f>IF(AND(Report[[#This Row],[Résultats SE]]="Gagné",Report[[#This Row],[FT]]=Report[[#This Row],[Score 4]]),Report[[#This Row],[FT]],"")</f>
        <v/>
      </c>
    </row>
    <row r="20" spans="1:33" ht="20.100000000000001" customHeight="1" x14ac:dyDescent="0.25">
      <c r="A20" s="11">
        <v>43430</v>
      </c>
      <c r="B20" s="7" t="s">
        <v>74</v>
      </c>
      <c r="C20" s="7" t="s">
        <v>128</v>
      </c>
      <c r="D20" s="10" t="s">
        <v>816</v>
      </c>
      <c r="E20" s="10" t="s">
        <v>810</v>
      </c>
      <c r="F20" s="7" t="s">
        <v>824</v>
      </c>
      <c r="G20" s="8" t="s">
        <v>825</v>
      </c>
      <c r="H20" s="9" t="s">
        <v>826</v>
      </c>
      <c r="I20" s="9" t="s">
        <v>827</v>
      </c>
      <c r="J20" s="9" t="s">
        <v>828</v>
      </c>
      <c r="K20" s="9" t="s">
        <v>810</v>
      </c>
      <c r="L20" s="16">
        <v>1.85</v>
      </c>
      <c r="M20" s="16">
        <v>8.4</v>
      </c>
      <c r="N20" s="17" t="s">
        <v>827</v>
      </c>
      <c r="O20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Basaksehir</v>
      </c>
      <c r="P20" s="18">
        <f>IF(Report[[#This Row],[FT]]="",,(LEFT(Report[[#This Row],[FT]],SEARCH("-",Report[[#This Row],[FT]])-1)*1))</f>
        <v>0</v>
      </c>
      <c r="Q20" s="22">
        <f>IF(Report[[#This Row],[FT]]="",,(RIGHT(Report[[#This Row],[FT]],SEARCH("-",Report[[#This Row],[FT]])-1)*1))</f>
        <v>2</v>
      </c>
      <c r="R20" s="18" t="str">
        <f>IF(Report[Résultat FT]="","",IF(Report[Résultat FT]=Report[Résultats],"Gagné","Perdu"))</f>
        <v>Gagné</v>
      </c>
      <c r="S20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20" s="53">
        <f>IF(Report[[#This Row],[FT]]="","",IF(Report[[#This Row],[FT]]=Report[[#This Row],[Score 1]],1,0))</f>
        <v>0</v>
      </c>
      <c r="U20" s="53">
        <f>IF(Report[[#This Row],[FT]]="","",IF(Report[ [#This Row],[FT] ]=Report[[#This Row],[Score 2]],1,0))</f>
        <v>0</v>
      </c>
      <c r="V20" s="53">
        <f>IF(Report[[#This Row],[FT]]="","",IF(Report[[#This Row],[FT]]=Report[[#This Row],[Score 3]],1,0))</f>
        <v>1</v>
      </c>
      <c r="W20" s="53">
        <f>IF(Report[[#This Row],[FT]]="","",IF(Report[[#This Row],[FT]]=Report[[#This Row],[Score 4]],1,0))</f>
        <v>0</v>
      </c>
      <c r="X20" s="65">
        <f>IF(Report[[#This Row],[Résultat FT]]="",,IF(Report[[#This Row],[Résultat FT]]=Report[[#This Row],[Résultats]],(Suivi_Gain!$B$1*Report[[#This Row],[Cote FT]])-Suivi_Gain!$B$1,-Suivi_Gain!$B$1))</f>
        <v>0.85000000000000009</v>
      </c>
      <c r="Y20" s="65">
        <f>IF(Report[[#This Row],[FT]]="",,IF(Report[[#This Row],[FT]]=Report[[#This Row],[Score 1]],(Suivi_Gain!$G$1*Report[[#This Row],[Cote SE]])-Suivi_Gain!$G$1,-Suivi_Gain!$G$1))</f>
        <v>-1</v>
      </c>
      <c r="Z20" s="65">
        <f>IF(Report[[#This Row],[FT]]="",,IF(Report[[#This Row],[FT]]=Report[[#This Row],[Score 2]],Suivi_Gain!$G$1*Report[[#This Row],[Cote SE]],-Suivi_Gain!$G$1))</f>
        <v>-1</v>
      </c>
      <c r="AA20" s="65">
        <f>IF(Report[[#This Row],[FT]]="",,IF(Report[[#This Row],[FT]]=Report[[#This Row],[Score 3]],Suivi_Gain!$G$1*Report[[#This Row],[Cote SE]],-Suivi_Gain!$G$1))</f>
        <v>8.4</v>
      </c>
      <c r="AB20" s="65">
        <f>IF(Report[[#This Row],[FT]]="",,IF(Report[[#This Row],[FT]]=Report[[#This Row],[Score 4]],Suivi_Gain!$G$1*Report[[#This Row],[Cote SE]],-Suivi_Gain!$G$1))</f>
        <v>-1</v>
      </c>
      <c r="AC20" s="18" t="str">
        <f>IF(Report[[#This Row],[Résultats SE]]="Gagné",Report[[#This Row],[FT]],"")</f>
        <v>0-2</v>
      </c>
      <c r="AD20" s="18" t="str">
        <f>IF(AND(Report[[#This Row],[Résultats SE]]="Gagné",Report[[#This Row],[FT]]=Report[[#This Row],[Score 1]]),Report[[#This Row],[FT]],"")</f>
        <v/>
      </c>
      <c r="AE20" s="18" t="str">
        <f>IF(AND(Report[[#This Row],[Résultats SE]]="Gagné",Report[[#This Row],[FT]]=Report[[#This Row],[Score 2]]),Report[[#This Row],[FT]],"")</f>
        <v/>
      </c>
      <c r="AF20" s="18" t="str">
        <f>IF(AND(Report[[#This Row],[Résultats SE]]="Gagné",Report[[#This Row],[FT]]=Report[[#This Row],[Score 3]]),Report[[#This Row],[FT]],"")</f>
        <v>0-2</v>
      </c>
      <c r="AG20" s="18" t="str">
        <f>IF(AND(Report[[#This Row],[Résultats SE]]="Gagné",Report[[#This Row],[FT]]=Report[[#This Row],[Score 4]]),Report[[#This Row],[FT]],"")</f>
        <v/>
      </c>
    </row>
    <row r="21" spans="1:33" ht="20.100000000000001" customHeight="1" x14ac:dyDescent="0.25">
      <c r="A21" s="11">
        <v>43430</v>
      </c>
      <c r="B21" s="7" t="s">
        <v>65</v>
      </c>
      <c r="C21" s="7" t="s">
        <v>99</v>
      </c>
      <c r="D21" s="10" t="s">
        <v>165</v>
      </c>
      <c r="E21" s="10" t="s">
        <v>174</v>
      </c>
      <c r="F21" s="7" t="s">
        <v>824</v>
      </c>
      <c r="G21" s="8" t="s">
        <v>825</v>
      </c>
      <c r="H21" s="9" t="s">
        <v>826</v>
      </c>
      <c r="I21" s="9" t="s">
        <v>827</v>
      </c>
      <c r="J21" s="9" t="s">
        <v>828</v>
      </c>
      <c r="K21" s="9" t="s">
        <v>174</v>
      </c>
      <c r="L21" s="16" t="str">
        <f>IF(Report[Résultat FT]="","",IF(Report[Résultat FT]=Report[Résultats],"","-"))</f>
        <v>-</v>
      </c>
      <c r="M21" s="16" t="str">
        <f>IF(Report[[#This Row],[Résultat FT]]="","",IF(Report[[#This Row],[Résultats SE]]="Gagné","","-"))</f>
        <v>-</v>
      </c>
      <c r="N21" s="17" t="s">
        <v>837</v>
      </c>
      <c r="O21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21" s="18">
        <f>IF(Report[[#This Row],[FT]]="",,(LEFT(Report[[#This Row],[FT]],SEARCH("-",Report[[#This Row],[FT]])-1)*1))</f>
        <v>2</v>
      </c>
      <c r="Q21" s="22">
        <f>IF(Report[[#This Row],[FT]]="",,(RIGHT(Report[[#This Row],[FT]],SEARCH("-",Report[[#This Row],[FT]])-1)*1))</f>
        <v>2</v>
      </c>
      <c r="R21" s="18" t="str">
        <f>IF(Report[Résultat FT]="","",IF(Report[Résultat FT]=Report[Résultats],"Gagné","Perdu"))</f>
        <v>Perdu</v>
      </c>
      <c r="S21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1" s="53">
        <f>IF(Report[[#This Row],[FT]]="","",IF(Report[[#This Row],[FT]]=Report[[#This Row],[Score 1]],1,0))</f>
        <v>0</v>
      </c>
      <c r="U21" s="53">
        <f>IF(Report[[#This Row],[FT]]="","",IF(Report[ [#This Row],[FT] ]=Report[[#This Row],[Score 2]],1,0))</f>
        <v>0</v>
      </c>
      <c r="V21" s="53">
        <f>IF(Report[[#This Row],[FT]]="","",IF(Report[[#This Row],[FT]]=Report[[#This Row],[Score 3]],1,0))</f>
        <v>0</v>
      </c>
      <c r="W21" s="53">
        <f>IF(Report[[#This Row],[FT]]="","",IF(Report[[#This Row],[FT]]=Report[[#This Row],[Score 4]],1,0))</f>
        <v>0</v>
      </c>
      <c r="X21" s="65">
        <f>IF(Report[[#This Row],[Résultat FT]]="",,IF(Report[[#This Row],[Résultat FT]]=Report[[#This Row],[Résultats]],(Suivi_Gain!$B$1*Report[[#This Row],[Cote FT]])-Suivi_Gain!$B$1,-Suivi_Gain!$B$1))</f>
        <v>-1</v>
      </c>
      <c r="Y21" s="65">
        <f>IF(Report[[#This Row],[FT]]="",,IF(Report[[#This Row],[FT]]=Report[[#This Row],[Score 1]],(Suivi_Gain!$G$1*Report[[#This Row],[Cote SE]])-Suivi_Gain!$G$1,-Suivi_Gain!$G$1))</f>
        <v>-1</v>
      </c>
      <c r="Z21" s="65">
        <f>IF(Report[[#This Row],[FT]]="",,IF(Report[[#This Row],[FT]]=Report[[#This Row],[Score 2]],Suivi_Gain!$G$1*Report[[#This Row],[Cote SE]],-Suivi_Gain!$G$1))</f>
        <v>-1</v>
      </c>
      <c r="AA21" s="65">
        <f>IF(Report[[#This Row],[FT]]="",,IF(Report[[#This Row],[FT]]=Report[[#This Row],[Score 3]],Suivi_Gain!$G$1*Report[[#This Row],[Cote SE]],-Suivi_Gain!$G$1))</f>
        <v>-1</v>
      </c>
      <c r="AB21" s="65">
        <f>IF(Report[[#This Row],[FT]]="",,IF(Report[[#This Row],[FT]]=Report[[#This Row],[Score 4]],Suivi_Gain!$G$1*Report[[#This Row],[Cote SE]],-Suivi_Gain!$G$1))</f>
        <v>-1</v>
      </c>
      <c r="AC21" s="18" t="str">
        <f>IF(Report[[#This Row],[Résultats SE]]="Gagné",Report[[#This Row],[FT]],"")</f>
        <v/>
      </c>
      <c r="AD21" s="18" t="str">
        <f>IF(AND(Report[[#This Row],[Résultats SE]]="Gagné",Report[[#This Row],[FT]]=Report[[#This Row],[Score 1]]),Report[[#This Row],[FT]],"")</f>
        <v/>
      </c>
      <c r="AE21" s="18" t="str">
        <f>IF(AND(Report[[#This Row],[Résultats SE]]="Gagné",Report[[#This Row],[FT]]=Report[[#This Row],[Score 2]]),Report[[#This Row],[FT]],"")</f>
        <v/>
      </c>
      <c r="AF21" s="18" t="str">
        <f>IF(AND(Report[[#This Row],[Résultats SE]]="Gagné",Report[[#This Row],[FT]]=Report[[#This Row],[Score 3]]),Report[[#This Row],[FT]],"")</f>
        <v/>
      </c>
      <c r="AG21" s="18" t="str">
        <f>IF(AND(Report[[#This Row],[Résultats SE]]="Gagné",Report[[#This Row],[FT]]=Report[[#This Row],[Score 4]]),Report[[#This Row],[FT]],"")</f>
        <v/>
      </c>
    </row>
    <row r="22" spans="1:33" ht="20.100000000000001" customHeight="1" x14ac:dyDescent="0.25">
      <c r="A22" s="11">
        <v>43430</v>
      </c>
      <c r="B22" s="7" t="s">
        <v>66</v>
      </c>
      <c r="C22" s="7" t="s">
        <v>100</v>
      </c>
      <c r="D22" s="10" t="s">
        <v>178</v>
      </c>
      <c r="E22" s="10" t="s">
        <v>189</v>
      </c>
      <c r="F22" s="7" t="s">
        <v>833</v>
      </c>
      <c r="G22" s="8" t="s">
        <v>834</v>
      </c>
      <c r="H22" s="9" t="s">
        <v>830</v>
      </c>
      <c r="I22" s="9" t="s">
        <v>825</v>
      </c>
      <c r="J22" s="9" t="s">
        <v>826</v>
      </c>
      <c r="K22" s="9" t="s">
        <v>233</v>
      </c>
      <c r="L22" s="16" t="str">
        <f>IF(Report[Résultat FT]="","",IF(Report[Résultat FT]=Report[Résultats],"","-"))</f>
        <v>-</v>
      </c>
      <c r="M22" s="16" t="str">
        <f>IF(Report[[#This Row],[Résultat FT]]="","",IF(Report[[#This Row],[Résultats SE]]="Gagné","","-"))</f>
        <v>-</v>
      </c>
      <c r="N22" s="17" t="s">
        <v>839</v>
      </c>
      <c r="O22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Newcastle</v>
      </c>
      <c r="P22" s="18">
        <f>IF(Report[[#This Row],[FT]]="",,(LEFT(Report[[#This Row],[FT]],SEARCH("-",Report[[#This Row],[FT]])-1)*1))</f>
        <v>1</v>
      </c>
      <c r="Q22" s="22">
        <f>IF(Report[[#This Row],[FT]]="",,(RIGHT(Report[[#This Row],[FT]],SEARCH("-",Report[[#This Row],[FT]])-1)*1))</f>
        <v>2</v>
      </c>
      <c r="R22" s="18" t="str">
        <f>IF(Report[Résultat FT]="","",IF(Report[Résultat FT]=Report[Résultats],"Gagné","Perdu"))</f>
        <v>Perdu</v>
      </c>
      <c r="S22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2" s="53">
        <f>IF(Report[[#This Row],[FT]]="","",IF(Report[[#This Row],[FT]]=Report[[#This Row],[Score 1]],1,0))</f>
        <v>0</v>
      </c>
      <c r="U22" s="53">
        <f>IF(Report[[#This Row],[FT]]="","",IF(Report[ [#This Row],[FT] ]=Report[[#This Row],[Score 2]],1,0))</f>
        <v>0</v>
      </c>
      <c r="V22" s="53">
        <f>IF(Report[[#This Row],[FT]]="","",IF(Report[[#This Row],[FT]]=Report[[#This Row],[Score 3]],1,0))</f>
        <v>0</v>
      </c>
      <c r="W22" s="53">
        <f>IF(Report[[#This Row],[FT]]="","",IF(Report[[#This Row],[FT]]=Report[[#This Row],[Score 4]],1,0))</f>
        <v>0</v>
      </c>
      <c r="X22" s="65">
        <f>IF(Report[[#This Row],[Résultat FT]]="",,IF(Report[[#This Row],[Résultat FT]]=Report[[#This Row],[Résultats]],(Suivi_Gain!$B$1*Report[[#This Row],[Cote FT]])-Suivi_Gain!$B$1,-Suivi_Gain!$B$1))</f>
        <v>-1</v>
      </c>
      <c r="Y22" s="65">
        <f>IF(Report[[#This Row],[FT]]="",,IF(Report[[#This Row],[FT]]=Report[[#This Row],[Score 1]],(Suivi_Gain!$G$1*Report[[#This Row],[Cote SE]])-Suivi_Gain!$G$1,-Suivi_Gain!$G$1))</f>
        <v>-1</v>
      </c>
      <c r="Z22" s="65">
        <f>IF(Report[[#This Row],[FT]]="",,IF(Report[[#This Row],[FT]]=Report[[#This Row],[Score 2]],Suivi_Gain!$G$1*Report[[#This Row],[Cote SE]],-Suivi_Gain!$G$1))</f>
        <v>-1</v>
      </c>
      <c r="AA22" s="65">
        <f>IF(Report[[#This Row],[FT]]="",,IF(Report[[#This Row],[FT]]=Report[[#This Row],[Score 3]],Suivi_Gain!$G$1*Report[[#This Row],[Cote SE]],-Suivi_Gain!$G$1))</f>
        <v>-1</v>
      </c>
      <c r="AB22" s="65">
        <f>IF(Report[[#This Row],[FT]]="",,IF(Report[[#This Row],[FT]]=Report[[#This Row],[Score 4]],Suivi_Gain!$G$1*Report[[#This Row],[Cote SE]],-Suivi_Gain!$G$1))</f>
        <v>-1</v>
      </c>
      <c r="AC22" s="18" t="str">
        <f>IF(Report[[#This Row],[Résultats SE]]="Gagné",Report[[#This Row],[FT]],"")</f>
        <v/>
      </c>
      <c r="AD22" s="18" t="str">
        <f>IF(AND(Report[[#This Row],[Résultats SE]]="Gagné",Report[[#This Row],[FT]]=Report[[#This Row],[Score 1]]),Report[[#This Row],[FT]],"")</f>
        <v/>
      </c>
      <c r="AE22" s="18" t="str">
        <f>IF(AND(Report[[#This Row],[Résultats SE]]="Gagné",Report[[#This Row],[FT]]=Report[[#This Row],[Score 2]]),Report[[#This Row],[FT]],"")</f>
        <v/>
      </c>
      <c r="AF22" s="18" t="str">
        <f>IF(AND(Report[[#This Row],[Résultats SE]]="Gagné",Report[[#This Row],[FT]]=Report[[#This Row],[Score 3]]),Report[[#This Row],[FT]],"")</f>
        <v/>
      </c>
      <c r="AG22" s="18" t="str">
        <f>IF(AND(Report[[#This Row],[Résultats SE]]="Gagné",Report[[#This Row],[FT]]=Report[[#This Row],[Score 4]]),Report[[#This Row],[FT]],"")</f>
        <v/>
      </c>
    </row>
    <row r="23" spans="1:33" ht="20.100000000000001" customHeight="1" x14ac:dyDescent="0.25">
      <c r="A23" s="11">
        <v>43430</v>
      </c>
      <c r="B23" s="7" t="s">
        <v>67</v>
      </c>
      <c r="C23" s="7" t="s">
        <v>102</v>
      </c>
      <c r="D23" s="10" t="s">
        <v>606</v>
      </c>
      <c r="E23" s="10" t="s">
        <v>596</v>
      </c>
      <c r="F23" s="7" t="s">
        <v>833</v>
      </c>
      <c r="G23" s="8" t="s">
        <v>834</v>
      </c>
      <c r="H23" s="9" t="s">
        <v>830</v>
      </c>
      <c r="I23" s="9" t="s">
        <v>825</v>
      </c>
      <c r="J23" s="9" t="s">
        <v>826</v>
      </c>
      <c r="K23" s="9" t="s">
        <v>233</v>
      </c>
      <c r="L23" s="16" t="str">
        <f>IF(Report[Résultat FT]="","",IF(Report[Résultat FT]=Report[Résultats],"","-"))</f>
        <v>-</v>
      </c>
      <c r="M23" s="16" t="str">
        <f>IF(Report[[#This Row],[Résultat FT]]="","",IF(Report[[#This Row],[Résultats SE]]="Gagné","","-"))</f>
        <v>-</v>
      </c>
      <c r="N23" s="17" t="s">
        <v>838</v>
      </c>
      <c r="O23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Real Sociedad</v>
      </c>
      <c r="P23" s="18">
        <f>IF(Report[[#This Row],[FT]]="",,(LEFT(Report[[#This Row],[FT]],SEARCH("-",Report[[#This Row],[FT]])-1)*1))</f>
        <v>2</v>
      </c>
      <c r="Q23" s="22">
        <f>IF(Report[[#This Row],[FT]]="",,(RIGHT(Report[[#This Row],[FT]],SEARCH("-",Report[[#This Row],[FT]])-1)*1))</f>
        <v>1</v>
      </c>
      <c r="R23" s="18" t="str">
        <f>IF(Report[Résultat FT]="","",IF(Report[Résultat FT]=Report[Résultats],"Gagné","Perdu"))</f>
        <v>Perdu</v>
      </c>
      <c r="S23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3" s="53">
        <f>IF(Report[[#This Row],[FT]]="","",IF(Report[[#This Row],[FT]]=Report[[#This Row],[Score 1]],1,0))</f>
        <v>0</v>
      </c>
      <c r="U23" s="53">
        <f>IF(Report[[#This Row],[FT]]="","",IF(Report[ [#This Row],[FT] ]=Report[[#This Row],[Score 2]],1,0))</f>
        <v>0</v>
      </c>
      <c r="V23" s="53">
        <f>IF(Report[[#This Row],[FT]]="","",IF(Report[[#This Row],[FT]]=Report[[#This Row],[Score 3]],1,0))</f>
        <v>0</v>
      </c>
      <c r="W23" s="53">
        <f>IF(Report[[#This Row],[FT]]="","",IF(Report[[#This Row],[FT]]=Report[[#This Row],[Score 4]],1,0))</f>
        <v>0</v>
      </c>
      <c r="X23" s="65">
        <f>IF(Report[[#This Row],[Résultat FT]]="",,IF(Report[[#This Row],[Résultat FT]]=Report[[#This Row],[Résultats]],(Suivi_Gain!$B$1*Report[[#This Row],[Cote FT]])-Suivi_Gain!$B$1,-Suivi_Gain!$B$1))</f>
        <v>-1</v>
      </c>
      <c r="Y23" s="65">
        <f>IF(Report[[#This Row],[FT]]="",,IF(Report[[#This Row],[FT]]=Report[[#This Row],[Score 1]],(Suivi_Gain!$G$1*Report[[#This Row],[Cote SE]])-Suivi_Gain!$G$1,-Suivi_Gain!$G$1))</f>
        <v>-1</v>
      </c>
      <c r="Z23" s="65">
        <f>IF(Report[[#This Row],[FT]]="",,IF(Report[[#This Row],[FT]]=Report[[#This Row],[Score 2]],Suivi_Gain!$G$1*Report[[#This Row],[Cote SE]],-Suivi_Gain!$G$1))</f>
        <v>-1</v>
      </c>
      <c r="AA23" s="65">
        <f>IF(Report[[#This Row],[FT]]="",,IF(Report[[#This Row],[FT]]=Report[[#This Row],[Score 3]],Suivi_Gain!$G$1*Report[[#This Row],[Cote SE]],-Suivi_Gain!$G$1))</f>
        <v>-1</v>
      </c>
      <c r="AB23" s="65">
        <f>IF(Report[[#This Row],[FT]]="",,IF(Report[[#This Row],[FT]]=Report[[#This Row],[Score 4]],Suivi_Gain!$G$1*Report[[#This Row],[Cote SE]],-Suivi_Gain!$G$1))</f>
        <v>-1</v>
      </c>
      <c r="AC23" s="18" t="str">
        <f>IF(Report[[#This Row],[Résultats SE]]="Gagné",Report[[#This Row],[FT]],"")</f>
        <v/>
      </c>
      <c r="AD23" s="18" t="str">
        <f>IF(AND(Report[[#This Row],[Résultats SE]]="Gagné",Report[[#This Row],[FT]]=Report[[#This Row],[Score 1]]),Report[[#This Row],[FT]],"")</f>
        <v/>
      </c>
      <c r="AE23" s="18" t="str">
        <f>IF(AND(Report[[#This Row],[Résultats SE]]="Gagné",Report[[#This Row],[FT]]=Report[[#This Row],[Score 2]]),Report[[#This Row],[FT]],"")</f>
        <v/>
      </c>
      <c r="AF23" s="18" t="str">
        <f>IF(AND(Report[[#This Row],[Résultats SE]]="Gagné",Report[[#This Row],[FT]]=Report[[#This Row],[Score 3]]),Report[[#This Row],[FT]],"")</f>
        <v/>
      </c>
      <c r="AG23" s="18" t="str">
        <f>IF(AND(Report[[#This Row],[Résultats SE]]="Gagné",Report[[#This Row],[FT]]=Report[[#This Row],[Score 4]]),Report[[#This Row],[FT]],"")</f>
        <v/>
      </c>
    </row>
    <row r="24" spans="1:33" ht="20.100000000000001" customHeight="1" x14ac:dyDescent="0.25">
      <c r="A24" s="11">
        <v>43430</v>
      </c>
      <c r="B24" s="7" t="s">
        <v>36</v>
      </c>
      <c r="C24" s="7" t="s">
        <v>38</v>
      </c>
      <c r="D24" s="10" t="s">
        <v>56</v>
      </c>
      <c r="E24" s="10" t="s">
        <v>51</v>
      </c>
      <c r="F24" s="7" t="s">
        <v>861</v>
      </c>
      <c r="G24" s="8" t="s">
        <v>831</v>
      </c>
      <c r="H24" s="9" t="s">
        <v>830</v>
      </c>
      <c r="I24" s="9" t="s">
        <v>832</v>
      </c>
      <c r="J24" s="9" t="s">
        <v>826</v>
      </c>
      <c r="K24" s="9" t="s">
        <v>56</v>
      </c>
      <c r="L24" s="16">
        <v>1.36</v>
      </c>
      <c r="M24" s="16">
        <v>5.2</v>
      </c>
      <c r="N24" s="17" t="s">
        <v>830</v>
      </c>
      <c r="O24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Metz</v>
      </c>
      <c r="P24" s="18">
        <f>IF(Report[[#This Row],[FT]]="",,(LEFT(Report[[#This Row],[FT]],SEARCH("-",Report[[#This Row],[FT]])-1)*1))</f>
        <v>1</v>
      </c>
      <c r="Q24" s="22">
        <f>IF(Report[[#This Row],[FT]]="",,(RIGHT(Report[[#This Row],[FT]],SEARCH("-",Report[[#This Row],[FT]])-1)*1))</f>
        <v>0</v>
      </c>
      <c r="R24" s="18" t="str">
        <f>IF(Report[Résultat FT]="","",IF(Report[Résultat FT]=Report[Résultats],"Gagné","Perdu"))</f>
        <v>Gagné</v>
      </c>
      <c r="S24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24" s="53">
        <f>IF(Report[[#This Row],[FT]]="","",IF(Report[[#This Row],[FT]]=Report[[#This Row],[Score 1]],1,0))</f>
        <v>0</v>
      </c>
      <c r="U24" s="53">
        <f>IF(Report[[#This Row],[FT]]="","",IF(Report[ [#This Row],[FT] ]=Report[[#This Row],[Score 2]],1,0))</f>
        <v>1</v>
      </c>
      <c r="V24" s="53">
        <f>IF(Report[[#This Row],[FT]]="","",IF(Report[[#This Row],[FT]]=Report[[#This Row],[Score 3]],1,0))</f>
        <v>0</v>
      </c>
      <c r="W24" s="53">
        <f>IF(Report[[#This Row],[FT]]="","",IF(Report[[#This Row],[FT]]=Report[[#This Row],[Score 4]],1,0))</f>
        <v>0</v>
      </c>
      <c r="X24" s="65">
        <f>IF(Report[[#This Row],[Résultat FT]]="",,IF(Report[[#This Row],[Résultat FT]]=Report[[#This Row],[Résultats]],(Suivi_Gain!$B$1*Report[[#This Row],[Cote FT]])-Suivi_Gain!$B$1,-Suivi_Gain!$B$1))</f>
        <v>0.3600000000000001</v>
      </c>
      <c r="Y24" s="65">
        <f>IF(Report[[#This Row],[FT]]="",,IF(Report[[#This Row],[FT]]=Report[[#This Row],[Score 1]],(Suivi_Gain!$G$1*Report[[#This Row],[Cote SE]])-Suivi_Gain!$G$1,-Suivi_Gain!$G$1))</f>
        <v>-1</v>
      </c>
      <c r="Z24" s="65">
        <f>IF(Report[[#This Row],[FT]]="",,IF(Report[[#This Row],[FT]]=Report[[#This Row],[Score 2]],Suivi_Gain!$G$1*Report[[#This Row],[Cote SE]],-Suivi_Gain!$G$1))</f>
        <v>5.2</v>
      </c>
      <c r="AA24" s="65">
        <f>IF(Report[[#This Row],[FT]]="",,IF(Report[[#This Row],[FT]]=Report[[#This Row],[Score 3]],Suivi_Gain!$G$1*Report[[#This Row],[Cote SE]],-Suivi_Gain!$G$1))</f>
        <v>-1</v>
      </c>
      <c r="AB24" s="65">
        <f>IF(Report[[#This Row],[FT]]="",,IF(Report[[#This Row],[FT]]=Report[[#This Row],[Score 4]],Suivi_Gain!$G$1*Report[[#This Row],[Cote SE]],-Suivi_Gain!$G$1))</f>
        <v>-1</v>
      </c>
      <c r="AC24" s="18" t="str">
        <f>IF(Report[[#This Row],[Résultats SE]]="Gagné",Report[[#This Row],[FT]],"")</f>
        <v>1-0</v>
      </c>
      <c r="AD24" s="18" t="str">
        <f>IF(AND(Report[[#This Row],[Résultats SE]]="Gagné",Report[[#This Row],[FT]]=Report[[#This Row],[Score 1]]),Report[[#This Row],[FT]],"")</f>
        <v/>
      </c>
      <c r="AE24" s="18" t="str">
        <f>IF(AND(Report[[#This Row],[Résultats SE]]="Gagné",Report[[#This Row],[FT]]=Report[[#This Row],[Score 2]]),Report[[#This Row],[FT]],"")</f>
        <v>1-0</v>
      </c>
      <c r="AF24" s="18" t="str">
        <f>IF(AND(Report[[#This Row],[Résultats SE]]="Gagné",Report[[#This Row],[FT]]=Report[[#This Row],[Score 3]]),Report[[#This Row],[FT]],"")</f>
        <v/>
      </c>
      <c r="AG24" s="18" t="str">
        <f>IF(AND(Report[[#This Row],[Résultats SE]]="Gagné",Report[[#This Row],[FT]]=Report[[#This Row],[Score 4]]),Report[[#This Row],[FT]],"")</f>
        <v/>
      </c>
    </row>
    <row r="25" spans="1:33" ht="20.100000000000001" customHeight="1" x14ac:dyDescent="0.25">
      <c r="A25" s="11">
        <v>43430</v>
      </c>
      <c r="B25" s="7" t="s">
        <v>69</v>
      </c>
      <c r="C25" s="7" t="s">
        <v>105</v>
      </c>
      <c r="D25" s="10" t="s">
        <v>478</v>
      </c>
      <c r="E25" s="10" t="s">
        <v>492</v>
      </c>
      <c r="F25" s="7" t="s">
        <v>833</v>
      </c>
      <c r="G25" s="8" t="s">
        <v>834</v>
      </c>
      <c r="H25" s="9" t="s">
        <v>830</v>
      </c>
      <c r="I25" s="9" t="s">
        <v>825</v>
      </c>
      <c r="J25" s="9" t="s">
        <v>826</v>
      </c>
      <c r="K25" s="9" t="s">
        <v>233</v>
      </c>
      <c r="L25" s="16">
        <v>3.2</v>
      </c>
      <c r="M25" s="16">
        <v>8.6</v>
      </c>
      <c r="N25" s="17" t="s">
        <v>826</v>
      </c>
      <c r="O25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25" s="18">
        <f>IF(Report[[#This Row],[FT]]="",,(LEFT(Report[[#This Row],[FT]],SEARCH("-",Report[[#This Row],[FT]])-1)*1))</f>
        <v>0</v>
      </c>
      <c r="Q25" s="22">
        <f>IF(Report[[#This Row],[FT]]="",,(RIGHT(Report[[#This Row],[FT]],SEARCH("-",Report[[#This Row],[FT]])-1)*1))</f>
        <v>0</v>
      </c>
      <c r="R25" s="18" t="str">
        <f>IF(Report[Résultat FT]="","",IF(Report[Résultat FT]=Report[Résultats],"Gagné","Perdu"))</f>
        <v>Gagné</v>
      </c>
      <c r="S25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25" s="53">
        <f>IF(Report[[#This Row],[FT]]="","",IF(Report[[#This Row],[FT]]=Report[[#This Row],[Score 1]],1,0))</f>
        <v>0</v>
      </c>
      <c r="U25" s="53">
        <f>IF(Report[[#This Row],[FT]]="","",IF(Report[ [#This Row],[FT] ]=Report[[#This Row],[Score 2]],1,0))</f>
        <v>0</v>
      </c>
      <c r="V25" s="53">
        <f>IF(Report[[#This Row],[FT]]="","",IF(Report[[#This Row],[FT]]=Report[[#This Row],[Score 3]],1,0))</f>
        <v>0</v>
      </c>
      <c r="W25" s="53">
        <f>IF(Report[[#This Row],[FT]]="","",IF(Report[[#This Row],[FT]]=Report[[#This Row],[Score 4]],1,0))</f>
        <v>1</v>
      </c>
      <c r="X25" s="65">
        <f>IF(Report[[#This Row],[Résultat FT]]="",,IF(Report[[#This Row],[Résultat FT]]=Report[[#This Row],[Résultats]],(Suivi_Gain!$B$1*Report[[#This Row],[Cote FT]])-Suivi_Gain!$B$1,-Suivi_Gain!$B$1))</f>
        <v>2.2000000000000002</v>
      </c>
      <c r="Y25" s="65">
        <f>IF(Report[[#This Row],[FT]]="",,IF(Report[[#This Row],[FT]]=Report[[#This Row],[Score 1]],(Suivi_Gain!$G$1*Report[[#This Row],[Cote SE]])-Suivi_Gain!$G$1,-Suivi_Gain!$G$1))</f>
        <v>-1</v>
      </c>
      <c r="Z25" s="65">
        <f>IF(Report[[#This Row],[FT]]="",,IF(Report[[#This Row],[FT]]=Report[[#This Row],[Score 2]],Suivi_Gain!$G$1*Report[[#This Row],[Cote SE]],-Suivi_Gain!$G$1))</f>
        <v>-1</v>
      </c>
      <c r="AA25" s="65">
        <f>IF(Report[[#This Row],[FT]]="",,IF(Report[[#This Row],[FT]]=Report[[#This Row],[Score 3]],Suivi_Gain!$G$1*Report[[#This Row],[Cote SE]],-Suivi_Gain!$G$1))</f>
        <v>-1</v>
      </c>
      <c r="AB25" s="65">
        <f>IF(Report[[#This Row],[FT]]="",,IF(Report[[#This Row],[FT]]=Report[[#This Row],[Score 4]],Suivi_Gain!$G$1*Report[[#This Row],[Cote SE]],-Suivi_Gain!$G$1))</f>
        <v>8.6</v>
      </c>
      <c r="AC25" s="18" t="str">
        <f>IF(Report[[#This Row],[Résultats SE]]="Gagné",Report[[#This Row],[FT]],"")</f>
        <v>0-0</v>
      </c>
      <c r="AD25" s="18" t="str">
        <f>IF(AND(Report[[#This Row],[Résultats SE]]="Gagné",Report[[#This Row],[FT]]=Report[[#This Row],[Score 1]]),Report[[#This Row],[FT]],"")</f>
        <v/>
      </c>
      <c r="AE25" s="18" t="str">
        <f>IF(AND(Report[[#This Row],[Résultats SE]]="Gagné",Report[[#This Row],[FT]]=Report[[#This Row],[Score 2]]),Report[[#This Row],[FT]],"")</f>
        <v/>
      </c>
      <c r="AF25" s="18" t="str">
        <f>IF(AND(Report[[#This Row],[Résultats SE]]="Gagné",Report[[#This Row],[FT]]=Report[[#This Row],[Score 3]]),Report[[#This Row],[FT]],"")</f>
        <v/>
      </c>
      <c r="AG25" s="18" t="str">
        <f>IF(AND(Report[[#This Row],[Résultats SE]]="Gagné",Report[[#This Row],[FT]]=Report[[#This Row],[Score 4]]),Report[[#This Row],[FT]],"")</f>
        <v>0-0</v>
      </c>
    </row>
    <row r="26" spans="1:33" ht="20.100000000000001" customHeight="1" x14ac:dyDescent="0.25">
      <c r="A26" s="11">
        <v>43430</v>
      </c>
      <c r="B26" s="7" t="s">
        <v>69</v>
      </c>
      <c r="C26" s="7" t="s">
        <v>494</v>
      </c>
      <c r="D26" s="10" t="s">
        <v>502</v>
      </c>
      <c r="E26" s="10" t="s">
        <v>500</v>
      </c>
      <c r="F26" s="7" t="s">
        <v>833</v>
      </c>
      <c r="G26" s="8" t="s">
        <v>834</v>
      </c>
      <c r="H26" s="9" t="s">
        <v>830</v>
      </c>
      <c r="I26" s="9" t="s">
        <v>825</v>
      </c>
      <c r="J26" s="9" t="s">
        <v>826</v>
      </c>
      <c r="K26" s="9" t="s">
        <v>233</v>
      </c>
      <c r="L26" s="16" t="str">
        <f>IF(Report[Résultat FT]="","",IF(Report[Résultat FT]=Report[Résultats],"","-"))</f>
        <v>-</v>
      </c>
      <c r="M26" s="16">
        <v>9.4</v>
      </c>
      <c r="N26" s="17" t="s">
        <v>825</v>
      </c>
      <c r="O26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Cosenza</v>
      </c>
      <c r="P26" s="18">
        <f>IF(Report[[#This Row],[FT]]="",,(LEFT(Report[[#This Row],[FT]],SEARCH("-",Report[[#This Row],[FT]])-1)*1))</f>
        <v>0</v>
      </c>
      <c r="Q26" s="22">
        <f>IF(Report[[#This Row],[FT]]="",,(RIGHT(Report[[#This Row],[FT]],SEARCH("-",Report[[#This Row],[FT]])-1)*1))</f>
        <v>1</v>
      </c>
      <c r="R26" s="18" t="str">
        <f>IF(Report[Résultat FT]="","",IF(Report[Résultat FT]=Report[Résultats],"Gagné","Perdu"))</f>
        <v>Perdu</v>
      </c>
      <c r="S26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26" s="53">
        <f>IF(Report[[#This Row],[FT]]="","",IF(Report[[#This Row],[FT]]=Report[[#This Row],[Score 1]],1,0))</f>
        <v>0</v>
      </c>
      <c r="U26" s="53">
        <f>IF(Report[[#This Row],[FT]]="","",IF(Report[ [#This Row],[FT] ]=Report[[#This Row],[Score 2]],1,0))</f>
        <v>0</v>
      </c>
      <c r="V26" s="53">
        <f>IF(Report[[#This Row],[FT]]="","",IF(Report[[#This Row],[FT]]=Report[[#This Row],[Score 3]],1,0))</f>
        <v>1</v>
      </c>
      <c r="W26" s="53">
        <f>IF(Report[[#This Row],[FT]]="","",IF(Report[[#This Row],[FT]]=Report[[#This Row],[Score 4]],1,0))</f>
        <v>0</v>
      </c>
      <c r="X26" s="94">
        <f>IF(Report[[#This Row],[Résultat FT]]="",,IF(Report[[#This Row],[Résultat FT]]=Report[[#This Row],[Résultats]],(Suivi_Gain!$B$1*Report[[#This Row],[Cote FT]])-Suivi_Gain!$B$1,-Suivi_Gain!$B$1))</f>
        <v>-1</v>
      </c>
      <c r="Y26" s="94">
        <f>IF(Report[[#This Row],[FT]]="",,IF(Report[[#This Row],[FT]]=Report[[#This Row],[Score 1]],(Suivi_Gain!$G$1*Report[[#This Row],[Cote SE]])-Suivi_Gain!$G$1,-Suivi_Gain!$G$1))</f>
        <v>-1</v>
      </c>
      <c r="Z26" s="65">
        <f>IF(Report[[#This Row],[FT]]="",,IF(Report[[#This Row],[FT]]=Report[[#This Row],[Score 2]],Suivi_Gain!$G$1*Report[[#This Row],[Cote SE]],-Suivi_Gain!$G$1))</f>
        <v>-1</v>
      </c>
      <c r="AA26" s="65">
        <f>IF(Report[[#This Row],[FT]]="",,IF(Report[[#This Row],[FT]]=Report[[#This Row],[Score 3]],Suivi_Gain!$G$1*Report[[#This Row],[Cote SE]],-Suivi_Gain!$G$1))</f>
        <v>9.4</v>
      </c>
      <c r="AB26" s="65">
        <f>IF(Report[[#This Row],[FT]]="",,IF(Report[[#This Row],[FT]]=Report[[#This Row],[Score 4]],Suivi_Gain!$G$1*Report[[#This Row],[Cote SE]],-Suivi_Gain!$G$1))</f>
        <v>-1</v>
      </c>
      <c r="AC26" s="18" t="str">
        <f>IF(Report[[#This Row],[Résultats SE]]="Gagné",Report[[#This Row],[FT]],"")</f>
        <v>0-1</v>
      </c>
      <c r="AD26" s="18" t="str">
        <f>IF(AND(Report[[#This Row],[Résultats SE]]="Gagné",Report[[#This Row],[FT]]=Report[[#This Row],[Score 1]]),Report[[#This Row],[FT]],"")</f>
        <v/>
      </c>
      <c r="AE26" s="18" t="str">
        <f>IF(AND(Report[[#This Row],[Résultats SE]]="Gagné",Report[[#This Row],[FT]]=Report[[#This Row],[Score 2]]),Report[[#This Row],[FT]],"")</f>
        <v/>
      </c>
      <c r="AF26" s="18" t="str">
        <f>IF(AND(Report[[#This Row],[Résultats SE]]="Gagné",Report[[#This Row],[FT]]=Report[[#This Row],[Score 3]]),Report[[#This Row],[FT]],"")</f>
        <v>0-1</v>
      </c>
      <c r="AG26" s="18" t="str">
        <f>IF(AND(Report[[#This Row],[Résultats SE]]="Gagné",Report[[#This Row],[FT]]=Report[[#This Row],[Score 4]]),Report[[#This Row],[FT]],"")</f>
        <v/>
      </c>
    </row>
    <row r="27" spans="1:33" ht="20.100000000000001" customHeight="1" x14ac:dyDescent="0.25">
      <c r="A27" s="11">
        <v>43430</v>
      </c>
      <c r="B27" s="7" t="s">
        <v>221</v>
      </c>
      <c r="C27" s="7" t="s">
        <v>104</v>
      </c>
      <c r="D27" s="10" t="s">
        <v>525</v>
      </c>
      <c r="E27" s="10" t="s">
        <v>533</v>
      </c>
      <c r="F27" s="7" t="s">
        <v>829</v>
      </c>
      <c r="G27" s="8" t="s">
        <v>830</v>
      </c>
      <c r="H27" s="9" t="s">
        <v>826</v>
      </c>
      <c r="I27" s="9" t="s">
        <v>831</v>
      </c>
      <c r="J27" s="9" t="s">
        <v>832</v>
      </c>
      <c r="K27" s="9" t="s">
        <v>525</v>
      </c>
      <c r="L27" s="16">
        <v>1.25</v>
      </c>
      <c r="M27" s="16" t="str">
        <f>IF(Report[[#This Row],[Résultat FT]]="","",IF(Report[[#This Row],[Résultats SE]]="Gagné","","-"))</f>
        <v>-</v>
      </c>
      <c r="N27" s="17" t="s">
        <v>838</v>
      </c>
      <c r="O27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Botafogo RJ</v>
      </c>
      <c r="P27" s="18">
        <f>IF(Report[[#This Row],[FT]]="",,(LEFT(Report[[#This Row],[FT]],SEARCH("-",Report[[#This Row],[FT]])-1)*1))</f>
        <v>2</v>
      </c>
      <c r="Q27" s="22">
        <f>IF(Report[[#This Row],[FT]]="",,(RIGHT(Report[[#This Row],[FT]],SEARCH("-",Report[[#This Row],[FT]])-1)*1))</f>
        <v>1</v>
      </c>
      <c r="R27" s="18" t="str">
        <f>IF(Report[Résultat FT]="","",IF(Report[Résultat FT]=Report[Résultats],"Gagné","Perdu"))</f>
        <v>Gagné</v>
      </c>
      <c r="S27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7" s="53">
        <f>IF(Report[[#This Row],[FT]]="","",IF(Report[[#This Row],[FT]]=Report[[#This Row],[Score 1]],1,0))</f>
        <v>0</v>
      </c>
      <c r="U27" s="53">
        <f>IF(Report[[#This Row],[FT]]="","",IF(Report[ [#This Row],[FT] ]=Report[[#This Row],[Score 2]],1,0))</f>
        <v>0</v>
      </c>
      <c r="V27" s="53">
        <f>IF(Report[[#This Row],[FT]]="","",IF(Report[[#This Row],[FT]]=Report[[#This Row],[Score 3]],1,0))</f>
        <v>0</v>
      </c>
      <c r="W27" s="53">
        <f>IF(Report[[#This Row],[FT]]="","",IF(Report[[#This Row],[FT]]=Report[[#This Row],[Score 4]],1,0))</f>
        <v>0</v>
      </c>
      <c r="X27" s="94">
        <f>IF(Report[[#This Row],[Résultat FT]]="",,IF(Report[[#This Row],[Résultat FT]]=Report[[#This Row],[Résultats]],(Suivi_Gain!$B$1*Report[[#This Row],[Cote FT]])-Suivi_Gain!$B$1,-Suivi_Gain!$B$1))</f>
        <v>0.25</v>
      </c>
      <c r="Y27" s="94">
        <f>IF(Report[[#This Row],[FT]]="",,IF(Report[[#This Row],[FT]]=Report[[#This Row],[Score 1]],(Suivi_Gain!$G$1*Report[[#This Row],[Cote SE]])-Suivi_Gain!$G$1,-Suivi_Gain!$G$1))</f>
        <v>-1</v>
      </c>
      <c r="Z27" s="65">
        <f>IF(Report[[#This Row],[FT]]="",,IF(Report[[#This Row],[FT]]=Report[[#This Row],[Score 2]],Suivi_Gain!$G$1*Report[[#This Row],[Cote SE]],-Suivi_Gain!$G$1))</f>
        <v>-1</v>
      </c>
      <c r="AA27" s="65">
        <f>IF(Report[[#This Row],[FT]]="",,IF(Report[[#This Row],[FT]]=Report[[#This Row],[Score 3]],Suivi_Gain!$G$1*Report[[#This Row],[Cote SE]],-Suivi_Gain!$G$1))</f>
        <v>-1</v>
      </c>
      <c r="AB27" s="65">
        <f>IF(Report[[#This Row],[FT]]="",,IF(Report[[#This Row],[FT]]=Report[[#This Row],[Score 4]],Suivi_Gain!$G$1*Report[[#This Row],[Cote SE]],-Suivi_Gain!$G$1))</f>
        <v>-1</v>
      </c>
      <c r="AC27" s="18" t="str">
        <f>IF(Report[[#This Row],[Résultats SE]]="Gagné",Report[[#This Row],[FT]],"")</f>
        <v/>
      </c>
      <c r="AD27" s="18" t="str">
        <f>IF(AND(Report[[#This Row],[Résultats SE]]="Gagné",Report[[#This Row],[FT]]=Report[[#This Row],[Score 1]]),Report[[#This Row],[FT]],"")</f>
        <v/>
      </c>
      <c r="AE27" s="18" t="str">
        <f>IF(AND(Report[[#This Row],[Résultats SE]]="Gagné",Report[[#This Row],[FT]]=Report[[#This Row],[Score 2]]),Report[[#This Row],[FT]],"")</f>
        <v/>
      </c>
      <c r="AF27" s="18" t="str">
        <f>IF(AND(Report[[#This Row],[Résultats SE]]="Gagné",Report[[#This Row],[FT]]=Report[[#This Row],[Score 3]]),Report[[#This Row],[FT]],"")</f>
        <v/>
      </c>
      <c r="AG27" s="18" t="str">
        <f>IF(AND(Report[[#This Row],[Résultats SE]]="Gagné",Report[[#This Row],[FT]]=Report[[#This Row],[Score 4]]),Report[[#This Row],[FT]],"")</f>
        <v/>
      </c>
    </row>
    <row r="28" spans="1:33" ht="20.100000000000001" customHeight="1" x14ac:dyDescent="0.25">
      <c r="A28" s="11">
        <v>43430</v>
      </c>
      <c r="B28" s="7" t="s">
        <v>221</v>
      </c>
      <c r="C28" s="7" t="s">
        <v>104</v>
      </c>
      <c r="D28" s="10" t="s">
        <v>518</v>
      </c>
      <c r="E28" s="10" t="s">
        <v>528</v>
      </c>
      <c r="F28" s="7" t="s">
        <v>829</v>
      </c>
      <c r="G28" s="8" t="s">
        <v>830</v>
      </c>
      <c r="H28" s="9" t="s">
        <v>826</v>
      </c>
      <c r="I28" s="9" t="s">
        <v>831</v>
      </c>
      <c r="J28" s="9" t="s">
        <v>832</v>
      </c>
      <c r="K28" s="9" t="s">
        <v>518</v>
      </c>
      <c r="L28" s="16" t="str">
        <f>IF(Report[Résultat FT]="","",IF(Report[Résultat FT]=Report[Résultats],"","-"))</f>
        <v>-</v>
      </c>
      <c r="M28" s="16">
        <v>8.8000000000000007</v>
      </c>
      <c r="N28" s="17" t="s">
        <v>826</v>
      </c>
      <c r="O28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28" s="18">
        <f>IF(Report[[#This Row],[FT]]="",,(LEFT(Report[[#This Row],[FT]],SEARCH("-",Report[[#This Row],[FT]])-1)*1))</f>
        <v>0</v>
      </c>
      <c r="Q28" s="22">
        <f>IF(Report[[#This Row],[FT]]="",,(RIGHT(Report[[#This Row],[FT]],SEARCH("-",Report[[#This Row],[FT]])-1)*1))</f>
        <v>0</v>
      </c>
      <c r="R28" s="18" t="str">
        <f>IF(Report[Résultat FT]="","",IF(Report[Résultat FT]=Report[Résultats],"Gagné","Perdu"))</f>
        <v>Perdu</v>
      </c>
      <c r="S28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28" s="53">
        <f>IF(Report[[#This Row],[FT]]="","",IF(Report[[#This Row],[FT]]=Report[[#This Row],[Score 1]],1,0))</f>
        <v>0</v>
      </c>
      <c r="U28" s="53">
        <f>IF(Report[[#This Row],[FT]]="","",IF(Report[ [#This Row],[FT] ]=Report[[#This Row],[Score 2]],1,0))</f>
        <v>1</v>
      </c>
      <c r="V28" s="53">
        <f>IF(Report[[#This Row],[FT]]="","",IF(Report[[#This Row],[FT]]=Report[[#This Row],[Score 3]],1,0))</f>
        <v>0</v>
      </c>
      <c r="W28" s="53">
        <f>IF(Report[[#This Row],[FT]]="","",IF(Report[[#This Row],[FT]]=Report[[#This Row],[Score 4]],1,0))</f>
        <v>0</v>
      </c>
      <c r="X28" s="94">
        <f>IF(Report[[#This Row],[Résultat FT]]="",,IF(Report[[#This Row],[Résultat FT]]=Report[[#This Row],[Résultats]],(Suivi_Gain!$B$1*Report[[#This Row],[Cote FT]])-Suivi_Gain!$B$1,-Suivi_Gain!$B$1))</f>
        <v>-1</v>
      </c>
      <c r="Y28" s="94">
        <f>IF(Report[[#This Row],[FT]]="",,IF(Report[[#This Row],[FT]]=Report[[#This Row],[Score 1]],(Suivi_Gain!$G$1*Report[[#This Row],[Cote SE]])-Suivi_Gain!$G$1,-Suivi_Gain!$G$1))</f>
        <v>-1</v>
      </c>
      <c r="Z28" s="65">
        <f>IF(Report[[#This Row],[FT]]="",,IF(Report[[#This Row],[FT]]=Report[[#This Row],[Score 2]],Suivi_Gain!$G$1*Report[[#This Row],[Cote SE]],-Suivi_Gain!$G$1))</f>
        <v>8.8000000000000007</v>
      </c>
      <c r="AA28" s="65">
        <f>IF(Report[[#This Row],[FT]]="",,IF(Report[[#This Row],[FT]]=Report[[#This Row],[Score 3]],Suivi_Gain!$G$1*Report[[#This Row],[Cote SE]],-Suivi_Gain!$G$1))</f>
        <v>-1</v>
      </c>
      <c r="AB28" s="65">
        <f>IF(Report[[#This Row],[FT]]="",,IF(Report[[#This Row],[FT]]=Report[[#This Row],[Score 4]],Suivi_Gain!$G$1*Report[[#This Row],[Cote SE]],-Suivi_Gain!$G$1))</f>
        <v>-1</v>
      </c>
      <c r="AC28" s="18" t="str">
        <f>IF(Report[[#This Row],[Résultats SE]]="Gagné",Report[[#This Row],[FT]],"")</f>
        <v>0-0</v>
      </c>
      <c r="AD28" s="18" t="str">
        <f>IF(AND(Report[[#This Row],[Résultats SE]]="Gagné",Report[[#This Row],[FT]]=Report[[#This Row],[Score 1]]),Report[[#This Row],[FT]],"")</f>
        <v/>
      </c>
      <c r="AE28" s="18" t="str">
        <f>IF(AND(Report[[#This Row],[Résultats SE]]="Gagné",Report[[#This Row],[FT]]=Report[[#This Row],[Score 2]]),Report[[#This Row],[FT]],"")</f>
        <v>0-0</v>
      </c>
      <c r="AF28" s="18" t="str">
        <f>IF(AND(Report[[#This Row],[Résultats SE]]="Gagné",Report[[#This Row],[FT]]=Report[[#This Row],[Score 3]]),Report[[#This Row],[FT]],"")</f>
        <v/>
      </c>
      <c r="AG28" s="18" t="str">
        <f>IF(AND(Report[[#This Row],[Résultats SE]]="Gagné",Report[[#This Row],[FT]]=Report[[#This Row],[Score 4]]),Report[[#This Row],[FT]],"")</f>
        <v/>
      </c>
    </row>
    <row r="29" spans="1:33" ht="20.100000000000001" customHeight="1" x14ac:dyDescent="0.25">
      <c r="A29" s="11">
        <v>43430</v>
      </c>
      <c r="B29" s="7" t="s">
        <v>76</v>
      </c>
      <c r="C29" s="7" t="s">
        <v>113</v>
      </c>
      <c r="D29" s="10" t="s">
        <v>919</v>
      </c>
      <c r="E29" s="10" t="s">
        <v>540</v>
      </c>
      <c r="F29" s="7" t="s">
        <v>824</v>
      </c>
      <c r="G29" s="8" t="s">
        <v>825</v>
      </c>
      <c r="H29" s="9" t="s">
        <v>826</v>
      </c>
      <c r="I29" s="9" t="s">
        <v>827</v>
      </c>
      <c r="J29" s="9" t="s">
        <v>828</v>
      </c>
      <c r="K29" s="9" t="s">
        <v>540</v>
      </c>
      <c r="L29" s="16" t="str">
        <f>IF(Report[Résultat FT]="","",IF(Report[Résultat FT]=Report[Résultats],"","-"))</f>
        <v>-</v>
      </c>
      <c r="M29" s="16" t="str">
        <f>IF(Report[[#This Row],[Résultat FT]]="","",IF(Report[[#This Row],[Résultats SE]]="Gagné","","-"))</f>
        <v>-</v>
      </c>
      <c r="N29" s="17" t="s">
        <v>834</v>
      </c>
      <c r="O29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29" s="18">
        <f>IF(Report[[#This Row],[FT]]="",,(LEFT(Report[[#This Row],[FT]],SEARCH("-",Report[[#This Row],[FT]])-1)*1))</f>
        <v>1</v>
      </c>
      <c r="Q29" s="22">
        <f>IF(Report[[#This Row],[FT]]="",,(RIGHT(Report[[#This Row],[FT]],SEARCH("-",Report[[#This Row],[FT]])-1)*1))</f>
        <v>1</v>
      </c>
      <c r="R29" s="18" t="str">
        <f>IF(Report[Résultat FT]="","",IF(Report[Résultat FT]=Report[Résultats],"Gagné","Perdu"))</f>
        <v>Perdu</v>
      </c>
      <c r="S29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9" s="53">
        <f>IF(Report[[#This Row],[FT]]="","",IF(Report[[#This Row],[FT]]=Report[[#This Row],[Score 1]],1,0))</f>
        <v>0</v>
      </c>
      <c r="U29" s="53">
        <f>IF(Report[[#This Row],[FT]]="","",IF(Report[ [#This Row],[FT] ]=Report[[#This Row],[Score 2]],1,0))</f>
        <v>0</v>
      </c>
      <c r="V29" s="53">
        <f>IF(Report[[#This Row],[FT]]="","",IF(Report[[#This Row],[FT]]=Report[[#This Row],[Score 3]],1,0))</f>
        <v>0</v>
      </c>
      <c r="W29" s="53">
        <f>IF(Report[[#This Row],[FT]]="","",IF(Report[[#This Row],[FT]]=Report[[#This Row],[Score 4]],1,0))</f>
        <v>0</v>
      </c>
      <c r="X29" s="94">
        <f>IF(Report[[#This Row],[Résultat FT]]="",,IF(Report[[#This Row],[Résultat FT]]=Report[[#This Row],[Résultats]],(Suivi_Gain!$B$1*Report[[#This Row],[Cote FT]])-Suivi_Gain!$B$1,-Suivi_Gain!$B$1))</f>
        <v>-1</v>
      </c>
      <c r="Y29" s="94">
        <f>IF(Report[[#This Row],[FT]]="",,IF(Report[[#This Row],[FT]]=Report[[#This Row],[Score 1]],(Suivi_Gain!$G$1*Report[[#This Row],[Cote SE]])-Suivi_Gain!$G$1,-Suivi_Gain!$G$1))</f>
        <v>-1</v>
      </c>
      <c r="Z29" s="65">
        <f>IF(Report[[#This Row],[FT]]="",,IF(Report[[#This Row],[FT]]=Report[[#This Row],[Score 2]],Suivi_Gain!$G$1*Report[[#This Row],[Cote SE]],-Suivi_Gain!$G$1))</f>
        <v>-1</v>
      </c>
      <c r="AA29" s="65">
        <f>IF(Report[[#This Row],[FT]]="",,IF(Report[[#This Row],[FT]]=Report[[#This Row],[Score 3]],Suivi_Gain!$G$1*Report[[#This Row],[Cote SE]],-Suivi_Gain!$G$1))</f>
        <v>-1</v>
      </c>
      <c r="AB29" s="65">
        <f>IF(Report[[#This Row],[FT]]="",,IF(Report[[#This Row],[FT]]=Report[[#This Row],[Score 4]],Suivi_Gain!$G$1*Report[[#This Row],[Cote SE]],-Suivi_Gain!$G$1))</f>
        <v>-1</v>
      </c>
      <c r="AC29" s="18" t="str">
        <f>IF(Report[[#This Row],[Résultats SE]]="Gagné",Report[[#This Row],[FT]],"")</f>
        <v/>
      </c>
      <c r="AD29" s="18" t="str">
        <f>IF(AND(Report[[#This Row],[Résultats SE]]="Gagné",Report[[#This Row],[FT]]=Report[[#This Row],[Score 1]]),Report[[#This Row],[FT]],"")</f>
        <v/>
      </c>
      <c r="AE29" s="18" t="str">
        <f>IF(AND(Report[[#This Row],[Résultats SE]]="Gagné",Report[[#This Row],[FT]]=Report[[#This Row],[Score 2]]),Report[[#This Row],[FT]],"")</f>
        <v/>
      </c>
      <c r="AF29" s="18" t="str">
        <f>IF(AND(Report[[#This Row],[Résultats SE]]="Gagné",Report[[#This Row],[FT]]=Report[[#This Row],[Score 3]]),Report[[#This Row],[FT]],"")</f>
        <v/>
      </c>
      <c r="AG29" s="18" t="str">
        <f>IF(AND(Report[[#This Row],[Résultats SE]]="Gagné",Report[[#This Row],[FT]]=Report[[#This Row],[Score 4]]),Report[[#This Row],[FT]],"")</f>
        <v/>
      </c>
    </row>
    <row r="30" spans="1:33" ht="20.100000000000001" customHeight="1" x14ac:dyDescent="0.25">
      <c r="A30" s="11">
        <v>43430</v>
      </c>
      <c r="B30" s="7" t="s">
        <v>78</v>
      </c>
      <c r="C30" s="7" t="s">
        <v>114</v>
      </c>
      <c r="D30" s="19" t="s">
        <v>566</v>
      </c>
      <c r="E30" s="19" t="s">
        <v>571</v>
      </c>
      <c r="F30" s="7" t="s">
        <v>833</v>
      </c>
      <c r="G30" s="20" t="s">
        <v>834</v>
      </c>
      <c r="H30" s="20" t="s">
        <v>830</v>
      </c>
      <c r="I30" s="20" t="s">
        <v>825</v>
      </c>
      <c r="J30" s="20" t="s">
        <v>826</v>
      </c>
      <c r="K30" s="9" t="s">
        <v>233</v>
      </c>
      <c r="L30" s="16" t="str">
        <f>IF(Report[Résultat FT]="","",IF(Report[Résultat FT]=Report[Résultats],"","-"))</f>
        <v>-</v>
      </c>
      <c r="M30" s="16" t="str">
        <f>IF(Report[[#This Row],[Résultat FT]]="","",IF(Report[[#This Row],[Résultats SE]]="Gagné","","-"))</f>
        <v>-</v>
      </c>
      <c r="N30" s="17" t="s">
        <v>839</v>
      </c>
      <c r="O30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Horsens</v>
      </c>
      <c r="P30" s="18">
        <f>IF(Report[[#This Row],[FT]]="",,(LEFT(Report[[#This Row],[FT]],SEARCH("-",Report[[#This Row],[FT]])-1)*1))</f>
        <v>1</v>
      </c>
      <c r="Q30" s="22">
        <f>IF(Report[[#This Row],[FT]]="",,(RIGHT(Report[[#This Row],[FT]],SEARCH("-",Report[[#This Row],[FT]])-1)*1))</f>
        <v>2</v>
      </c>
      <c r="R30" s="18" t="str">
        <f>IF(Report[Résultat FT]="","",IF(Report[Résultat FT]=Report[Résultats],"Gagné","Perdu"))</f>
        <v>Perdu</v>
      </c>
      <c r="S30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30" s="53">
        <f>IF(Report[[#This Row],[FT]]="","",IF(Report[[#This Row],[FT]]=Report[[#This Row],[Score 1]],1,0))</f>
        <v>0</v>
      </c>
      <c r="U30" s="53">
        <f>IF(Report[[#This Row],[FT]]="","",IF(Report[ [#This Row],[FT] ]=Report[[#This Row],[Score 2]],1,0))</f>
        <v>0</v>
      </c>
      <c r="V30" s="53">
        <f>IF(Report[[#This Row],[FT]]="","",IF(Report[[#This Row],[FT]]=Report[[#This Row],[Score 3]],1,0))</f>
        <v>0</v>
      </c>
      <c r="W30" s="53">
        <f>IF(Report[[#This Row],[FT]]="","",IF(Report[[#This Row],[FT]]=Report[[#This Row],[Score 4]],1,0))</f>
        <v>0</v>
      </c>
      <c r="X30" s="94">
        <f>IF(Report[[#This Row],[Résultat FT]]="",,IF(Report[[#This Row],[Résultat FT]]=Report[[#This Row],[Résultats]],(Suivi_Gain!$B$1*Report[[#This Row],[Cote FT]])-Suivi_Gain!$B$1,-Suivi_Gain!$B$1))</f>
        <v>-1</v>
      </c>
      <c r="Y30" s="94">
        <f>IF(Report[[#This Row],[FT]]="",,IF(Report[[#This Row],[FT]]=Report[[#This Row],[Score 1]],(Suivi_Gain!$G$1*Report[[#This Row],[Cote SE]])-Suivi_Gain!$G$1,-Suivi_Gain!$G$1))</f>
        <v>-1</v>
      </c>
      <c r="Z30" s="65">
        <f>IF(Report[[#This Row],[FT]]="",,IF(Report[[#This Row],[FT]]=Report[[#This Row],[Score 2]],Suivi_Gain!$G$1*Report[[#This Row],[Cote SE]],-Suivi_Gain!$G$1))</f>
        <v>-1</v>
      </c>
      <c r="AA30" s="65">
        <f>IF(Report[[#This Row],[FT]]="",,IF(Report[[#This Row],[FT]]=Report[[#This Row],[Score 3]],Suivi_Gain!$G$1*Report[[#This Row],[Cote SE]],-Suivi_Gain!$G$1))</f>
        <v>-1</v>
      </c>
      <c r="AB30" s="65">
        <f>IF(Report[[#This Row],[FT]]="",,IF(Report[[#This Row],[FT]]=Report[[#This Row],[Score 4]],Suivi_Gain!$G$1*Report[[#This Row],[Cote SE]],-Suivi_Gain!$G$1))</f>
        <v>-1</v>
      </c>
      <c r="AC30" s="18" t="str">
        <f>IF(Report[[#This Row],[Résultats SE]]="Gagné",Report[[#This Row],[FT]],"")</f>
        <v/>
      </c>
      <c r="AD30" s="18" t="str">
        <f>IF(AND(Report[[#This Row],[Résultats SE]]="Gagné",Report[[#This Row],[FT]]=Report[[#This Row],[Score 1]]),Report[[#This Row],[FT]],"")</f>
        <v/>
      </c>
      <c r="AE30" s="18" t="str">
        <f>IF(AND(Report[[#This Row],[Résultats SE]]="Gagné",Report[[#This Row],[FT]]=Report[[#This Row],[Score 2]]),Report[[#This Row],[FT]],"")</f>
        <v/>
      </c>
      <c r="AF30" s="18" t="str">
        <f>IF(AND(Report[[#This Row],[Résultats SE]]="Gagné",Report[[#This Row],[FT]]=Report[[#This Row],[Score 3]]),Report[[#This Row],[FT]],"")</f>
        <v/>
      </c>
      <c r="AG30" s="18" t="str">
        <f>IF(AND(Report[[#This Row],[Résultats SE]]="Gagné",Report[[#This Row],[FT]]=Report[[#This Row],[Score 4]]),Report[[#This Row],[FT]],"")</f>
        <v/>
      </c>
    </row>
    <row r="31" spans="1:33" ht="20.100000000000001" customHeight="1" x14ac:dyDescent="0.25">
      <c r="A31" s="11">
        <v>43430</v>
      </c>
      <c r="B31" s="7" t="s">
        <v>222</v>
      </c>
      <c r="C31" s="7" t="s">
        <v>116</v>
      </c>
      <c r="D31" s="19" t="s">
        <v>667</v>
      </c>
      <c r="E31" s="19" t="s">
        <v>661</v>
      </c>
      <c r="F31" s="7" t="s">
        <v>829</v>
      </c>
      <c r="G31" s="20" t="s">
        <v>830</v>
      </c>
      <c r="H31" s="20" t="s">
        <v>826</v>
      </c>
      <c r="I31" s="20" t="s">
        <v>831</v>
      </c>
      <c r="J31" s="20" t="s">
        <v>832</v>
      </c>
      <c r="K31" s="9" t="s">
        <v>667</v>
      </c>
      <c r="L31" s="16">
        <v>1.85</v>
      </c>
      <c r="M31" s="16">
        <v>4.3</v>
      </c>
      <c r="N31" s="17" t="s">
        <v>830</v>
      </c>
      <c r="O31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Panionios</v>
      </c>
      <c r="P31" s="18">
        <f>IF(Report[[#This Row],[FT]]="",,(LEFT(Report[[#This Row],[FT]],SEARCH("-",Report[[#This Row],[FT]])-1)*1))</f>
        <v>1</v>
      </c>
      <c r="Q31" s="22">
        <f>IF(Report[[#This Row],[FT]]="",,(RIGHT(Report[[#This Row],[FT]],SEARCH("-",Report[[#This Row],[FT]])-1)*1))</f>
        <v>0</v>
      </c>
      <c r="R31" s="18" t="str">
        <f>IF(Report[Résultat FT]="","",IF(Report[Résultat FT]=Report[Résultats],"Gagné","Perdu"))</f>
        <v>Gagné</v>
      </c>
      <c r="S31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31" s="53">
        <f>IF(Report[[#This Row],[FT]]="","",IF(Report[[#This Row],[FT]]=Report[[#This Row],[Score 1]],1,0))</f>
        <v>1</v>
      </c>
      <c r="U31" s="53">
        <f>IF(Report[[#This Row],[FT]]="","",IF(Report[ [#This Row],[FT] ]=Report[[#This Row],[Score 2]],1,0))</f>
        <v>0</v>
      </c>
      <c r="V31" s="53">
        <f>IF(Report[[#This Row],[FT]]="","",IF(Report[[#This Row],[FT]]=Report[[#This Row],[Score 3]],1,0))</f>
        <v>0</v>
      </c>
      <c r="W31" s="53">
        <f>IF(Report[[#This Row],[FT]]="","",IF(Report[[#This Row],[FT]]=Report[[#This Row],[Score 4]],1,0))</f>
        <v>0</v>
      </c>
      <c r="X31" s="94">
        <f>IF(Report[[#This Row],[Résultat FT]]="",,IF(Report[[#This Row],[Résultat FT]]=Report[[#This Row],[Résultats]],(Suivi_Gain!$B$1*Report[[#This Row],[Cote FT]])-Suivi_Gain!$B$1,-Suivi_Gain!$B$1))</f>
        <v>0.85000000000000009</v>
      </c>
      <c r="Y31" s="94">
        <f>IF(Report[[#This Row],[FT]]="",,IF(Report[[#This Row],[FT]]=Report[[#This Row],[Score 1]],(Suivi_Gain!$G$1*Report[[#This Row],[Cote SE]])-Suivi_Gain!$G$1,-Suivi_Gain!$G$1))</f>
        <v>3.3</v>
      </c>
      <c r="Z31" s="65">
        <f>IF(Report[[#This Row],[FT]]="",,IF(Report[[#This Row],[FT]]=Report[[#This Row],[Score 2]],Suivi_Gain!$G$1*Report[[#This Row],[Cote SE]],-Suivi_Gain!$G$1))</f>
        <v>-1</v>
      </c>
      <c r="AA31" s="65">
        <f>IF(Report[[#This Row],[FT]]="",,IF(Report[[#This Row],[FT]]=Report[[#This Row],[Score 3]],Suivi_Gain!$G$1*Report[[#This Row],[Cote SE]],-Suivi_Gain!$G$1))</f>
        <v>-1</v>
      </c>
      <c r="AB31" s="65">
        <f>IF(Report[[#This Row],[FT]]="",,IF(Report[[#This Row],[FT]]=Report[[#This Row],[Score 4]],Suivi_Gain!$G$1*Report[[#This Row],[Cote SE]],-Suivi_Gain!$G$1))</f>
        <v>-1</v>
      </c>
      <c r="AC31" s="18" t="str">
        <f>IF(Report[[#This Row],[Résultats SE]]="Gagné",Report[[#This Row],[FT]],"")</f>
        <v>1-0</v>
      </c>
      <c r="AD31" s="18" t="str">
        <f>IF(AND(Report[[#This Row],[Résultats SE]]="Gagné",Report[[#This Row],[FT]]=Report[[#This Row],[Score 1]]),Report[[#This Row],[FT]],"")</f>
        <v>1-0</v>
      </c>
      <c r="AE31" s="18" t="str">
        <f>IF(AND(Report[[#This Row],[Résultats SE]]="Gagné",Report[[#This Row],[FT]]=Report[[#This Row],[Score 2]]),Report[[#This Row],[FT]],"")</f>
        <v/>
      </c>
      <c r="AF31" s="18" t="str">
        <f>IF(AND(Report[[#This Row],[Résultats SE]]="Gagné",Report[[#This Row],[FT]]=Report[[#This Row],[Score 3]]),Report[[#This Row],[FT]],"")</f>
        <v/>
      </c>
      <c r="AG31" s="18" t="str">
        <f>IF(AND(Report[[#This Row],[Résultats SE]]="Gagné",Report[[#This Row],[FT]]=Report[[#This Row],[Score 4]]),Report[[#This Row],[FT]],"")</f>
        <v/>
      </c>
    </row>
    <row r="32" spans="1:33" ht="20.100000000000001" customHeight="1" x14ac:dyDescent="0.25">
      <c r="A32" s="11">
        <v>43429</v>
      </c>
      <c r="B32" s="7" t="s">
        <v>73</v>
      </c>
      <c r="C32" s="7" t="s">
        <v>111</v>
      </c>
      <c r="D32" s="10" t="s">
        <v>265</v>
      </c>
      <c r="E32" s="10" t="s">
        <v>268</v>
      </c>
      <c r="F32" s="7" t="s">
        <v>844</v>
      </c>
      <c r="G32" s="8" t="s">
        <v>826</v>
      </c>
      <c r="H32" s="9" t="s">
        <v>845</v>
      </c>
      <c r="I32" s="9" t="s">
        <v>846</v>
      </c>
      <c r="J32" s="9" t="s">
        <v>847</v>
      </c>
      <c r="K32" s="9" t="s">
        <v>233</v>
      </c>
      <c r="L32" s="16" t="str">
        <f>IF(Report[Résultat FT]="","",IF(Report[Résultat FT]=Report[Résultats],"","-"))</f>
        <v>-</v>
      </c>
      <c r="M32" s="16" t="str">
        <f>IF(Report[[#This Row],[Résultat FT]]="","",IF(Report[[#This Row],[Résultats SE]]="Gagné","","-"))</f>
        <v>-</v>
      </c>
      <c r="N32" s="17" t="s">
        <v>825</v>
      </c>
      <c r="O32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Sloboda</v>
      </c>
      <c r="P32" s="18">
        <f>IF(Report[[#This Row],[FT]]="",,(LEFT(Report[[#This Row],[FT]],SEARCH("-",Report[[#This Row],[FT]])-1)*1))</f>
        <v>0</v>
      </c>
      <c r="Q32" s="22">
        <f>IF(Report[[#This Row],[FT]]="",,(RIGHT(Report[[#This Row],[FT]],SEARCH("-",Report[[#This Row],[FT]])-1)*1))</f>
        <v>1</v>
      </c>
      <c r="R32" s="18" t="str">
        <f>IF(Report[Résultat FT]="","",IF(Report[Résultat FT]=Report[Résultats],"Gagné","Perdu"))</f>
        <v>Perdu</v>
      </c>
      <c r="S32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32" s="53">
        <f>IF(Report[[#This Row],[FT]]="","",IF(Report[[#This Row],[FT]]=Report[[#This Row],[Score 1]],1,0))</f>
        <v>0</v>
      </c>
      <c r="U32" s="53">
        <f>IF(Report[[#This Row],[FT]]="","",IF(Report[ [#This Row],[FT] ]=Report[[#This Row],[Score 2]],1,0))</f>
        <v>0</v>
      </c>
      <c r="V32" s="53">
        <f>IF(Report[[#This Row],[FT]]="","",IF(Report[[#This Row],[FT]]=Report[[#This Row],[Score 3]],1,0))</f>
        <v>0</v>
      </c>
      <c r="W32" s="53">
        <f>IF(Report[[#This Row],[FT]]="","",IF(Report[[#This Row],[FT]]=Report[[#This Row],[Score 4]],1,0))</f>
        <v>0</v>
      </c>
      <c r="X32" s="94">
        <f>IF(Report[[#This Row],[Résultat FT]]="",,IF(Report[[#This Row],[Résultat FT]]=Report[[#This Row],[Résultats]],(Suivi_Gain!$B$1*Report[[#This Row],[Cote FT]])-Suivi_Gain!$B$1,-Suivi_Gain!$B$1))</f>
        <v>-1</v>
      </c>
      <c r="Y32" s="94">
        <f>IF(Report[[#This Row],[FT]]="",,IF(Report[[#This Row],[FT]]=Report[[#This Row],[Score 1]],(Suivi_Gain!$G$1*Report[[#This Row],[Cote SE]])-Suivi_Gain!$G$1,-Suivi_Gain!$G$1))</f>
        <v>-1</v>
      </c>
      <c r="Z32" s="65">
        <f>IF(Report[[#This Row],[FT]]="",,IF(Report[[#This Row],[FT]]=Report[[#This Row],[Score 2]],Suivi_Gain!$G$1*Report[[#This Row],[Cote SE]],-Suivi_Gain!$G$1))</f>
        <v>-1</v>
      </c>
      <c r="AA32" s="65">
        <f>IF(Report[[#This Row],[FT]]="",,IF(Report[[#This Row],[FT]]=Report[[#This Row],[Score 3]],Suivi_Gain!$G$1*Report[[#This Row],[Cote SE]],-Suivi_Gain!$G$1))</f>
        <v>-1</v>
      </c>
      <c r="AB32" s="65">
        <f>IF(Report[[#This Row],[FT]]="",,IF(Report[[#This Row],[FT]]=Report[[#This Row],[Score 4]],Suivi_Gain!$G$1*Report[[#This Row],[Cote SE]],-Suivi_Gain!$G$1))</f>
        <v>-1</v>
      </c>
      <c r="AC32" s="18" t="str">
        <f>IF(Report[[#This Row],[Résultats SE]]="Gagné",Report[[#This Row],[FT]],"")</f>
        <v/>
      </c>
      <c r="AD32" s="18" t="str">
        <f>IF(AND(Report[[#This Row],[Résultats SE]]="Gagné",Report[[#This Row],[FT]]=Report[[#This Row],[Score 1]]),Report[[#This Row],[FT]],"")</f>
        <v/>
      </c>
      <c r="AE32" s="18" t="str">
        <f>IF(AND(Report[[#This Row],[Résultats SE]]="Gagné",Report[[#This Row],[FT]]=Report[[#This Row],[Score 2]]),Report[[#This Row],[FT]],"")</f>
        <v/>
      </c>
      <c r="AF32" s="18" t="str">
        <f>IF(AND(Report[[#This Row],[Résultats SE]]="Gagné",Report[[#This Row],[FT]]=Report[[#This Row],[Score 3]]),Report[[#This Row],[FT]],"")</f>
        <v/>
      </c>
      <c r="AG32" s="18" t="str">
        <f>IF(AND(Report[[#This Row],[Résultats SE]]="Gagné",Report[[#This Row],[FT]]=Report[[#This Row],[Score 4]]),Report[[#This Row],[FT]],"")</f>
        <v/>
      </c>
    </row>
    <row r="33" spans="1:33" ht="20.100000000000001" customHeight="1" x14ac:dyDescent="0.25">
      <c r="A33" s="11">
        <v>43429</v>
      </c>
      <c r="B33" s="7" t="s">
        <v>73</v>
      </c>
      <c r="C33" s="7" t="s">
        <v>111</v>
      </c>
      <c r="D33" s="10" t="s">
        <v>267</v>
      </c>
      <c r="E33" s="10" t="s">
        <v>262</v>
      </c>
      <c r="F33" s="7" t="s">
        <v>829</v>
      </c>
      <c r="G33" s="8" t="s">
        <v>830</v>
      </c>
      <c r="H33" s="9" t="s">
        <v>826</v>
      </c>
      <c r="I33" s="9" t="s">
        <v>831</v>
      </c>
      <c r="J33" s="9" t="s">
        <v>832</v>
      </c>
      <c r="K33" s="9" t="s">
        <v>267</v>
      </c>
      <c r="L33" s="16" t="str">
        <f>IF(Report[Résultat FT]="","",IF(Report[Résultat FT]=Report[Résultats],"","-"))</f>
        <v>-</v>
      </c>
      <c r="M33" s="16" t="str">
        <f>IF(Report[[#This Row],[Résultat FT]]="","",IF(Report[[#This Row],[Résultats SE]]="Gagné","","-"))</f>
        <v>-</v>
      </c>
      <c r="N33" s="17" t="s">
        <v>834</v>
      </c>
      <c r="O33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33" s="18">
        <f>IF(Report[[#This Row],[FT]]="",,(LEFT(Report[[#This Row],[FT]],SEARCH("-",Report[[#This Row],[FT]])-1)*1))</f>
        <v>1</v>
      </c>
      <c r="Q33" s="22">
        <f>IF(Report[[#This Row],[FT]]="",,(RIGHT(Report[[#This Row],[FT]],SEARCH("-",Report[[#This Row],[FT]])-1)*1))</f>
        <v>1</v>
      </c>
      <c r="R33" s="18" t="str">
        <f>IF(Report[Résultat FT]="","",IF(Report[Résultat FT]=Report[Résultats],"Gagné","Perdu"))</f>
        <v>Perdu</v>
      </c>
      <c r="S33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33" s="53">
        <f>IF(Report[[#This Row],[FT]]="","",IF(Report[[#This Row],[FT]]=Report[[#This Row],[Score 1]],1,0))</f>
        <v>0</v>
      </c>
      <c r="U33" s="53">
        <f>IF(Report[[#This Row],[FT]]="","",IF(Report[ [#This Row],[FT] ]=Report[[#This Row],[Score 2]],1,0))</f>
        <v>0</v>
      </c>
      <c r="V33" s="53">
        <f>IF(Report[[#This Row],[FT]]="","",IF(Report[[#This Row],[FT]]=Report[[#This Row],[Score 3]],1,0))</f>
        <v>0</v>
      </c>
      <c r="W33" s="53">
        <f>IF(Report[[#This Row],[FT]]="","",IF(Report[[#This Row],[FT]]=Report[[#This Row],[Score 4]],1,0))</f>
        <v>0</v>
      </c>
      <c r="X33" s="94">
        <f>IF(Report[[#This Row],[Résultat FT]]="",,IF(Report[[#This Row],[Résultat FT]]=Report[[#This Row],[Résultats]],(Suivi_Gain!$B$1*Report[[#This Row],[Cote FT]])-Suivi_Gain!$B$1,-Suivi_Gain!$B$1))</f>
        <v>-1</v>
      </c>
      <c r="Y33" s="94">
        <f>IF(Report[[#This Row],[FT]]="",,IF(Report[[#This Row],[FT]]=Report[[#This Row],[Score 1]],(Suivi_Gain!$G$1*Report[[#This Row],[Cote SE]])-Suivi_Gain!$G$1,-Suivi_Gain!$G$1))</f>
        <v>-1</v>
      </c>
      <c r="Z33" s="65">
        <f>IF(Report[[#This Row],[FT]]="",,IF(Report[[#This Row],[FT]]=Report[[#This Row],[Score 2]],Suivi_Gain!$G$1*Report[[#This Row],[Cote SE]],-Suivi_Gain!$G$1))</f>
        <v>-1</v>
      </c>
      <c r="AA33" s="65">
        <f>IF(Report[[#This Row],[FT]]="",,IF(Report[[#This Row],[FT]]=Report[[#This Row],[Score 3]],Suivi_Gain!$G$1*Report[[#This Row],[Cote SE]],-Suivi_Gain!$G$1))</f>
        <v>-1</v>
      </c>
      <c r="AB33" s="65">
        <f>IF(Report[[#This Row],[FT]]="",,IF(Report[[#This Row],[FT]]=Report[[#This Row],[Score 4]],Suivi_Gain!$G$1*Report[[#This Row],[Cote SE]],-Suivi_Gain!$G$1))</f>
        <v>-1</v>
      </c>
      <c r="AC33" s="18" t="str">
        <f>IF(Report[[#This Row],[Résultats SE]]="Gagné",Report[[#This Row],[FT]],"")</f>
        <v/>
      </c>
      <c r="AD33" s="18" t="str">
        <f>IF(AND(Report[[#This Row],[Résultats SE]]="Gagné",Report[[#This Row],[FT]]=Report[[#This Row],[Score 1]]),Report[[#This Row],[FT]],"")</f>
        <v/>
      </c>
      <c r="AE33" s="18" t="str">
        <f>IF(AND(Report[[#This Row],[Résultats SE]]="Gagné",Report[[#This Row],[FT]]=Report[[#This Row],[Score 2]]),Report[[#This Row],[FT]],"")</f>
        <v/>
      </c>
      <c r="AF33" s="18" t="str">
        <f>IF(AND(Report[[#This Row],[Résultats SE]]="Gagné",Report[[#This Row],[FT]]=Report[[#This Row],[Score 3]]),Report[[#This Row],[FT]],"")</f>
        <v/>
      </c>
      <c r="AG33" s="18" t="str">
        <f>IF(AND(Report[[#This Row],[Résultats SE]]="Gagné",Report[[#This Row],[FT]]=Report[[#This Row],[Score 4]]),Report[[#This Row],[FT]],"")</f>
        <v/>
      </c>
    </row>
    <row r="34" spans="1:33" ht="20.100000000000001" customHeight="1" x14ac:dyDescent="0.25">
      <c r="A34" s="11">
        <v>43429</v>
      </c>
      <c r="B34" s="7" t="s">
        <v>73</v>
      </c>
      <c r="C34" s="7" t="s">
        <v>111</v>
      </c>
      <c r="D34" s="10" t="s">
        <v>266</v>
      </c>
      <c r="E34" s="10" t="s">
        <v>272</v>
      </c>
      <c r="F34" s="7" t="s">
        <v>861</v>
      </c>
      <c r="G34" s="8" t="s">
        <v>831</v>
      </c>
      <c r="H34" s="9" t="s">
        <v>830</v>
      </c>
      <c r="I34" s="9" t="s">
        <v>832</v>
      </c>
      <c r="J34" s="9" t="s">
        <v>826</v>
      </c>
      <c r="K34" s="9" t="s">
        <v>266</v>
      </c>
      <c r="L34" s="16">
        <v>1.23</v>
      </c>
      <c r="M34" s="16" t="str">
        <f>IF(Report[[#This Row],[Résultat FT]]="","",IF(Report[[#This Row],[Résultats SE]]="Gagné","","-"))</f>
        <v>-</v>
      </c>
      <c r="N34" s="17" t="s">
        <v>853</v>
      </c>
      <c r="O34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Sarajevo</v>
      </c>
      <c r="P34" s="18">
        <f>IF(Report[[#This Row],[FT]]="",,(LEFT(Report[[#This Row],[FT]],SEARCH("-",Report[[#This Row],[FT]])-1)*1))</f>
        <v>3</v>
      </c>
      <c r="Q34" s="22">
        <f>IF(Report[[#This Row],[FT]]="",,(RIGHT(Report[[#This Row],[FT]],SEARCH("-",Report[[#This Row],[FT]])-1)*1))</f>
        <v>1</v>
      </c>
      <c r="R34" s="18" t="str">
        <f>IF(Report[Résultat FT]="","",IF(Report[Résultat FT]=Report[Résultats],"Gagné","Perdu"))</f>
        <v>Gagné</v>
      </c>
      <c r="S34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34" s="53">
        <f>IF(Report[[#This Row],[FT]]="","",IF(Report[[#This Row],[FT]]=Report[[#This Row],[Score 1]],1,0))</f>
        <v>0</v>
      </c>
      <c r="U34" s="53">
        <f>IF(Report[[#This Row],[FT]]="","",IF(Report[ [#This Row],[FT] ]=Report[[#This Row],[Score 2]],1,0))</f>
        <v>0</v>
      </c>
      <c r="V34" s="53">
        <f>IF(Report[[#This Row],[FT]]="","",IF(Report[[#This Row],[FT]]=Report[[#This Row],[Score 3]],1,0))</f>
        <v>0</v>
      </c>
      <c r="W34" s="53">
        <f>IF(Report[[#This Row],[FT]]="","",IF(Report[[#This Row],[FT]]=Report[[#This Row],[Score 4]],1,0))</f>
        <v>0</v>
      </c>
      <c r="X34" s="94">
        <f>IF(Report[[#This Row],[Résultat FT]]="",,IF(Report[[#This Row],[Résultat FT]]=Report[[#This Row],[Résultats]],(Suivi_Gain!$B$1*Report[[#This Row],[Cote FT]])-Suivi_Gain!$B$1,-Suivi_Gain!$B$1))</f>
        <v>0.22999999999999998</v>
      </c>
      <c r="Y34" s="94">
        <f>IF(Report[[#This Row],[FT]]="",,IF(Report[[#This Row],[FT]]=Report[[#This Row],[Score 1]],(Suivi_Gain!$G$1*Report[[#This Row],[Cote SE]])-Suivi_Gain!$G$1,-Suivi_Gain!$G$1))</f>
        <v>-1</v>
      </c>
      <c r="Z34" s="65">
        <f>IF(Report[[#This Row],[FT]]="",,IF(Report[[#This Row],[FT]]=Report[[#This Row],[Score 2]],Suivi_Gain!$G$1*Report[[#This Row],[Cote SE]],-Suivi_Gain!$G$1))</f>
        <v>-1</v>
      </c>
      <c r="AA34" s="65">
        <f>IF(Report[[#This Row],[FT]]="",,IF(Report[[#This Row],[FT]]=Report[[#This Row],[Score 3]],Suivi_Gain!$G$1*Report[[#This Row],[Cote SE]],-Suivi_Gain!$G$1))</f>
        <v>-1</v>
      </c>
      <c r="AB34" s="65">
        <f>IF(Report[[#This Row],[FT]]="",,IF(Report[[#This Row],[FT]]=Report[[#This Row],[Score 4]],Suivi_Gain!$G$1*Report[[#This Row],[Cote SE]],-Suivi_Gain!$G$1))</f>
        <v>-1</v>
      </c>
      <c r="AC34" s="18" t="str">
        <f>IF(Report[[#This Row],[Résultats SE]]="Gagné",Report[[#This Row],[FT]],"")</f>
        <v/>
      </c>
      <c r="AD34" s="18" t="str">
        <f>IF(AND(Report[[#This Row],[Résultats SE]]="Gagné",Report[[#This Row],[FT]]=Report[[#This Row],[Score 1]]),Report[[#This Row],[FT]],"")</f>
        <v/>
      </c>
      <c r="AE34" s="18" t="str">
        <f>IF(AND(Report[[#This Row],[Résultats SE]]="Gagné",Report[[#This Row],[FT]]=Report[[#This Row],[Score 2]]),Report[[#This Row],[FT]],"")</f>
        <v/>
      </c>
      <c r="AF34" s="18" t="str">
        <f>IF(AND(Report[[#This Row],[Résultats SE]]="Gagné",Report[[#This Row],[FT]]=Report[[#This Row],[Score 3]]),Report[[#This Row],[FT]],"")</f>
        <v/>
      </c>
      <c r="AG34" s="18" t="str">
        <f>IF(AND(Report[[#This Row],[Résultats SE]]="Gagné",Report[[#This Row],[FT]]=Report[[#This Row],[Score 4]]),Report[[#This Row],[FT]],"")</f>
        <v/>
      </c>
    </row>
    <row r="35" spans="1:33" ht="20.100000000000001" customHeight="1" x14ac:dyDescent="0.25">
      <c r="A35" s="11">
        <v>43429</v>
      </c>
      <c r="B35" s="7" t="s">
        <v>65</v>
      </c>
      <c r="C35" s="7" t="s">
        <v>98</v>
      </c>
      <c r="D35" s="10" t="s">
        <v>145</v>
      </c>
      <c r="E35" s="10" t="s">
        <v>141</v>
      </c>
      <c r="F35" s="7" t="s">
        <v>843</v>
      </c>
      <c r="G35" s="8" t="s">
        <v>839</v>
      </c>
      <c r="H35" s="9" t="s">
        <v>834</v>
      </c>
      <c r="I35" s="9" t="s">
        <v>827</v>
      </c>
      <c r="J35" s="9" t="s">
        <v>825</v>
      </c>
      <c r="K35" s="9" t="s">
        <v>141</v>
      </c>
      <c r="L35" s="16" t="str">
        <f>IF(Report[Résultat FT]="","",IF(Report[Résultat FT]=Report[Résultats],"","-"))</f>
        <v>-</v>
      </c>
      <c r="M35" s="16">
        <v>6.5</v>
      </c>
      <c r="N35" s="17" t="s">
        <v>834</v>
      </c>
      <c r="O35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35" s="18">
        <f>IF(Report[[#This Row],[FT]]="",,(LEFT(Report[[#This Row],[FT]],SEARCH("-",Report[[#This Row],[FT]])-1)*1))</f>
        <v>1</v>
      </c>
      <c r="Q35" s="22">
        <f>IF(Report[[#This Row],[FT]]="",,(RIGHT(Report[[#This Row],[FT]],SEARCH("-",Report[[#This Row],[FT]])-1)*1))</f>
        <v>1</v>
      </c>
      <c r="R35" s="18" t="str">
        <f>IF(Report[Résultat FT]="","",IF(Report[Résultat FT]=Report[Résultats],"Gagné","Perdu"))</f>
        <v>Perdu</v>
      </c>
      <c r="S35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35" s="53">
        <f>IF(Report[[#This Row],[FT]]="","",IF(Report[[#This Row],[FT]]=Report[[#This Row],[Score 1]],1,0))</f>
        <v>0</v>
      </c>
      <c r="U35" s="53">
        <f>IF(Report[[#This Row],[FT]]="","",IF(Report[ [#This Row],[FT] ]=Report[[#This Row],[Score 2]],1,0))</f>
        <v>1</v>
      </c>
      <c r="V35" s="53">
        <f>IF(Report[[#This Row],[FT]]="","",IF(Report[[#This Row],[FT]]=Report[[#This Row],[Score 3]],1,0))</f>
        <v>0</v>
      </c>
      <c r="W35" s="53">
        <f>IF(Report[[#This Row],[FT]]="","",IF(Report[[#This Row],[FT]]=Report[[#This Row],[Score 4]],1,0))</f>
        <v>0</v>
      </c>
      <c r="X35" s="94">
        <f>IF(Report[[#This Row],[Résultat FT]]="",,IF(Report[[#This Row],[Résultat FT]]=Report[[#This Row],[Résultats]],(Suivi_Gain!$B$1*Report[[#This Row],[Cote FT]])-Suivi_Gain!$B$1,-Suivi_Gain!$B$1))</f>
        <v>-1</v>
      </c>
      <c r="Y35" s="94">
        <f>IF(Report[[#This Row],[FT]]="",,IF(Report[[#This Row],[FT]]=Report[[#This Row],[Score 1]],(Suivi_Gain!$G$1*Report[[#This Row],[Cote SE]])-Suivi_Gain!$G$1,-Suivi_Gain!$G$1))</f>
        <v>-1</v>
      </c>
      <c r="Z35" s="65">
        <f>IF(Report[[#This Row],[FT]]="",,IF(Report[[#This Row],[FT]]=Report[[#This Row],[Score 2]],Suivi_Gain!$G$1*Report[[#This Row],[Cote SE]],-Suivi_Gain!$G$1))</f>
        <v>6.5</v>
      </c>
      <c r="AA35" s="65">
        <f>IF(Report[[#This Row],[FT]]="",,IF(Report[[#This Row],[FT]]=Report[[#This Row],[Score 3]],Suivi_Gain!$G$1*Report[[#This Row],[Cote SE]],-Suivi_Gain!$G$1))</f>
        <v>-1</v>
      </c>
      <c r="AB35" s="65">
        <f>IF(Report[[#This Row],[FT]]="",,IF(Report[[#This Row],[FT]]=Report[[#This Row],[Score 4]],Suivi_Gain!$G$1*Report[[#This Row],[Cote SE]],-Suivi_Gain!$G$1))</f>
        <v>-1</v>
      </c>
      <c r="AC35" s="18" t="str">
        <f>IF(Report[[#This Row],[Résultats SE]]="Gagné",Report[[#This Row],[FT]],"")</f>
        <v>1-1</v>
      </c>
      <c r="AD35" s="18" t="str">
        <f>IF(AND(Report[[#This Row],[Résultats SE]]="Gagné",Report[[#This Row],[FT]]=Report[[#This Row],[Score 1]]),Report[[#This Row],[FT]],"")</f>
        <v/>
      </c>
      <c r="AE35" s="18" t="str">
        <f>IF(AND(Report[[#This Row],[Résultats SE]]="Gagné",Report[[#This Row],[FT]]=Report[[#This Row],[Score 2]]),Report[[#This Row],[FT]],"")</f>
        <v>1-1</v>
      </c>
      <c r="AF35" s="18" t="str">
        <f>IF(AND(Report[[#This Row],[Résultats SE]]="Gagné",Report[[#This Row],[FT]]=Report[[#This Row],[Score 3]]),Report[[#This Row],[FT]],"")</f>
        <v/>
      </c>
      <c r="AG35" s="18" t="str">
        <f>IF(AND(Report[[#This Row],[Résultats SE]]="Gagné",Report[[#This Row],[FT]]=Report[[#This Row],[Score 4]]),Report[[#This Row],[FT]],"")</f>
        <v/>
      </c>
    </row>
    <row r="36" spans="1:33" ht="20.100000000000001" customHeight="1" x14ac:dyDescent="0.25">
      <c r="A36" s="11">
        <v>43429</v>
      </c>
      <c r="B36" s="7" t="s">
        <v>65</v>
      </c>
      <c r="C36" s="7" t="s">
        <v>98</v>
      </c>
      <c r="D36" s="10" t="s">
        <v>151</v>
      </c>
      <c r="E36" s="10" t="s">
        <v>146</v>
      </c>
      <c r="F36" s="7" t="s">
        <v>880</v>
      </c>
      <c r="G36" s="8" t="s">
        <v>853</v>
      </c>
      <c r="H36" s="9" t="s">
        <v>832</v>
      </c>
      <c r="I36" s="9" t="s">
        <v>838</v>
      </c>
      <c r="J36" s="9" t="s">
        <v>831</v>
      </c>
      <c r="K36" s="9" t="s">
        <v>151</v>
      </c>
      <c r="L36" s="16">
        <v>1.38</v>
      </c>
      <c r="M36" s="16" t="str">
        <f>IF(Report[[#This Row],[Résultat FT]]="","",IF(Report[[#This Row],[Résultats SE]]="Gagné","","-"))</f>
        <v>-</v>
      </c>
      <c r="N36" s="17" t="s">
        <v>858</v>
      </c>
      <c r="O36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Monchengladbach</v>
      </c>
      <c r="P36" s="18">
        <f>IF(Report[[#This Row],[FT]]="",,(LEFT(Report[[#This Row],[FT]],SEARCH("-",Report[[#This Row],[FT]])-1)*1))</f>
        <v>4</v>
      </c>
      <c r="Q36" s="22">
        <f>IF(Report[[#This Row],[FT]]="",,(RIGHT(Report[[#This Row],[FT]],SEARCH("-",Report[[#This Row],[FT]])-1)*1))</f>
        <v>1</v>
      </c>
      <c r="R36" s="18" t="str">
        <f>IF(Report[Résultat FT]="","",IF(Report[Résultat FT]=Report[Résultats],"Gagné","Perdu"))</f>
        <v>Gagné</v>
      </c>
      <c r="S36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36" s="53">
        <f>IF(Report[[#This Row],[FT]]="","",IF(Report[[#This Row],[FT]]=Report[[#This Row],[Score 1]],1,0))</f>
        <v>0</v>
      </c>
      <c r="U36" s="53">
        <f>IF(Report[[#This Row],[FT]]="","",IF(Report[ [#This Row],[FT] ]=Report[[#This Row],[Score 2]],1,0))</f>
        <v>0</v>
      </c>
      <c r="V36" s="53">
        <f>IF(Report[[#This Row],[FT]]="","",IF(Report[[#This Row],[FT]]=Report[[#This Row],[Score 3]],1,0))</f>
        <v>0</v>
      </c>
      <c r="W36" s="53">
        <f>IF(Report[[#This Row],[FT]]="","",IF(Report[[#This Row],[FT]]=Report[[#This Row],[Score 4]],1,0))</f>
        <v>0</v>
      </c>
      <c r="X36" s="94">
        <f>IF(Report[[#This Row],[Résultat FT]]="",,IF(Report[[#This Row],[Résultat FT]]=Report[[#This Row],[Résultats]],(Suivi_Gain!$B$1*Report[[#This Row],[Cote FT]])-Suivi_Gain!$B$1,-Suivi_Gain!$B$1))</f>
        <v>0.37999999999999989</v>
      </c>
      <c r="Y36" s="94">
        <f>IF(Report[[#This Row],[FT]]="",,IF(Report[[#This Row],[FT]]=Report[[#This Row],[Score 1]],(Suivi_Gain!$G$1*Report[[#This Row],[Cote SE]])-Suivi_Gain!$G$1,-Suivi_Gain!$G$1))</f>
        <v>-1</v>
      </c>
      <c r="Z36" s="65">
        <f>IF(Report[[#This Row],[FT]]="",,IF(Report[[#This Row],[FT]]=Report[[#This Row],[Score 2]],Suivi_Gain!$G$1*Report[[#This Row],[Cote SE]],-Suivi_Gain!$G$1))</f>
        <v>-1</v>
      </c>
      <c r="AA36" s="65">
        <f>IF(Report[[#This Row],[FT]]="",,IF(Report[[#This Row],[FT]]=Report[[#This Row],[Score 3]],Suivi_Gain!$G$1*Report[[#This Row],[Cote SE]],-Suivi_Gain!$G$1))</f>
        <v>-1</v>
      </c>
      <c r="AB36" s="65">
        <f>IF(Report[[#This Row],[FT]]="",,IF(Report[[#This Row],[FT]]=Report[[#This Row],[Score 4]],Suivi_Gain!$G$1*Report[[#This Row],[Cote SE]],-Suivi_Gain!$G$1))</f>
        <v>-1</v>
      </c>
      <c r="AC36" s="18" t="str">
        <f>IF(Report[[#This Row],[Résultats SE]]="Gagné",Report[[#This Row],[FT]],"")</f>
        <v/>
      </c>
      <c r="AD36" s="18" t="str">
        <f>IF(AND(Report[[#This Row],[Résultats SE]]="Gagné",Report[[#This Row],[FT]]=Report[[#This Row],[Score 1]]),Report[[#This Row],[FT]],"")</f>
        <v/>
      </c>
      <c r="AE36" s="18" t="str">
        <f>IF(AND(Report[[#This Row],[Résultats SE]]="Gagné",Report[[#This Row],[FT]]=Report[[#This Row],[Score 2]]),Report[[#This Row],[FT]],"")</f>
        <v/>
      </c>
      <c r="AF36" s="18" t="str">
        <f>IF(AND(Report[[#This Row],[Résultats SE]]="Gagné",Report[[#This Row],[FT]]=Report[[#This Row],[Score 3]]),Report[[#This Row],[FT]],"")</f>
        <v/>
      </c>
      <c r="AG36" s="18" t="str">
        <f>IF(AND(Report[[#This Row],[Résultats SE]]="Gagné",Report[[#This Row],[FT]]=Report[[#This Row],[Score 4]]),Report[[#This Row],[FT]],"")</f>
        <v/>
      </c>
    </row>
    <row r="37" spans="1:33" ht="20.100000000000001" customHeight="1" x14ac:dyDescent="0.25">
      <c r="A37" s="11">
        <v>43429</v>
      </c>
      <c r="B37" s="7" t="s">
        <v>65</v>
      </c>
      <c r="C37" s="7" t="s">
        <v>99</v>
      </c>
      <c r="D37" s="10" t="s">
        <v>161</v>
      </c>
      <c r="E37" s="10" t="s">
        <v>167</v>
      </c>
      <c r="F37" s="7" t="s">
        <v>842</v>
      </c>
      <c r="G37" s="8" t="s">
        <v>838</v>
      </c>
      <c r="H37" s="9" t="s">
        <v>831</v>
      </c>
      <c r="I37" s="9" t="s">
        <v>834</v>
      </c>
      <c r="J37" s="9" t="s">
        <v>830</v>
      </c>
      <c r="K37" s="9" t="s">
        <v>161</v>
      </c>
      <c r="L37" s="16">
        <v>2.35</v>
      </c>
      <c r="M37" s="16">
        <v>12</v>
      </c>
      <c r="N37" s="17" t="s">
        <v>831</v>
      </c>
      <c r="O37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Dresden</v>
      </c>
      <c r="P37" s="18">
        <f>IF(Report[[#This Row],[FT]]="",,(LEFT(Report[[#This Row],[FT]],SEARCH("-",Report[[#This Row],[FT]])-1)*1))</f>
        <v>2</v>
      </c>
      <c r="Q37" s="22">
        <f>IF(Report[[#This Row],[FT]]="",,(RIGHT(Report[[#This Row],[FT]],SEARCH("-",Report[[#This Row],[FT]])-1)*1))</f>
        <v>0</v>
      </c>
      <c r="R37" s="18" t="str">
        <f>IF(Report[Résultat FT]="","",IF(Report[Résultat FT]=Report[Résultats],"Gagné","Perdu"))</f>
        <v>Gagné</v>
      </c>
      <c r="S37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37" s="53">
        <f>IF(Report[[#This Row],[FT]]="","",IF(Report[[#This Row],[FT]]=Report[[#This Row],[Score 1]],1,0))</f>
        <v>0</v>
      </c>
      <c r="U37" s="53">
        <f>IF(Report[[#This Row],[FT]]="","",IF(Report[ [#This Row],[FT] ]=Report[[#This Row],[Score 2]],1,0))</f>
        <v>1</v>
      </c>
      <c r="V37" s="53">
        <f>IF(Report[[#This Row],[FT]]="","",IF(Report[[#This Row],[FT]]=Report[[#This Row],[Score 3]],1,0))</f>
        <v>0</v>
      </c>
      <c r="W37" s="53">
        <f>IF(Report[[#This Row],[FT]]="","",IF(Report[[#This Row],[FT]]=Report[[#This Row],[Score 4]],1,0))</f>
        <v>0</v>
      </c>
      <c r="X37" s="94">
        <f>IF(Report[[#This Row],[Résultat FT]]="",,IF(Report[[#This Row],[Résultat FT]]=Report[[#This Row],[Résultats]],(Suivi_Gain!$B$1*Report[[#This Row],[Cote FT]])-Suivi_Gain!$B$1,-Suivi_Gain!$B$1))</f>
        <v>1.35</v>
      </c>
      <c r="Y37" s="94">
        <f>IF(Report[[#This Row],[FT]]="",,IF(Report[[#This Row],[FT]]=Report[[#This Row],[Score 1]],(Suivi_Gain!$G$1*Report[[#This Row],[Cote SE]])-Suivi_Gain!$G$1,-Suivi_Gain!$G$1))</f>
        <v>-1</v>
      </c>
      <c r="Z37" s="65">
        <f>IF(Report[[#This Row],[FT]]="",,IF(Report[[#This Row],[FT]]=Report[[#This Row],[Score 2]],Suivi_Gain!$G$1*Report[[#This Row],[Cote SE]],-Suivi_Gain!$G$1))</f>
        <v>12</v>
      </c>
      <c r="AA37" s="65">
        <f>IF(Report[[#This Row],[FT]]="",,IF(Report[[#This Row],[FT]]=Report[[#This Row],[Score 3]],Suivi_Gain!$G$1*Report[[#This Row],[Cote SE]],-Suivi_Gain!$G$1))</f>
        <v>-1</v>
      </c>
      <c r="AB37" s="65">
        <f>IF(Report[[#This Row],[FT]]="",,IF(Report[[#This Row],[FT]]=Report[[#This Row],[Score 4]],Suivi_Gain!$G$1*Report[[#This Row],[Cote SE]],-Suivi_Gain!$G$1))</f>
        <v>-1</v>
      </c>
      <c r="AC37" s="18" t="str">
        <f>IF(Report[[#This Row],[Résultats SE]]="Gagné",Report[[#This Row],[FT]],"")</f>
        <v>2-0</v>
      </c>
      <c r="AD37" s="18" t="str">
        <f>IF(AND(Report[[#This Row],[Résultats SE]]="Gagné",Report[[#This Row],[FT]]=Report[[#This Row],[Score 1]]),Report[[#This Row],[FT]],"")</f>
        <v/>
      </c>
      <c r="AE37" s="18" t="str">
        <f>IF(AND(Report[[#This Row],[Résultats SE]]="Gagné",Report[[#This Row],[FT]]=Report[[#This Row],[Score 2]]),Report[[#This Row],[FT]],"")</f>
        <v>2-0</v>
      </c>
      <c r="AF37" s="18" t="str">
        <f>IF(AND(Report[[#This Row],[Résultats SE]]="Gagné",Report[[#This Row],[FT]]=Report[[#This Row],[Score 3]]),Report[[#This Row],[FT]],"")</f>
        <v/>
      </c>
      <c r="AG37" s="18" t="str">
        <f>IF(AND(Report[[#This Row],[Résultats SE]]="Gagné",Report[[#This Row],[FT]]=Report[[#This Row],[Score 4]]),Report[[#This Row],[FT]],"")</f>
        <v/>
      </c>
    </row>
    <row r="38" spans="1:33" ht="20.100000000000001" customHeight="1" x14ac:dyDescent="0.25">
      <c r="A38" s="11">
        <v>43429</v>
      </c>
      <c r="B38" s="7" t="s">
        <v>65</v>
      </c>
      <c r="C38" s="7" t="s">
        <v>99</v>
      </c>
      <c r="D38" s="10" t="s">
        <v>166</v>
      </c>
      <c r="E38" s="10" t="s">
        <v>170</v>
      </c>
      <c r="F38" s="7" t="s">
        <v>842</v>
      </c>
      <c r="G38" s="8" t="s">
        <v>838</v>
      </c>
      <c r="H38" s="9" t="s">
        <v>831</v>
      </c>
      <c r="I38" s="9" t="s">
        <v>834</v>
      </c>
      <c r="J38" s="9" t="s">
        <v>830</v>
      </c>
      <c r="K38" s="9" t="s">
        <v>166</v>
      </c>
      <c r="L38" s="16" t="str">
        <f>IF(Report[Résultat FT]="","",IF(Report[Résultat FT]=Report[Résultats],"","-"))</f>
        <v>-</v>
      </c>
      <c r="M38" s="16" t="str">
        <f>IF(Report[[#This Row],[Résultat FT]]="","",IF(Report[[#This Row],[Résultats SE]]="Gagné","","-"))</f>
        <v>-</v>
      </c>
      <c r="N38" s="17" t="s">
        <v>904</v>
      </c>
      <c r="O38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Paderborn</v>
      </c>
      <c r="P38" s="18">
        <f>IF(Report[[#This Row],[FT]]="",,(LEFT(Report[[#This Row],[FT]],SEARCH("-",Report[[#This Row],[FT]])-1)*1))</f>
        <v>1</v>
      </c>
      <c r="Q38" s="22">
        <f>IF(Report[[#This Row],[FT]]="",,(RIGHT(Report[[#This Row],[FT]],SEARCH("-",Report[[#This Row],[FT]])-1)*1))</f>
        <v>5</v>
      </c>
      <c r="R38" s="18" t="str">
        <f>IF(Report[Résultat FT]="","",IF(Report[Résultat FT]=Report[Résultats],"Gagné","Perdu"))</f>
        <v>Perdu</v>
      </c>
      <c r="S38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38" s="53">
        <f>IF(Report[[#This Row],[FT]]="","",IF(Report[[#This Row],[FT]]=Report[[#This Row],[Score 1]],1,0))</f>
        <v>0</v>
      </c>
      <c r="U38" s="53">
        <f>IF(Report[[#This Row],[FT]]="","",IF(Report[ [#This Row],[FT] ]=Report[[#This Row],[Score 2]],1,0))</f>
        <v>0</v>
      </c>
      <c r="V38" s="53">
        <f>IF(Report[[#This Row],[FT]]="","",IF(Report[[#This Row],[FT]]=Report[[#This Row],[Score 3]],1,0))</f>
        <v>0</v>
      </c>
      <c r="W38" s="53">
        <f>IF(Report[[#This Row],[FT]]="","",IF(Report[[#This Row],[FT]]=Report[[#This Row],[Score 4]],1,0))</f>
        <v>0</v>
      </c>
      <c r="X38" s="94">
        <f>IF(Report[[#This Row],[Résultat FT]]="",,IF(Report[[#This Row],[Résultat FT]]=Report[[#This Row],[Résultats]],(Suivi_Gain!$B$1*Report[[#This Row],[Cote FT]])-Suivi_Gain!$B$1,-Suivi_Gain!$B$1))</f>
        <v>-1</v>
      </c>
      <c r="Y38" s="94">
        <f>IF(Report[[#This Row],[FT]]="",,IF(Report[[#This Row],[FT]]=Report[[#This Row],[Score 1]],(Suivi_Gain!$G$1*Report[[#This Row],[Cote SE]])-Suivi_Gain!$G$1,-Suivi_Gain!$G$1))</f>
        <v>-1</v>
      </c>
      <c r="Z38" s="65">
        <f>IF(Report[[#This Row],[FT]]="",,IF(Report[[#This Row],[FT]]=Report[[#This Row],[Score 2]],Suivi_Gain!$G$1*Report[[#This Row],[Cote SE]],-Suivi_Gain!$G$1))</f>
        <v>-1</v>
      </c>
      <c r="AA38" s="65">
        <f>IF(Report[[#This Row],[FT]]="",,IF(Report[[#This Row],[FT]]=Report[[#This Row],[Score 3]],Suivi_Gain!$G$1*Report[[#This Row],[Cote SE]],-Suivi_Gain!$G$1))</f>
        <v>-1</v>
      </c>
      <c r="AB38" s="65">
        <f>IF(Report[[#This Row],[FT]]="",,IF(Report[[#This Row],[FT]]=Report[[#This Row],[Score 4]],Suivi_Gain!$G$1*Report[[#This Row],[Cote SE]],-Suivi_Gain!$G$1))</f>
        <v>-1</v>
      </c>
      <c r="AC38" s="18" t="str">
        <f>IF(Report[[#This Row],[Résultats SE]]="Gagné",Report[[#This Row],[FT]],"")</f>
        <v/>
      </c>
      <c r="AD38" s="18" t="str">
        <f>IF(AND(Report[[#This Row],[Résultats SE]]="Gagné",Report[[#This Row],[FT]]=Report[[#This Row],[Score 1]]),Report[[#This Row],[FT]],"")</f>
        <v/>
      </c>
      <c r="AE38" s="18" t="str">
        <f>IF(AND(Report[[#This Row],[Résultats SE]]="Gagné",Report[[#This Row],[FT]]=Report[[#This Row],[Score 2]]),Report[[#This Row],[FT]],"")</f>
        <v/>
      </c>
      <c r="AF38" s="18" t="str">
        <f>IF(AND(Report[[#This Row],[Résultats SE]]="Gagné",Report[[#This Row],[FT]]=Report[[#This Row],[Score 3]]),Report[[#This Row],[FT]],"")</f>
        <v/>
      </c>
      <c r="AG38" s="18" t="str">
        <f>IF(AND(Report[[#This Row],[Résultats SE]]="Gagné",Report[[#This Row],[FT]]=Report[[#This Row],[Score 4]]),Report[[#This Row],[FT]],"")</f>
        <v/>
      </c>
    </row>
    <row r="39" spans="1:33" ht="20.100000000000001" customHeight="1" x14ac:dyDescent="0.25">
      <c r="A39" s="11">
        <v>43429</v>
      </c>
      <c r="B39" s="7" t="s">
        <v>65</v>
      </c>
      <c r="C39" s="7" t="s">
        <v>99</v>
      </c>
      <c r="D39" s="10" t="s">
        <v>171</v>
      </c>
      <c r="E39" s="10" t="s">
        <v>173</v>
      </c>
      <c r="F39" s="7" t="s">
        <v>842</v>
      </c>
      <c r="G39" s="8" t="s">
        <v>838</v>
      </c>
      <c r="H39" s="9" t="s">
        <v>831</v>
      </c>
      <c r="I39" s="9" t="s">
        <v>834</v>
      </c>
      <c r="J39" s="9" t="s">
        <v>830</v>
      </c>
      <c r="K39" s="9" t="s">
        <v>171</v>
      </c>
      <c r="L39" s="16" t="str">
        <f>IF(Report[Résultat FT]="","",IF(Report[Résultat FT]=Report[Résultats],"","-"))</f>
        <v>-</v>
      </c>
      <c r="M39" s="16">
        <v>6.75</v>
      </c>
      <c r="N39" s="17" t="s">
        <v>834</v>
      </c>
      <c r="O39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39" s="18">
        <f>IF(Report[[#This Row],[FT]]="",,(LEFT(Report[[#This Row],[FT]],SEARCH("-",Report[[#This Row],[FT]])-1)*1))</f>
        <v>1</v>
      </c>
      <c r="Q39" s="22">
        <f>IF(Report[[#This Row],[FT]]="",,(RIGHT(Report[[#This Row],[FT]],SEARCH("-",Report[[#This Row],[FT]])-1)*1))</f>
        <v>1</v>
      </c>
      <c r="R39" s="18" t="str">
        <f>IF(Report[Résultat FT]="","",IF(Report[Résultat FT]=Report[Résultats],"Gagné","Perdu"))</f>
        <v>Perdu</v>
      </c>
      <c r="S39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39" s="53">
        <f>IF(Report[[#This Row],[FT]]="","",IF(Report[[#This Row],[FT]]=Report[[#This Row],[Score 1]],1,0))</f>
        <v>0</v>
      </c>
      <c r="U39" s="53">
        <f>IF(Report[[#This Row],[FT]]="","",IF(Report[ [#This Row],[FT] ]=Report[[#This Row],[Score 2]],1,0))</f>
        <v>0</v>
      </c>
      <c r="V39" s="53">
        <f>IF(Report[[#This Row],[FT]]="","",IF(Report[[#This Row],[FT]]=Report[[#This Row],[Score 3]],1,0))</f>
        <v>1</v>
      </c>
      <c r="W39" s="53">
        <f>IF(Report[[#This Row],[FT]]="","",IF(Report[[#This Row],[FT]]=Report[[#This Row],[Score 4]],1,0))</f>
        <v>0</v>
      </c>
      <c r="X39" s="94">
        <f>IF(Report[[#This Row],[Résultat FT]]="",,IF(Report[[#This Row],[Résultat FT]]=Report[[#This Row],[Résultats]],(Suivi_Gain!$B$1*Report[[#This Row],[Cote FT]])-Suivi_Gain!$B$1,-Suivi_Gain!$B$1))</f>
        <v>-1</v>
      </c>
      <c r="Y39" s="94">
        <f>IF(Report[[#This Row],[FT]]="",,IF(Report[[#This Row],[FT]]=Report[[#This Row],[Score 1]],(Suivi_Gain!$G$1*Report[[#This Row],[Cote SE]])-Suivi_Gain!$G$1,-Suivi_Gain!$G$1))</f>
        <v>-1</v>
      </c>
      <c r="Z39" s="65">
        <f>IF(Report[[#This Row],[FT]]="",,IF(Report[[#This Row],[FT]]=Report[[#This Row],[Score 2]],Suivi_Gain!$G$1*Report[[#This Row],[Cote SE]],-Suivi_Gain!$G$1))</f>
        <v>-1</v>
      </c>
      <c r="AA39" s="65">
        <f>IF(Report[[#This Row],[FT]]="",,IF(Report[[#This Row],[FT]]=Report[[#This Row],[Score 3]],Suivi_Gain!$G$1*Report[[#This Row],[Cote SE]],-Suivi_Gain!$G$1))</f>
        <v>6.75</v>
      </c>
      <c r="AB39" s="65">
        <f>IF(Report[[#This Row],[FT]]="",,IF(Report[[#This Row],[FT]]=Report[[#This Row],[Score 4]],Suivi_Gain!$G$1*Report[[#This Row],[Cote SE]],-Suivi_Gain!$G$1))</f>
        <v>-1</v>
      </c>
      <c r="AC39" s="18" t="str">
        <f>IF(Report[[#This Row],[Résultats SE]]="Gagné",Report[[#This Row],[FT]],"")</f>
        <v>1-1</v>
      </c>
      <c r="AD39" s="18" t="str">
        <f>IF(AND(Report[[#This Row],[Résultats SE]]="Gagné",Report[[#This Row],[FT]]=Report[[#This Row],[Score 1]]),Report[[#This Row],[FT]],"")</f>
        <v/>
      </c>
      <c r="AE39" s="18" t="str">
        <f>IF(AND(Report[[#This Row],[Résultats SE]]="Gagné",Report[[#This Row],[FT]]=Report[[#This Row],[Score 2]]),Report[[#This Row],[FT]],"")</f>
        <v/>
      </c>
      <c r="AF39" s="18" t="str">
        <f>IF(AND(Report[[#This Row],[Résultats SE]]="Gagné",Report[[#This Row],[FT]]=Report[[#This Row],[Score 3]]),Report[[#This Row],[FT]],"")</f>
        <v>1-1</v>
      </c>
      <c r="AG39" s="18" t="str">
        <f>IF(AND(Report[[#This Row],[Résultats SE]]="Gagné",Report[[#This Row],[FT]]=Report[[#This Row],[Score 4]]),Report[[#This Row],[FT]],"")</f>
        <v/>
      </c>
    </row>
    <row r="40" spans="1:33" ht="20.100000000000001" customHeight="1" x14ac:dyDescent="0.25">
      <c r="A40" s="11">
        <v>43429</v>
      </c>
      <c r="B40" s="7" t="s">
        <v>66</v>
      </c>
      <c r="C40" s="7" t="s">
        <v>100</v>
      </c>
      <c r="D40" s="10" t="s">
        <v>176</v>
      </c>
      <c r="E40" s="10" t="s">
        <v>175</v>
      </c>
      <c r="F40" s="7" t="s">
        <v>843</v>
      </c>
      <c r="G40" s="8" t="s">
        <v>839</v>
      </c>
      <c r="H40" s="9" t="s">
        <v>834</v>
      </c>
      <c r="I40" s="9" t="s">
        <v>827</v>
      </c>
      <c r="J40" s="9" t="s">
        <v>825</v>
      </c>
      <c r="K40" s="9" t="s">
        <v>175</v>
      </c>
      <c r="L40" s="16">
        <v>2.2000000000000002</v>
      </c>
      <c r="M40" s="16">
        <v>8.5</v>
      </c>
      <c r="N40" s="17" t="s">
        <v>839</v>
      </c>
      <c r="O40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Arsenal</v>
      </c>
      <c r="P40" s="18">
        <f>IF(Report[[#This Row],[FT]]="",,(LEFT(Report[[#This Row],[FT]],SEARCH("-",Report[[#This Row],[FT]])-1)*1))</f>
        <v>1</v>
      </c>
      <c r="Q40" s="22">
        <f>IF(Report[[#This Row],[FT]]="",,(RIGHT(Report[[#This Row],[FT]],SEARCH("-",Report[[#This Row],[FT]])-1)*1))</f>
        <v>2</v>
      </c>
      <c r="R40" s="18" t="str">
        <f>IF(Report[Résultat FT]="","",IF(Report[Résultat FT]=Report[Résultats],"Gagné","Perdu"))</f>
        <v>Gagné</v>
      </c>
      <c r="S40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40" s="53">
        <f>IF(Report[[#This Row],[FT]]="","",IF(Report[[#This Row],[FT]]=Report[[#This Row],[Score 1]],1,0))</f>
        <v>1</v>
      </c>
      <c r="U40" s="53">
        <f>IF(Report[[#This Row],[FT]]="","",IF(Report[ [#This Row],[FT] ]=Report[[#This Row],[Score 2]],1,0))</f>
        <v>0</v>
      </c>
      <c r="V40" s="53">
        <f>IF(Report[[#This Row],[FT]]="","",IF(Report[[#This Row],[FT]]=Report[[#This Row],[Score 3]],1,0))</f>
        <v>0</v>
      </c>
      <c r="W40" s="53">
        <f>IF(Report[[#This Row],[FT]]="","",IF(Report[[#This Row],[FT]]=Report[[#This Row],[Score 4]],1,0))</f>
        <v>0</v>
      </c>
      <c r="X40" s="94">
        <f>IF(Report[[#This Row],[Résultat FT]]="",,IF(Report[[#This Row],[Résultat FT]]=Report[[#This Row],[Résultats]],(Suivi_Gain!$B$1*Report[[#This Row],[Cote FT]])-Suivi_Gain!$B$1,-Suivi_Gain!$B$1))</f>
        <v>1.2000000000000002</v>
      </c>
      <c r="Y40" s="94">
        <f>IF(Report[[#This Row],[FT]]="",,IF(Report[[#This Row],[FT]]=Report[[#This Row],[Score 1]],(Suivi_Gain!$G$1*Report[[#This Row],[Cote SE]])-Suivi_Gain!$G$1,-Suivi_Gain!$G$1))</f>
        <v>7.5</v>
      </c>
      <c r="Z40" s="65">
        <f>IF(Report[[#This Row],[FT]]="",,IF(Report[[#This Row],[FT]]=Report[[#This Row],[Score 2]],Suivi_Gain!$G$1*Report[[#This Row],[Cote SE]],-Suivi_Gain!$G$1))</f>
        <v>-1</v>
      </c>
      <c r="AA40" s="65">
        <f>IF(Report[[#This Row],[FT]]="",,IF(Report[[#This Row],[FT]]=Report[[#This Row],[Score 3]],Suivi_Gain!$G$1*Report[[#This Row],[Cote SE]],-Suivi_Gain!$G$1))</f>
        <v>-1</v>
      </c>
      <c r="AB40" s="65">
        <f>IF(Report[[#This Row],[FT]]="",,IF(Report[[#This Row],[FT]]=Report[[#This Row],[Score 4]],Suivi_Gain!$G$1*Report[[#This Row],[Cote SE]],-Suivi_Gain!$G$1))</f>
        <v>-1</v>
      </c>
      <c r="AC40" s="18" t="str">
        <f>IF(Report[[#This Row],[Résultats SE]]="Gagné",Report[[#This Row],[FT]],"")</f>
        <v>1-2</v>
      </c>
      <c r="AD40" s="18" t="str">
        <f>IF(AND(Report[[#This Row],[Résultats SE]]="Gagné",Report[[#This Row],[FT]]=Report[[#This Row],[Score 1]]),Report[[#This Row],[FT]],"")</f>
        <v>1-2</v>
      </c>
      <c r="AE40" s="18" t="str">
        <f>IF(AND(Report[[#This Row],[Résultats SE]]="Gagné",Report[[#This Row],[FT]]=Report[[#This Row],[Score 2]]),Report[[#This Row],[FT]],"")</f>
        <v/>
      </c>
      <c r="AF40" s="18" t="str">
        <f>IF(AND(Report[[#This Row],[Résultats SE]]="Gagné",Report[[#This Row],[FT]]=Report[[#This Row],[Score 3]]),Report[[#This Row],[FT]],"")</f>
        <v/>
      </c>
      <c r="AG40" s="18" t="str">
        <f>IF(AND(Report[[#This Row],[Résultats SE]]="Gagné",Report[[#This Row],[FT]]=Report[[#This Row],[Score 4]]),Report[[#This Row],[FT]],"")</f>
        <v/>
      </c>
    </row>
    <row r="41" spans="1:33" ht="20.100000000000001" customHeight="1" x14ac:dyDescent="0.25">
      <c r="A41" s="11">
        <v>43429</v>
      </c>
      <c r="B41" s="7" t="s">
        <v>66</v>
      </c>
      <c r="C41" s="7" t="s">
        <v>100</v>
      </c>
      <c r="D41" s="10" t="s">
        <v>194</v>
      </c>
      <c r="E41" s="10" t="s">
        <v>184</v>
      </c>
      <c r="F41" s="7" t="s">
        <v>829</v>
      </c>
      <c r="G41" s="8" t="s">
        <v>830</v>
      </c>
      <c r="H41" s="9" t="s">
        <v>826</v>
      </c>
      <c r="I41" s="9" t="s">
        <v>831</v>
      </c>
      <c r="J41" s="9" t="s">
        <v>832</v>
      </c>
      <c r="K41" s="9" t="s">
        <v>194</v>
      </c>
      <c r="L41" s="16" t="str">
        <f>IF(Report[Résultat FT]="","",IF(Report[Résultat FT]=Report[Résultats],"","-"))</f>
        <v>-</v>
      </c>
      <c r="M41" s="16" t="str">
        <f>IF(Report[[#This Row],[Résultat FT]]="","",IF(Report[[#This Row],[Résultats SE]]="Gagné","","-"))</f>
        <v>-</v>
      </c>
      <c r="N41" s="17" t="s">
        <v>827</v>
      </c>
      <c r="O41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Huddersfield</v>
      </c>
      <c r="P41" s="18">
        <f>IF(Report[[#This Row],[FT]]="",,(LEFT(Report[[#This Row],[FT]],SEARCH("-",Report[[#This Row],[FT]])-1)*1))</f>
        <v>0</v>
      </c>
      <c r="Q41" s="22">
        <f>IF(Report[[#This Row],[FT]]="",,(RIGHT(Report[[#This Row],[FT]],SEARCH("-",Report[[#This Row],[FT]])-1)*1))</f>
        <v>2</v>
      </c>
      <c r="R41" s="18" t="str">
        <f>IF(Report[Résultat FT]="","",IF(Report[Résultat FT]=Report[Résultats],"Gagné","Perdu"))</f>
        <v>Perdu</v>
      </c>
      <c r="S41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41" s="53">
        <f>IF(Report[[#This Row],[FT]]="","",IF(Report[[#This Row],[FT]]=Report[[#This Row],[Score 1]],1,0))</f>
        <v>0</v>
      </c>
      <c r="U41" s="53">
        <f>IF(Report[[#This Row],[FT]]="","",IF(Report[ [#This Row],[FT] ]=Report[[#This Row],[Score 2]],1,0))</f>
        <v>0</v>
      </c>
      <c r="V41" s="53">
        <f>IF(Report[[#This Row],[FT]]="","",IF(Report[[#This Row],[FT]]=Report[[#This Row],[Score 3]],1,0))</f>
        <v>0</v>
      </c>
      <c r="W41" s="53">
        <f>IF(Report[[#This Row],[FT]]="","",IF(Report[[#This Row],[FT]]=Report[[#This Row],[Score 4]],1,0))</f>
        <v>0</v>
      </c>
      <c r="X41" s="94">
        <f>IF(Report[[#This Row],[Résultat FT]]="",,IF(Report[[#This Row],[Résultat FT]]=Report[[#This Row],[Résultats]],(Suivi_Gain!$B$1*Report[[#This Row],[Cote FT]])-Suivi_Gain!$B$1,-Suivi_Gain!$B$1))</f>
        <v>-1</v>
      </c>
      <c r="Y41" s="94">
        <f>IF(Report[[#This Row],[FT]]="",,IF(Report[[#This Row],[FT]]=Report[[#This Row],[Score 1]],(Suivi_Gain!$G$1*Report[[#This Row],[Cote SE]])-Suivi_Gain!$G$1,-Suivi_Gain!$G$1))</f>
        <v>-1</v>
      </c>
      <c r="Z41" s="65">
        <f>IF(Report[[#This Row],[FT]]="",,IF(Report[[#This Row],[FT]]=Report[[#This Row],[Score 2]],Suivi_Gain!$G$1*Report[[#This Row],[Cote SE]],-Suivi_Gain!$G$1))</f>
        <v>-1</v>
      </c>
      <c r="AA41" s="65">
        <f>IF(Report[[#This Row],[FT]]="",,IF(Report[[#This Row],[FT]]=Report[[#This Row],[Score 3]],Suivi_Gain!$G$1*Report[[#This Row],[Cote SE]],-Suivi_Gain!$G$1))</f>
        <v>-1</v>
      </c>
      <c r="AB41" s="65">
        <f>IF(Report[[#This Row],[FT]]="",,IF(Report[[#This Row],[FT]]=Report[[#This Row],[Score 4]],Suivi_Gain!$G$1*Report[[#This Row],[Cote SE]],-Suivi_Gain!$G$1))</f>
        <v>-1</v>
      </c>
      <c r="AC41" s="18" t="str">
        <f>IF(Report[[#This Row],[Résultats SE]]="Gagné",Report[[#This Row],[FT]],"")</f>
        <v/>
      </c>
      <c r="AD41" s="18" t="str">
        <f>IF(AND(Report[[#This Row],[Résultats SE]]="Gagné",Report[[#This Row],[FT]]=Report[[#This Row],[Score 1]]),Report[[#This Row],[FT]],"")</f>
        <v/>
      </c>
      <c r="AE41" s="18" t="str">
        <f>IF(AND(Report[[#This Row],[Résultats SE]]="Gagné",Report[[#This Row],[FT]]=Report[[#This Row],[Score 2]]),Report[[#This Row],[FT]],"")</f>
        <v/>
      </c>
      <c r="AF41" s="18" t="str">
        <f>IF(AND(Report[[#This Row],[Résultats SE]]="Gagné",Report[[#This Row],[FT]]=Report[[#This Row],[Score 3]]),Report[[#This Row],[FT]],"")</f>
        <v/>
      </c>
      <c r="AG41" s="18" t="str">
        <f>IF(AND(Report[[#This Row],[Résultats SE]]="Gagné",Report[[#This Row],[FT]]=Report[[#This Row],[Score 4]]),Report[[#This Row],[FT]],"")</f>
        <v/>
      </c>
    </row>
    <row r="42" spans="1:33" ht="20.100000000000001" customHeight="1" x14ac:dyDescent="0.25">
      <c r="A42" s="11">
        <v>43429</v>
      </c>
      <c r="B42" s="7" t="s">
        <v>66</v>
      </c>
      <c r="C42" s="7" t="s">
        <v>101</v>
      </c>
      <c r="D42" s="10" t="s">
        <v>196</v>
      </c>
      <c r="E42" s="10" t="s">
        <v>197</v>
      </c>
      <c r="F42" s="7" t="s">
        <v>833</v>
      </c>
      <c r="G42" s="8" t="s">
        <v>834</v>
      </c>
      <c r="H42" s="9" t="s">
        <v>830</v>
      </c>
      <c r="I42" s="9" t="s">
        <v>825</v>
      </c>
      <c r="J42" s="9" t="s">
        <v>826</v>
      </c>
      <c r="K42" s="9" t="s">
        <v>233</v>
      </c>
      <c r="L42" s="16" t="str">
        <f>IF(Report[Résultat FT]="","",IF(Report[Résultat FT]=Report[Résultats],"","-"))</f>
        <v>-</v>
      </c>
      <c r="M42" s="16" t="str">
        <f>IF(Report[[#This Row],[Résultat FT]]="","",IF(Report[[#This Row],[Résultats SE]]="Gagné","","-"))</f>
        <v>-</v>
      </c>
      <c r="N42" s="17" t="s">
        <v>921</v>
      </c>
      <c r="O42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Aston Villa</v>
      </c>
      <c r="P42" s="18">
        <f>IF(Report[[#This Row],[FT]]="",,(LEFT(Report[[#This Row],[FT]],SEARCH("-",Report[[#This Row],[FT]])-1)*1))</f>
        <v>4</v>
      </c>
      <c r="Q42" s="22">
        <f>IF(Report[[#This Row],[FT]]="",,(RIGHT(Report[[#This Row],[FT]],SEARCH("-",Report[[#This Row],[FT]])-1)*1))</f>
        <v>2</v>
      </c>
      <c r="R42" s="18" t="str">
        <f>IF(Report[Résultat FT]="","",IF(Report[Résultat FT]=Report[Résultats],"Gagné","Perdu"))</f>
        <v>Perdu</v>
      </c>
      <c r="S42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42" s="53">
        <f>IF(Report[[#This Row],[FT]]="","",IF(Report[[#This Row],[FT]]=Report[[#This Row],[Score 1]],1,0))</f>
        <v>0</v>
      </c>
      <c r="U42" s="53">
        <f>IF(Report[[#This Row],[FT]]="","",IF(Report[ [#This Row],[FT] ]=Report[[#This Row],[Score 2]],1,0))</f>
        <v>0</v>
      </c>
      <c r="V42" s="53">
        <f>IF(Report[[#This Row],[FT]]="","",IF(Report[[#This Row],[FT]]=Report[[#This Row],[Score 3]],1,0))</f>
        <v>0</v>
      </c>
      <c r="W42" s="53">
        <f>IF(Report[[#This Row],[FT]]="","",IF(Report[[#This Row],[FT]]=Report[[#This Row],[Score 4]],1,0))</f>
        <v>0</v>
      </c>
      <c r="X42" s="94">
        <f>IF(Report[[#This Row],[Résultat FT]]="",,IF(Report[[#This Row],[Résultat FT]]=Report[[#This Row],[Résultats]],(Suivi_Gain!$B$1*Report[[#This Row],[Cote FT]])-Suivi_Gain!$B$1,-Suivi_Gain!$B$1))</f>
        <v>-1</v>
      </c>
      <c r="Y42" s="94">
        <f>IF(Report[[#This Row],[FT]]="",,IF(Report[[#This Row],[FT]]=Report[[#This Row],[Score 1]],(Suivi_Gain!$G$1*Report[[#This Row],[Cote SE]])-Suivi_Gain!$G$1,-Suivi_Gain!$G$1))</f>
        <v>-1</v>
      </c>
      <c r="Z42" s="65">
        <f>IF(Report[[#This Row],[FT]]="",,IF(Report[[#This Row],[FT]]=Report[[#This Row],[Score 2]],Suivi_Gain!$G$1*Report[[#This Row],[Cote SE]],-Suivi_Gain!$G$1))</f>
        <v>-1</v>
      </c>
      <c r="AA42" s="65">
        <f>IF(Report[[#This Row],[FT]]="",,IF(Report[[#This Row],[FT]]=Report[[#This Row],[Score 3]],Suivi_Gain!$G$1*Report[[#This Row],[Cote SE]],-Suivi_Gain!$G$1))</f>
        <v>-1</v>
      </c>
      <c r="AB42" s="65">
        <f>IF(Report[[#This Row],[FT]]="",,IF(Report[[#This Row],[FT]]=Report[[#This Row],[Score 4]],Suivi_Gain!$G$1*Report[[#This Row],[Cote SE]],-Suivi_Gain!$G$1))</f>
        <v>-1</v>
      </c>
      <c r="AC42" s="18" t="str">
        <f>IF(Report[[#This Row],[Résultats SE]]="Gagné",Report[[#This Row],[FT]],"")</f>
        <v/>
      </c>
      <c r="AD42" s="18" t="str">
        <f>IF(AND(Report[[#This Row],[Résultats SE]]="Gagné",Report[[#This Row],[FT]]=Report[[#This Row],[Score 1]]),Report[[#This Row],[FT]],"")</f>
        <v/>
      </c>
      <c r="AE42" s="18" t="str">
        <f>IF(AND(Report[[#This Row],[Résultats SE]]="Gagné",Report[[#This Row],[FT]]=Report[[#This Row],[Score 2]]),Report[[#This Row],[FT]],"")</f>
        <v/>
      </c>
      <c r="AF42" s="18" t="str">
        <f>IF(AND(Report[[#This Row],[Résultats SE]]="Gagné",Report[[#This Row],[FT]]=Report[[#This Row],[Score 3]]),Report[[#This Row],[FT]],"")</f>
        <v/>
      </c>
      <c r="AG42" s="18" t="str">
        <f>IF(AND(Report[[#This Row],[Résultats SE]]="Gagné",Report[[#This Row],[FT]]=Report[[#This Row],[Score 4]]),Report[[#This Row],[FT]],"")</f>
        <v/>
      </c>
    </row>
    <row r="43" spans="1:33" ht="20.100000000000001" customHeight="1" x14ac:dyDescent="0.25">
      <c r="A43" s="11">
        <v>43429</v>
      </c>
      <c r="B43" s="7" t="s">
        <v>223</v>
      </c>
      <c r="C43" s="7" t="s">
        <v>133</v>
      </c>
      <c r="D43" s="10" t="s">
        <v>257</v>
      </c>
      <c r="E43" s="10" t="s">
        <v>258</v>
      </c>
      <c r="F43" s="7" t="s">
        <v>824</v>
      </c>
      <c r="G43" s="8" t="s">
        <v>825</v>
      </c>
      <c r="H43" s="9" t="s">
        <v>826</v>
      </c>
      <c r="I43" s="9" t="s">
        <v>827</v>
      </c>
      <c r="J43" s="9" t="s">
        <v>828</v>
      </c>
      <c r="K43" s="9" t="s">
        <v>258</v>
      </c>
      <c r="L43" s="16" t="str">
        <f>IF(Report[Résultat FT]="","",IF(Report[Résultat FT]=Report[Résultats],"","-"))</f>
        <v>-</v>
      </c>
      <c r="M43" s="16" t="str">
        <f>IF(Report[[#This Row],[Résultat FT]]="","",IF(Report[[#This Row],[Résultats SE]]="Gagné","","-"))</f>
        <v>-</v>
      </c>
      <c r="N43" s="17" t="s">
        <v>831</v>
      </c>
      <c r="O43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Gandzasar</v>
      </c>
      <c r="P43" s="18">
        <f>IF(Report[[#This Row],[FT]]="",,(LEFT(Report[[#This Row],[FT]],SEARCH("-",Report[[#This Row],[FT]])-1)*1))</f>
        <v>2</v>
      </c>
      <c r="Q43" s="22">
        <f>IF(Report[[#This Row],[FT]]="",,(RIGHT(Report[[#This Row],[FT]],SEARCH("-",Report[[#This Row],[FT]])-1)*1))</f>
        <v>0</v>
      </c>
      <c r="R43" s="18" t="str">
        <f>IF(Report[Résultat FT]="","",IF(Report[Résultat FT]=Report[Résultats],"Gagné","Perdu"))</f>
        <v>Perdu</v>
      </c>
      <c r="S43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43" s="53">
        <f>IF(Report[[#This Row],[FT]]="","",IF(Report[[#This Row],[FT]]=Report[[#This Row],[Score 1]],1,0))</f>
        <v>0</v>
      </c>
      <c r="U43" s="53">
        <f>IF(Report[[#This Row],[FT]]="","",IF(Report[ [#This Row],[FT] ]=Report[[#This Row],[Score 2]],1,0))</f>
        <v>0</v>
      </c>
      <c r="V43" s="53">
        <f>IF(Report[[#This Row],[FT]]="","",IF(Report[[#This Row],[FT]]=Report[[#This Row],[Score 3]],1,0))</f>
        <v>0</v>
      </c>
      <c r="W43" s="53">
        <f>IF(Report[[#This Row],[FT]]="","",IF(Report[[#This Row],[FT]]=Report[[#This Row],[Score 4]],1,0))</f>
        <v>0</v>
      </c>
      <c r="X43" s="94">
        <f>IF(Report[[#This Row],[Résultat FT]]="",,IF(Report[[#This Row],[Résultat FT]]=Report[[#This Row],[Résultats]],(Suivi_Gain!$B$1*Report[[#This Row],[Cote FT]])-Suivi_Gain!$B$1,-Suivi_Gain!$B$1))</f>
        <v>-1</v>
      </c>
      <c r="Y43" s="94">
        <f>IF(Report[[#This Row],[FT]]="",,IF(Report[[#This Row],[FT]]=Report[[#This Row],[Score 1]],(Suivi_Gain!$G$1*Report[[#This Row],[Cote SE]])-Suivi_Gain!$G$1,-Suivi_Gain!$G$1))</f>
        <v>-1</v>
      </c>
      <c r="Z43" s="65">
        <f>IF(Report[[#This Row],[FT]]="",,IF(Report[[#This Row],[FT]]=Report[[#This Row],[Score 2]],Suivi_Gain!$G$1*Report[[#This Row],[Cote SE]],-Suivi_Gain!$G$1))</f>
        <v>-1</v>
      </c>
      <c r="AA43" s="65">
        <f>IF(Report[[#This Row],[FT]]="",,IF(Report[[#This Row],[FT]]=Report[[#This Row],[Score 3]],Suivi_Gain!$G$1*Report[[#This Row],[Cote SE]],-Suivi_Gain!$G$1))</f>
        <v>-1</v>
      </c>
      <c r="AB43" s="65">
        <f>IF(Report[[#This Row],[FT]]="",,IF(Report[[#This Row],[FT]]=Report[[#This Row],[Score 4]],Suivi_Gain!$G$1*Report[[#This Row],[Cote SE]],-Suivi_Gain!$G$1))</f>
        <v>-1</v>
      </c>
      <c r="AC43" s="18" t="str">
        <f>IF(Report[[#This Row],[Résultats SE]]="Gagné",Report[[#This Row],[FT]],"")</f>
        <v/>
      </c>
      <c r="AD43" s="18" t="str">
        <f>IF(AND(Report[[#This Row],[Résultats SE]]="Gagné",Report[[#This Row],[FT]]=Report[[#This Row],[Score 1]]),Report[[#This Row],[FT]],"")</f>
        <v/>
      </c>
      <c r="AE43" s="18" t="str">
        <f>IF(AND(Report[[#This Row],[Résultats SE]]="Gagné",Report[[#This Row],[FT]]=Report[[#This Row],[Score 2]]),Report[[#This Row],[FT]],"")</f>
        <v/>
      </c>
      <c r="AF43" s="18" t="str">
        <f>IF(AND(Report[[#This Row],[Résultats SE]]="Gagné",Report[[#This Row],[FT]]=Report[[#This Row],[Score 3]]),Report[[#This Row],[FT]],"")</f>
        <v/>
      </c>
      <c r="AG43" s="18" t="str">
        <f>IF(AND(Report[[#This Row],[Résultats SE]]="Gagné",Report[[#This Row],[FT]]=Report[[#This Row],[Score 4]]),Report[[#This Row],[FT]],"")</f>
        <v/>
      </c>
    </row>
    <row r="44" spans="1:33" ht="20.100000000000001" customHeight="1" x14ac:dyDescent="0.25">
      <c r="A44" s="11">
        <v>43429</v>
      </c>
      <c r="B44" s="7" t="s">
        <v>223</v>
      </c>
      <c r="C44" s="7" t="s">
        <v>133</v>
      </c>
      <c r="D44" s="10" t="s">
        <v>259</v>
      </c>
      <c r="E44" s="10" t="s">
        <v>253</v>
      </c>
      <c r="F44" s="7" t="s">
        <v>829</v>
      </c>
      <c r="G44" s="8" t="s">
        <v>830</v>
      </c>
      <c r="H44" s="9" t="s">
        <v>826</v>
      </c>
      <c r="I44" s="9" t="s">
        <v>831</v>
      </c>
      <c r="J44" s="9" t="s">
        <v>832</v>
      </c>
      <c r="K44" s="9" t="s">
        <v>259</v>
      </c>
      <c r="L44" s="16" t="str">
        <f>IF(Report[Résultat FT]="","",IF(Report[Résultat FT]=Report[Résultats],"","-"))</f>
        <v>-</v>
      </c>
      <c r="M44" s="16" t="str">
        <f>IF(Report[[#This Row],[Résultat FT]]="","",IF(Report[[#This Row],[Résultats SE]]="Gagné","","-"))</f>
        <v>-</v>
      </c>
      <c r="N44" s="17" t="s">
        <v>825</v>
      </c>
      <c r="O44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Ararat</v>
      </c>
      <c r="P44" s="18">
        <f>IF(Report[[#This Row],[FT]]="",,(LEFT(Report[[#This Row],[FT]],SEARCH("-",Report[[#This Row],[FT]])-1)*1))</f>
        <v>0</v>
      </c>
      <c r="Q44" s="22">
        <f>IF(Report[[#This Row],[FT]]="",,(RIGHT(Report[[#This Row],[FT]],SEARCH("-",Report[[#This Row],[FT]])-1)*1))</f>
        <v>1</v>
      </c>
      <c r="R44" s="18" t="str">
        <f>IF(Report[Résultat FT]="","",IF(Report[Résultat FT]=Report[Résultats],"Gagné","Perdu"))</f>
        <v>Perdu</v>
      </c>
      <c r="S44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44" s="53">
        <f>IF(Report[[#This Row],[FT]]="","",IF(Report[[#This Row],[FT]]=Report[[#This Row],[Score 1]],1,0))</f>
        <v>0</v>
      </c>
      <c r="U44" s="53">
        <f>IF(Report[[#This Row],[FT]]="","",IF(Report[ [#This Row],[FT] ]=Report[[#This Row],[Score 2]],1,0))</f>
        <v>0</v>
      </c>
      <c r="V44" s="53">
        <f>IF(Report[[#This Row],[FT]]="","",IF(Report[[#This Row],[FT]]=Report[[#This Row],[Score 3]],1,0))</f>
        <v>0</v>
      </c>
      <c r="W44" s="53">
        <f>IF(Report[[#This Row],[FT]]="","",IF(Report[[#This Row],[FT]]=Report[[#This Row],[Score 4]],1,0))</f>
        <v>0</v>
      </c>
      <c r="X44" s="94">
        <f>IF(Report[[#This Row],[Résultat FT]]="",,IF(Report[[#This Row],[Résultat FT]]=Report[[#This Row],[Résultats]],(Suivi_Gain!$B$1*Report[[#This Row],[Cote FT]])-Suivi_Gain!$B$1,-Suivi_Gain!$B$1))</f>
        <v>-1</v>
      </c>
      <c r="Y44" s="94">
        <f>IF(Report[[#This Row],[FT]]="",,IF(Report[[#This Row],[FT]]=Report[[#This Row],[Score 1]],(Suivi_Gain!$G$1*Report[[#This Row],[Cote SE]])-Suivi_Gain!$G$1,-Suivi_Gain!$G$1))</f>
        <v>-1</v>
      </c>
      <c r="Z44" s="65">
        <f>IF(Report[[#This Row],[FT]]="",,IF(Report[[#This Row],[FT]]=Report[[#This Row],[Score 2]],Suivi_Gain!$G$1*Report[[#This Row],[Cote SE]],-Suivi_Gain!$G$1))</f>
        <v>-1</v>
      </c>
      <c r="AA44" s="65">
        <f>IF(Report[[#This Row],[FT]]="",,IF(Report[[#This Row],[FT]]=Report[[#This Row],[Score 3]],Suivi_Gain!$G$1*Report[[#This Row],[Cote SE]],-Suivi_Gain!$G$1))</f>
        <v>-1</v>
      </c>
      <c r="AB44" s="65">
        <f>IF(Report[[#This Row],[FT]]="",,IF(Report[[#This Row],[FT]]=Report[[#This Row],[Score 4]],Suivi_Gain!$G$1*Report[[#This Row],[Cote SE]],-Suivi_Gain!$G$1))</f>
        <v>-1</v>
      </c>
      <c r="AC44" s="18" t="str">
        <f>IF(Report[[#This Row],[Résultats SE]]="Gagné",Report[[#This Row],[FT]],"")</f>
        <v/>
      </c>
      <c r="AD44" s="18" t="str">
        <f>IF(AND(Report[[#This Row],[Résultats SE]]="Gagné",Report[[#This Row],[FT]]=Report[[#This Row],[Score 1]]),Report[[#This Row],[FT]],"")</f>
        <v/>
      </c>
      <c r="AE44" s="18" t="str">
        <f>IF(AND(Report[[#This Row],[Résultats SE]]="Gagné",Report[[#This Row],[FT]]=Report[[#This Row],[Score 2]]),Report[[#This Row],[FT]],"")</f>
        <v/>
      </c>
      <c r="AF44" s="18" t="str">
        <f>IF(AND(Report[[#This Row],[Résultats SE]]="Gagné",Report[[#This Row],[FT]]=Report[[#This Row],[Score 3]]),Report[[#This Row],[FT]],"")</f>
        <v/>
      </c>
      <c r="AG44" s="18" t="str">
        <f>IF(AND(Report[[#This Row],[Résultats SE]]="Gagné",Report[[#This Row],[FT]]=Report[[#This Row],[Score 4]]),Report[[#This Row],[FT]],"")</f>
        <v/>
      </c>
    </row>
    <row r="45" spans="1:33" ht="20.100000000000001" customHeight="1" x14ac:dyDescent="0.25">
      <c r="A45" s="11">
        <v>43429</v>
      </c>
      <c r="B45" s="7" t="s">
        <v>70</v>
      </c>
      <c r="C45" s="7" t="s">
        <v>106</v>
      </c>
      <c r="D45" s="10" t="s">
        <v>448</v>
      </c>
      <c r="E45" s="10" t="s">
        <v>457</v>
      </c>
      <c r="F45" s="7" t="s">
        <v>833</v>
      </c>
      <c r="G45" s="8" t="s">
        <v>834</v>
      </c>
      <c r="H45" s="9" t="s">
        <v>830</v>
      </c>
      <c r="I45" s="9" t="s">
        <v>825</v>
      </c>
      <c r="J45" s="9" t="s">
        <v>826</v>
      </c>
      <c r="K45" s="9" t="s">
        <v>233</v>
      </c>
      <c r="L45" s="16" t="str">
        <f>IF(Report[Résultat FT]="","",IF(Report[Résultat FT]=Report[Résultats],"","-"))</f>
        <v>-</v>
      </c>
      <c r="M45" s="16" t="str">
        <f>IF(Report[[#This Row],[Résultat FT]]="","",IF(Report[[#This Row],[Résultats SE]]="Gagné","","-"))</f>
        <v>-</v>
      </c>
      <c r="N45" s="17" t="s">
        <v>827</v>
      </c>
      <c r="O45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Sturm Graz</v>
      </c>
      <c r="P45" s="18">
        <f>IF(Report[[#This Row],[FT]]="",,(LEFT(Report[[#This Row],[FT]],SEARCH("-",Report[[#This Row],[FT]])-1)*1))</f>
        <v>0</v>
      </c>
      <c r="Q45" s="22">
        <f>IF(Report[[#This Row],[FT]]="",,(RIGHT(Report[[#This Row],[FT]],SEARCH("-",Report[[#This Row],[FT]])-1)*1))</f>
        <v>2</v>
      </c>
      <c r="R45" s="18" t="str">
        <f>IF(Report[Résultat FT]="","",IF(Report[Résultat FT]=Report[Résultats],"Gagné","Perdu"))</f>
        <v>Perdu</v>
      </c>
      <c r="S45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45" s="53">
        <f>IF(Report[[#This Row],[FT]]="","",IF(Report[[#This Row],[FT]]=Report[[#This Row],[Score 1]],1,0))</f>
        <v>0</v>
      </c>
      <c r="U45" s="53">
        <f>IF(Report[[#This Row],[FT]]="","",IF(Report[ [#This Row],[FT] ]=Report[[#This Row],[Score 2]],1,0))</f>
        <v>0</v>
      </c>
      <c r="V45" s="53">
        <f>IF(Report[[#This Row],[FT]]="","",IF(Report[[#This Row],[FT]]=Report[[#This Row],[Score 3]],1,0))</f>
        <v>0</v>
      </c>
      <c r="W45" s="53">
        <f>IF(Report[[#This Row],[FT]]="","",IF(Report[[#This Row],[FT]]=Report[[#This Row],[Score 4]],1,0))</f>
        <v>0</v>
      </c>
      <c r="X45" s="94">
        <f>IF(Report[[#This Row],[Résultat FT]]="",,IF(Report[[#This Row],[Résultat FT]]=Report[[#This Row],[Résultats]],(Suivi_Gain!$B$1*Report[[#This Row],[Cote FT]])-Suivi_Gain!$B$1,-Suivi_Gain!$B$1))</f>
        <v>-1</v>
      </c>
      <c r="Y45" s="94">
        <f>IF(Report[[#This Row],[FT]]="",,IF(Report[[#This Row],[FT]]=Report[[#This Row],[Score 1]],(Suivi_Gain!$G$1*Report[[#This Row],[Cote SE]])-Suivi_Gain!$G$1,-Suivi_Gain!$G$1))</f>
        <v>-1</v>
      </c>
      <c r="Z45" s="65">
        <f>IF(Report[[#This Row],[FT]]="",,IF(Report[[#This Row],[FT]]=Report[[#This Row],[Score 2]],Suivi_Gain!$G$1*Report[[#This Row],[Cote SE]],-Suivi_Gain!$G$1))</f>
        <v>-1</v>
      </c>
      <c r="AA45" s="65">
        <f>IF(Report[[#This Row],[FT]]="",,IF(Report[[#This Row],[FT]]=Report[[#This Row],[Score 3]],Suivi_Gain!$G$1*Report[[#This Row],[Cote SE]],-Suivi_Gain!$G$1))</f>
        <v>-1</v>
      </c>
      <c r="AB45" s="65">
        <f>IF(Report[[#This Row],[FT]]="",,IF(Report[[#This Row],[FT]]=Report[[#This Row],[Score 4]],Suivi_Gain!$G$1*Report[[#This Row],[Cote SE]],-Suivi_Gain!$G$1))</f>
        <v>-1</v>
      </c>
      <c r="AC45" s="18" t="str">
        <f>IF(Report[[#This Row],[Résultats SE]]="Gagné",Report[[#This Row],[FT]],"")</f>
        <v/>
      </c>
      <c r="AD45" s="18" t="str">
        <f>IF(AND(Report[[#This Row],[Résultats SE]]="Gagné",Report[[#This Row],[FT]]=Report[[#This Row],[Score 1]]),Report[[#This Row],[FT]],"")</f>
        <v/>
      </c>
      <c r="AE45" s="18" t="str">
        <f>IF(AND(Report[[#This Row],[Résultats SE]]="Gagné",Report[[#This Row],[FT]]=Report[[#This Row],[Score 2]]),Report[[#This Row],[FT]],"")</f>
        <v/>
      </c>
      <c r="AF45" s="18" t="str">
        <f>IF(AND(Report[[#This Row],[Résultats SE]]="Gagné",Report[[#This Row],[FT]]=Report[[#This Row],[Score 3]]),Report[[#This Row],[FT]],"")</f>
        <v/>
      </c>
      <c r="AG45" s="18" t="str">
        <f>IF(AND(Report[[#This Row],[Résultats SE]]="Gagné",Report[[#This Row],[FT]]=Report[[#This Row],[Score 4]]),Report[[#This Row],[FT]],"")</f>
        <v/>
      </c>
    </row>
    <row r="46" spans="1:33" ht="20.100000000000001" customHeight="1" x14ac:dyDescent="0.25">
      <c r="A46" s="11">
        <v>43429</v>
      </c>
      <c r="B46" s="7" t="s">
        <v>70</v>
      </c>
      <c r="C46" s="7" t="s">
        <v>106</v>
      </c>
      <c r="D46" s="10" t="s">
        <v>456</v>
      </c>
      <c r="E46" s="10" t="s">
        <v>451</v>
      </c>
      <c r="F46" s="7" t="s">
        <v>829</v>
      </c>
      <c r="G46" s="8" t="s">
        <v>830</v>
      </c>
      <c r="H46" s="9" t="s">
        <v>826</v>
      </c>
      <c r="I46" s="9" t="s">
        <v>831</v>
      </c>
      <c r="J46" s="9" t="s">
        <v>832</v>
      </c>
      <c r="K46" s="9" t="s">
        <v>456</v>
      </c>
      <c r="L46" s="16">
        <v>2.1</v>
      </c>
      <c r="M46" s="16">
        <v>10</v>
      </c>
      <c r="N46" s="17" t="s">
        <v>831</v>
      </c>
      <c r="O46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St. Polten</v>
      </c>
      <c r="P46" s="18">
        <f>IF(Report[[#This Row],[FT]]="",,(LEFT(Report[[#This Row],[FT]],SEARCH("-",Report[[#This Row],[FT]])-1)*1))</f>
        <v>2</v>
      </c>
      <c r="Q46" s="22">
        <f>IF(Report[[#This Row],[FT]]="",,(RIGHT(Report[[#This Row],[FT]],SEARCH("-",Report[[#This Row],[FT]])-1)*1))</f>
        <v>0</v>
      </c>
      <c r="R46" s="18" t="str">
        <f>IF(Report[Résultat FT]="","",IF(Report[Résultat FT]=Report[Résultats],"Gagné","Perdu"))</f>
        <v>Gagné</v>
      </c>
      <c r="S46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46" s="53">
        <f>IF(Report[[#This Row],[FT]]="","",IF(Report[[#This Row],[FT]]=Report[[#This Row],[Score 1]],1,0))</f>
        <v>0</v>
      </c>
      <c r="U46" s="53">
        <f>IF(Report[[#This Row],[FT]]="","",IF(Report[ [#This Row],[FT] ]=Report[[#This Row],[Score 2]],1,0))</f>
        <v>0</v>
      </c>
      <c r="V46" s="53">
        <f>IF(Report[[#This Row],[FT]]="","",IF(Report[[#This Row],[FT]]=Report[[#This Row],[Score 3]],1,0))</f>
        <v>1</v>
      </c>
      <c r="W46" s="53">
        <f>IF(Report[[#This Row],[FT]]="","",IF(Report[[#This Row],[FT]]=Report[[#This Row],[Score 4]],1,0))</f>
        <v>0</v>
      </c>
      <c r="X46" s="94">
        <f>IF(Report[[#This Row],[Résultat FT]]="",,IF(Report[[#This Row],[Résultat FT]]=Report[[#This Row],[Résultats]],(Suivi_Gain!$B$1*Report[[#This Row],[Cote FT]])-Suivi_Gain!$B$1,-Suivi_Gain!$B$1))</f>
        <v>1.1000000000000001</v>
      </c>
      <c r="Y46" s="94">
        <f>IF(Report[[#This Row],[FT]]="",,IF(Report[[#This Row],[FT]]=Report[[#This Row],[Score 1]],(Suivi_Gain!$G$1*Report[[#This Row],[Cote SE]])-Suivi_Gain!$G$1,-Suivi_Gain!$G$1))</f>
        <v>-1</v>
      </c>
      <c r="Z46" s="65">
        <f>IF(Report[[#This Row],[FT]]="",,IF(Report[[#This Row],[FT]]=Report[[#This Row],[Score 2]],Suivi_Gain!$G$1*Report[[#This Row],[Cote SE]],-Suivi_Gain!$G$1))</f>
        <v>-1</v>
      </c>
      <c r="AA46" s="65">
        <f>IF(Report[[#This Row],[FT]]="",,IF(Report[[#This Row],[FT]]=Report[[#This Row],[Score 3]],Suivi_Gain!$G$1*Report[[#This Row],[Cote SE]],-Suivi_Gain!$G$1))</f>
        <v>10</v>
      </c>
      <c r="AB46" s="65">
        <f>IF(Report[[#This Row],[FT]]="",,IF(Report[[#This Row],[FT]]=Report[[#This Row],[Score 4]],Suivi_Gain!$G$1*Report[[#This Row],[Cote SE]],-Suivi_Gain!$G$1))</f>
        <v>-1</v>
      </c>
      <c r="AC46" s="18" t="str">
        <f>IF(Report[[#This Row],[Résultats SE]]="Gagné",Report[[#This Row],[FT]],"")</f>
        <v>2-0</v>
      </c>
      <c r="AD46" s="18" t="str">
        <f>IF(AND(Report[[#This Row],[Résultats SE]]="Gagné",Report[[#This Row],[FT]]=Report[[#This Row],[Score 1]]),Report[[#This Row],[FT]],"")</f>
        <v/>
      </c>
      <c r="AE46" s="18" t="str">
        <f>IF(AND(Report[[#This Row],[Résultats SE]]="Gagné",Report[[#This Row],[FT]]=Report[[#This Row],[Score 2]]),Report[[#This Row],[FT]],"")</f>
        <v/>
      </c>
      <c r="AF46" s="18" t="str">
        <f>IF(AND(Report[[#This Row],[Résultats SE]]="Gagné",Report[[#This Row],[FT]]=Report[[#This Row],[Score 3]]),Report[[#This Row],[FT]],"")</f>
        <v>2-0</v>
      </c>
      <c r="AG46" s="18" t="str">
        <f>IF(AND(Report[[#This Row],[Résultats SE]]="Gagné",Report[[#This Row],[FT]]=Report[[#This Row],[Score 4]]),Report[[#This Row],[FT]],"")</f>
        <v/>
      </c>
    </row>
    <row r="47" spans="1:33" ht="20.100000000000001" customHeight="1" x14ac:dyDescent="0.25">
      <c r="A47" s="11">
        <v>43429</v>
      </c>
      <c r="B47" s="7" t="s">
        <v>70</v>
      </c>
      <c r="C47" s="7" t="s">
        <v>106</v>
      </c>
      <c r="D47" s="19" t="s">
        <v>454</v>
      </c>
      <c r="E47" s="19" t="s">
        <v>452</v>
      </c>
      <c r="F47" s="7" t="s">
        <v>824</v>
      </c>
      <c r="G47" s="20" t="s">
        <v>825</v>
      </c>
      <c r="H47" s="20" t="s">
        <v>826</v>
      </c>
      <c r="I47" s="20" t="s">
        <v>827</v>
      </c>
      <c r="J47" s="20" t="s">
        <v>828</v>
      </c>
      <c r="K47" s="9" t="s">
        <v>452</v>
      </c>
      <c r="L47" s="16">
        <v>2.6</v>
      </c>
      <c r="M47" s="16">
        <v>10</v>
      </c>
      <c r="N47" s="17" t="s">
        <v>825</v>
      </c>
      <c r="O47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LASK Linz</v>
      </c>
      <c r="P47" s="18">
        <f>IF(Report[[#This Row],[FT]]="",,(LEFT(Report[[#This Row],[FT]],SEARCH("-",Report[[#This Row],[FT]])-1)*1))</f>
        <v>0</v>
      </c>
      <c r="Q47" s="22">
        <f>IF(Report[[#This Row],[FT]]="",,(RIGHT(Report[[#This Row],[FT]],SEARCH("-",Report[[#This Row],[FT]])-1)*1))</f>
        <v>1</v>
      </c>
      <c r="R47" s="18" t="str">
        <f>IF(Report[Résultat FT]="","",IF(Report[Résultat FT]=Report[Résultats],"Gagné","Perdu"))</f>
        <v>Gagné</v>
      </c>
      <c r="S47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47" s="53">
        <f>IF(Report[[#This Row],[FT]]="","",IF(Report[[#This Row],[FT]]=Report[[#This Row],[Score 1]],1,0))</f>
        <v>1</v>
      </c>
      <c r="U47" s="53">
        <f>IF(Report[[#This Row],[FT]]="","",IF(Report[ [#This Row],[FT] ]=Report[[#This Row],[Score 2]],1,0))</f>
        <v>0</v>
      </c>
      <c r="V47" s="53">
        <f>IF(Report[[#This Row],[FT]]="","",IF(Report[[#This Row],[FT]]=Report[[#This Row],[Score 3]],1,0))</f>
        <v>0</v>
      </c>
      <c r="W47" s="53">
        <f>IF(Report[[#This Row],[FT]]="","",IF(Report[[#This Row],[FT]]=Report[[#This Row],[Score 4]],1,0))</f>
        <v>0</v>
      </c>
      <c r="X47" s="94">
        <f>IF(Report[[#This Row],[Résultat FT]]="",,IF(Report[[#This Row],[Résultat FT]]=Report[[#This Row],[Résultats]],(Suivi_Gain!$B$1*Report[[#This Row],[Cote FT]])-Suivi_Gain!$B$1,-Suivi_Gain!$B$1))</f>
        <v>1.6</v>
      </c>
      <c r="Y47" s="94">
        <f>IF(Report[[#This Row],[FT]]="",,IF(Report[[#This Row],[FT]]=Report[[#This Row],[Score 1]],(Suivi_Gain!$G$1*Report[[#This Row],[Cote SE]])-Suivi_Gain!$G$1,-Suivi_Gain!$G$1))</f>
        <v>9</v>
      </c>
      <c r="Z47" s="65">
        <f>IF(Report[[#This Row],[FT]]="",,IF(Report[[#This Row],[FT]]=Report[[#This Row],[Score 2]],Suivi_Gain!$G$1*Report[[#This Row],[Cote SE]],-Suivi_Gain!$G$1))</f>
        <v>-1</v>
      </c>
      <c r="AA47" s="65">
        <f>IF(Report[[#This Row],[FT]]="",,IF(Report[[#This Row],[FT]]=Report[[#This Row],[Score 3]],Suivi_Gain!$G$1*Report[[#This Row],[Cote SE]],-Suivi_Gain!$G$1))</f>
        <v>-1</v>
      </c>
      <c r="AB47" s="65">
        <f>IF(Report[[#This Row],[FT]]="",,IF(Report[[#This Row],[FT]]=Report[[#This Row],[Score 4]],Suivi_Gain!$G$1*Report[[#This Row],[Cote SE]],-Suivi_Gain!$G$1))</f>
        <v>-1</v>
      </c>
      <c r="AC47" s="18" t="str">
        <f>IF(Report[[#This Row],[Résultats SE]]="Gagné",Report[[#This Row],[FT]],"")</f>
        <v>0-1</v>
      </c>
      <c r="AD47" s="18" t="str">
        <f>IF(AND(Report[[#This Row],[Résultats SE]]="Gagné",Report[[#This Row],[FT]]=Report[[#This Row],[Score 1]]),Report[[#This Row],[FT]],"")</f>
        <v>0-1</v>
      </c>
      <c r="AE47" s="18" t="str">
        <f>IF(AND(Report[[#This Row],[Résultats SE]]="Gagné",Report[[#This Row],[FT]]=Report[[#This Row],[Score 2]]),Report[[#This Row],[FT]],"")</f>
        <v/>
      </c>
      <c r="AF47" s="18" t="str">
        <f>IF(AND(Report[[#This Row],[Résultats SE]]="Gagné",Report[[#This Row],[FT]]=Report[[#This Row],[Score 3]]),Report[[#This Row],[FT]],"")</f>
        <v/>
      </c>
      <c r="AG47" s="18" t="str">
        <f>IF(AND(Report[[#This Row],[Résultats SE]]="Gagné",Report[[#This Row],[FT]]=Report[[#This Row],[Score 4]]),Report[[#This Row],[FT]],"")</f>
        <v/>
      </c>
    </row>
    <row r="48" spans="1:33" ht="20.100000000000001" customHeight="1" x14ac:dyDescent="0.25">
      <c r="A48" s="11">
        <v>43429</v>
      </c>
      <c r="B48" s="7" t="s">
        <v>72</v>
      </c>
      <c r="C48" s="7" t="s">
        <v>107</v>
      </c>
      <c r="D48" s="10" t="s">
        <v>466</v>
      </c>
      <c r="E48" s="10" t="s">
        <v>459</v>
      </c>
      <c r="F48" s="7" t="s">
        <v>843</v>
      </c>
      <c r="G48" s="8" t="s">
        <v>839</v>
      </c>
      <c r="H48" s="9" t="s">
        <v>834</v>
      </c>
      <c r="I48" s="9" t="s">
        <v>827</v>
      </c>
      <c r="J48" s="9" t="s">
        <v>825</v>
      </c>
      <c r="K48" s="9" t="s">
        <v>459</v>
      </c>
      <c r="L48" s="16" t="str">
        <f>IF(Report[Résultat FT]="","",IF(Report[Résultat FT]=Report[Résultats],"","-"))</f>
        <v>-</v>
      </c>
      <c r="M48" s="16" t="str">
        <f>IF(Report[[#This Row],[Résultat FT]]="","",IF(Report[[#This Row],[Résultats SE]]="Gagné","","-"))</f>
        <v>-</v>
      </c>
      <c r="N48" s="17" t="s">
        <v>826</v>
      </c>
      <c r="O48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48" s="18">
        <f>IF(Report[[#This Row],[FT]]="",,(LEFT(Report[[#This Row],[FT]],SEARCH("-",Report[[#This Row],[FT]])-1)*1))</f>
        <v>0</v>
      </c>
      <c r="Q48" s="22">
        <f>IF(Report[[#This Row],[FT]]="",,(RIGHT(Report[[#This Row],[FT]],SEARCH("-",Report[[#This Row],[FT]])-1)*1))</f>
        <v>0</v>
      </c>
      <c r="R48" s="18" t="str">
        <f>IF(Report[Résultat FT]="","",IF(Report[Résultat FT]=Report[Résultats],"Gagné","Perdu"))</f>
        <v>Perdu</v>
      </c>
      <c r="S48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48" s="53">
        <f>IF(Report[[#This Row],[FT]]="","",IF(Report[[#This Row],[FT]]=Report[[#This Row],[Score 1]],1,0))</f>
        <v>0</v>
      </c>
      <c r="U48" s="53">
        <f>IF(Report[[#This Row],[FT]]="","",IF(Report[ [#This Row],[FT] ]=Report[[#This Row],[Score 2]],1,0))</f>
        <v>0</v>
      </c>
      <c r="V48" s="53">
        <f>IF(Report[[#This Row],[FT]]="","",IF(Report[[#This Row],[FT]]=Report[[#This Row],[Score 3]],1,0))</f>
        <v>0</v>
      </c>
      <c r="W48" s="53">
        <f>IF(Report[[#This Row],[FT]]="","",IF(Report[[#This Row],[FT]]=Report[[#This Row],[Score 4]],1,0))</f>
        <v>0</v>
      </c>
      <c r="X48" s="94">
        <f>IF(Report[[#This Row],[Résultat FT]]="",,IF(Report[[#This Row],[Résultat FT]]=Report[[#This Row],[Résultats]],(Suivi_Gain!$B$1*Report[[#This Row],[Cote FT]])-Suivi_Gain!$B$1,-Suivi_Gain!$B$1))</f>
        <v>-1</v>
      </c>
      <c r="Y48" s="94">
        <f>IF(Report[[#This Row],[FT]]="",,IF(Report[[#This Row],[FT]]=Report[[#This Row],[Score 1]],(Suivi_Gain!$G$1*Report[[#This Row],[Cote SE]])-Suivi_Gain!$G$1,-Suivi_Gain!$G$1))</f>
        <v>-1</v>
      </c>
      <c r="Z48" s="65">
        <f>IF(Report[[#This Row],[FT]]="",,IF(Report[[#This Row],[FT]]=Report[[#This Row],[Score 2]],Suivi_Gain!$G$1*Report[[#This Row],[Cote SE]],-Suivi_Gain!$G$1))</f>
        <v>-1</v>
      </c>
      <c r="AA48" s="65">
        <f>IF(Report[[#This Row],[FT]]="",,IF(Report[[#This Row],[FT]]=Report[[#This Row],[Score 3]],Suivi_Gain!$G$1*Report[[#This Row],[Cote SE]],-Suivi_Gain!$G$1))</f>
        <v>-1</v>
      </c>
      <c r="AB48" s="65">
        <f>IF(Report[[#This Row],[FT]]="",,IF(Report[[#This Row],[FT]]=Report[[#This Row],[Score 4]],Suivi_Gain!$G$1*Report[[#This Row],[Cote SE]],-Suivi_Gain!$G$1))</f>
        <v>-1</v>
      </c>
      <c r="AC48" s="18" t="str">
        <f>IF(Report[[#This Row],[Résultats SE]]="Gagné",Report[[#This Row],[FT]],"")</f>
        <v/>
      </c>
      <c r="AD48" s="18" t="str">
        <f>IF(AND(Report[[#This Row],[Résultats SE]]="Gagné",Report[[#This Row],[FT]]=Report[[#This Row],[Score 1]]),Report[[#This Row],[FT]],"")</f>
        <v/>
      </c>
      <c r="AE48" s="18" t="str">
        <f>IF(AND(Report[[#This Row],[Résultats SE]]="Gagné",Report[[#This Row],[FT]]=Report[[#This Row],[Score 2]]),Report[[#This Row],[FT]],"")</f>
        <v/>
      </c>
      <c r="AF48" s="18" t="str">
        <f>IF(AND(Report[[#This Row],[Résultats SE]]="Gagné",Report[[#This Row],[FT]]=Report[[#This Row],[Score 3]]),Report[[#This Row],[FT]],"")</f>
        <v/>
      </c>
      <c r="AG48" s="18" t="str">
        <f>IF(AND(Report[[#This Row],[Résultats SE]]="Gagné",Report[[#This Row],[FT]]=Report[[#This Row],[Score 4]]),Report[[#This Row],[FT]],"")</f>
        <v/>
      </c>
    </row>
    <row r="49" spans="1:33" ht="20.100000000000001" customHeight="1" x14ac:dyDescent="0.25">
      <c r="A49" s="11">
        <v>43429</v>
      </c>
      <c r="B49" s="7" t="s">
        <v>72</v>
      </c>
      <c r="C49" s="7" t="s">
        <v>107</v>
      </c>
      <c r="D49" s="10" t="s">
        <v>470</v>
      </c>
      <c r="E49" s="10" t="s">
        <v>458</v>
      </c>
      <c r="F49" s="7" t="s">
        <v>833</v>
      </c>
      <c r="G49" s="8" t="s">
        <v>834</v>
      </c>
      <c r="H49" s="9" t="s">
        <v>830</v>
      </c>
      <c r="I49" s="9" t="s">
        <v>825</v>
      </c>
      <c r="J49" s="9" t="s">
        <v>826</v>
      </c>
      <c r="K49" s="9" t="s">
        <v>233</v>
      </c>
      <c r="L49" s="16" t="str">
        <f>IF(Report[Résultat FT]="","",IF(Report[Résultat FT]=Report[Résultats],"","-"))</f>
        <v>-</v>
      </c>
      <c r="M49" s="16" t="str">
        <f>IF(Report[[#This Row],[Résultat FT]]="","",IF(Report[[#This Row],[Résultats SE]]="Gagné","","-"))</f>
        <v>-</v>
      </c>
      <c r="N49" s="17" t="s">
        <v>921</v>
      </c>
      <c r="O49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Saint-Trond</v>
      </c>
      <c r="P49" s="18">
        <f>IF(Report[[#This Row],[FT]]="",,(LEFT(Report[[#This Row],[FT]],SEARCH("-",Report[[#This Row],[FT]])-1)*1))</f>
        <v>4</v>
      </c>
      <c r="Q49" s="22">
        <f>IF(Report[[#This Row],[FT]]="",,(RIGHT(Report[[#This Row],[FT]],SEARCH("-",Report[[#This Row],[FT]])-1)*1))</f>
        <v>2</v>
      </c>
      <c r="R49" s="18" t="str">
        <f>IF(Report[Résultat FT]="","",IF(Report[Résultat FT]=Report[Résultats],"Gagné","Perdu"))</f>
        <v>Perdu</v>
      </c>
      <c r="S49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49" s="53">
        <f>IF(Report[[#This Row],[FT]]="","",IF(Report[[#This Row],[FT]]=Report[[#This Row],[Score 1]],1,0))</f>
        <v>0</v>
      </c>
      <c r="U49" s="53">
        <f>IF(Report[[#This Row],[FT]]="","",IF(Report[ [#This Row],[FT] ]=Report[[#This Row],[Score 2]],1,0))</f>
        <v>0</v>
      </c>
      <c r="V49" s="53">
        <f>IF(Report[[#This Row],[FT]]="","",IF(Report[[#This Row],[FT]]=Report[[#This Row],[Score 3]],1,0))</f>
        <v>0</v>
      </c>
      <c r="W49" s="53">
        <f>IF(Report[[#This Row],[FT]]="","",IF(Report[[#This Row],[FT]]=Report[[#This Row],[Score 4]],1,0))</f>
        <v>0</v>
      </c>
      <c r="X49" s="94">
        <f>IF(Report[[#This Row],[Résultat FT]]="",,IF(Report[[#This Row],[Résultat FT]]=Report[[#This Row],[Résultats]],(Suivi_Gain!$B$1*Report[[#This Row],[Cote FT]])-Suivi_Gain!$B$1,-Suivi_Gain!$B$1))</f>
        <v>-1</v>
      </c>
      <c r="Y49" s="94">
        <f>IF(Report[[#This Row],[FT]]="",,IF(Report[[#This Row],[FT]]=Report[[#This Row],[Score 1]],(Suivi_Gain!$G$1*Report[[#This Row],[Cote SE]])-Suivi_Gain!$G$1,-Suivi_Gain!$G$1))</f>
        <v>-1</v>
      </c>
      <c r="Z49" s="65">
        <f>IF(Report[[#This Row],[FT]]="",,IF(Report[[#This Row],[FT]]=Report[[#This Row],[Score 2]],Suivi_Gain!$G$1*Report[[#This Row],[Cote SE]],-Suivi_Gain!$G$1))</f>
        <v>-1</v>
      </c>
      <c r="AA49" s="65">
        <f>IF(Report[[#This Row],[FT]]="",,IF(Report[[#This Row],[FT]]=Report[[#This Row],[Score 3]],Suivi_Gain!$G$1*Report[[#This Row],[Cote SE]],-Suivi_Gain!$G$1))</f>
        <v>-1</v>
      </c>
      <c r="AB49" s="65">
        <f>IF(Report[[#This Row],[FT]]="",,IF(Report[[#This Row],[FT]]=Report[[#This Row],[Score 4]],Suivi_Gain!$G$1*Report[[#This Row],[Cote SE]],-Suivi_Gain!$G$1))</f>
        <v>-1</v>
      </c>
      <c r="AC49" s="18" t="str">
        <f>IF(Report[[#This Row],[Résultats SE]]="Gagné",Report[[#This Row],[FT]],"")</f>
        <v/>
      </c>
      <c r="AD49" s="18" t="str">
        <f>IF(AND(Report[[#This Row],[Résultats SE]]="Gagné",Report[[#This Row],[FT]]=Report[[#This Row],[Score 1]]),Report[[#This Row],[FT]],"")</f>
        <v/>
      </c>
      <c r="AE49" s="18" t="str">
        <f>IF(AND(Report[[#This Row],[Résultats SE]]="Gagné",Report[[#This Row],[FT]]=Report[[#This Row],[Score 2]]),Report[[#This Row],[FT]],"")</f>
        <v/>
      </c>
      <c r="AF49" s="18" t="str">
        <f>IF(AND(Report[[#This Row],[Résultats SE]]="Gagné",Report[[#This Row],[FT]]=Report[[#This Row],[Score 3]]),Report[[#This Row],[FT]],"")</f>
        <v/>
      </c>
      <c r="AG49" s="18" t="str">
        <f>IF(AND(Report[[#This Row],[Résultats SE]]="Gagné",Report[[#This Row],[FT]]=Report[[#This Row],[Score 4]]),Report[[#This Row],[FT]],"")</f>
        <v/>
      </c>
    </row>
    <row r="50" spans="1:33" ht="20.100000000000001" customHeight="1" x14ac:dyDescent="0.25">
      <c r="A50" s="11">
        <v>43429</v>
      </c>
      <c r="B50" s="7" t="s">
        <v>72</v>
      </c>
      <c r="C50" s="7" t="s">
        <v>107</v>
      </c>
      <c r="D50" s="10" t="s">
        <v>467</v>
      </c>
      <c r="E50" s="10" t="s">
        <v>461</v>
      </c>
      <c r="F50" s="7" t="s">
        <v>835</v>
      </c>
      <c r="G50" s="8" t="s">
        <v>827</v>
      </c>
      <c r="H50" s="9" t="s">
        <v>825</v>
      </c>
      <c r="I50" s="9" t="s">
        <v>828</v>
      </c>
      <c r="J50" s="9" t="s">
        <v>826</v>
      </c>
      <c r="K50" s="9" t="s">
        <v>461</v>
      </c>
      <c r="L50" s="16">
        <v>1.96</v>
      </c>
      <c r="M50" s="16" t="str">
        <f>IF(Report[[#This Row],[Résultat FT]]="","",IF(Report[[#This Row],[Résultats SE]]="Gagné","","-"))</f>
        <v>-</v>
      </c>
      <c r="N50" s="17" t="s">
        <v>922</v>
      </c>
      <c r="O50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Charleroi</v>
      </c>
      <c r="P50" s="18">
        <f>IF(Report[[#This Row],[FT]]="",,(LEFT(Report[[#This Row],[FT]],SEARCH("-",Report[[#This Row],[FT]])-1)*1))</f>
        <v>2</v>
      </c>
      <c r="Q50" s="22">
        <f>IF(Report[[#This Row],[FT]]="",,(RIGHT(Report[[#This Row],[FT]],SEARCH("-",Report[[#This Row],[FT]])-1)*1))</f>
        <v>4</v>
      </c>
      <c r="R50" s="18" t="str">
        <f>IF(Report[Résultat FT]="","",IF(Report[Résultat FT]=Report[Résultats],"Gagné","Perdu"))</f>
        <v>Gagné</v>
      </c>
      <c r="S50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50" s="53">
        <f>IF(Report[[#This Row],[FT]]="","",IF(Report[[#This Row],[FT]]=Report[[#This Row],[Score 1]],1,0))</f>
        <v>0</v>
      </c>
      <c r="U50" s="53">
        <f>IF(Report[[#This Row],[FT]]="","",IF(Report[ [#This Row],[FT] ]=Report[[#This Row],[Score 2]],1,0))</f>
        <v>0</v>
      </c>
      <c r="V50" s="53">
        <f>IF(Report[[#This Row],[FT]]="","",IF(Report[[#This Row],[FT]]=Report[[#This Row],[Score 3]],1,0))</f>
        <v>0</v>
      </c>
      <c r="W50" s="53">
        <f>IF(Report[[#This Row],[FT]]="","",IF(Report[[#This Row],[FT]]=Report[[#This Row],[Score 4]],1,0))</f>
        <v>0</v>
      </c>
      <c r="X50" s="94">
        <f>IF(Report[[#This Row],[Résultat FT]]="",,IF(Report[[#This Row],[Résultat FT]]=Report[[#This Row],[Résultats]],(Suivi_Gain!$B$1*Report[[#This Row],[Cote FT]])-Suivi_Gain!$B$1,-Suivi_Gain!$B$1))</f>
        <v>0.96</v>
      </c>
      <c r="Y50" s="94">
        <f>IF(Report[[#This Row],[FT]]="",,IF(Report[[#This Row],[FT]]=Report[[#This Row],[Score 1]],(Suivi_Gain!$G$1*Report[[#This Row],[Cote SE]])-Suivi_Gain!$G$1,-Suivi_Gain!$G$1))</f>
        <v>-1</v>
      </c>
      <c r="Z50" s="65">
        <f>IF(Report[[#This Row],[FT]]="",,IF(Report[[#This Row],[FT]]=Report[[#This Row],[Score 2]],Suivi_Gain!$G$1*Report[[#This Row],[Cote SE]],-Suivi_Gain!$G$1))</f>
        <v>-1</v>
      </c>
      <c r="AA50" s="65">
        <f>IF(Report[[#This Row],[FT]]="",,IF(Report[[#This Row],[FT]]=Report[[#This Row],[Score 3]],Suivi_Gain!$G$1*Report[[#This Row],[Cote SE]],-Suivi_Gain!$G$1))</f>
        <v>-1</v>
      </c>
      <c r="AB50" s="65">
        <f>IF(Report[[#This Row],[FT]]="",,IF(Report[[#This Row],[FT]]=Report[[#This Row],[Score 4]],Suivi_Gain!$G$1*Report[[#This Row],[Cote SE]],-Suivi_Gain!$G$1))</f>
        <v>-1</v>
      </c>
      <c r="AC50" s="18" t="str">
        <f>IF(Report[[#This Row],[Résultats SE]]="Gagné",Report[[#This Row],[FT]],"")</f>
        <v/>
      </c>
      <c r="AD50" s="18" t="str">
        <f>IF(AND(Report[[#This Row],[Résultats SE]]="Gagné",Report[[#This Row],[FT]]=Report[[#This Row],[Score 1]]),Report[[#This Row],[FT]],"")</f>
        <v/>
      </c>
      <c r="AE50" s="18" t="str">
        <f>IF(AND(Report[[#This Row],[Résultats SE]]="Gagné",Report[[#This Row],[FT]]=Report[[#This Row],[Score 2]]),Report[[#This Row],[FT]],"")</f>
        <v/>
      </c>
      <c r="AF50" s="18" t="str">
        <f>IF(AND(Report[[#This Row],[Résultats SE]]="Gagné",Report[[#This Row],[FT]]=Report[[#This Row],[Score 3]]),Report[[#This Row],[FT]],"")</f>
        <v/>
      </c>
      <c r="AG50" s="18" t="str">
        <f>IF(AND(Report[[#This Row],[Résultats SE]]="Gagné",Report[[#This Row],[FT]]=Report[[#This Row],[Score 4]]),Report[[#This Row],[FT]],"")</f>
        <v/>
      </c>
    </row>
    <row r="51" spans="1:33" ht="20.100000000000001" customHeight="1" x14ac:dyDescent="0.25">
      <c r="A51" s="11">
        <v>43429</v>
      </c>
      <c r="B51" s="7" t="s">
        <v>221</v>
      </c>
      <c r="C51" s="7" t="s">
        <v>104</v>
      </c>
      <c r="D51" s="10" t="s">
        <v>521</v>
      </c>
      <c r="E51" s="10" t="s">
        <v>529</v>
      </c>
      <c r="F51" s="7" t="s">
        <v>829</v>
      </c>
      <c r="G51" s="8" t="s">
        <v>830</v>
      </c>
      <c r="H51" s="9" t="s">
        <v>826</v>
      </c>
      <c r="I51" s="9" t="s">
        <v>831</v>
      </c>
      <c r="J51" s="9" t="s">
        <v>832</v>
      </c>
      <c r="K51" s="9" t="s">
        <v>521</v>
      </c>
      <c r="L51" s="16" t="str">
        <f>IF(Report[Résultat FT]="","",IF(Report[Résultat FT]=Report[Résultats],"","-"))</f>
        <v>-</v>
      </c>
      <c r="M51" s="16" t="str">
        <f>IF(Report[[#This Row],[Résultat FT]]="","",IF(Report[[#This Row],[Résultats SE]]="Gagné","","-"))</f>
        <v>-</v>
      </c>
      <c r="N51" s="17" t="s">
        <v>837</v>
      </c>
      <c r="O51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51" s="18">
        <f>IF(Report[[#This Row],[FT]]="",,(LEFT(Report[[#This Row],[FT]],SEARCH("-",Report[[#This Row],[FT]])-1)*1))</f>
        <v>2</v>
      </c>
      <c r="Q51" s="22">
        <f>IF(Report[[#This Row],[FT]]="",,(RIGHT(Report[[#This Row],[FT]],SEARCH("-",Report[[#This Row],[FT]])-1)*1))</f>
        <v>2</v>
      </c>
      <c r="R51" s="18" t="str">
        <f>IF(Report[Résultat FT]="","",IF(Report[Résultat FT]=Report[Résultats],"Gagné","Perdu"))</f>
        <v>Perdu</v>
      </c>
      <c r="S51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51" s="53">
        <f>IF(Report[[#This Row],[FT]]="","",IF(Report[[#This Row],[FT]]=Report[[#This Row],[Score 1]],1,0))</f>
        <v>0</v>
      </c>
      <c r="U51" s="53">
        <f>IF(Report[[#This Row],[FT]]="","",IF(Report[ [#This Row],[FT] ]=Report[[#This Row],[Score 2]],1,0))</f>
        <v>0</v>
      </c>
      <c r="V51" s="53">
        <f>IF(Report[[#This Row],[FT]]="","",IF(Report[[#This Row],[FT]]=Report[[#This Row],[Score 3]],1,0))</f>
        <v>0</v>
      </c>
      <c r="W51" s="53">
        <f>IF(Report[[#This Row],[FT]]="","",IF(Report[[#This Row],[FT]]=Report[[#This Row],[Score 4]],1,0))</f>
        <v>0</v>
      </c>
      <c r="X51" s="94">
        <f>IF(Report[[#This Row],[Résultat FT]]="",,IF(Report[[#This Row],[Résultat FT]]=Report[[#This Row],[Résultats]],(Suivi_Gain!$B$1*Report[[#This Row],[Cote FT]])-Suivi_Gain!$B$1,-Suivi_Gain!$B$1))</f>
        <v>-1</v>
      </c>
      <c r="Y51" s="94">
        <f>IF(Report[[#This Row],[FT]]="",,IF(Report[[#This Row],[FT]]=Report[[#This Row],[Score 1]],(Suivi_Gain!$G$1*Report[[#This Row],[Cote SE]])-Suivi_Gain!$G$1,-Suivi_Gain!$G$1))</f>
        <v>-1</v>
      </c>
      <c r="Z51" s="65">
        <f>IF(Report[[#This Row],[FT]]="",,IF(Report[[#This Row],[FT]]=Report[[#This Row],[Score 2]],Suivi_Gain!$G$1*Report[[#This Row],[Cote SE]],-Suivi_Gain!$G$1))</f>
        <v>-1</v>
      </c>
      <c r="AA51" s="65">
        <f>IF(Report[[#This Row],[FT]]="",,IF(Report[[#This Row],[FT]]=Report[[#This Row],[Score 3]],Suivi_Gain!$G$1*Report[[#This Row],[Cote SE]],-Suivi_Gain!$G$1))</f>
        <v>-1</v>
      </c>
      <c r="AB51" s="65">
        <f>IF(Report[[#This Row],[FT]]="",,IF(Report[[#This Row],[FT]]=Report[[#This Row],[Score 4]],Suivi_Gain!$G$1*Report[[#This Row],[Cote SE]],-Suivi_Gain!$G$1))</f>
        <v>-1</v>
      </c>
      <c r="AC51" s="18" t="str">
        <f>IF(Report[[#This Row],[Résultats SE]]="Gagné",Report[[#This Row],[FT]],"")</f>
        <v/>
      </c>
      <c r="AD51" s="18" t="str">
        <f>IF(AND(Report[[#This Row],[Résultats SE]]="Gagné",Report[[#This Row],[FT]]=Report[[#This Row],[Score 1]]),Report[[#This Row],[FT]],"")</f>
        <v/>
      </c>
      <c r="AE51" s="18" t="str">
        <f>IF(AND(Report[[#This Row],[Résultats SE]]="Gagné",Report[[#This Row],[FT]]=Report[[#This Row],[Score 2]]),Report[[#This Row],[FT]],"")</f>
        <v/>
      </c>
      <c r="AF51" s="18" t="str">
        <f>IF(AND(Report[[#This Row],[Résultats SE]]="Gagné",Report[[#This Row],[FT]]=Report[[#This Row],[Score 3]]),Report[[#This Row],[FT]],"")</f>
        <v/>
      </c>
      <c r="AG51" s="18" t="str">
        <f>IF(AND(Report[[#This Row],[Résultats SE]]="Gagné",Report[[#This Row],[FT]]=Report[[#This Row],[Score 4]]),Report[[#This Row],[FT]],"")</f>
        <v/>
      </c>
    </row>
    <row r="52" spans="1:33" ht="20.100000000000001" customHeight="1" x14ac:dyDescent="0.25">
      <c r="A52" s="11">
        <v>43429</v>
      </c>
      <c r="B52" s="7" t="s">
        <v>221</v>
      </c>
      <c r="C52" s="7" t="s">
        <v>104</v>
      </c>
      <c r="D52" s="10" t="s">
        <v>532</v>
      </c>
      <c r="E52" s="10" t="s">
        <v>523</v>
      </c>
      <c r="F52" s="7" t="s">
        <v>824</v>
      </c>
      <c r="G52" s="8" t="s">
        <v>825</v>
      </c>
      <c r="H52" s="9" t="s">
        <v>826</v>
      </c>
      <c r="I52" s="9" t="s">
        <v>827</v>
      </c>
      <c r="J52" s="9" t="s">
        <v>828</v>
      </c>
      <c r="K52" s="9" t="s">
        <v>523</v>
      </c>
      <c r="L52" s="16" t="str">
        <f>IF(Report[Résultat FT]="","",IF(Report[Résultat FT]=Report[Résultats],"","-"))</f>
        <v>-</v>
      </c>
      <c r="M52" s="16" t="str">
        <f>IF(Report[[#This Row],[Résultat FT]]="","",IF(Report[[#This Row],[Résultats SE]]="Gagné","","-"))</f>
        <v>-</v>
      </c>
      <c r="N52" s="17" t="s">
        <v>830</v>
      </c>
      <c r="O52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America MG</v>
      </c>
      <c r="P52" s="18">
        <f>IF(Report[[#This Row],[FT]]="",,(LEFT(Report[[#This Row],[FT]],SEARCH("-",Report[[#This Row],[FT]])-1)*1))</f>
        <v>1</v>
      </c>
      <c r="Q52" s="22">
        <f>IF(Report[[#This Row],[FT]]="",,(RIGHT(Report[[#This Row],[FT]],SEARCH("-",Report[[#This Row],[FT]])-1)*1))</f>
        <v>0</v>
      </c>
      <c r="R52" s="18" t="str">
        <f>IF(Report[Résultat FT]="","",IF(Report[Résultat FT]=Report[Résultats],"Gagné","Perdu"))</f>
        <v>Perdu</v>
      </c>
      <c r="S52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52" s="53">
        <f>IF(Report[[#This Row],[FT]]="","",IF(Report[[#This Row],[FT]]=Report[[#This Row],[Score 1]],1,0))</f>
        <v>0</v>
      </c>
      <c r="U52" s="53">
        <f>IF(Report[[#This Row],[FT]]="","",IF(Report[ [#This Row],[FT] ]=Report[[#This Row],[Score 2]],1,0))</f>
        <v>0</v>
      </c>
      <c r="V52" s="53">
        <f>IF(Report[[#This Row],[FT]]="","",IF(Report[[#This Row],[FT]]=Report[[#This Row],[Score 3]],1,0))</f>
        <v>0</v>
      </c>
      <c r="W52" s="53">
        <f>IF(Report[[#This Row],[FT]]="","",IF(Report[[#This Row],[FT]]=Report[[#This Row],[Score 4]],1,0))</f>
        <v>0</v>
      </c>
      <c r="X52" s="94">
        <f>IF(Report[[#This Row],[Résultat FT]]="",,IF(Report[[#This Row],[Résultat FT]]=Report[[#This Row],[Résultats]],(Suivi_Gain!$B$1*Report[[#This Row],[Cote FT]])-Suivi_Gain!$B$1,-Suivi_Gain!$B$1))</f>
        <v>-1</v>
      </c>
      <c r="Y52" s="94">
        <f>IF(Report[[#This Row],[FT]]="",,IF(Report[[#This Row],[FT]]=Report[[#This Row],[Score 1]],(Suivi_Gain!$G$1*Report[[#This Row],[Cote SE]])-Suivi_Gain!$G$1,-Suivi_Gain!$G$1))</f>
        <v>-1</v>
      </c>
      <c r="Z52" s="65">
        <f>IF(Report[[#This Row],[FT]]="",,IF(Report[[#This Row],[FT]]=Report[[#This Row],[Score 2]],Suivi_Gain!$G$1*Report[[#This Row],[Cote SE]],-Suivi_Gain!$G$1))</f>
        <v>-1</v>
      </c>
      <c r="AA52" s="65">
        <f>IF(Report[[#This Row],[FT]]="",,IF(Report[[#This Row],[FT]]=Report[[#This Row],[Score 3]],Suivi_Gain!$G$1*Report[[#This Row],[Cote SE]],-Suivi_Gain!$G$1))</f>
        <v>-1</v>
      </c>
      <c r="AB52" s="65">
        <f>IF(Report[[#This Row],[FT]]="",,IF(Report[[#This Row],[FT]]=Report[[#This Row],[Score 4]],Suivi_Gain!$G$1*Report[[#This Row],[Cote SE]],-Suivi_Gain!$G$1))</f>
        <v>-1</v>
      </c>
      <c r="AC52" s="18" t="str">
        <f>IF(Report[[#This Row],[Résultats SE]]="Gagné",Report[[#This Row],[FT]],"")</f>
        <v/>
      </c>
      <c r="AD52" s="18" t="str">
        <f>IF(AND(Report[[#This Row],[Résultats SE]]="Gagné",Report[[#This Row],[FT]]=Report[[#This Row],[Score 1]]),Report[[#This Row],[FT]],"")</f>
        <v/>
      </c>
      <c r="AE52" s="18" t="str">
        <f>IF(AND(Report[[#This Row],[Résultats SE]]="Gagné",Report[[#This Row],[FT]]=Report[[#This Row],[Score 2]]),Report[[#This Row],[FT]],"")</f>
        <v/>
      </c>
      <c r="AF52" s="18" t="str">
        <f>IF(AND(Report[[#This Row],[Résultats SE]]="Gagné",Report[[#This Row],[FT]]=Report[[#This Row],[Score 3]]),Report[[#This Row],[FT]],"")</f>
        <v/>
      </c>
      <c r="AG52" s="18" t="str">
        <f>IF(AND(Report[[#This Row],[Résultats SE]]="Gagné",Report[[#This Row],[FT]]=Report[[#This Row],[Score 4]]),Report[[#This Row],[FT]],"")</f>
        <v/>
      </c>
    </row>
    <row r="53" spans="1:33" ht="20.100000000000001" customHeight="1" x14ac:dyDescent="0.25">
      <c r="A53" s="11">
        <v>43429</v>
      </c>
      <c r="B53" s="7" t="s">
        <v>221</v>
      </c>
      <c r="C53" s="7" t="s">
        <v>104</v>
      </c>
      <c r="D53" s="10" t="s">
        <v>526</v>
      </c>
      <c r="E53" s="10" t="s">
        <v>530</v>
      </c>
      <c r="F53" s="7" t="s">
        <v>829</v>
      </c>
      <c r="G53" s="8" t="s">
        <v>830</v>
      </c>
      <c r="H53" s="9" t="s">
        <v>826</v>
      </c>
      <c r="I53" s="9" t="s">
        <v>831</v>
      </c>
      <c r="J53" s="9" t="s">
        <v>832</v>
      </c>
      <c r="K53" s="9" t="s">
        <v>526</v>
      </c>
      <c r="L53" s="16" t="str">
        <f>IF(Report[Résultat FT]="","",IF(Report[Résultat FT]=Report[Résultats],"","-"))</f>
        <v>-</v>
      </c>
      <c r="M53" s="16">
        <v>6.25</v>
      </c>
      <c r="N53" s="17" t="s">
        <v>826</v>
      </c>
      <c r="O53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53" s="18">
        <f>IF(Report[[#This Row],[FT]]="",,(LEFT(Report[[#This Row],[FT]],SEARCH("-",Report[[#This Row],[FT]])-1)*1))</f>
        <v>0</v>
      </c>
      <c r="Q53" s="22">
        <f>IF(Report[[#This Row],[FT]]="",,(RIGHT(Report[[#This Row],[FT]],SEARCH("-",Report[[#This Row],[FT]])-1)*1))</f>
        <v>0</v>
      </c>
      <c r="R53" s="18" t="str">
        <f>IF(Report[Résultat FT]="","",IF(Report[Résultat FT]=Report[Résultats],"Gagné","Perdu"))</f>
        <v>Perdu</v>
      </c>
      <c r="S53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53" s="53">
        <f>IF(Report[[#This Row],[FT]]="","",IF(Report[[#This Row],[FT]]=Report[[#This Row],[Score 1]],1,0))</f>
        <v>0</v>
      </c>
      <c r="U53" s="53">
        <f>IF(Report[[#This Row],[FT]]="","",IF(Report[ [#This Row],[FT] ]=Report[[#This Row],[Score 2]],1,0))</f>
        <v>1</v>
      </c>
      <c r="V53" s="53">
        <f>IF(Report[[#This Row],[FT]]="","",IF(Report[[#This Row],[FT]]=Report[[#This Row],[Score 3]],1,0))</f>
        <v>0</v>
      </c>
      <c r="W53" s="53">
        <f>IF(Report[[#This Row],[FT]]="","",IF(Report[[#This Row],[FT]]=Report[[#This Row],[Score 4]],1,0))</f>
        <v>0</v>
      </c>
      <c r="X53" s="94">
        <f>IF(Report[[#This Row],[Résultat FT]]="",,IF(Report[[#This Row],[Résultat FT]]=Report[[#This Row],[Résultats]],(Suivi_Gain!$B$1*Report[[#This Row],[Cote FT]])-Suivi_Gain!$B$1,-Suivi_Gain!$B$1))</f>
        <v>-1</v>
      </c>
      <c r="Y53" s="94">
        <f>IF(Report[[#This Row],[FT]]="",,IF(Report[[#This Row],[FT]]=Report[[#This Row],[Score 1]],(Suivi_Gain!$G$1*Report[[#This Row],[Cote SE]])-Suivi_Gain!$G$1,-Suivi_Gain!$G$1))</f>
        <v>-1</v>
      </c>
      <c r="Z53" s="65">
        <f>IF(Report[[#This Row],[FT]]="",,IF(Report[[#This Row],[FT]]=Report[[#This Row],[Score 2]],Suivi_Gain!$G$1*Report[[#This Row],[Cote SE]],-Suivi_Gain!$G$1))</f>
        <v>6.25</v>
      </c>
      <c r="AA53" s="65">
        <f>IF(Report[[#This Row],[FT]]="",,IF(Report[[#This Row],[FT]]=Report[[#This Row],[Score 3]],Suivi_Gain!$G$1*Report[[#This Row],[Cote SE]],-Suivi_Gain!$G$1))</f>
        <v>-1</v>
      </c>
      <c r="AB53" s="65">
        <f>IF(Report[[#This Row],[FT]]="",,IF(Report[[#This Row],[FT]]=Report[[#This Row],[Score 4]],Suivi_Gain!$G$1*Report[[#This Row],[Cote SE]],-Suivi_Gain!$G$1))</f>
        <v>-1</v>
      </c>
      <c r="AC53" s="18" t="str">
        <f>IF(Report[[#This Row],[Résultats SE]]="Gagné",Report[[#This Row],[FT]],"")</f>
        <v>0-0</v>
      </c>
      <c r="AD53" s="18" t="str">
        <f>IF(AND(Report[[#This Row],[Résultats SE]]="Gagné",Report[[#This Row],[FT]]=Report[[#This Row],[Score 1]]),Report[[#This Row],[FT]],"")</f>
        <v/>
      </c>
      <c r="AE53" s="18" t="str">
        <f>IF(AND(Report[[#This Row],[Résultats SE]]="Gagné",Report[[#This Row],[FT]]=Report[[#This Row],[Score 2]]),Report[[#This Row],[FT]],"")</f>
        <v>0-0</v>
      </c>
      <c r="AF53" s="18" t="str">
        <f>IF(AND(Report[[#This Row],[Résultats SE]]="Gagné",Report[[#This Row],[FT]]=Report[[#This Row],[Score 3]]),Report[[#This Row],[FT]],"")</f>
        <v/>
      </c>
      <c r="AG53" s="18" t="str">
        <f>IF(AND(Report[[#This Row],[Résultats SE]]="Gagné",Report[[#This Row],[FT]]=Report[[#This Row],[Score 4]]),Report[[#This Row],[FT]],"")</f>
        <v/>
      </c>
    </row>
    <row r="54" spans="1:33" ht="20.100000000000001" customHeight="1" x14ac:dyDescent="0.25">
      <c r="A54" s="11">
        <v>43429</v>
      </c>
      <c r="B54" s="7" t="s">
        <v>221</v>
      </c>
      <c r="C54" s="7" t="s">
        <v>104</v>
      </c>
      <c r="D54" s="10" t="s">
        <v>527</v>
      </c>
      <c r="E54" s="10" t="s">
        <v>514</v>
      </c>
      <c r="F54" s="7" t="s">
        <v>835</v>
      </c>
      <c r="G54" s="8" t="s">
        <v>827</v>
      </c>
      <c r="H54" s="9" t="s">
        <v>825</v>
      </c>
      <c r="I54" s="9" t="s">
        <v>828</v>
      </c>
      <c r="J54" s="9" t="s">
        <v>826</v>
      </c>
      <c r="K54" s="9" t="s">
        <v>514</v>
      </c>
      <c r="L54" s="16">
        <v>1.91</v>
      </c>
      <c r="M54" s="16">
        <v>6.4</v>
      </c>
      <c r="N54" s="17" t="s">
        <v>825</v>
      </c>
      <c r="O54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Palmeiras</v>
      </c>
      <c r="P54" s="18">
        <f>IF(Report[[#This Row],[FT]]="",,(LEFT(Report[[#This Row],[FT]],SEARCH("-",Report[[#This Row],[FT]])-1)*1))</f>
        <v>0</v>
      </c>
      <c r="Q54" s="22">
        <f>IF(Report[[#This Row],[FT]]="",,(RIGHT(Report[[#This Row],[FT]],SEARCH("-",Report[[#This Row],[FT]])-1)*1))</f>
        <v>1</v>
      </c>
      <c r="R54" s="18" t="str">
        <f>IF(Report[Résultat FT]="","",IF(Report[Résultat FT]=Report[Résultats],"Gagné","Perdu"))</f>
        <v>Gagné</v>
      </c>
      <c r="S54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54" s="53">
        <f>IF(Report[[#This Row],[FT]]="","",IF(Report[[#This Row],[FT]]=Report[[#This Row],[Score 1]],1,0))</f>
        <v>0</v>
      </c>
      <c r="U54" s="53">
        <f>IF(Report[[#This Row],[FT]]="","",IF(Report[ [#This Row],[FT] ]=Report[[#This Row],[Score 2]],1,0))</f>
        <v>1</v>
      </c>
      <c r="V54" s="53">
        <f>IF(Report[[#This Row],[FT]]="","",IF(Report[[#This Row],[FT]]=Report[[#This Row],[Score 3]],1,0))</f>
        <v>0</v>
      </c>
      <c r="W54" s="53">
        <f>IF(Report[[#This Row],[FT]]="","",IF(Report[[#This Row],[FT]]=Report[[#This Row],[Score 4]],1,0))</f>
        <v>0</v>
      </c>
      <c r="X54" s="94">
        <f>IF(Report[[#This Row],[Résultat FT]]="",,IF(Report[[#This Row],[Résultat FT]]=Report[[#This Row],[Résultats]],(Suivi_Gain!$B$1*Report[[#This Row],[Cote FT]])-Suivi_Gain!$B$1,-Suivi_Gain!$B$1))</f>
        <v>0.90999999999999992</v>
      </c>
      <c r="Y54" s="94">
        <f>IF(Report[[#This Row],[FT]]="",,IF(Report[[#This Row],[FT]]=Report[[#This Row],[Score 1]],(Suivi_Gain!$G$1*Report[[#This Row],[Cote SE]])-Suivi_Gain!$G$1,-Suivi_Gain!$G$1))</f>
        <v>-1</v>
      </c>
      <c r="Z54" s="65">
        <f>IF(Report[[#This Row],[FT]]="",,IF(Report[[#This Row],[FT]]=Report[[#This Row],[Score 2]],Suivi_Gain!$G$1*Report[[#This Row],[Cote SE]],-Suivi_Gain!$G$1))</f>
        <v>6.4</v>
      </c>
      <c r="AA54" s="65">
        <f>IF(Report[[#This Row],[FT]]="",,IF(Report[[#This Row],[FT]]=Report[[#This Row],[Score 3]],Suivi_Gain!$G$1*Report[[#This Row],[Cote SE]],-Suivi_Gain!$G$1))</f>
        <v>-1</v>
      </c>
      <c r="AB54" s="65">
        <f>IF(Report[[#This Row],[FT]]="",,IF(Report[[#This Row],[FT]]=Report[[#This Row],[Score 4]],Suivi_Gain!$G$1*Report[[#This Row],[Cote SE]],-Suivi_Gain!$G$1))</f>
        <v>-1</v>
      </c>
      <c r="AC54" s="18" t="str">
        <f>IF(Report[[#This Row],[Résultats SE]]="Gagné",Report[[#This Row],[FT]],"")</f>
        <v>0-1</v>
      </c>
      <c r="AD54" s="18" t="str">
        <f>IF(AND(Report[[#This Row],[Résultats SE]]="Gagné",Report[[#This Row],[FT]]=Report[[#This Row],[Score 1]]),Report[[#This Row],[FT]],"")</f>
        <v/>
      </c>
      <c r="AE54" s="18" t="str">
        <f>IF(AND(Report[[#This Row],[Résultats SE]]="Gagné",Report[[#This Row],[FT]]=Report[[#This Row],[Score 2]]),Report[[#This Row],[FT]],"")</f>
        <v>0-1</v>
      </c>
      <c r="AF54" s="18" t="str">
        <f>IF(AND(Report[[#This Row],[Résultats SE]]="Gagné",Report[[#This Row],[FT]]=Report[[#This Row],[Score 3]]),Report[[#This Row],[FT]],"")</f>
        <v/>
      </c>
      <c r="AG54" s="18" t="str">
        <f>IF(AND(Report[[#This Row],[Résultats SE]]="Gagné",Report[[#This Row],[FT]]=Report[[#This Row],[Score 4]]),Report[[#This Row],[FT]],"")</f>
        <v/>
      </c>
    </row>
    <row r="55" spans="1:33" ht="20.100000000000001" customHeight="1" x14ac:dyDescent="0.25">
      <c r="A55" s="11">
        <v>43429</v>
      </c>
      <c r="B55" s="7" t="s">
        <v>221</v>
      </c>
      <c r="C55" s="7" t="s">
        <v>104</v>
      </c>
      <c r="D55" s="10" t="s">
        <v>520</v>
      </c>
      <c r="E55" s="10" t="s">
        <v>516</v>
      </c>
      <c r="F55" s="7" t="s">
        <v>824</v>
      </c>
      <c r="G55" s="8" t="s">
        <v>825</v>
      </c>
      <c r="H55" s="9" t="s">
        <v>826</v>
      </c>
      <c r="I55" s="9" t="s">
        <v>827</v>
      </c>
      <c r="J55" s="9" t="s">
        <v>828</v>
      </c>
      <c r="K55" s="9" t="s">
        <v>516</v>
      </c>
      <c r="L55" s="16">
        <v>2.85</v>
      </c>
      <c r="M55" s="16">
        <v>12.5</v>
      </c>
      <c r="N55" s="17" t="s">
        <v>827</v>
      </c>
      <c r="O55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Flamengo</v>
      </c>
      <c r="P55" s="18">
        <f>IF(Report[[#This Row],[FT]]="",,(LEFT(Report[[#This Row],[FT]],SEARCH("-",Report[[#This Row],[FT]])-1)*1))</f>
        <v>0</v>
      </c>
      <c r="Q55" s="22">
        <f>IF(Report[[#This Row],[FT]]="",,(RIGHT(Report[[#This Row],[FT]],SEARCH("-",Report[[#This Row],[FT]])-1)*1))</f>
        <v>2</v>
      </c>
      <c r="R55" s="18" t="str">
        <f>IF(Report[Résultat FT]="","",IF(Report[Résultat FT]=Report[Résultats],"Gagné","Perdu"))</f>
        <v>Gagné</v>
      </c>
      <c r="S55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55" s="53">
        <f>IF(Report[[#This Row],[FT]]="","",IF(Report[[#This Row],[FT]]=Report[[#This Row],[Score 1]],1,0))</f>
        <v>0</v>
      </c>
      <c r="U55" s="53">
        <f>IF(Report[[#This Row],[FT]]="","",IF(Report[ [#This Row],[FT] ]=Report[[#This Row],[Score 2]],1,0))</f>
        <v>0</v>
      </c>
      <c r="V55" s="53">
        <f>IF(Report[[#This Row],[FT]]="","",IF(Report[[#This Row],[FT]]=Report[[#This Row],[Score 3]],1,0))</f>
        <v>1</v>
      </c>
      <c r="W55" s="53">
        <f>IF(Report[[#This Row],[FT]]="","",IF(Report[[#This Row],[FT]]=Report[[#This Row],[Score 4]],1,0))</f>
        <v>0</v>
      </c>
      <c r="X55" s="94">
        <f>IF(Report[[#This Row],[Résultat FT]]="",,IF(Report[[#This Row],[Résultat FT]]=Report[[#This Row],[Résultats]],(Suivi_Gain!$B$1*Report[[#This Row],[Cote FT]])-Suivi_Gain!$B$1,-Suivi_Gain!$B$1))</f>
        <v>1.85</v>
      </c>
      <c r="Y55" s="94">
        <f>IF(Report[[#This Row],[FT]]="",,IF(Report[[#This Row],[FT]]=Report[[#This Row],[Score 1]],(Suivi_Gain!$G$1*Report[[#This Row],[Cote SE]])-Suivi_Gain!$G$1,-Suivi_Gain!$G$1))</f>
        <v>-1</v>
      </c>
      <c r="Z55" s="65">
        <f>IF(Report[[#This Row],[FT]]="",,IF(Report[[#This Row],[FT]]=Report[[#This Row],[Score 2]],Suivi_Gain!$G$1*Report[[#This Row],[Cote SE]],-Suivi_Gain!$G$1))</f>
        <v>-1</v>
      </c>
      <c r="AA55" s="65">
        <f>IF(Report[[#This Row],[FT]]="",,IF(Report[[#This Row],[FT]]=Report[[#This Row],[Score 3]],Suivi_Gain!$G$1*Report[[#This Row],[Cote SE]],-Suivi_Gain!$G$1))</f>
        <v>12.5</v>
      </c>
      <c r="AB55" s="65">
        <f>IF(Report[[#This Row],[FT]]="",,IF(Report[[#This Row],[FT]]=Report[[#This Row],[Score 4]],Suivi_Gain!$G$1*Report[[#This Row],[Cote SE]],-Suivi_Gain!$G$1))</f>
        <v>-1</v>
      </c>
      <c r="AC55" s="18" t="str">
        <f>IF(Report[[#This Row],[Résultats SE]]="Gagné",Report[[#This Row],[FT]],"")</f>
        <v>0-2</v>
      </c>
      <c r="AD55" s="18" t="str">
        <f>IF(AND(Report[[#This Row],[Résultats SE]]="Gagné",Report[[#This Row],[FT]]=Report[[#This Row],[Score 1]]),Report[[#This Row],[FT]],"")</f>
        <v/>
      </c>
      <c r="AE55" s="18" t="str">
        <f>IF(AND(Report[[#This Row],[Résultats SE]]="Gagné",Report[[#This Row],[FT]]=Report[[#This Row],[Score 2]]),Report[[#This Row],[FT]],"")</f>
        <v/>
      </c>
      <c r="AF55" s="18" t="str">
        <f>IF(AND(Report[[#This Row],[Résultats SE]]="Gagné",Report[[#This Row],[FT]]=Report[[#This Row],[Score 3]]),Report[[#This Row],[FT]],"")</f>
        <v>0-2</v>
      </c>
      <c r="AG55" s="18" t="str">
        <f>IF(AND(Report[[#This Row],[Résultats SE]]="Gagné",Report[[#This Row],[FT]]=Report[[#This Row],[Score 4]]),Report[[#This Row],[FT]],"")</f>
        <v/>
      </c>
    </row>
    <row r="56" spans="1:33" ht="20.100000000000001" customHeight="1" x14ac:dyDescent="0.25">
      <c r="A56" s="11">
        <v>43429</v>
      </c>
      <c r="B56" s="7" t="s">
        <v>221</v>
      </c>
      <c r="C56" s="7" t="s">
        <v>104</v>
      </c>
      <c r="D56" s="19" t="s">
        <v>531</v>
      </c>
      <c r="E56" s="19" t="s">
        <v>517</v>
      </c>
      <c r="F56" s="7" t="s">
        <v>835</v>
      </c>
      <c r="G56" s="20" t="s">
        <v>827</v>
      </c>
      <c r="H56" s="20" t="s">
        <v>825</v>
      </c>
      <c r="I56" s="20" t="s">
        <v>828</v>
      </c>
      <c r="J56" s="20" t="s">
        <v>826</v>
      </c>
      <c r="K56" s="9" t="s">
        <v>517</v>
      </c>
      <c r="L56" s="16" t="str">
        <f>IF(Report[Résultat FT]="","",IF(Report[Résultat FT]=Report[Résultats],"","-"))</f>
        <v>-</v>
      </c>
      <c r="M56" s="16">
        <v>9</v>
      </c>
      <c r="N56" s="17" t="s">
        <v>826</v>
      </c>
      <c r="O56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56" s="18">
        <f>IF(Report[[#This Row],[FT]]="",,(LEFT(Report[[#This Row],[FT]],SEARCH("-",Report[[#This Row],[FT]])-1)*1))</f>
        <v>0</v>
      </c>
      <c r="Q56" s="22">
        <f>IF(Report[[#This Row],[FT]]="",,(RIGHT(Report[[#This Row],[FT]],SEARCH("-",Report[[#This Row],[FT]])-1)*1))</f>
        <v>0</v>
      </c>
      <c r="R56" s="18" t="str">
        <f>IF(Report[Résultat FT]="","",IF(Report[Résultat FT]=Report[Résultats],"Gagné","Perdu"))</f>
        <v>Perdu</v>
      </c>
      <c r="S56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56" s="53">
        <f>IF(Report[[#This Row],[FT]]="","",IF(Report[[#This Row],[FT]]=Report[[#This Row],[Score 1]],1,0))</f>
        <v>0</v>
      </c>
      <c r="U56" s="53">
        <f>IF(Report[[#This Row],[FT]]="","",IF(Report[ [#This Row],[FT] ]=Report[[#This Row],[Score 2]],1,0))</f>
        <v>0</v>
      </c>
      <c r="V56" s="53">
        <f>IF(Report[[#This Row],[FT]]="","",IF(Report[[#This Row],[FT]]=Report[[#This Row],[Score 3]],1,0))</f>
        <v>0</v>
      </c>
      <c r="W56" s="53">
        <f>IF(Report[[#This Row],[FT]]="","",IF(Report[[#This Row],[FT]]=Report[[#This Row],[Score 4]],1,0))</f>
        <v>1</v>
      </c>
      <c r="X56" s="94">
        <f>IF(Report[[#This Row],[Résultat FT]]="",,IF(Report[[#This Row],[Résultat FT]]=Report[[#This Row],[Résultats]],(Suivi_Gain!$B$1*Report[[#This Row],[Cote FT]])-Suivi_Gain!$B$1,-Suivi_Gain!$B$1))</f>
        <v>-1</v>
      </c>
      <c r="Y56" s="94">
        <f>IF(Report[[#This Row],[FT]]="",,IF(Report[[#This Row],[FT]]=Report[[#This Row],[Score 1]],(Suivi_Gain!$G$1*Report[[#This Row],[Cote SE]])-Suivi_Gain!$G$1,-Suivi_Gain!$G$1))</f>
        <v>-1</v>
      </c>
      <c r="Z56" s="65">
        <f>IF(Report[[#This Row],[FT]]="",,IF(Report[[#This Row],[FT]]=Report[[#This Row],[Score 2]],Suivi_Gain!$G$1*Report[[#This Row],[Cote SE]],-Suivi_Gain!$G$1))</f>
        <v>-1</v>
      </c>
      <c r="AA56" s="65">
        <f>IF(Report[[#This Row],[FT]]="",,IF(Report[[#This Row],[FT]]=Report[[#This Row],[Score 3]],Suivi_Gain!$G$1*Report[[#This Row],[Cote SE]],-Suivi_Gain!$G$1))</f>
        <v>-1</v>
      </c>
      <c r="AB56" s="65">
        <f>IF(Report[[#This Row],[FT]]="",,IF(Report[[#This Row],[FT]]=Report[[#This Row],[Score 4]],Suivi_Gain!$G$1*Report[[#This Row],[Cote SE]],-Suivi_Gain!$G$1))</f>
        <v>9</v>
      </c>
      <c r="AC56" s="18" t="str">
        <f>IF(Report[[#This Row],[Résultats SE]]="Gagné",Report[[#This Row],[FT]],"")</f>
        <v>0-0</v>
      </c>
      <c r="AD56" s="18" t="str">
        <f>IF(AND(Report[[#This Row],[Résultats SE]]="Gagné",Report[[#This Row],[FT]]=Report[[#This Row],[Score 1]]),Report[[#This Row],[FT]],"")</f>
        <v/>
      </c>
      <c r="AE56" s="18" t="str">
        <f>IF(AND(Report[[#This Row],[Résultats SE]]="Gagné",Report[[#This Row],[FT]]=Report[[#This Row],[Score 2]]),Report[[#This Row],[FT]],"")</f>
        <v/>
      </c>
      <c r="AF56" s="18" t="str">
        <f>IF(AND(Report[[#This Row],[Résultats SE]]="Gagné",Report[[#This Row],[FT]]=Report[[#This Row],[Score 3]]),Report[[#This Row],[FT]],"")</f>
        <v/>
      </c>
      <c r="AG56" s="18" t="str">
        <f>IF(AND(Report[[#This Row],[Résultats SE]]="Gagné",Report[[#This Row],[FT]]=Report[[#This Row],[Score 4]]),Report[[#This Row],[FT]],"")</f>
        <v>0-0</v>
      </c>
    </row>
    <row r="57" spans="1:33" ht="20.100000000000001" customHeight="1" x14ac:dyDescent="0.25">
      <c r="A57" s="11">
        <v>43429</v>
      </c>
      <c r="B57" s="7" t="s">
        <v>221</v>
      </c>
      <c r="C57" s="7" t="s">
        <v>104</v>
      </c>
      <c r="D57" s="19" t="s">
        <v>515</v>
      </c>
      <c r="E57" s="19" t="s">
        <v>524</v>
      </c>
      <c r="F57" s="7" t="s">
        <v>829</v>
      </c>
      <c r="G57" s="20" t="s">
        <v>830</v>
      </c>
      <c r="H57" s="20" t="s">
        <v>826</v>
      </c>
      <c r="I57" s="20" t="s">
        <v>831</v>
      </c>
      <c r="J57" s="20" t="s">
        <v>832</v>
      </c>
      <c r="K57" s="9" t="s">
        <v>515</v>
      </c>
      <c r="L57" s="16">
        <v>1.43</v>
      </c>
      <c r="M57" s="16">
        <v>6.1</v>
      </c>
      <c r="N57" s="17" t="s">
        <v>831</v>
      </c>
      <c r="O57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Internacional</v>
      </c>
      <c r="P57" s="18">
        <f>IF(Report[[#This Row],[FT]]="",,(LEFT(Report[[#This Row],[FT]],SEARCH("-",Report[[#This Row],[FT]])-1)*1))</f>
        <v>2</v>
      </c>
      <c r="Q57" s="22">
        <f>IF(Report[[#This Row],[FT]]="",,(RIGHT(Report[[#This Row],[FT]],SEARCH("-",Report[[#This Row],[FT]])-1)*1))</f>
        <v>0</v>
      </c>
      <c r="R57" s="18" t="str">
        <f>IF(Report[Résultat FT]="","",IF(Report[Résultat FT]=Report[Résultats],"Gagné","Perdu"))</f>
        <v>Gagné</v>
      </c>
      <c r="S57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57" s="53">
        <f>IF(Report[[#This Row],[FT]]="","",IF(Report[[#This Row],[FT]]=Report[[#This Row],[Score 1]],1,0))</f>
        <v>0</v>
      </c>
      <c r="U57" s="53">
        <f>IF(Report[[#This Row],[FT]]="","",IF(Report[ [#This Row],[FT] ]=Report[[#This Row],[Score 2]],1,0))</f>
        <v>0</v>
      </c>
      <c r="V57" s="53">
        <f>IF(Report[[#This Row],[FT]]="","",IF(Report[[#This Row],[FT]]=Report[[#This Row],[Score 3]],1,0))</f>
        <v>1</v>
      </c>
      <c r="W57" s="53">
        <f>IF(Report[[#This Row],[FT]]="","",IF(Report[[#This Row],[FT]]=Report[[#This Row],[Score 4]],1,0))</f>
        <v>0</v>
      </c>
      <c r="X57" s="94">
        <f>IF(Report[[#This Row],[Résultat FT]]="",,IF(Report[[#This Row],[Résultat FT]]=Report[[#This Row],[Résultats]],(Suivi_Gain!$B$1*Report[[#This Row],[Cote FT]])-Suivi_Gain!$B$1,-Suivi_Gain!$B$1))</f>
        <v>0.42999999999999994</v>
      </c>
      <c r="Y57" s="94">
        <f>IF(Report[[#This Row],[FT]]="",,IF(Report[[#This Row],[FT]]=Report[[#This Row],[Score 1]],(Suivi_Gain!$G$1*Report[[#This Row],[Cote SE]])-Suivi_Gain!$G$1,-Suivi_Gain!$G$1))</f>
        <v>-1</v>
      </c>
      <c r="Z57" s="65">
        <f>IF(Report[[#This Row],[FT]]="",,IF(Report[[#This Row],[FT]]=Report[[#This Row],[Score 2]],Suivi_Gain!$G$1*Report[[#This Row],[Cote SE]],-Suivi_Gain!$G$1))</f>
        <v>-1</v>
      </c>
      <c r="AA57" s="65">
        <f>IF(Report[[#This Row],[FT]]="",,IF(Report[[#This Row],[FT]]=Report[[#This Row],[Score 3]],Suivi_Gain!$G$1*Report[[#This Row],[Cote SE]],-Suivi_Gain!$G$1))</f>
        <v>6.1</v>
      </c>
      <c r="AB57" s="65">
        <f>IF(Report[[#This Row],[FT]]="",,IF(Report[[#This Row],[FT]]=Report[[#This Row],[Score 4]],Suivi_Gain!$G$1*Report[[#This Row],[Cote SE]],-Suivi_Gain!$G$1))</f>
        <v>-1</v>
      </c>
      <c r="AC57" s="18" t="str">
        <f>IF(Report[[#This Row],[Résultats SE]]="Gagné",Report[[#This Row],[FT]],"")</f>
        <v>2-0</v>
      </c>
      <c r="AD57" s="18" t="str">
        <f>IF(AND(Report[[#This Row],[Résultats SE]]="Gagné",Report[[#This Row],[FT]]=Report[[#This Row],[Score 1]]),Report[[#This Row],[FT]],"")</f>
        <v/>
      </c>
      <c r="AE57" s="18" t="str">
        <f>IF(AND(Report[[#This Row],[Résultats SE]]="Gagné",Report[[#This Row],[FT]]=Report[[#This Row],[Score 2]]),Report[[#This Row],[FT]],"")</f>
        <v/>
      </c>
      <c r="AF57" s="18" t="str">
        <f>IF(AND(Report[[#This Row],[Résultats SE]]="Gagné",Report[[#This Row],[FT]]=Report[[#This Row],[Score 3]]),Report[[#This Row],[FT]],"")</f>
        <v>2-0</v>
      </c>
      <c r="AG57" s="18" t="str">
        <f>IF(AND(Report[[#This Row],[Résultats SE]]="Gagné",Report[[#This Row],[FT]]=Report[[#This Row],[Score 4]]),Report[[#This Row],[FT]],"")</f>
        <v/>
      </c>
    </row>
    <row r="58" spans="1:33" ht="20.100000000000001" customHeight="1" x14ac:dyDescent="0.25">
      <c r="A58" s="11">
        <v>43429</v>
      </c>
      <c r="B58" s="7" t="s">
        <v>75</v>
      </c>
      <c r="C58" s="7" t="s">
        <v>112</v>
      </c>
      <c r="D58" s="10" t="s">
        <v>386</v>
      </c>
      <c r="E58" s="10" t="s">
        <v>381</v>
      </c>
      <c r="F58" s="7" t="s">
        <v>824</v>
      </c>
      <c r="G58" s="8" t="s">
        <v>825</v>
      </c>
      <c r="H58" s="9" t="s">
        <v>826</v>
      </c>
      <c r="I58" s="9" t="s">
        <v>827</v>
      </c>
      <c r="J58" s="9" t="s">
        <v>828</v>
      </c>
      <c r="K58" s="9" t="s">
        <v>381</v>
      </c>
      <c r="L58" s="16" t="str">
        <f>IF(Report[Résultat FT]="","",IF(Report[Résultat FT]=Report[Résultats],"","-"))</f>
        <v>-</v>
      </c>
      <c r="M58" s="16" t="str">
        <f>IF(Report[[#This Row],[Résultat FT]]="","",IF(Report[[#This Row],[Résultats SE]]="Gagné","","-"))</f>
        <v>-</v>
      </c>
      <c r="N58" s="17" t="s">
        <v>830</v>
      </c>
      <c r="O58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Etar</v>
      </c>
      <c r="P58" s="18">
        <f>IF(Report[[#This Row],[FT]]="",,(LEFT(Report[[#This Row],[FT]],SEARCH("-",Report[[#This Row],[FT]])-1)*1))</f>
        <v>1</v>
      </c>
      <c r="Q58" s="22">
        <f>IF(Report[[#This Row],[FT]]="",,(RIGHT(Report[[#This Row],[FT]],SEARCH("-",Report[[#This Row],[FT]])-1)*1))</f>
        <v>0</v>
      </c>
      <c r="R58" s="18" t="str">
        <f>IF(Report[Résultat FT]="","",IF(Report[Résultat FT]=Report[Résultats],"Gagné","Perdu"))</f>
        <v>Perdu</v>
      </c>
      <c r="S58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58" s="53">
        <f>IF(Report[[#This Row],[FT]]="","",IF(Report[[#This Row],[FT]]=Report[[#This Row],[Score 1]],1,0))</f>
        <v>0</v>
      </c>
      <c r="U58" s="53">
        <f>IF(Report[[#This Row],[FT]]="","",IF(Report[ [#This Row],[FT] ]=Report[[#This Row],[Score 2]],1,0))</f>
        <v>0</v>
      </c>
      <c r="V58" s="53">
        <f>IF(Report[[#This Row],[FT]]="","",IF(Report[[#This Row],[FT]]=Report[[#This Row],[Score 3]],1,0))</f>
        <v>0</v>
      </c>
      <c r="W58" s="53">
        <f>IF(Report[[#This Row],[FT]]="","",IF(Report[[#This Row],[FT]]=Report[[#This Row],[Score 4]],1,0))</f>
        <v>0</v>
      </c>
      <c r="X58" s="94">
        <f>IF(Report[[#This Row],[Résultat FT]]="",,IF(Report[[#This Row],[Résultat FT]]=Report[[#This Row],[Résultats]],(Suivi_Gain!$B$1*Report[[#This Row],[Cote FT]])-Suivi_Gain!$B$1,-Suivi_Gain!$B$1))</f>
        <v>-1</v>
      </c>
      <c r="Y58" s="94">
        <f>IF(Report[[#This Row],[FT]]="",,IF(Report[[#This Row],[FT]]=Report[[#This Row],[Score 1]],(Suivi_Gain!$G$1*Report[[#This Row],[Cote SE]])-Suivi_Gain!$G$1,-Suivi_Gain!$G$1))</f>
        <v>-1</v>
      </c>
      <c r="Z58" s="65">
        <f>IF(Report[[#This Row],[FT]]="",,IF(Report[[#This Row],[FT]]=Report[[#This Row],[Score 2]],Suivi_Gain!$G$1*Report[[#This Row],[Cote SE]],-Suivi_Gain!$G$1))</f>
        <v>-1</v>
      </c>
      <c r="AA58" s="65">
        <f>IF(Report[[#This Row],[FT]]="",,IF(Report[[#This Row],[FT]]=Report[[#This Row],[Score 3]],Suivi_Gain!$G$1*Report[[#This Row],[Cote SE]],-Suivi_Gain!$G$1))</f>
        <v>-1</v>
      </c>
      <c r="AB58" s="65">
        <f>IF(Report[[#This Row],[FT]]="",,IF(Report[[#This Row],[FT]]=Report[[#This Row],[Score 4]],Suivi_Gain!$G$1*Report[[#This Row],[Cote SE]],-Suivi_Gain!$G$1))</f>
        <v>-1</v>
      </c>
      <c r="AC58" s="18" t="str">
        <f>IF(Report[[#This Row],[Résultats SE]]="Gagné",Report[[#This Row],[FT]],"")</f>
        <v/>
      </c>
      <c r="AD58" s="18" t="str">
        <f>IF(AND(Report[[#This Row],[Résultats SE]]="Gagné",Report[[#This Row],[FT]]=Report[[#This Row],[Score 1]]),Report[[#This Row],[FT]],"")</f>
        <v/>
      </c>
      <c r="AE58" s="18" t="str">
        <f>IF(AND(Report[[#This Row],[Résultats SE]]="Gagné",Report[[#This Row],[FT]]=Report[[#This Row],[Score 2]]),Report[[#This Row],[FT]],"")</f>
        <v/>
      </c>
      <c r="AF58" s="18" t="str">
        <f>IF(AND(Report[[#This Row],[Résultats SE]]="Gagné",Report[[#This Row],[FT]]=Report[[#This Row],[Score 3]]),Report[[#This Row],[FT]],"")</f>
        <v/>
      </c>
      <c r="AG58" s="18" t="str">
        <f>IF(AND(Report[[#This Row],[Résultats SE]]="Gagné",Report[[#This Row],[FT]]=Report[[#This Row],[Score 4]]),Report[[#This Row],[FT]],"")</f>
        <v/>
      </c>
    </row>
    <row r="59" spans="1:33" ht="20.100000000000001" customHeight="1" x14ac:dyDescent="0.25">
      <c r="A59" s="11">
        <v>43429</v>
      </c>
      <c r="B59" s="7" t="s">
        <v>75</v>
      </c>
      <c r="C59" s="7" t="s">
        <v>112</v>
      </c>
      <c r="D59" s="10" t="s">
        <v>379</v>
      </c>
      <c r="E59" s="10" t="s">
        <v>392</v>
      </c>
      <c r="F59" s="7" t="s">
        <v>861</v>
      </c>
      <c r="G59" s="8" t="s">
        <v>831</v>
      </c>
      <c r="H59" s="9" t="s">
        <v>830</v>
      </c>
      <c r="I59" s="9" t="s">
        <v>832</v>
      </c>
      <c r="J59" s="9" t="s">
        <v>826</v>
      </c>
      <c r="K59" s="9" t="s">
        <v>379</v>
      </c>
      <c r="L59" s="16">
        <v>1.06</v>
      </c>
      <c r="M59" s="16" t="str">
        <f>IF(Report[[#This Row],[Résultat FT]]="","",IF(Report[[#This Row],[Résultats SE]]="Gagné","","-"))</f>
        <v>-</v>
      </c>
      <c r="N59" s="17" t="s">
        <v>882</v>
      </c>
      <c r="O59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Beroe</v>
      </c>
      <c r="P59" s="18">
        <f>IF(Report[[#This Row],[FT]]="",,(LEFT(Report[[#This Row],[FT]],SEARCH("-",Report[[#This Row],[FT]])-1)*1))</f>
        <v>6</v>
      </c>
      <c r="Q59" s="22">
        <f>IF(Report[[#This Row],[FT]]="",,(RIGHT(Report[[#This Row],[FT]],SEARCH("-",Report[[#This Row],[FT]])-1)*1))</f>
        <v>0</v>
      </c>
      <c r="R59" s="18" t="str">
        <f>IF(Report[Résultat FT]="","",IF(Report[Résultat FT]=Report[Résultats],"Gagné","Perdu"))</f>
        <v>Gagné</v>
      </c>
      <c r="S59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59" s="53">
        <f>IF(Report[[#This Row],[FT]]="","",IF(Report[[#This Row],[FT]]=Report[[#This Row],[Score 1]],1,0))</f>
        <v>0</v>
      </c>
      <c r="U59" s="53">
        <f>IF(Report[[#This Row],[FT]]="","",IF(Report[ [#This Row],[FT] ]=Report[[#This Row],[Score 2]],1,0))</f>
        <v>0</v>
      </c>
      <c r="V59" s="53">
        <f>IF(Report[[#This Row],[FT]]="","",IF(Report[[#This Row],[FT]]=Report[[#This Row],[Score 3]],1,0))</f>
        <v>0</v>
      </c>
      <c r="W59" s="53">
        <f>IF(Report[[#This Row],[FT]]="","",IF(Report[[#This Row],[FT]]=Report[[#This Row],[Score 4]],1,0))</f>
        <v>0</v>
      </c>
      <c r="X59" s="94">
        <f>IF(Report[[#This Row],[Résultat FT]]="",,IF(Report[[#This Row],[Résultat FT]]=Report[[#This Row],[Résultats]],(Suivi_Gain!$B$1*Report[[#This Row],[Cote FT]])-Suivi_Gain!$B$1,-Suivi_Gain!$B$1))</f>
        <v>6.0000000000000053E-2</v>
      </c>
      <c r="Y59" s="94">
        <f>IF(Report[[#This Row],[FT]]="",,IF(Report[[#This Row],[FT]]=Report[[#This Row],[Score 1]],(Suivi_Gain!$G$1*Report[[#This Row],[Cote SE]])-Suivi_Gain!$G$1,-Suivi_Gain!$G$1))</f>
        <v>-1</v>
      </c>
      <c r="Z59" s="65">
        <f>IF(Report[[#This Row],[FT]]="",,IF(Report[[#This Row],[FT]]=Report[[#This Row],[Score 2]],Suivi_Gain!$G$1*Report[[#This Row],[Cote SE]],-Suivi_Gain!$G$1))</f>
        <v>-1</v>
      </c>
      <c r="AA59" s="65">
        <f>IF(Report[[#This Row],[FT]]="",,IF(Report[[#This Row],[FT]]=Report[[#This Row],[Score 3]],Suivi_Gain!$G$1*Report[[#This Row],[Cote SE]],-Suivi_Gain!$G$1))</f>
        <v>-1</v>
      </c>
      <c r="AB59" s="65">
        <f>IF(Report[[#This Row],[FT]]="",,IF(Report[[#This Row],[FT]]=Report[[#This Row],[Score 4]],Suivi_Gain!$G$1*Report[[#This Row],[Cote SE]],-Suivi_Gain!$G$1))</f>
        <v>-1</v>
      </c>
      <c r="AC59" s="18" t="str">
        <f>IF(Report[[#This Row],[Résultats SE]]="Gagné",Report[[#This Row],[FT]],"")</f>
        <v/>
      </c>
      <c r="AD59" s="18" t="str">
        <f>IF(AND(Report[[#This Row],[Résultats SE]]="Gagné",Report[[#This Row],[FT]]=Report[[#This Row],[Score 1]]),Report[[#This Row],[FT]],"")</f>
        <v/>
      </c>
      <c r="AE59" s="18" t="str">
        <f>IF(AND(Report[[#This Row],[Résultats SE]]="Gagné",Report[[#This Row],[FT]]=Report[[#This Row],[Score 2]]),Report[[#This Row],[FT]],"")</f>
        <v/>
      </c>
      <c r="AF59" s="18" t="str">
        <f>IF(AND(Report[[#This Row],[Résultats SE]]="Gagné",Report[[#This Row],[FT]]=Report[[#This Row],[Score 3]]),Report[[#This Row],[FT]],"")</f>
        <v/>
      </c>
      <c r="AG59" s="18" t="str">
        <f>IF(AND(Report[[#This Row],[Résultats SE]]="Gagné",Report[[#This Row],[FT]]=Report[[#This Row],[Score 4]]),Report[[#This Row],[FT]],"")</f>
        <v/>
      </c>
    </row>
    <row r="60" spans="1:33" ht="20.100000000000001" customHeight="1" x14ac:dyDescent="0.25">
      <c r="A60" s="11">
        <v>43429</v>
      </c>
      <c r="B60" s="7" t="s">
        <v>75</v>
      </c>
      <c r="C60" s="7" t="s">
        <v>112</v>
      </c>
      <c r="D60" s="10" t="s">
        <v>387</v>
      </c>
      <c r="E60" s="10" t="s">
        <v>382</v>
      </c>
      <c r="F60" s="7" t="s">
        <v>861</v>
      </c>
      <c r="G60" s="8" t="s">
        <v>831</v>
      </c>
      <c r="H60" s="9" t="s">
        <v>830</v>
      </c>
      <c r="I60" s="9" t="s">
        <v>832</v>
      </c>
      <c r="J60" s="9" t="s">
        <v>826</v>
      </c>
      <c r="K60" s="9" t="s">
        <v>387</v>
      </c>
      <c r="L60" s="16" t="str">
        <f>IF(Report[Résultat FT]="","",IF(Report[Résultat FT]=Report[Résultats],"","-"))</f>
        <v>-</v>
      </c>
      <c r="M60" s="16" t="str">
        <f>IF(Report[[#This Row],[Résultat FT]]="","",IF(Report[[#This Row],[Résultats SE]]="Gagné","","-"))</f>
        <v>-</v>
      </c>
      <c r="N60" s="17" t="s">
        <v>841</v>
      </c>
      <c r="O60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Botev Vratsa</v>
      </c>
      <c r="P60" s="18">
        <f>IF(Report[[#This Row],[FT]]="",,(LEFT(Report[[#This Row],[FT]],SEARCH("-",Report[[#This Row],[FT]])-1)*1))</f>
        <v>1</v>
      </c>
      <c r="Q60" s="22">
        <f>IF(Report[[#This Row],[FT]]="",,(RIGHT(Report[[#This Row],[FT]],SEARCH("-",Report[[#This Row],[FT]])-1)*1))</f>
        <v>3</v>
      </c>
      <c r="R60" s="18" t="str">
        <f>IF(Report[Résultat FT]="","",IF(Report[Résultat FT]=Report[Résultats],"Gagné","Perdu"))</f>
        <v>Perdu</v>
      </c>
      <c r="S60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60" s="53">
        <f>IF(Report[[#This Row],[FT]]="","",IF(Report[[#This Row],[FT]]=Report[[#This Row],[Score 1]],1,0))</f>
        <v>0</v>
      </c>
      <c r="U60" s="53">
        <f>IF(Report[[#This Row],[FT]]="","",IF(Report[ [#This Row],[FT] ]=Report[[#This Row],[Score 2]],1,0))</f>
        <v>0</v>
      </c>
      <c r="V60" s="53">
        <f>IF(Report[[#This Row],[FT]]="","",IF(Report[[#This Row],[FT]]=Report[[#This Row],[Score 3]],1,0))</f>
        <v>0</v>
      </c>
      <c r="W60" s="53">
        <f>IF(Report[[#This Row],[FT]]="","",IF(Report[[#This Row],[FT]]=Report[[#This Row],[Score 4]],1,0))</f>
        <v>0</v>
      </c>
      <c r="X60" s="94">
        <f>IF(Report[[#This Row],[Résultat FT]]="",,IF(Report[[#This Row],[Résultat FT]]=Report[[#This Row],[Résultats]],(Suivi_Gain!$B$1*Report[[#This Row],[Cote FT]])-Suivi_Gain!$B$1,-Suivi_Gain!$B$1))</f>
        <v>-1</v>
      </c>
      <c r="Y60" s="94">
        <f>IF(Report[[#This Row],[FT]]="",,IF(Report[[#This Row],[FT]]=Report[[#This Row],[Score 1]],(Suivi_Gain!$G$1*Report[[#This Row],[Cote SE]])-Suivi_Gain!$G$1,-Suivi_Gain!$G$1))</f>
        <v>-1</v>
      </c>
      <c r="Z60" s="65">
        <f>IF(Report[[#This Row],[FT]]="",,IF(Report[[#This Row],[FT]]=Report[[#This Row],[Score 2]],Suivi_Gain!$G$1*Report[[#This Row],[Cote SE]],-Suivi_Gain!$G$1))</f>
        <v>-1</v>
      </c>
      <c r="AA60" s="65">
        <f>IF(Report[[#This Row],[FT]]="",,IF(Report[[#This Row],[FT]]=Report[[#This Row],[Score 3]],Suivi_Gain!$G$1*Report[[#This Row],[Cote SE]],-Suivi_Gain!$G$1))</f>
        <v>-1</v>
      </c>
      <c r="AB60" s="65">
        <f>IF(Report[[#This Row],[FT]]="",,IF(Report[[#This Row],[FT]]=Report[[#This Row],[Score 4]],Suivi_Gain!$G$1*Report[[#This Row],[Cote SE]],-Suivi_Gain!$G$1))</f>
        <v>-1</v>
      </c>
      <c r="AC60" s="18" t="str">
        <f>IF(Report[[#This Row],[Résultats SE]]="Gagné",Report[[#This Row],[FT]],"")</f>
        <v/>
      </c>
      <c r="AD60" s="18" t="str">
        <f>IF(AND(Report[[#This Row],[Résultats SE]]="Gagné",Report[[#This Row],[FT]]=Report[[#This Row],[Score 1]]),Report[[#This Row],[FT]],"")</f>
        <v/>
      </c>
      <c r="AE60" s="18" t="str">
        <f>IF(AND(Report[[#This Row],[Résultats SE]]="Gagné",Report[[#This Row],[FT]]=Report[[#This Row],[Score 2]]),Report[[#This Row],[FT]],"")</f>
        <v/>
      </c>
      <c r="AF60" s="18" t="str">
        <f>IF(AND(Report[[#This Row],[Résultats SE]]="Gagné",Report[[#This Row],[FT]]=Report[[#This Row],[Score 3]]),Report[[#This Row],[FT]],"")</f>
        <v/>
      </c>
      <c r="AG60" s="18" t="str">
        <f>IF(AND(Report[[#This Row],[Résultats SE]]="Gagné",Report[[#This Row],[FT]]=Report[[#This Row],[Score 4]]),Report[[#This Row],[FT]],"")</f>
        <v/>
      </c>
    </row>
    <row r="61" spans="1:33" ht="20.100000000000001" customHeight="1" x14ac:dyDescent="0.25">
      <c r="A61" s="11">
        <v>43429</v>
      </c>
      <c r="B61" s="7" t="s">
        <v>76</v>
      </c>
      <c r="C61" s="7" t="s">
        <v>113</v>
      </c>
      <c r="D61" s="10" t="s">
        <v>543</v>
      </c>
      <c r="E61" s="10" t="s">
        <v>544</v>
      </c>
      <c r="F61" s="7" t="s">
        <v>833</v>
      </c>
      <c r="G61" s="8" t="s">
        <v>834</v>
      </c>
      <c r="H61" s="9" t="s">
        <v>830</v>
      </c>
      <c r="I61" s="9" t="s">
        <v>825</v>
      </c>
      <c r="J61" s="9" t="s">
        <v>826</v>
      </c>
      <c r="K61" s="9" t="s">
        <v>233</v>
      </c>
      <c r="L61" s="16" t="str">
        <f>IF(Report[Résultat FT]="","",IF(Report[Résultat FT]=Report[Résultats],"","-"))</f>
        <v>-</v>
      </c>
      <c r="M61" s="16">
        <v>7.5</v>
      </c>
      <c r="N61" s="17" t="s">
        <v>830</v>
      </c>
      <c r="O61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Paphos</v>
      </c>
      <c r="P61" s="18">
        <f>IF(Report[[#This Row],[FT]]="",,(LEFT(Report[[#This Row],[FT]],SEARCH("-",Report[[#This Row],[FT]])-1)*1))</f>
        <v>1</v>
      </c>
      <c r="Q61" s="22">
        <f>IF(Report[[#This Row],[FT]]="",,(RIGHT(Report[[#This Row],[FT]],SEARCH("-",Report[[#This Row],[FT]])-1)*1))</f>
        <v>0</v>
      </c>
      <c r="R61" s="18" t="str">
        <f>IF(Report[Résultat FT]="","",IF(Report[Résultat FT]=Report[Résultats],"Gagné","Perdu"))</f>
        <v>Perdu</v>
      </c>
      <c r="S61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61" s="53">
        <f>IF(Report[[#This Row],[FT]]="","",IF(Report[[#This Row],[FT]]=Report[[#This Row],[Score 1]],1,0))</f>
        <v>0</v>
      </c>
      <c r="U61" s="53">
        <f>IF(Report[[#This Row],[FT]]="","",IF(Report[ [#This Row],[FT] ]=Report[[#This Row],[Score 2]],1,0))</f>
        <v>1</v>
      </c>
      <c r="V61" s="53">
        <f>IF(Report[[#This Row],[FT]]="","",IF(Report[[#This Row],[FT]]=Report[[#This Row],[Score 3]],1,0))</f>
        <v>0</v>
      </c>
      <c r="W61" s="53">
        <f>IF(Report[[#This Row],[FT]]="","",IF(Report[[#This Row],[FT]]=Report[[#This Row],[Score 4]],1,0))</f>
        <v>0</v>
      </c>
      <c r="X61" s="94">
        <f>IF(Report[[#This Row],[Résultat FT]]="",,IF(Report[[#This Row],[Résultat FT]]=Report[[#This Row],[Résultats]],(Suivi_Gain!$B$1*Report[[#This Row],[Cote FT]])-Suivi_Gain!$B$1,-Suivi_Gain!$B$1))</f>
        <v>-1</v>
      </c>
      <c r="Y61" s="94">
        <f>IF(Report[[#This Row],[FT]]="",,IF(Report[[#This Row],[FT]]=Report[[#This Row],[Score 1]],(Suivi_Gain!$G$1*Report[[#This Row],[Cote SE]])-Suivi_Gain!$G$1,-Suivi_Gain!$G$1))</f>
        <v>-1</v>
      </c>
      <c r="Z61" s="65">
        <f>IF(Report[[#This Row],[FT]]="",,IF(Report[[#This Row],[FT]]=Report[[#This Row],[Score 2]],Suivi_Gain!$G$1*Report[[#This Row],[Cote SE]],-Suivi_Gain!$G$1))</f>
        <v>7.5</v>
      </c>
      <c r="AA61" s="65">
        <f>IF(Report[[#This Row],[FT]]="",,IF(Report[[#This Row],[FT]]=Report[[#This Row],[Score 3]],Suivi_Gain!$G$1*Report[[#This Row],[Cote SE]],-Suivi_Gain!$G$1))</f>
        <v>-1</v>
      </c>
      <c r="AB61" s="65">
        <f>IF(Report[[#This Row],[FT]]="",,IF(Report[[#This Row],[FT]]=Report[[#This Row],[Score 4]],Suivi_Gain!$G$1*Report[[#This Row],[Cote SE]],-Suivi_Gain!$G$1))</f>
        <v>-1</v>
      </c>
      <c r="AC61" s="18" t="str">
        <f>IF(Report[[#This Row],[Résultats SE]]="Gagné",Report[[#This Row],[FT]],"")</f>
        <v>1-0</v>
      </c>
      <c r="AD61" s="18" t="str">
        <f>IF(AND(Report[[#This Row],[Résultats SE]]="Gagné",Report[[#This Row],[FT]]=Report[[#This Row],[Score 1]]),Report[[#This Row],[FT]],"")</f>
        <v/>
      </c>
      <c r="AE61" s="18" t="str">
        <f>IF(AND(Report[[#This Row],[Résultats SE]]="Gagné",Report[[#This Row],[FT]]=Report[[#This Row],[Score 2]]),Report[[#This Row],[FT]],"")</f>
        <v>1-0</v>
      </c>
      <c r="AF61" s="18" t="str">
        <f>IF(AND(Report[[#This Row],[Résultats SE]]="Gagné",Report[[#This Row],[FT]]=Report[[#This Row],[Score 3]]),Report[[#This Row],[FT]],"")</f>
        <v/>
      </c>
      <c r="AG61" s="18" t="str">
        <f>IF(AND(Report[[#This Row],[Résultats SE]]="Gagné",Report[[#This Row],[FT]]=Report[[#This Row],[Score 4]]),Report[[#This Row],[FT]],"")</f>
        <v/>
      </c>
    </row>
    <row r="62" spans="1:33" ht="20.100000000000001" customHeight="1" x14ac:dyDescent="0.25">
      <c r="A62" s="11">
        <v>43429</v>
      </c>
      <c r="B62" s="7" t="s">
        <v>76</v>
      </c>
      <c r="C62" s="7" t="s">
        <v>113</v>
      </c>
      <c r="D62" s="10" t="s">
        <v>542</v>
      </c>
      <c r="E62" s="10" t="s">
        <v>537</v>
      </c>
      <c r="F62" s="7" t="s">
        <v>824</v>
      </c>
      <c r="G62" s="8" t="s">
        <v>825</v>
      </c>
      <c r="H62" s="9" t="s">
        <v>826</v>
      </c>
      <c r="I62" s="9" t="s">
        <v>827</v>
      </c>
      <c r="J62" s="9" t="s">
        <v>828</v>
      </c>
      <c r="K62" s="9" t="s">
        <v>537</v>
      </c>
      <c r="L62" s="16" t="str">
        <f>IF(Report[Résultat FT]="","",IF(Report[Résultat FT]=Report[Résultats],"","-"))</f>
        <v>-</v>
      </c>
      <c r="M62" s="16" t="str">
        <f>IF(Report[[#This Row],[Résultat FT]]="","",IF(Report[[#This Row],[Résultats SE]]="Gagné","","-"))</f>
        <v>-</v>
      </c>
      <c r="N62" s="17" t="s">
        <v>834</v>
      </c>
      <c r="O62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62" s="18">
        <f>IF(Report[[#This Row],[FT]]="",,(LEFT(Report[[#This Row],[FT]],SEARCH("-",Report[[#This Row],[FT]])-1)*1))</f>
        <v>1</v>
      </c>
      <c r="Q62" s="22">
        <f>IF(Report[[#This Row],[FT]]="",,(RIGHT(Report[[#This Row],[FT]],SEARCH("-",Report[[#This Row],[FT]])-1)*1))</f>
        <v>1</v>
      </c>
      <c r="R62" s="18" t="str">
        <f>IF(Report[Résultat FT]="","",IF(Report[Résultat FT]=Report[Résultats],"Gagné","Perdu"))</f>
        <v>Perdu</v>
      </c>
      <c r="S62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62" s="53">
        <f>IF(Report[[#This Row],[FT]]="","",IF(Report[[#This Row],[FT]]=Report[[#This Row],[Score 1]],1,0))</f>
        <v>0</v>
      </c>
      <c r="U62" s="53">
        <f>IF(Report[[#This Row],[FT]]="","",IF(Report[ [#This Row],[FT] ]=Report[[#This Row],[Score 2]],1,0))</f>
        <v>0</v>
      </c>
      <c r="V62" s="53">
        <f>IF(Report[[#This Row],[FT]]="","",IF(Report[[#This Row],[FT]]=Report[[#This Row],[Score 3]],1,0))</f>
        <v>0</v>
      </c>
      <c r="W62" s="53">
        <f>IF(Report[[#This Row],[FT]]="","",IF(Report[[#This Row],[FT]]=Report[[#This Row],[Score 4]],1,0))</f>
        <v>0</v>
      </c>
      <c r="X62" s="94">
        <f>IF(Report[[#This Row],[Résultat FT]]="",,IF(Report[[#This Row],[Résultat FT]]=Report[[#This Row],[Résultats]],(Suivi_Gain!$B$1*Report[[#This Row],[Cote FT]])-Suivi_Gain!$B$1,-Suivi_Gain!$B$1))</f>
        <v>-1</v>
      </c>
      <c r="Y62" s="94">
        <f>IF(Report[[#This Row],[FT]]="",,IF(Report[[#This Row],[FT]]=Report[[#This Row],[Score 1]],(Suivi_Gain!$G$1*Report[[#This Row],[Cote SE]])-Suivi_Gain!$G$1,-Suivi_Gain!$G$1))</f>
        <v>-1</v>
      </c>
      <c r="Z62" s="65">
        <f>IF(Report[[#This Row],[FT]]="",,IF(Report[[#This Row],[FT]]=Report[[#This Row],[Score 2]],Suivi_Gain!$G$1*Report[[#This Row],[Cote SE]],-Suivi_Gain!$G$1))</f>
        <v>-1</v>
      </c>
      <c r="AA62" s="65">
        <f>IF(Report[[#This Row],[FT]]="",,IF(Report[[#This Row],[FT]]=Report[[#This Row],[Score 3]],Suivi_Gain!$G$1*Report[[#This Row],[Cote SE]],-Suivi_Gain!$G$1))</f>
        <v>-1</v>
      </c>
      <c r="AB62" s="65">
        <f>IF(Report[[#This Row],[FT]]="",,IF(Report[[#This Row],[FT]]=Report[[#This Row],[Score 4]],Suivi_Gain!$G$1*Report[[#This Row],[Cote SE]],-Suivi_Gain!$G$1))</f>
        <v>-1</v>
      </c>
      <c r="AC62" s="18" t="str">
        <f>IF(Report[[#This Row],[Résultats SE]]="Gagné",Report[[#This Row],[FT]],"")</f>
        <v/>
      </c>
      <c r="AD62" s="18" t="str">
        <f>IF(AND(Report[[#This Row],[Résultats SE]]="Gagné",Report[[#This Row],[FT]]=Report[[#This Row],[Score 1]]),Report[[#This Row],[FT]],"")</f>
        <v/>
      </c>
      <c r="AE62" s="18" t="str">
        <f>IF(AND(Report[[#This Row],[Résultats SE]]="Gagné",Report[[#This Row],[FT]]=Report[[#This Row],[Score 2]]),Report[[#This Row],[FT]],"")</f>
        <v/>
      </c>
      <c r="AF62" s="18" t="str">
        <f>IF(AND(Report[[#This Row],[Résultats SE]]="Gagné",Report[[#This Row],[FT]]=Report[[#This Row],[Score 3]]),Report[[#This Row],[FT]],"")</f>
        <v/>
      </c>
      <c r="AG62" s="18" t="str">
        <f>IF(AND(Report[[#This Row],[Résultats SE]]="Gagné",Report[[#This Row],[FT]]=Report[[#This Row],[Score 4]]),Report[[#This Row],[FT]],"")</f>
        <v/>
      </c>
    </row>
    <row r="63" spans="1:33" ht="20.100000000000001" customHeight="1" x14ac:dyDescent="0.25">
      <c r="A63" s="11">
        <v>43429</v>
      </c>
      <c r="B63" s="7" t="s">
        <v>76</v>
      </c>
      <c r="C63" s="7" t="s">
        <v>113</v>
      </c>
      <c r="D63" s="10" t="s">
        <v>541</v>
      </c>
      <c r="E63" s="10" t="s">
        <v>535</v>
      </c>
      <c r="F63" s="7" t="s">
        <v>824</v>
      </c>
      <c r="G63" s="8" t="s">
        <v>825</v>
      </c>
      <c r="H63" s="9" t="s">
        <v>826</v>
      </c>
      <c r="I63" s="9" t="s">
        <v>827</v>
      </c>
      <c r="J63" s="9" t="s">
        <v>828</v>
      </c>
      <c r="K63" s="9" t="s">
        <v>535</v>
      </c>
      <c r="L63" s="16" t="str">
        <f>IF(Report[Résultat FT]="","",IF(Report[Résultat FT]=Report[Résultats],"","-"))</f>
        <v>-</v>
      </c>
      <c r="M63" s="16" t="str">
        <f>IF(Report[[#This Row],[Résultat FT]]="","",IF(Report[[#This Row],[Résultats SE]]="Gagné","","-"))</f>
        <v>-</v>
      </c>
      <c r="N63" s="17" t="s">
        <v>858</v>
      </c>
      <c r="O63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Nea Salamis</v>
      </c>
      <c r="P63" s="18">
        <f>IF(Report[[#This Row],[FT]]="",,(LEFT(Report[[#This Row],[FT]],SEARCH("-",Report[[#This Row],[FT]])-1)*1))</f>
        <v>4</v>
      </c>
      <c r="Q63" s="22">
        <f>IF(Report[[#This Row],[FT]]="",,(RIGHT(Report[[#This Row],[FT]],SEARCH("-",Report[[#This Row],[FT]])-1)*1))</f>
        <v>1</v>
      </c>
      <c r="R63" s="18" t="str">
        <f>IF(Report[Résultat FT]="","",IF(Report[Résultat FT]=Report[Résultats],"Gagné","Perdu"))</f>
        <v>Perdu</v>
      </c>
      <c r="S63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63" s="53">
        <f>IF(Report[[#This Row],[FT]]="","",IF(Report[[#This Row],[FT]]=Report[[#This Row],[Score 1]],1,0))</f>
        <v>0</v>
      </c>
      <c r="U63" s="53">
        <f>IF(Report[[#This Row],[FT]]="","",IF(Report[ [#This Row],[FT] ]=Report[[#This Row],[Score 2]],1,0))</f>
        <v>0</v>
      </c>
      <c r="V63" s="53">
        <f>IF(Report[[#This Row],[FT]]="","",IF(Report[[#This Row],[FT]]=Report[[#This Row],[Score 3]],1,0))</f>
        <v>0</v>
      </c>
      <c r="W63" s="53">
        <f>IF(Report[[#This Row],[FT]]="","",IF(Report[[#This Row],[FT]]=Report[[#This Row],[Score 4]],1,0))</f>
        <v>0</v>
      </c>
      <c r="X63" s="94">
        <f>IF(Report[[#This Row],[Résultat FT]]="",,IF(Report[[#This Row],[Résultat FT]]=Report[[#This Row],[Résultats]],(Suivi_Gain!$B$1*Report[[#This Row],[Cote FT]])-Suivi_Gain!$B$1,-Suivi_Gain!$B$1))</f>
        <v>-1</v>
      </c>
      <c r="Y63" s="94">
        <f>IF(Report[[#This Row],[FT]]="",,IF(Report[[#This Row],[FT]]=Report[[#This Row],[Score 1]],(Suivi_Gain!$G$1*Report[[#This Row],[Cote SE]])-Suivi_Gain!$G$1,-Suivi_Gain!$G$1))</f>
        <v>-1</v>
      </c>
      <c r="Z63" s="65">
        <f>IF(Report[[#This Row],[FT]]="",,IF(Report[[#This Row],[FT]]=Report[[#This Row],[Score 2]],Suivi_Gain!$G$1*Report[[#This Row],[Cote SE]],-Suivi_Gain!$G$1))</f>
        <v>-1</v>
      </c>
      <c r="AA63" s="65">
        <f>IF(Report[[#This Row],[FT]]="",,IF(Report[[#This Row],[FT]]=Report[[#This Row],[Score 3]],Suivi_Gain!$G$1*Report[[#This Row],[Cote SE]],-Suivi_Gain!$G$1))</f>
        <v>-1</v>
      </c>
      <c r="AB63" s="65">
        <f>IF(Report[[#This Row],[FT]]="",,IF(Report[[#This Row],[FT]]=Report[[#This Row],[Score 4]],Suivi_Gain!$G$1*Report[[#This Row],[Cote SE]],-Suivi_Gain!$G$1))</f>
        <v>-1</v>
      </c>
      <c r="AC63" s="18" t="str">
        <f>IF(Report[[#This Row],[Résultats SE]]="Gagné",Report[[#This Row],[FT]],"")</f>
        <v/>
      </c>
      <c r="AD63" s="18" t="str">
        <f>IF(AND(Report[[#This Row],[Résultats SE]]="Gagné",Report[[#This Row],[FT]]=Report[[#This Row],[Score 1]]),Report[[#This Row],[FT]],"")</f>
        <v/>
      </c>
      <c r="AE63" s="18" t="str">
        <f>IF(AND(Report[[#This Row],[Résultats SE]]="Gagné",Report[[#This Row],[FT]]=Report[[#This Row],[Score 2]]),Report[[#This Row],[FT]],"")</f>
        <v/>
      </c>
      <c r="AF63" s="18" t="str">
        <f>IF(AND(Report[[#This Row],[Résultats SE]]="Gagné",Report[[#This Row],[FT]]=Report[[#This Row],[Score 3]]),Report[[#This Row],[FT]],"")</f>
        <v/>
      </c>
      <c r="AG63" s="18" t="str">
        <f>IF(AND(Report[[#This Row],[Résultats SE]]="Gagné",Report[[#This Row],[FT]]=Report[[#This Row],[Score 4]]),Report[[#This Row],[FT]],"")</f>
        <v/>
      </c>
    </row>
    <row r="64" spans="1:33" ht="20.100000000000001" customHeight="1" x14ac:dyDescent="0.25">
      <c r="A64" s="11">
        <v>43429</v>
      </c>
      <c r="B64" s="7" t="s">
        <v>77</v>
      </c>
      <c r="C64" s="7" t="s">
        <v>854</v>
      </c>
      <c r="D64" s="10" t="s">
        <v>557</v>
      </c>
      <c r="E64" s="10" t="s">
        <v>563</v>
      </c>
      <c r="F64" s="7" t="s">
        <v>833</v>
      </c>
      <c r="G64" s="8" t="s">
        <v>834</v>
      </c>
      <c r="H64" s="9" t="s">
        <v>830</v>
      </c>
      <c r="I64" s="9" t="s">
        <v>825</v>
      </c>
      <c r="J64" s="9" t="s">
        <v>826</v>
      </c>
      <c r="K64" s="9" t="s">
        <v>233</v>
      </c>
      <c r="L64" s="16">
        <v>3.75</v>
      </c>
      <c r="M64" s="16" t="str">
        <f>IF(Report[[#This Row],[Résultat FT]]="","",IF(Report[[#This Row],[Résultats SE]]="Gagné","","-"))</f>
        <v>-</v>
      </c>
      <c r="N64" s="17" t="s">
        <v>837</v>
      </c>
      <c r="O64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64" s="18">
        <f>IF(Report[[#This Row],[FT]]="",,(LEFT(Report[[#This Row],[FT]],SEARCH("-",Report[[#This Row],[FT]])-1)*1))</f>
        <v>2</v>
      </c>
      <c r="Q64" s="22">
        <f>IF(Report[[#This Row],[FT]]="",,(RIGHT(Report[[#This Row],[FT]],SEARCH("-",Report[[#This Row],[FT]])-1)*1))</f>
        <v>2</v>
      </c>
      <c r="R64" s="18" t="str">
        <f>IF(Report[Résultat FT]="","",IF(Report[Résultat FT]=Report[Résultats],"Gagné","Perdu"))</f>
        <v>Gagné</v>
      </c>
      <c r="S64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64" s="53">
        <f>IF(Report[[#This Row],[FT]]="","",IF(Report[[#This Row],[FT]]=Report[[#This Row],[Score 1]],1,0))</f>
        <v>0</v>
      </c>
      <c r="U64" s="53">
        <f>IF(Report[[#This Row],[FT]]="","",IF(Report[ [#This Row],[FT] ]=Report[[#This Row],[Score 2]],1,0))</f>
        <v>0</v>
      </c>
      <c r="V64" s="53">
        <f>IF(Report[[#This Row],[FT]]="","",IF(Report[[#This Row],[FT]]=Report[[#This Row],[Score 3]],1,0))</f>
        <v>0</v>
      </c>
      <c r="W64" s="53">
        <f>IF(Report[[#This Row],[FT]]="","",IF(Report[[#This Row],[FT]]=Report[[#This Row],[Score 4]],1,0))</f>
        <v>0</v>
      </c>
      <c r="X64" s="94">
        <f>IF(Report[[#This Row],[Résultat FT]]="",,IF(Report[[#This Row],[Résultat FT]]=Report[[#This Row],[Résultats]],(Suivi_Gain!$B$1*Report[[#This Row],[Cote FT]])-Suivi_Gain!$B$1,-Suivi_Gain!$B$1))</f>
        <v>2.75</v>
      </c>
      <c r="Y64" s="94">
        <f>IF(Report[[#This Row],[FT]]="",,IF(Report[[#This Row],[FT]]=Report[[#This Row],[Score 1]],(Suivi_Gain!$G$1*Report[[#This Row],[Cote SE]])-Suivi_Gain!$G$1,-Suivi_Gain!$G$1))</f>
        <v>-1</v>
      </c>
      <c r="Z64" s="65">
        <f>IF(Report[[#This Row],[FT]]="",,IF(Report[[#This Row],[FT]]=Report[[#This Row],[Score 2]],Suivi_Gain!$G$1*Report[[#This Row],[Cote SE]],-Suivi_Gain!$G$1))</f>
        <v>-1</v>
      </c>
      <c r="AA64" s="65">
        <f>IF(Report[[#This Row],[FT]]="",,IF(Report[[#This Row],[FT]]=Report[[#This Row],[Score 3]],Suivi_Gain!$G$1*Report[[#This Row],[Cote SE]],-Suivi_Gain!$G$1))</f>
        <v>-1</v>
      </c>
      <c r="AB64" s="65">
        <f>IF(Report[[#This Row],[FT]]="",,IF(Report[[#This Row],[FT]]=Report[[#This Row],[Score 4]],Suivi_Gain!$G$1*Report[[#This Row],[Cote SE]],-Suivi_Gain!$G$1))</f>
        <v>-1</v>
      </c>
      <c r="AC64" s="18" t="str">
        <f>IF(Report[[#This Row],[Résultats SE]]="Gagné",Report[[#This Row],[FT]],"")</f>
        <v/>
      </c>
      <c r="AD64" s="18" t="str">
        <f>IF(AND(Report[[#This Row],[Résultats SE]]="Gagné",Report[[#This Row],[FT]]=Report[[#This Row],[Score 1]]),Report[[#This Row],[FT]],"")</f>
        <v/>
      </c>
      <c r="AE64" s="18" t="str">
        <f>IF(AND(Report[[#This Row],[Résultats SE]]="Gagné",Report[[#This Row],[FT]]=Report[[#This Row],[Score 2]]),Report[[#This Row],[FT]],"")</f>
        <v/>
      </c>
      <c r="AF64" s="18" t="str">
        <f>IF(AND(Report[[#This Row],[Résultats SE]]="Gagné",Report[[#This Row],[FT]]=Report[[#This Row],[Score 3]]),Report[[#This Row],[FT]],"")</f>
        <v/>
      </c>
      <c r="AG64" s="18" t="str">
        <f>IF(AND(Report[[#This Row],[Résultats SE]]="Gagné",Report[[#This Row],[FT]]=Report[[#This Row],[Score 4]]),Report[[#This Row],[FT]],"")</f>
        <v/>
      </c>
    </row>
    <row r="65" spans="1:33" ht="20.100000000000001" customHeight="1" x14ac:dyDescent="0.25">
      <c r="A65" s="11">
        <v>43429</v>
      </c>
      <c r="B65" s="7" t="s">
        <v>77</v>
      </c>
      <c r="C65" s="7" t="s">
        <v>854</v>
      </c>
      <c r="D65" s="19" t="s">
        <v>559</v>
      </c>
      <c r="E65" s="19" t="s">
        <v>560</v>
      </c>
      <c r="F65" s="7" t="s">
        <v>833</v>
      </c>
      <c r="G65" s="20" t="s">
        <v>834</v>
      </c>
      <c r="H65" s="20" t="s">
        <v>830</v>
      </c>
      <c r="I65" s="20" t="s">
        <v>825</v>
      </c>
      <c r="J65" s="20" t="s">
        <v>826</v>
      </c>
      <c r="K65" s="9" t="s">
        <v>233</v>
      </c>
      <c r="L65" s="16">
        <v>3.15</v>
      </c>
      <c r="M65" s="16" t="str">
        <f>IF(Report[[#This Row],[Résultat FT]]="","",IF(Report[[#This Row],[Résultats SE]]="Gagné","","-"))</f>
        <v>-</v>
      </c>
      <c r="N65" s="17" t="s">
        <v>837</v>
      </c>
      <c r="O65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65" s="18">
        <f>IF(Report[[#This Row],[FT]]="",,(LEFT(Report[[#This Row],[FT]],SEARCH("-",Report[[#This Row],[FT]])-1)*1))</f>
        <v>2</v>
      </c>
      <c r="Q65" s="22">
        <f>IF(Report[[#This Row],[FT]]="",,(RIGHT(Report[[#This Row],[FT]],SEARCH("-",Report[[#This Row],[FT]])-1)*1))</f>
        <v>2</v>
      </c>
      <c r="R65" s="18" t="str">
        <f>IF(Report[Résultat FT]="","",IF(Report[Résultat FT]=Report[Résultats],"Gagné","Perdu"))</f>
        <v>Gagné</v>
      </c>
      <c r="S65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65" s="53">
        <f>IF(Report[[#This Row],[FT]]="","",IF(Report[[#This Row],[FT]]=Report[[#This Row],[Score 1]],1,0))</f>
        <v>0</v>
      </c>
      <c r="U65" s="53">
        <f>IF(Report[[#This Row],[FT]]="","",IF(Report[ [#This Row],[FT] ]=Report[[#This Row],[Score 2]],1,0))</f>
        <v>0</v>
      </c>
      <c r="V65" s="53">
        <f>IF(Report[[#This Row],[FT]]="","",IF(Report[[#This Row],[FT]]=Report[[#This Row],[Score 3]],1,0))</f>
        <v>0</v>
      </c>
      <c r="W65" s="53">
        <f>IF(Report[[#This Row],[FT]]="","",IF(Report[[#This Row],[FT]]=Report[[#This Row],[Score 4]],1,0))</f>
        <v>0</v>
      </c>
      <c r="X65" s="94">
        <f>IF(Report[[#This Row],[Résultat FT]]="",,IF(Report[[#This Row],[Résultat FT]]=Report[[#This Row],[Résultats]],(Suivi_Gain!$B$1*Report[[#This Row],[Cote FT]])-Suivi_Gain!$B$1,-Suivi_Gain!$B$1))</f>
        <v>2.15</v>
      </c>
      <c r="Y65" s="94">
        <f>IF(Report[[#This Row],[FT]]="",,IF(Report[[#This Row],[FT]]=Report[[#This Row],[Score 1]],(Suivi_Gain!$G$1*Report[[#This Row],[Cote SE]])-Suivi_Gain!$G$1,-Suivi_Gain!$G$1))</f>
        <v>-1</v>
      </c>
      <c r="Z65" s="65">
        <f>IF(Report[[#This Row],[FT]]="",,IF(Report[[#This Row],[FT]]=Report[[#This Row],[Score 2]],Suivi_Gain!$G$1*Report[[#This Row],[Cote SE]],-Suivi_Gain!$G$1))</f>
        <v>-1</v>
      </c>
      <c r="AA65" s="65">
        <f>IF(Report[[#This Row],[FT]]="",,IF(Report[[#This Row],[FT]]=Report[[#This Row],[Score 3]],Suivi_Gain!$G$1*Report[[#This Row],[Cote SE]],-Suivi_Gain!$G$1))</f>
        <v>-1</v>
      </c>
      <c r="AB65" s="65">
        <f>IF(Report[[#This Row],[FT]]="",,IF(Report[[#This Row],[FT]]=Report[[#This Row],[Score 4]],Suivi_Gain!$G$1*Report[[#This Row],[Cote SE]],-Suivi_Gain!$G$1))</f>
        <v>-1</v>
      </c>
      <c r="AC65" s="18" t="str">
        <f>IF(Report[[#This Row],[Résultats SE]]="Gagné",Report[[#This Row],[FT]],"")</f>
        <v/>
      </c>
      <c r="AD65" s="18" t="str">
        <f>IF(AND(Report[[#This Row],[Résultats SE]]="Gagné",Report[[#This Row],[FT]]=Report[[#This Row],[Score 1]]),Report[[#This Row],[FT]],"")</f>
        <v/>
      </c>
      <c r="AE65" s="18" t="str">
        <f>IF(AND(Report[[#This Row],[Résultats SE]]="Gagné",Report[[#This Row],[FT]]=Report[[#This Row],[Score 2]]),Report[[#This Row],[FT]],"")</f>
        <v/>
      </c>
      <c r="AF65" s="18" t="str">
        <f>IF(AND(Report[[#This Row],[Résultats SE]]="Gagné",Report[[#This Row],[FT]]=Report[[#This Row],[Score 3]]),Report[[#This Row],[FT]],"")</f>
        <v/>
      </c>
      <c r="AG65" s="18" t="str">
        <f>IF(AND(Report[[#This Row],[Résultats SE]]="Gagné",Report[[#This Row],[FT]]=Report[[#This Row],[Score 4]]),Report[[#This Row],[FT]],"")</f>
        <v/>
      </c>
    </row>
    <row r="66" spans="1:33" ht="20.100000000000001" customHeight="1" x14ac:dyDescent="0.25">
      <c r="A66" s="11">
        <v>43429</v>
      </c>
      <c r="B66" s="7" t="s">
        <v>78</v>
      </c>
      <c r="C66" s="7" t="s">
        <v>114</v>
      </c>
      <c r="D66" s="10" t="s">
        <v>578</v>
      </c>
      <c r="E66" s="10" t="s">
        <v>568</v>
      </c>
      <c r="F66" s="7" t="s">
        <v>824</v>
      </c>
      <c r="G66" s="8" t="s">
        <v>825</v>
      </c>
      <c r="H66" s="9" t="s">
        <v>826</v>
      </c>
      <c r="I66" s="9" t="s">
        <v>827</v>
      </c>
      <c r="J66" s="9" t="s">
        <v>828</v>
      </c>
      <c r="K66" s="9" t="s">
        <v>568</v>
      </c>
      <c r="L66" s="16" t="str">
        <f>IF(Report[Résultat FT]="","",IF(Report[Résultat FT]=Report[Résultats],"","-"))</f>
        <v>-</v>
      </c>
      <c r="M66" s="16" t="str">
        <f>IF(Report[[#This Row],[Résultat FT]]="","",IF(Report[[#This Row],[Résultats SE]]="Gagné","","-"))</f>
        <v>-</v>
      </c>
      <c r="N66" s="17" t="s">
        <v>834</v>
      </c>
      <c r="O66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66" s="18">
        <f>IF(Report[[#This Row],[FT]]="",,(LEFT(Report[[#This Row],[FT]],SEARCH("-",Report[[#This Row],[FT]])-1)*1))</f>
        <v>1</v>
      </c>
      <c r="Q66" s="22">
        <f>IF(Report[[#This Row],[FT]]="",,(RIGHT(Report[[#This Row],[FT]],SEARCH("-",Report[[#This Row],[FT]])-1)*1))</f>
        <v>1</v>
      </c>
      <c r="R66" s="18" t="str">
        <f>IF(Report[Résultat FT]="","",IF(Report[Résultat FT]=Report[Résultats],"Gagné","Perdu"))</f>
        <v>Perdu</v>
      </c>
      <c r="S66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66" s="53">
        <f>IF(Report[[#This Row],[FT]]="","",IF(Report[[#This Row],[FT]]=Report[[#This Row],[Score 1]],1,0))</f>
        <v>0</v>
      </c>
      <c r="U66" s="53">
        <f>IF(Report[[#This Row],[FT]]="","",IF(Report[ [#This Row],[FT] ]=Report[[#This Row],[Score 2]],1,0))</f>
        <v>0</v>
      </c>
      <c r="V66" s="53">
        <f>IF(Report[[#This Row],[FT]]="","",IF(Report[[#This Row],[FT]]=Report[[#This Row],[Score 3]],1,0))</f>
        <v>0</v>
      </c>
      <c r="W66" s="53">
        <f>IF(Report[[#This Row],[FT]]="","",IF(Report[[#This Row],[FT]]=Report[[#This Row],[Score 4]],1,0))</f>
        <v>0</v>
      </c>
      <c r="X66" s="94">
        <f>IF(Report[[#This Row],[Résultat FT]]="",,IF(Report[[#This Row],[Résultat FT]]=Report[[#This Row],[Résultats]],(Suivi_Gain!$B$1*Report[[#This Row],[Cote FT]])-Suivi_Gain!$B$1,-Suivi_Gain!$B$1))</f>
        <v>-1</v>
      </c>
      <c r="Y66" s="94">
        <f>IF(Report[[#This Row],[FT]]="",,IF(Report[[#This Row],[FT]]=Report[[#This Row],[Score 1]],(Suivi_Gain!$G$1*Report[[#This Row],[Cote SE]])-Suivi_Gain!$G$1,-Suivi_Gain!$G$1))</f>
        <v>-1</v>
      </c>
      <c r="Z66" s="65">
        <f>IF(Report[[#This Row],[FT]]="",,IF(Report[[#This Row],[FT]]=Report[[#This Row],[Score 2]],Suivi_Gain!$G$1*Report[[#This Row],[Cote SE]],-Suivi_Gain!$G$1))</f>
        <v>-1</v>
      </c>
      <c r="AA66" s="65">
        <f>IF(Report[[#This Row],[FT]]="",,IF(Report[[#This Row],[FT]]=Report[[#This Row],[Score 3]],Suivi_Gain!$G$1*Report[[#This Row],[Cote SE]],-Suivi_Gain!$G$1))</f>
        <v>-1</v>
      </c>
      <c r="AB66" s="65">
        <f>IF(Report[[#This Row],[FT]]="",,IF(Report[[#This Row],[FT]]=Report[[#This Row],[Score 4]],Suivi_Gain!$G$1*Report[[#This Row],[Cote SE]],-Suivi_Gain!$G$1))</f>
        <v>-1</v>
      </c>
      <c r="AC66" s="18" t="str">
        <f>IF(Report[[#This Row],[Résultats SE]]="Gagné",Report[[#This Row],[FT]],"")</f>
        <v/>
      </c>
      <c r="AD66" s="18" t="str">
        <f>IF(AND(Report[[#This Row],[Résultats SE]]="Gagné",Report[[#This Row],[FT]]=Report[[#This Row],[Score 1]]),Report[[#This Row],[FT]],"")</f>
        <v/>
      </c>
      <c r="AE66" s="18" t="str">
        <f>IF(AND(Report[[#This Row],[Résultats SE]]="Gagné",Report[[#This Row],[FT]]=Report[[#This Row],[Score 2]]),Report[[#This Row],[FT]],"")</f>
        <v/>
      </c>
      <c r="AF66" s="18" t="str">
        <f>IF(AND(Report[[#This Row],[Résultats SE]]="Gagné",Report[[#This Row],[FT]]=Report[[#This Row],[Score 3]]),Report[[#This Row],[FT]],"")</f>
        <v/>
      </c>
      <c r="AG66" s="18" t="str">
        <f>IF(AND(Report[[#This Row],[Résultats SE]]="Gagné",Report[[#This Row],[FT]]=Report[[#This Row],[Score 4]]),Report[[#This Row],[FT]],"")</f>
        <v/>
      </c>
    </row>
    <row r="67" spans="1:33" ht="20.100000000000001" customHeight="1" x14ac:dyDescent="0.25">
      <c r="A67" s="11">
        <v>43429</v>
      </c>
      <c r="B67" s="7" t="s">
        <v>78</v>
      </c>
      <c r="C67" s="7" t="s">
        <v>114</v>
      </c>
      <c r="D67" s="10" t="s">
        <v>573</v>
      </c>
      <c r="E67" s="10" t="s">
        <v>574</v>
      </c>
      <c r="F67" s="7" t="s">
        <v>833</v>
      </c>
      <c r="G67" s="8" t="s">
        <v>834</v>
      </c>
      <c r="H67" s="9" t="s">
        <v>830</v>
      </c>
      <c r="I67" s="9" t="s">
        <v>825</v>
      </c>
      <c r="J67" s="9" t="s">
        <v>826</v>
      </c>
      <c r="K67" s="9" t="s">
        <v>233</v>
      </c>
      <c r="L67" s="16" t="str">
        <f>IF(Report[Résultat FT]="","",IF(Report[Résultat FT]=Report[Résultats],"","-"))</f>
        <v>-</v>
      </c>
      <c r="M67" s="16" t="str">
        <f>IF(Report[[#This Row],[Résultat FT]]="","",IF(Report[[#This Row],[Résultats SE]]="Gagné","","-"))</f>
        <v>-</v>
      </c>
      <c r="N67" s="17" t="s">
        <v>841</v>
      </c>
      <c r="O67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Odense</v>
      </c>
      <c r="P67" s="18">
        <f>IF(Report[[#This Row],[FT]]="",,(LEFT(Report[[#This Row],[FT]],SEARCH("-",Report[[#This Row],[FT]])-1)*1))</f>
        <v>1</v>
      </c>
      <c r="Q67" s="22">
        <f>IF(Report[[#This Row],[FT]]="",,(RIGHT(Report[[#This Row],[FT]],SEARCH("-",Report[[#This Row],[FT]])-1)*1))</f>
        <v>3</v>
      </c>
      <c r="R67" s="18" t="str">
        <f>IF(Report[Résultat FT]="","",IF(Report[Résultat FT]=Report[Résultats],"Gagné","Perdu"))</f>
        <v>Perdu</v>
      </c>
      <c r="S67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67" s="53">
        <f>IF(Report[[#This Row],[FT]]="","",IF(Report[[#This Row],[FT]]=Report[[#This Row],[Score 1]],1,0))</f>
        <v>0</v>
      </c>
      <c r="U67" s="53">
        <f>IF(Report[[#This Row],[FT]]="","",IF(Report[ [#This Row],[FT] ]=Report[[#This Row],[Score 2]],1,0))</f>
        <v>0</v>
      </c>
      <c r="V67" s="53">
        <f>IF(Report[[#This Row],[FT]]="","",IF(Report[[#This Row],[FT]]=Report[[#This Row],[Score 3]],1,0))</f>
        <v>0</v>
      </c>
      <c r="W67" s="53">
        <f>IF(Report[[#This Row],[FT]]="","",IF(Report[[#This Row],[FT]]=Report[[#This Row],[Score 4]],1,0))</f>
        <v>0</v>
      </c>
      <c r="X67" s="94">
        <f>IF(Report[[#This Row],[Résultat FT]]="",,IF(Report[[#This Row],[Résultat FT]]=Report[[#This Row],[Résultats]],(Suivi_Gain!$B$1*Report[[#This Row],[Cote FT]])-Suivi_Gain!$B$1,-Suivi_Gain!$B$1))</f>
        <v>-1</v>
      </c>
      <c r="Y67" s="94">
        <f>IF(Report[[#This Row],[FT]]="",,IF(Report[[#This Row],[FT]]=Report[[#This Row],[Score 1]],(Suivi_Gain!$G$1*Report[[#This Row],[Cote SE]])-Suivi_Gain!$G$1,-Suivi_Gain!$G$1))</f>
        <v>-1</v>
      </c>
      <c r="Z67" s="65">
        <f>IF(Report[[#This Row],[FT]]="",,IF(Report[[#This Row],[FT]]=Report[[#This Row],[Score 2]],Suivi_Gain!$G$1*Report[[#This Row],[Cote SE]],-Suivi_Gain!$G$1))</f>
        <v>-1</v>
      </c>
      <c r="AA67" s="65">
        <f>IF(Report[[#This Row],[FT]]="",,IF(Report[[#This Row],[FT]]=Report[[#This Row],[Score 3]],Suivi_Gain!$G$1*Report[[#This Row],[Cote SE]],-Suivi_Gain!$G$1))</f>
        <v>-1</v>
      </c>
      <c r="AB67" s="65">
        <f>IF(Report[[#This Row],[FT]]="",,IF(Report[[#This Row],[FT]]=Report[[#This Row],[Score 4]],Suivi_Gain!$G$1*Report[[#This Row],[Cote SE]],-Suivi_Gain!$G$1))</f>
        <v>-1</v>
      </c>
      <c r="AC67" s="18" t="str">
        <f>IF(Report[[#This Row],[Résultats SE]]="Gagné",Report[[#This Row],[FT]],"")</f>
        <v/>
      </c>
      <c r="AD67" s="18" t="str">
        <f>IF(AND(Report[[#This Row],[Résultats SE]]="Gagné",Report[[#This Row],[FT]]=Report[[#This Row],[Score 1]]),Report[[#This Row],[FT]],"")</f>
        <v/>
      </c>
      <c r="AE67" s="18" t="str">
        <f>IF(AND(Report[[#This Row],[Résultats SE]]="Gagné",Report[[#This Row],[FT]]=Report[[#This Row],[Score 2]]),Report[[#This Row],[FT]],"")</f>
        <v/>
      </c>
      <c r="AF67" s="18" t="str">
        <f>IF(AND(Report[[#This Row],[Résultats SE]]="Gagné",Report[[#This Row],[FT]]=Report[[#This Row],[Score 3]]),Report[[#This Row],[FT]],"")</f>
        <v/>
      </c>
      <c r="AG67" s="18" t="str">
        <f>IF(AND(Report[[#This Row],[Résultats SE]]="Gagné",Report[[#This Row],[FT]]=Report[[#This Row],[Score 4]]),Report[[#This Row],[FT]],"")</f>
        <v/>
      </c>
    </row>
    <row r="68" spans="1:33" ht="20.100000000000001" customHeight="1" x14ac:dyDescent="0.25">
      <c r="A68" s="11">
        <v>43429</v>
      </c>
      <c r="B68" s="7" t="s">
        <v>78</v>
      </c>
      <c r="C68" s="7" t="s">
        <v>114</v>
      </c>
      <c r="D68" s="10" t="s">
        <v>576</v>
      </c>
      <c r="E68" s="10" t="s">
        <v>567</v>
      </c>
      <c r="F68" s="7" t="s">
        <v>833</v>
      </c>
      <c r="G68" s="8" t="s">
        <v>834</v>
      </c>
      <c r="H68" s="9" t="s">
        <v>830</v>
      </c>
      <c r="I68" s="9" t="s">
        <v>825</v>
      </c>
      <c r="J68" s="9" t="s">
        <v>826</v>
      </c>
      <c r="K68" s="9" t="s">
        <v>233</v>
      </c>
      <c r="L68" s="16" t="str">
        <f>IF(Report[Résultat FT]="","",IF(Report[Résultat FT]=Report[Résultats],"","-"))</f>
        <v>-</v>
      </c>
      <c r="M68" s="16" t="str">
        <f>IF(Report[[#This Row],[Résultat FT]]="","",IF(Report[[#This Row],[Résultats SE]]="Gagné","","-"))</f>
        <v>-</v>
      </c>
      <c r="N68" s="17" t="s">
        <v>827</v>
      </c>
      <c r="O68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Brondby</v>
      </c>
      <c r="P68" s="18">
        <f>IF(Report[[#This Row],[FT]]="",,(LEFT(Report[[#This Row],[FT]],SEARCH("-",Report[[#This Row],[FT]])-1)*1))</f>
        <v>0</v>
      </c>
      <c r="Q68" s="22">
        <f>IF(Report[[#This Row],[FT]]="",,(RIGHT(Report[[#This Row],[FT]],SEARCH("-",Report[[#This Row],[FT]])-1)*1))</f>
        <v>2</v>
      </c>
      <c r="R68" s="18" t="str">
        <f>IF(Report[Résultat FT]="","",IF(Report[Résultat FT]=Report[Résultats],"Gagné","Perdu"))</f>
        <v>Perdu</v>
      </c>
      <c r="S68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68" s="53">
        <f>IF(Report[[#This Row],[FT]]="","",IF(Report[[#This Row],[FT]]=Report[[#This Row],[Score 1]],1,0))</f>
        <v>0</v>
      </c>
      <c r="U68" s="53">
        <f>IF(Report[[#This Row],[FT]]="","",IF(Report[ [#This Row],[FT] ]=Report[[#This Row],[Score 2]],1,0))</f>
        <v>0</v>
      </c>
      <c r="V68" s="53">
        <f>IF(Report[[#This Row],[FT]]="","",IF(Report[[#This Row],[FT]]=Report[[#This Row],[Score 3]],1,0))</f>
        <v>0</v>
      </c>
      <c r="W68" s="53">
        <f>IF(Report[[#This Row],[FT]]="","",IF(Report[[#This Row],[FT]]=Report[[#This Row],[Score 4]],1,0))</f>
        <v>0</v>
      </c>
      <c r="X68" s="94">
        <f>IF(Report[[#This Row],[Résultat FT]]="",,IF(Report[[#This Row],[Résultat FT]]=Report[[#This Row],[Résultats]],(Suivi_Gain!$B$1*Report[[#This Row],[Cote FT]])-Suivi_Gain!$B$1,-Suivi_Gain!$B$1))</f>
        <v>-1</v>
      </c>
      <c r="Y68" s="94">
        <f>IF(Report[[#This Row],[FT]]="",,IF(Report[[#This Row],[FT]]=Report[[#This Row],[Score 1]],(Suivi_Gain!$G$1*Report[[#This Row],[Cote SE]])-Suivi_Gain!$G$1,-Suivi_Gain!$G$1))</f>
        <v>-1</v>
      </c>
      <c r="Z68" s="65">
        <f>IF(Report[[#This Row],[FT]]="",,IF(Report[[#This Row],[FT]]=Report[[#This Row],[Score 2]],Suivi_Gain!$G$1*Report[[#This Row],[Cote SE]],-Suivi_Gain!$G$1))</f>
        <v>-1</v>
      </c>
      <c r="AA68" s="65">
        <f>IF(Report[[#This Row],[FT]]="",,IF(Report[[#This Row],[FT]]=Report[[#This Row],[Score 3]],Suivi_Gain!$G$1*Report[[#This Row],[Cote SE]],-Suivi_Gain!$G$1))</f>
        <v>-1</v>
      </c>
      <c r="AB68" s="65">
        <f>IF(Report[[#This Row],[FT]]="",,IF(Report[[#This Row],[FT]]=Report[[#This Row],[Score 4]],Suivi_Gain!$G$1*Report[[#This Row],[Cote SE]],-Suivi_Gain!$G$1))</f>
        <v>-1</v>
      </c>
      <c r="AC68" s="18" t="str">
        <f>IF(Report[[#This Row],[Résultats SE]]="Gagné",Report[[#This Row],[FT]],"")</f>
        <v/>
      </c>
      <c r="AD68" s="18" t="str">
        <f>IF(AND(Report[[#This Row],[Résultats SE]]="Gagné",Report[[#This Row],[FT]]=Report[[#This Row],[Score 1]]),Report[[#This Row],[FT]],"")</f>
        <v/>
      </c>
      <c r="AE68" s="18" t="str">
        <f>IF(AND(Report[[#This Row],[Résultats SE]]="Gagné",Report[[#This Row],[FT]]=Report[[#This Row],[Score 2]]),Report[[#This Row],[FT]],"")</f>
        <v/>
      </c>
      <c r="AF68" s="18" t="str">
        <f>IF(AND(Report[[#This Row],[Résultats SE]]="Gagné",Report[[#This Row],[FT]]=Report[[#This Row],[Score 3]]),Report[[#This Row],[FT]],"")</f>
        <v/>
      </c>
      <c r="AG68" s="18" t="str">
        <f>IF(AND(Report[[#This Row],[Résultats SE]]="Gagné",Report[[#This Row],[FT]]=Report[[#This Row],[Score 4]]),Report[[#This Row],[FT]],"")</f>
        <v/>
      </c>
    </row>
    <row r="69" spans="1:33" ht="20.100000000000001" customHeight="1" x14ac:dyDescent="0.25">
      <c r="A69" s="11">
        <v>43429</v>
      </c>
      <c r="B69" s="7" t="s">
        <v>78</v>
      </c>
      <c r="C69" s="7" t="s">
        <v>114</v>
      </c>
      <c r="D69" s="10" t="s">
        <v>569</v>
      </c>
      <c r="E69" s="10" t="s">
        <v>572</v>
      </c>
      <c r="F69" s="7" t="s">
        <v>843</v>
      </c>
      <c r="G69" s="8" t="s">
        <v>839</v>
      </c>
      <c r="H69" s="9" t="s">
        <v>834</v>
      </c>
      <c r="I69" s="9" t="s">
        <v>827</v>
      </c>
      <c r="J69" s="9" t="s">
        <v>825</v>
      </c>
      <c r="K69" s="9" t="s">
        <v>572</v>
      </c>
      <c r="L69" s="16" t="str">
        <f>IF(Report[Résultat FT]="","",IF(Report[Résultat FT]=Report[Résultats],"","-"))</f>
        <v>-</v>
      </c>
      <c r="M69" s="16" t="str">
        <f>IF(Report[[#This Row],[Résultat FT]]="","",IF(Report[[#This Row],[Résultats SE]]="Gagné","","-"))</f>
        <v>-</v>
      </c>
      <c r="N69" s="17" t="s">
        <v>838</v>
      </c>
      <c r="O69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FC Copenhagen</v>
      </c>
      <c r="P69" s="18">
        <f>IF(Report[[#This Row],[FT]]="",,(LEFT(Report[[#This Row],[FT]],SEARCH("-",Report[[#This Row],[FT]])-1)*1))</f>
        <v>2</v>
      </c>
      <c r="Q69" s="22">
        <f>IF(Report[[#This Row],[FT]]="",,(RIGHT(Report[[#This Row],[FT]],SEARCH("-",Report[[#This Row],[FT]])-1)*1))</f>
        <v>1</v>
      </c>
      <c r="R69" s="18" t="str">
        <f>IF(Report[Résultat FT]="","",IF(Report[Résultat FT]=Report[Résultats],"Gagné","Perdu"))</f>
        <v>Perdu</v>
      </c>
      <c r="S69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69" s="53">
        <f>IF(Report[[#This Row],[FT]]="","",IF(Report[[#This Row],[FT]]=Report[[#This Row],[Score 1]],1,0))</f>
        <v>0</v>
      </c>
      <c r="U69" s="53">
        <f>IF(Report[[#This Row],[FT]]="","",IF(Report[ [#This Row],[FT] ]=Report[[#This Row],[Score 2]],1,0))</f>
        <v>0</v>
      </c>
      <c r="V69" s="53">
        <f>IF(Report[[#This Row],[FT]]="","",IF(Report[[#This Row],[FT]]=Report[[#This Row],[Score 3]],1,0))</f>
        <v>0</v>
      </c>
      <c r="W69" s="53">
        <f>IF(Report[[#This Row],[FT]]="","",IF(Report[[#This Row],[FT]]=Report[[#This Row],[Score 4]],1,0))</f>
        <v>0</v>
      </c>
      <c r="X69" s="94">
        <f>IF(Report[[#This Row],[Résultat FT]]="",,IF(Report[[#This Row],[Résultat FT]]=Report[[#This Row],[Résultats]],(Suivi_Gain!$B$1*Report[[#This Row],[Cote FT]])-Suivi_Gain!$B$1,-Suivi_Gain!$B$1))</f>
        <v>-1</v>
      </c>
      <c r="Y69" s="94">
        <f>IF(Report[[#This Row],[FT]]="",,IF(Report[[#This Row],[FT]]=Report[[#This Row],[Score 1]],(Suivi_Gain!$G$1*Report[[#This Row],[Cote SE]])-Suivi_Gain!$G$1,-Suivi_Gain!$G$1))</f>
        <v>-1</v>
      </c>
      <c r="Z69" s="65">
        <f>IF(Report[[#This Row],[FT]]="",,IF(Report[[#This Row],[FT]]=Report[[#This Row],[Score 2]],Suivi_Gain!$G$1*Report[[#This Row],[Cote SE]],-Suivi_Gain!$G$1))</f>
        <v>-1</v>
      </c>
      <c r="AA69" s="65">
        <f>IF(Report[[#This Row],[FT]]="",,IF(Report[[#This Row],[FT]]=Report[[#This Row],[Score 3]],Suivi_Gain!$G$1*Report[[#This Row],[Cote SE]],-Suivi_Gain!$G$1))</f>
        <v>-1</v>
      </c>
      <c r="AB69" s="65">
        <f>IF(Report[[#This Row],[FT]]="",,IF(Report[[#This Row],[FT]]=Report[[#This Row],[Score 4]],Suivi_Gain!$G$1*Report[[#This Row],[Cote SE]],-Suivi_Gain!$G$1))</f>
        <v>-1</v>
      </c>
      <c r="AC69" s="18" t="str">
        <f>IF(Report[[#This Row],[Résultats SE]]="Gagné",Report[[#This Row],[FT]],"")</f>
        <v/>
      </c>
      <c r="AD69" s="18" t="str">
        <f>IF(AND(Report[[#This Row],[Résultats SE]]="Gagné",Report[[#This Row],[FT]]=Report[[#This Row],[Score 1]]),Report[[#This Row],[FT]],"")</f>
        <v/>
      </c>
      <c r="AE69" s="18" t="str">
        <f>IF(AND(Report[[#This Row],[Résultats SE]]="Gagné",Report[[#This Row],[FT]]=Report[[#This Row],[Score 2]]),Report[[#This Row],[FT]],"")</f>
        <v/>
      </c>
      <c r="AF69" s="18" t="str">
        <f>IF(AND(Report[[#This Row],[Résultats SE]]="Gagné",Report[[#This Row],[FT]]=Report[[#This Row],[Score 3]]),Report[[#This Row],[FT]],"")</f>
        <v/>
      </c>
      <c r="AG69" s="18" t="str">
        <f>IF(AND(Report[[#This Row],[Résultats SE]]="Gagné",Report[[#This Row],[FT]]=Report[[#This Row],[Score 4]]),Report[[#This Row],[FT]],"")</f>
        <v/>
      </c>
    </row>
    <row r="70" spans="1:33" ht="20.100000000000001" customHeight="1" x14ac:dyDescent="0.25">
      <c r="A70" s="11">
        <v>43429</v>
      </c>
      <c r="B70" s="7" t="s">
        <v>67</v>
      </c>
      <c r="C70" s="7" t="s">
        <v>103</v>
      </c>
      <c r="D70" s="10" t="s">
        <v>625</v>
      </c>
      <c r="E70" s="10" t="s">
        <v>626</v>
      </c>
      <c r="F70" s="7" t="s">
        <v>829</v>
      </c>
      <c r="G70" s="8" t="s">
        <v>830</v>
      </c>
      <c r="H70" s="9" t="s">
        <v>826</v>
      </c>
      <c r="I70" s="9" t="s">
        <v>831</v>
      </c>
      <c r="J70" s="9" t="s">
        <v>832</v>
      </c>
      <c r="K70" s="9" t="s">
        <v>625</v>
      </c>
      <c r="L70" s="16">
        <v>2.02</v>
      </c>
      <c r="M70" s="16">
        <v>6</v>
      </c>
      <c r="N70" s="17" t="s">
        <v>830</v>
      </c>
      <c r="O70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Mallorca</v>
      </c>
      <c r="P70" s="18">
        <f>IF(Report[[#This Row],[FT]]="",,(LEFT(Report[[#This Row],[FT]],SEARCH("-",Report[[#This Row],[FT]])-1)*1))</f>
        <v>1</v>
      </c>
      <c r="Q70" s="22">
        <f>IF(Report[[#This Row],[FT]]="",,(RIGHT(Report[[#This Row],[FT]],SEARCH("-",Report[[#This Row],[FT]])-1)*1))</f>
        <v>0</v>
      </c>
      <c r="R70" s="18" t="str">
        <f>IF(Report[Résultat FT]="","",IF(Report[Résultat FT]=Report[Résultats],"Gagné","Perdu"))</f>
        <v>Gagné</v>
      </c>
      <c r="S70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70" s="53">
        <f>IF(Report[[#This Row],[FT]]="","",IF(Report[[#This Row],[FT]]=Report[[#This Row],[Score 1]],1,0))</f>
        <v>1</v>
      </c>
      <c r="U70" s="53">
        <f>IF(Report[[#This Row],[FT]]="","",IF(Report[ [#This Row],[FT] ]=Report[[#This Row],[Score 2]],1,0))</f>
        <v>0</v>
      </c>
      <c r="V70" s="53">
        <f>IF(Report[[#This Row],[FT]]="","",IF(Report[[#This Row],[FT]]=Report[[#This Row],[Score 3]],1,0))</f>
        <v>0</v>
      </c>
      <c r="W70" s="53">
        <f>IF(Report[[#This Row],[FT]]="","",IF(Report[[#This Row],[FT]]=Report[[#This Row],[Score 4]],1,0))</f>
        <v>0</v>
      </c>
      <c r="X70" s="94">
        <f>IF(Report[[#This Row],[Résultat FT]]="",,IF(Report[[#This Row],[Résultat FT]]=Report[[#This Row],[Résultats]],(Suivi_Gain!$B$1*Report[[#This Row],[Cote FT]])-Suivi_Gain!$B$1,-Suivi_Gain!$B$1))</f>
        <v>1.02</v>
      </c>
      <c r="Y70" s="94">
        <f>IF(Report[[#This Row],[FT]]="",,IF(Report[[#This Row],[FT]]=Report[[#This Row],[Score 1]],(Suivi_Gain!$G$1*Report[[#This Row],[Cote SE]])-Suivi_Gain!$G$1,-Suivi_Gain!$G$1))</f>
        <v>5</v>
      </c>
      <c r="Z70" s="65">
        <f>IF(Report[[#This Row],[FT]]="",,IF(Report[[#This Row],[FT]]=Report[[#This Row],[Score 2]],Suivi_Gain!$G$1*Report[[#This Row],[Cote SE]],-Suivi_Gain!$G$1))</f>
        <v>-1</v>
      </c>
      <c r="AA70" s="65">
        <f>IF(Report[[#This Row],[FT]]="",,IF(Report[[#This Row],[FT]]=Report[[#This Row],[Score 3]],Suivi_Gain!$G$1*Report[[#This Row],[Cote SE]],-Suivi_Gain!$G$1))</f>
        <v>-1</v>
      </c>
      <c r="AB70" s="65">
        <f>IF(Report[[#This Row],[FT]]="",,IF(Report[[#This Row],[FT]]=Report[[#This Row],[Score 4]],Suivi_Gain!$G$1*Report[[#This Row],[Cote SE]],-Suivi_Gain!$G$1))</f>
        <v>-1</v>
      </c>
      <c r="AC70" s="18" t="str">
        <f>IF(Report[[#This Row],[Résultats SE]]="Gagné",Report[[#This Row],[FT]],"")</f>
        <v>1-0</v>
      </c>
      <c r="AD70" s="18" t="str">
        <f>IF(AND(Report[[#This Row],[Résultats SE]]="Gagné",Report[[#This Row],[FT]]=Report[[#This Row],[Score 1]]),Report[[#This Row],[FT]],"")</f>
        <v>1-0</v>
      </c>
      <c r="AE70" s="18" t="str">
        <f>IF(AND(Report[[#This Row],[Résultats SE]]="Gagné",Report[[#This Row],[FT]]=Report[[#This Row],[Score 2]]),Report[[#This Row],[FT]],"")</f>
        <v/>
      </c>
      <c r="AF70" s="18" t="str">
        <f>IF(AND(Report[[#This Row],[Résultats SE]]="Gagné",Report[[#This Row],[FT]]=Report[[#This Row],[Score 3]]),Report[[#This Row],[FT]],"")</f>
        <v/>
      </c>
      <c r="AG70" s="18" t="str">
        <f>IF(AND(Report[[#This Row],[Résultats SE]]="Gagné",Report[[#This Row],[FT]]=Report[[#This Row],[Score 4]]),Report[[#This Row],[FT]],"")</f>
        <v/>
      </c>
    </row>
    <row r="71" spans="1:33" ht="20.100000000000001" customHeight="1" x14ac:dyDescent="0.25">
      <c r="A71" s="11">
        <v>43429</v>
      </c>
      <c r="B71" s="7" t="s">
        <v>67</v>
      </c>
      <c r="C71" s="7" t="s">
        <v>103</v>
      </c>
      <c r="D71" s="10" t="s">
        <v>617</v>
      </c>
      <c r="E71" s="10" t="s">
        <v>624</v>
      </c>
      <c r="F71" s="7" t="s">
        <v>835</v>
      </c>
      <c r="G71" s="8" t="s">
        <v>827</v>
      </c>
      <c r="H71" s="9" t="s">
        <v>825</v>
      </c>
      <c r="I71" s="9" t="s">
        <v>828</v>
      </c>
      <c r="J71" s="9" t="s">
        <v>826</v>
      </c>
      <c r="K71" s="9" t="s">
        <v>624</v>
      </c>
      <c r="L71" s="16" t="str">
        <f>IF(Report[Résultat FT]="","",IF(Report[Résultat FT]=Report[Résultats],"","-"))</f>
        <v>-</v>
      </c>
      <c r="M71" s="16" t="str">
        <f>IF(Report[[#This Row],[Résultat FT]]="","",IF(Report[[#This Row],[Résultats SE]]="Gagné","","-"))</f>
        <v>-</v>
      </c>
      <c r="N71" s="17" t="s">
        <v>830</v>
      </c>
      <c r="O71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Extremadura UD</v>
      </c>
      <c r="P71" s="18">
        <f>IF(Report[[#This Row],[FT]]="",,(LEFT(Report[[#This Row],[FT]],SEARCH("-",Report[[#This Row],[FT]])-1)*1))</f>
        <v>1</v>
      </c>
      <c r="Q71" s="22">
        <f>IF(Report[[#This Row],[FT]]="",,(RIGHT(Report[[#This Row],[FT]],SEARCH("-",Report[[#This Row],[FT]])-1)*1))</f>
        <v>0</v>
      </c>
      <c r="R71" s="18" t="str">
        <f>IF(Report[Résultat FT]="","",IF(Report[Résultat FT]=Report[Résultats],"Gagné","Perdu"))</f>
        <v>Perdu</v>
      </c>
      <c r="S71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71" s="53">
        <f>IF(Report[[#This Row],[FT]]="","",IF(Report[[#This Row],[FT]]=Report[[#This Row],[Score 1]],1,0))</f>
        <v>0</v>
      </c>
      <c r="U71" s="53">
        <f>IF(Report[[#This Row],[FT]]="","",IF(Report[ [#This Row],[FT] ]=Report[[#This Row],[Score 2]],1,0))</f>
        <v>0</v>
      </c>
      <c r="V71" s="53">
        <f>IF(Report[[#This Row],[FT]]="","",IF(Report[[#This Row],[FT]]=Report[[#This Row],[Score 3]],1,0))</f>
        <v>0</v>
      </c>
      <c r="W71" s="53">
        <f>IF(Report[[#This Row],[FT]]="","",IF(Report[[#This Row],[FT]]=Report[[#This Row],[Score 4]],1,0))</f>
        <v>0</v>
      </c>
      <c r="X71" s="94">
        <f>IF(Report[[#This Row],[Résultat FT]]="",,IF(Report[[#This Row],[Résultat FT]]=Report[[#This Row],[Résultats]],(Suivi_Gain!$B$1*Report[[#This Row],[Cote FT]])-Suivi_Gain!$B$1,-Suivi_Gain!$B$1))</f>
        <v>-1</v>
      </c>
      <c r="Y71" s="94">
        <f>IF(Report[[#This Row],[FT]]="",,IF(Report[[#This Row],[FT]]=Report[[#This Row],[Score 1]],(Suivi_Gain!$G$1*Report[[#This Row],[Cote SE]])-Suivi_Gain!$G$1,-Suivi_Gain!$G$1))</f>
        <v>-1</v>
      </c>
      <c r="Z71" s="65">
        <f>IF(Report[[#This Row],[FT]]="",,IF(Report[[#This Row],[FT]]=Report[[#This Row],[Score 2]],Suivi_Gain!$G$1*Report[[#This Row],[Cote SE]],-Suivi_Gain!$G$1))</f>
        <v>-1</v>
      </c>
      <c r="AA71" s="65">
        <f>IF(Report[[#This Row],[FT]]="",,IF(Report[[#This Row],[FT]]=Report[[#This Row],[Score 3]],Suivi_Gain!$G$1*Report[[#This Row],[Cote SE]],-Suivi_Gain!$G$1))</f>
        <v>-1</v>
      </c>
      <c r="AB71" s="65">
        <f>IF(Report[[#This Row],[FT]]="",,IF(Report[[#This Row],[FT]]=Report[[#This Row],[Score 4]],Suivi_Gain!$G$1*Report[[#This Row],[Cote SE]],-Suivi_Gain!$G$1))</f>
        <v>-1</v>
      </c>
      <c r="AC71" s="18" t="str">
        <f>IF(Report[[#This Row],[Résultats SE]]="Gagné",Report[[#This Row],[FT]],"")</f>
        <v/>
      </c>
      <c r="AD71" s="18" t="str">
        <f>IF(AND(Report[[#This Row],[Résultats SE]]="Gagné",Report[[#This Row],[FT]]=Report[[#This Row],[Score 1]]),Report[[#This Row],[FT]],"")</f>
        <v/>
      </c>
      <c r="AE71" s="18" t="str">
        <f>IF(AND(Report[[#This Row],[Résultats SE]]="Gagné",Report[[#This Row],[FT]]=Report[[#This Row],[Score 2]]),Report[[#This Row],[FT]],"")</f>
        <v/>
      </c>
      <c r="AF71" s="18" t="str">
        <f>IF(AND(Report[[#This Row],[Résultats SE]]="Gagné",Report[[#This Row],[FT]]=Report[[#This Row],[Score 3]]),Report[[#This Row],[FT]],"")</f>
        <v/>
      </c>
      <c r="AG71" s="18" t="str">
        <f>IF(AND(Report[[#This Row],[Résultats SE]]="Gagné",Report[[#This Row],[FT]]=Report[[#This Row],[Score 4]]),Report[[#This Row],[FT]],"")</f>
        <v/>
      </c>
    </row>
    <row r="72" spans="1:33" ht="20.100000000000001" customHeight="1" x14ac:dyDescent="0.25">
      <c r="A72" s="11">
        <v>43429</v>
      </c>
      <c r="B72" s="7" t="s">
        <v>67</v>
      </c>
      <c r="C72" s="7" t="s">
        <v>103</v>
      </c>
      <c r="D72" s="10" t="s">
        <v>616</v>
      </c>
      <c r="E72" s="10" t="s">
        <v>611</v>
      </c>
      <c r="F72" s="7" t="s">
        <v>824</v>
      </c>
      <c r="G72" s="8" t="s">
        <v>825</v>
      </c>
      <c r="H72" s="9" t="s">
        <v>826</v>
      </c>
      <c r="I72" s="9" t="s">
        <v>827</v>
      </c>
      <c r="J72" s="9" t="s">
        <v>828</v>
      </c>
      <c r="K72" s="9" t="s">
        <v>611</v>
      </c>
      <c r="L72" s="16">
        <v>3.45</v>
      </c>
      <c r="M72" s="16">
        <v>8</v>
      </c>
      <c r="N72" s="17" t="s">
        <v>825</v>
      </c>
      <c r="O72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Albacete</v>
      </c>
      <c r="P72" s="18">
        <f>IF(Report[[#This Row],[FT]]="",,(LEFT(Report[[#This Row],[FT]],SEARCH("-",Report[[#This Row],[FT]])-1)*1))</f>
        <v>0</v>
      </c>
      <c r="Q72" s="22">
        <f>IF(Report[[#This Row],[FT]]="",,(RIGHT(Report[[#This Row],[FT]],SEARCH("-",Report[[#This Row],[FT]])-1)*1))</f>
        <v>1</v>
      </c>
      <c r="R72" s="18" t="str">
        <f>IF(Report[Résultat FT]="","",IF(Report[Résultat FT]=Report[Résultats],"Gagné","Perdu"))</f>
        <v>Gagné</v>
      </c>
      <c r="S72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72" s="53">
        <f>IF(Report[[#This Row],[FT]]="","",IF(Report[[#This Row],[FT]]=Report[[#This Row],[Score 1]],1,0))</f>
        <v>1</v>
      </c>
      <c r="U72" s="53">
        <f>IF(Report[[#This Row],[FT]]="","",IF(Report[ [#This Row],[FT] ]=Report[[#This Row],[Score 2]],1,0))</f>
        <v>0</v>
      </c>
      <c r="V72" s="53">
        <f>IF(Report[[#This Row],[FT]]="","",IF(Report[[#This Row],[FT]]=Report[[#This Row],[Score 3]],1,0))</f>
        <v>0</v>
      </c>
      <c r="W72" s="53">
        <f>IF(Report[[#This Row],[FT]]="","",IF(Report[[#This Row],[FT]]=Report[[#This Row],[Score 4]],1,0))</f>
        <v>0</v>
      </c>
      <c r="X72" s="94">
        <f>IF(Report[[#This Row],[Résultat FT]]="",,IF(Report[[#This Row],[Résultat FT]]=Report[[#This Row],[Résultats]],(Suivi_Gain!$B$1*Report[[#This Row],[Cote FT]])-Suivi_Gain!$B$1,-Suivi_Gain!$B$1))</f>
        <v>2.4500000000000002</v>
      </c>
      <c r="Y72" s="94">
        <f>IF(Report[[#This Row],[FT]]="",,IF(Report[[#This Row],[FT]]=Report[[#This Row],[Score 1]],(Suivi_Gain!$G$1*Report[[#This Row],[Cote SE]])-Suivi_Gain!$G$1,-Suivi_Gain!$G$1))</f>
        <v>7</v>
      </c>
      <c r="Z72" s="65">
        <f>IF(Report[[#This Row],[FT]]="",,IF(Report[[#This Row],[FT]]=Report[[#This Row],[Score 2]],Suivi_Gain!$G$1*Report[[#This Row],[Cote SE]],-Suivi_Gain!$G$1))</f>
        <v>-1</v>
      </c>
      <c r="AA72" s="65">
        <f>IF(Report[[#This Row],[FT]]="",,IF(Report[[#This Row],[FT]]=Report[[#This Row],[Score 3]],Suivi_Gain!$G$1*Report[[#This Row],[Cote SE]],-Suivi_Gain!$G$1))</f>
        <v>-1</v>
      </c>
      <c r="AB72" s="65">
        <f>IF(Report[[#This Row],[FT]]="",,IF(Report[[#This Row],[FT]]=Report[[#This Row],[Score 4]],Suivi_Gain!$G$1*Report[[#This Row],[Cote SE]],-Suivi_Gain!$G$1))</f>
        <v>-1</v>
      </c>
      <c r="AC72" s="18" t="str">
        <f>IF(Report[[#This Row],[Résultats SE]]="Gagné",Report[[#This Row],[FT]],"")</f>
        <v>0-1</v>
      </c>
      <c r="AD72" s="18" t="str">
        <f>IF(AND(Report[[#This Row],[Résultats SE]]="Gagné",Report[[#This Row],[FT]]=Report[[#This Row],[Score 1]]),Report[[#This Row],[FT]],"")</f>
        <v>0-1</v>
      </c>
      <c r="AE72" s="18" t="str">
        <f>IF(AND(Report[[#This Row],[Résultats SE]]="Gagné",Report[[#This Row],[FT]]=Report[[#This Row],[Score 2]]),Report[[#This Row],[FT]],"")</f>
        <v/>
      </c>
      <c r="AF72" s="18" t="str">
        <f>IF(AND(Report[[#This Row],[Résultats SE]]="Gagné",Report[[#This Row],[FT]]=Report[[#This Row],[Score 3]]),Report[[#This Row],[FT]],"")</f>
        <v/>
      </c>
      <c r="AG72" s="18" t="str">
        <f>IF(AND(Report[[#This Row],[Résultats SE]]="Gagné",Report[[#This Row],[FT]]=Report[[#This Row],[Score 4]]),Report[[#This Row],[FT]],"")</f>
        <v/>
      </c>
    </row>
    <row r="73" spans="1:33" ht="20.100000000000001" customHeight="1" x14ac:dyDescent="0.25">
      <c r="A73" s="11">
        <v>43429</v>
      </c>
      <c r="B73" s="7" t="s">
        <v>67</v>
      </c>
      <c r="C73" s="7" t="s">
        <v>103</v>
      </c>
      <c r="D73" s="10" t="s">
        <v>628</v>
      </c>
      <c r="E73" s="10" t="s">
        <v>630</v>
      </c>
      <c r="F73" s="7" t="s">
        <v>829</v>
      </c>
      <c r="G73" s="8" t="s">
        <v>830</v>
      </c>
      <c r="H73" s="9" t="s">
        <v>826</v>
      </c>
      <c r="I73" s="9" t="s">
        <v>831</v>
      </c>
      <c r="J73" s="9" t="s">
        <v>832</v>
      </c>
      <c r="K73" s="9" t="s">
        <v>628</v>
      </c>
      <c r="L73" s="16">
        <v>1.55</v>
      </c>
      <c r="M73" s="16">
        <v>10.5</v>
      </c>
      <c r="N73" s="17" t="s">
        <v>832</v>
      </c>
      <c r="O73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R. Oviedo</v>
      </c>
      <c r="P73" s="18">
        <f>IF(Report[[#This Row],[FT]]="",,(LEFT(Report[[#This Row],[FT]],SEARCH("-",Report[[#This Row],[FT]])-1)*1))</f>
        <v>3</v>
      </c>
      <c r="Q73" s="22">
        <f>IF(Report[[#This Row],[FT]]="",,(RIGHT(Report[[#This Row],[FT]],SEARCH("-",Report[[#This Row],[FT]])-1)*1))</f>
        <v>0</v>
      </c>
      <c r="R73" s="18" t="str">
        <f>IF(Report[Résultat FT]="","",IF(Report[Résultat FT]=Report[Résultats],"Gagné","Perdu"))</f>
        <v>Gagné</v>
      </c>
      <c r="S73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73" s="53">
        <f>IF(Report[[#This Row],[FT]]="","",IF(Report[[#This Row],[FT]]=Report[[#This Row],[Score 1]],1,0))</f>
        <v>0</v>
      </c>
      <c r="U73" s="53">
        <f>IF(Report[[#This Row],[FT]]="","",IF(Report[ [#This Row],[FT] ]=Report[[#This Row],[Score 2]],1,0))</f>
        <v>0</v>
      </c>
      <c r="V73" s="53">
        <f>IF(Report[[#This Row],[FT]]="","",IF(Report[[#This Row],[FT]]=Report[[#This Row],[Score 3]],1,0))</f>
        <v>0</v>
      </c>
      <c r="W73" s="53">
        <f>IF(Report[[#This Row],[FT]]="","",IF(Report[[#This Row],[FT]]=Report[[#This Row],[Score 4]],1,0))</f>
        <v>1</v>
      </c>
      <c r="X73" s="94">
        <f>IF(Report[[#This Row],[Résultat FT]]="",,IF(Report[[#This Row],[Résultat FT]]=Report[[#This Row],[Résultats]],(Suivi_Gain!$B$1*Report[[#This Row],[Cote FT]])-Suivi_Gain!$B$1,-Suivi_Gain!$B$1))</f>
        <v>0.55000000000000004</v>
      </c>
      <c r="Y73" s="94">
        <f>IF(Report[[#This Row],[FT]]="",,IF(Report[[#This Row],[FT]]=Report[[#This Row],[Score 1]],(Suivi_Gain!$G$1*Report[[#This Row],[Cote SE]])-Suivi_Gain!$G$1,-Suivi_Gain!$G$1))</f>
        <v>-1</v>
      </c>
      <c r="Z73" s="65">
        <f>IF(Report[[#This Row],[FT]]="",,IF(Report[[#This Row],[FT]]=Report[[#This Row],[Score 2]],Suivi_Gain!$G$1*Report[[#This Row],[Cote SE]],-Suivi_Gain!$G$1))</f>
        <v>-1</v>
      </c>
      <c r="AA73" s="65">
        <f>IF(Report[[#This Row],[FT]]="",,IF(Report[[#This Row],[FT]]=Report[[#This Row],[Score 3]],Suivi_Gain!$G$1*Report[[#This Row],[Cote SE]],-Suivi_Gain!$G$1))</f>
        <v>-1</v>
      </c>
      <c r="AB73" s="65">
        <f>IF(Report[[#This Row],[FT]]="",,IF(Report[[#This Row],[FT]]=Report[[#This Row],[Score 4]],Suivi_Gain!$G$1*Report[[#This Row],[Cote SE]],-Suivi_Gain!$G$1))</f>
        <v>10.5</v>
      </c>
      <c r="AC73" s="18" t="str">
        <f>IF(Report[[#This Row],[Résultats SE]]="Gagné",Report[[#This Row],[FT]],"")</f>
        <v>3-0</v>
      </c>
      <c r="AD73" s="18" t="str">
        <f>IF(AND(Report[[#This Row],[Résultats SE]]="Gagné",Report[[#This Row],[FT]]=Report[[#This Row],[Score 1]]),Report[[#This Row],[FT]],"")</f>
        <v/>
      </c>
      <c r="AE73" s="18" t="str">
        <f>IF(AND(Report[[#This Row],[Résultats SE]]="Gagné",Report[[#This Row],[FT]]=Report[[#This Row],[Score 2]]),Report[[#This Row],[FT]],"")</f>
        <v/>
      </c>
      <c r="AF73" s="18" t="str">
        <f>IF(AND(Report[[#This Row],[Résultats SE]]="Gagné",Report[[#This Row],[FT]]=Report[[#This Row],[Score 3]]),Report[[#This Row],[FT]],"")</f>
        <v/>
      </c>
      <c r="AG73" s="18" t="str">
        <f>IF(AND(Report[[#This Row],[Résultats SE]]="Gagné",Report[[#This Row],[FT]]=Report[[#This Row],[Score 4]]),Report[[#This Row],[FT]],"")</f>
        <v>3-0</v>
      </c>
    </row>
    <row r="74" spans="1:33" ht="20.100000000000001" customHeight="1" x14ac:dyDescent="0.25">
      <c r="A74" s="11">
        <v>43429</v>
      </c>
      <c r="B74" s="7" t="s">
        <v>67</v>
      </c>
      <c r="C74" s="7" t="s">
        <v>103</v>
      </c>
      <c r="D74" s="10" t="s">
        <v>631</v>
      </c>
      <c r="E74" s="10" t="s">
        <v>629</v>
      </c>
      <c r="F74" s="7" t="s">
        <v>824</v>
      </c>
      <c r="G74" s="8" t="s">
        <v>825</v>
      </c>
      <c r="H74" s="9" t="s">
        <v>826</v>
      </c>
      <c r="I74" s="9" t="s">
        <v>827</v>
      </c>
      <c r="J74" s="9" t="s">
        <v>828</v>
      </c>
      <c r="K74" s="9" t="s">
        <v>629</v>
      </c>
      <c r="L74" s="16" t="str">
        <f>IF(Report[Résultat FT]="","",IF(Report[Résultat FT]=Report[Résultats],"","-"))</f>
        <v>-</v>
      </c>
      <c r="M74" s="16" t="str">
        <f>IF(Report[[#This Row],[Résultat FT]]="","",IF(Report[[#This Row],[Résultats SE]]="Gagné","","-"))</f>
        <v>-</v>
      </c>
      <c r="N74" s="17" t="s">
        <v>838</v>
      </c>
      <c r="O74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Tenerife</v>
      </c>
      <c r="P74" s="18">
        <f>IF(Report[[#This Row],[FT]]="",,(LEFT(Report[[#This Row],[FT]],SEARCH("-",Report[[#This Row],[FT]])-1)*1))</f>
        <v>2</v>
      </c>
      <c r="Q74" s="22">
        <f>IF(Report[[#This Row],[FT]]="",,(RIGHT(Report[[#This Row],[FT]],SEARCH("-",Report[[#This Row],[FT]])-1)*1))</f>
        <v>1</v>
      </c>
      <c r="R74" s="18" t="str">
        <f>IF(Report[Résultat FT]="","",IF(Report[Résultat FT]=Report[Résultats],"Gagné","Perdu"))</f>
        <v>Perdu</v>
      </c>
      <c r="S74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74" s="53">
        <f>IF(Report[[#This Row],[FT]]="","",IF(Report[[#This Row],[FT]]=Report[[#This Row],[Score 1]],1,0))</f>
        <v>0</v>
      </c>
      <c r="U74" s="53">
        <f>IF(Report[[#This Row],[FT]]="","",IF(Report[ [#This Row],[FT] ]=Report[[#This Row],[Score 2]],1,0))</f>
        <v>0</v>
      </c>
      <c r="V74" s="53">
        <f>IF(Report[[#This Row],[FT]]="","",IF(Report[[#This Row],[FT]]=Report[[#This Row],[Score 3]],1,0))</f>
        <v>0</v>
      </c>
      <c r="W74" s="53">
        <f>IF(Report[[#This Row],[FT]]="","",IF(Report[[#This Row],[FT]]=Report[[#This Row],[Score 4]],1,0))</f>
        <v>0</v>
      </c>
      <c r="X74" s="94">
        <f>IF(Report[[#This Row],[Résultat FT]]="",,IF(Report[[#This Row],[Résultat FT]]=Report[[#This Row],[Résultats]],(Suivi_Gain!$B$1*Report[[#This Row],[Cote FT]])-Suivi_Gain!$B$1,-Suivi_Gain!$B$1))</f>
        <v>-1</v>
      </c>
      <c r="Y74" s="94">
        <f>IF(Report[[#This Row],[FT]]="",,IF(Report[[#This Row],[FT]]=Report[[#This Row],[Score 1]],(Suivi_Gain!$G$1*Report[[#This Row],[Cote SE]])-Suivi_Gain!$G$1,-Suivi_Gain!$G$1))</f>
        <v>-1</v>
      </c>
      <c r="Z74" s="65">
        <f>IF(Report[[#This Row],[FT]]="",,IF(Report[[#This Row],[FT]]=Report[[#This Row],[Score 2]],Suivi_Gain!$G$1*Report[[#This Row],[Cote SE]],-Suivi_Gain!$G$1))</f>
        <v>-1</v>
      </c>
      <c r="AA74" s="65">
        <f>IF(Report[[#This Row],[FT]]="",,IF(Report[[#This Row],[FT]]=Report[[#This Row],[Score 3]],Suivi_Gain!$G$1*Report[[#This Row],[Cote SE]],-Suivi_Gain!$G$1))</f>
        <v>-1</v>
      </c>
      <c r="AB74" s="65">
        <f>IF(Report[[#This Row],[FT]]="",,IF(Report[[#This Row],[FT]]=Report[[#This Row],[Score 4]],Suivi_Gain!$G$1*Report[[#This Row],[Cote SE]],-Suivi_Gain!$G$1))</f>
        <v>-1</v>
      </c>
      <c r="AC74" s="18" t="str">
        <f>IF(Report[[#This Row],[Résultats SE]]="Gagné",Report[[#This Row],[FT]],"")</f>
        <v/>
      </c>
      <c r="AD74" s="18" t="str">
        <f>IF(AND(Report[[#This Row],[Résultats SE]]="Gagné",Report[[#This Row],[FT]]=Report[[#This Row],[Score 1]]),Report[[#This Row],[FT]],"")</f>
        <v/>
      </c>
      <c r="AE74" s="18" t="str">
        <f>IF(AND(Report[[#This Row],[Résultats SE]]="Gagné",Report[[#This Row],[FT]]=Report[[#This Row],[Score 2]]),Report[[#This Row],[FT]],"")</f>
        <v/>
      </c>
      <c r="AF74" s="18" t="str">
        <f>IF(AND(Report[[#This Row],[Résultats SE]]="Gagné",Report[[#This Row],[FT]]=Report[[#This Row],[Score 3]]),Report[[#This Row],[FT]],"")</f>
        <v/>
      </c>
      <c r="AG74" s="18" t="str">
        <f>IF(AND(Report[[#This Row],[Résultats SE]]="Gagné",Report[[#This Row],[FT]]=Report[[#This Row],[Score 4]]),Report[[#This Row],[FT]],"")</f>
        <v/>
      </c>
    </row>
    <row r="75" spans="1:33" ht="20.100000000000001" customHeight="1" x14ac:dyDescent="0.25">
      <c r="A75" s="11">
        <v>43429</v>
      </c>
      <c r="B75" s="7" t="s">
        <v>67</v>
      </c>
      <c r="C75" s="7" t="s">
        <v>103</v>
      </c>
      <c r="D75" s="10" t="s">
        <v>612</v>
      </c>
      <c r="E75" s="10" t="s">
        <v>632</v>
      </c>
      <c r="F75" s="7" t="s">
        <v>829</v>
      </c>
      <c r="G75" s="8" t="s">
        <v>830</v>
      </c>
      <c r="H75" s="9" t="s">
        <v>826</v>
      </c>
      <c r="I75" s="9" t="s">
        <v>831</v>
      </c>
      <c r="J75" s="9" t="s">
        <v>832</v>
      </c>
      <c r="K75" s="9" t="s">
        <v>612</v>
      </c>
      <c r="L75" s="16">
        <v>1.93</v>
      </c>
      <c r="M75" s="16">
        <v>7.5</v>
      </c>
      <c r="N75" s="17" t="s">
        <v>831</v>
      </c>
      <c r="O75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Alcorcon</v>
      </c>
      <c r="P75" s="18">
        <f>IF(Report[[#This Row],[FT]]="",,(LEFT(Report[[#This Row],[FT]],SEARCH("-",Report[[#This Row],[FT]])-1)*1))</f>
        <v>2</v>
      </c>
      <c r="Q75" s="22">
        <f>IF(Report[[#This Row],[FT]]="",,(RIGHT(Report[[#This Row],[FT]],SEARCH("-",Report[[#This Row],[FT]])-1)*1))</f>
        <v>0</v>
      </c>
      <c r="R75" s="18" t="str">
        <f>IF(Report[Résultat FT]="","",IF(Report[Résultat FT]=Report[Résultats],"Gagné","Perdu"))</f>
        <v>Gagné</v>
      </c>
      <c r="S75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75" s="53">
        <f>IF(Report[[#This Row],[FT]]="","",IF(Report[[#This Row],[FT]]=Report[[#This Row],[Score 1]],1,0))</f>
        <v>0</v>
      </c>
      <c r="U75" s="53">
        <f>IF(Report[[#This Row],[FT]]="","",IF(Report[ [#This Row],[FT] ]=Report[[#This Row],[Score 2]],1,0))</f>
        <v>0</v>
      </c>
      <c r="V75" s="53">
        <f>IF(Report[[#This Row],[FT]]="","",IF(Report[[#This Row],[FT]]=Report[[#This Row],[Score 3]],1,0))</f>
        <v>1</v>
      </c>
      <c r="W75" s="53">
        <f>IF(Report[[#This Row],[FT]]="","",IF(Report[[#This Row],[FT]]=Report[[#This Row],[Score 4]],1,0))</f>
        <v>0</v>
      </c>
      <c r="X75" s="94">
        <f>IF(Report[[#This Row],[Résultat FT]]="",,IF(Report[[#This Row],[Résultat FT]]=Report[[#This Row],[Résultats]],(Suivi_Gain!$B$1*Report[[#This Row],[Cote FT]])-Suivi_Gain!$B$1,-Suivi_Gain!$B$1))</f>
        <v>0.92999999999999994</v>
      </c>
      <c r="Y75" s="94">
        <f>IF(Report[[#This Row],[FT]]="",,IF(Report[[#This Row],[FT]]=Report[[#This Row],[Score 1]],(Suivi_Gain!$G$1*Report[[#This Row],[Cote SE]])-Suivi_Gain!$G$1,-Suivi_Gain!$G$1))</f>
        <v>-1</v>
      </c>
      <c r="Z75" s="65">
        <f>IF(Report[[#This Row],[FT]]="",,IF(Report[[#This Row],[FT]]=Report[[#This Row],[Score 2]],Suivi_Gain!$G$1*Report[[#This Row],[Cote SE]],-Suivi_Gain!$G$1))</f>
        <v>-1</v>
      </c>
      <c r="AA75" s="65">
        <f>IF(Report[[#This Row],[FT]]="",,IF(Report[[#This Row],[FT]]=Report[[#This Row],[Score 3]],Suivi_Gain!$G$1*Report[[#This Row],[Cote SE]],-Suivi_Gain!$G$1))</f>
        <v>7.5</v>
      </c>
      <c r="AB75" s="65">
        <f>IF(Report[[#This Row],[FT]]="",,IF(Report[[#This Row],[FT]]=Report[[#This Row],[Score 4]],Suivi_Gain!$G$1*Report[[#This Row],[Cote SE]],-Suivi_Gain!$G$1))</f>
        <v>-1</v>
      </c>
      <c r="AC75" s="18" t="str">
        <f>IF(Report[[#This Row],[Résultats SE]]="Gagné",Report[[#This Row],[FT]],"")</f>
        <v>2-0</v>
      </c>
      <c r="AD75" s="18" t="str">
        <f>IF(AND(Report[[#This Row],[Résultats SE]]="Gagné",Report[[#This Row],[FT]]=Report[[#This Row],[Score 1]]),Report[[#This Row],[FT]],"")</f>
        <v/>
      </c>
      <c r="AE75" s="18" t="str">
        <f>IF(AND(Report[[#This Row],[Résultats SE]]="Gagné",Report[[#This Row],[FT]]=Report[[#This Row],[Score 2]]),Report[[#This Row],[FT]],"")</f>
        <v/>
      </c>
      <c r="AF75" s="18" t="str">
        <f>IF(AND(Report[[#This Row],[Résultats SE]]="Gagné",Report[[#This Row],[FT]]=Report[[#This Row],[Score 3]]),Report[[#This Row],[FT]],"")</f>
        <v>2-0</v>
      </c>
      <c r="AG75" s="18" t="str">
        <f>IF(AND(Report[[#This Row],[Résultats SE]]="Gagné",Report[[#This Row],[FT]]=Report[[#This Row],[Score 4]]),Report[[#This Row],[FT]],"")</f>
        <v/>
      </c>
    </row>
    <row r="76" spans="1:33" ht="20.100000000000001" customHeight="1" x14ac:dyDescent="0.25">
      <c r="A76" s="11">
        <v>43429</v>
      </c>
      <c r="B76" s="7" t="s">
        <v>67</v>
      </c>
      <c r="C76" s="7" t="s">
        <v>102</v>
      </c>
      <c r="D76" s="10" t="s">
        <v>592</v>
      </c>
      <c r="E76" s="10" t="s">
        <v>600</v>
      </c>
      <c r="F76" s="7" t="s">
        <v>824</v>
      </c>
      <c r="G76" s="8" t="s">
        <v>825</v>
      </c>
      <c r="H76" s="9" t="s">
        <v>826</v>
      </c>
      <c r="I76" s="9" t="s">
        <v>827</v>
      </c>
      <c r="J76" s="9" t="s">
        <v>828</v>
      </c>
      <c r="K76" s="9" t="s">
        <v>600</v>
      </c>
      <c r="L76" s="16" t="str">
        <f>IF(Report[Résultat FT]="","",IF(Report[Résultat FT]=Report[Résultats],"","-"))</f>
        <v>-</v>
      </c>
      <c r="M76" s="16" t="str">
        <f>IF(Report[[#This Row],[Résultat FT]]="","",IF(Report[[#This Row],[Résultats SE]]="Gagné","","-"))</f>
        <v>-</v>
      </c>
      <c r="N76" s="17" t="s">
        <v>834</v>
      </c>
      <c r="O76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76" s="18">
        <f>IF(Report[[#This Row],[FT]]="",,(LEFT(Report[[#This Row],[FT]],SEARCH("-",Report[[#This Row],[FT]])-1)*1))</f>
        <v>1</v>
      </c>
      <c r="Q76" s="22">
        <f>IF(Report[[#This Row],[FT]]="",,(RIGHT(Report[[#This Row],[FT]],SEARCH("-",Report[[#This Row],[FT]])-1)*1))</f>
        <v>1</v>
      </c>
      <c r="R76" s="18" t="str">
        <f>IF(Report[Résultat FT]="","",IF(Report[Résultat FT]=Report[Résultats],"Gagné","Perdu"))</f>
        <v>Perdu</v>
      </c>
      <c r="S76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76" s="53">
        <f>IF(Report[[#This Row],[FT]]="","",IF(Report[[#This Row],[FT]]=Report[[#This Row],[Score 1]],1,0))</f>
        <v>0</v>
      </c>
      <c r="U76" s="53">
        <f>IF(Report[[#This Row],[FT]]="","",IF(Report[ [#This Row],[FT] ]=Report[[#This Row],[Score 2]],1,0))</f>
        <v>0</v>
      </c>
      <c r="V76" s="53">
        <f>IF(Report[[#This Row],[FT]]="","",IF(Report[[#This Row],[FT]]=Report[[#This Row],[Score 3]],1,0))</f>
        <v>0</v>
      </c>
      <c r="W76" s="53">
        <f>IF(Report[[#This Row],[FT]]="","",IF(Report[[#This Row],[FT]]=Report[[#This Row],[Score 4]],1,0))</f>
        <v>0</v>
      </c>
      <c r="X76" s="94">
        <f>IF(Report[[#This Row],[Résultat FT]]="",,IF(Report[[#This Row],[Résultat FT]]=Report[[#This Row],[Résultats]],(Suivi_Gain!$B$1*Report[[#This Row],[Cote FT]])-Suivi_Gain!$B$1,-Suivi_Gain!$B$1))</f>
        <v>-1</v>
      </c>
      <c r="Y76" s="94">
        <f>IF(Report[[#This Row],[FT]]="",,IF(Report[[#This Row],[FT]]=Report[[#This Row],[Score 1]],(Suivi_Gain!$G$1*Report[[#This Row],[Cote SE]])-Suivi_Gain!$G$1,-Suivi_Gain!$G$1))</f>
        <v>-1</v>
      </c>
      <c r="Z76" s="65">
        <f>IF(Report[[#This Row],[FT]]="",,IF(Report[[#This Row],[FT]]=Report[[#This Row],[Score 2]],Suivi_Gain!$G$1*Report[[#This Row],[Cote SE]],-Suivi_Gain!$G$1))</f>
        <v>-1</v>
      </c>
      <c r="AA76" s="65">
        <f>IF(Report[[#This Row],[FT]]="",,IF(Report[[#This Row],[FT]]=Report[[#This Row],[Score 3]],Suivi_Gain!$G$1*Report[[#This Row],[Cote SE]],-Suivi_Gain!$G$1))</f>
        <v>-1</v>
      </c>
      <c r="AB76" s="65">
        <f>IF(Report[[#This Row],[FT]]="",,IF(Report[[#This Row],[FT]]=Report[[#This Row],[Score 4]],Suivi_Gain!$G$1*Report[[#This Row],[Cote SE]],-Suivi_Gain!$G$1))</f>
        <v>-1</v>
      </c>
      <c r="AC76" s="18" t="str">
        <f>IF(Report[[#This Row],[Résultats SE]]="Gagné",Report[[#This Row],[FT]],"")</f>
        <v/>
      </c>
      <c r="AD76" s="18" t="str">
        <f>IF(AND(Report[[#This Row],[Résultats SE]]="Gagné",Report[[#This Row],[FT]]=Report[[#This Row],[Score 1]]),Report[[#This Row],[FT]],"")</f>
        <v/>
      </c>
      <c r="AE76" s="18" t="str">
        <f>IF(AND(Report[[#This Row],[Résultats SE]]="Gagné",Report[[#This Row],[FT]]=Report[[#This Row],[Score 2]]),Report[[#This Row],[FT]],"")</f>
        <v/>
      </c>
      <c r="AF76" s="18" t="str">
        <f>IF(AND(Report[[#This Row],[Résultats SE]]="Gagné",Report[[#This Row],[FT]]=Report[[#This Row],[Score 3]]),Report[[#This Row],[FT]],"")</f>
        <v/>
      </c>
      <c r="AG76" s="18" t="str">
        <f>IF(AND(Report[[#This Row],[Résultats SE]]="Gagné",Report[[#This Row],[FT]]=Report[[#This Row],[Score 4]]),Report[[#This Row],[FT]],"")</f>
        <v/>
      </c>
    </row>
    <row r="77" spans="1:33" ht="20.100000000000001" customHeight="1" x14ac:dyDescent="0.25">
      <c r="A77" s="11">
        <v>43429</v>
      </c>
      <c r="B77" s="7" t="s">
        <v>67</v>
      </c>
      <c r="C77" s="7" t="s">
        <v>102</v>
      </c>
      <c r="D77" s="10" t="s">
        <v>599</v>
      </c>
      <c r="E77" s="10" t="s">
        <v>608</v>
      </c>
      <c r="F77" s="7" t="s">
        <v>829</v>
      </c>
      <c r="G77" s="8" t="s">
        <v>830</v>
      </c>
      <c r="H77" s="9" t="s">
        <v>826</v>
      </c>
      <c r="I77" s="9" t="s">
        <v>831</v>
      </c>
      <c r="J77" s="9" t="s">
        <v>832</v>
      </c>
      <c r="K77" s="9" t="s">
        <v>599</v>
      </c>
      <c r="L77" s="16">
        <v>1.38</v>
      </c>
      <c r="M77" s="16">
        <v>8.5</v>
      </c>
      <c r="N77" s="17" t="s">
        <v>830</v>
      </c>
      <c r="O77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FC Séville</v>
      </c>
      <c r="P77" s="18">
        <f>IF(Report[[#This Row],[FT]]="",,(LEFT(Report[[#This Row],[FT]],SEARCH("-",Report[[#This Row],[FT]])-1)*1))</f>
        <v>1</v>
      </c>
      <c r="Q77" s="22">
        <f>IF(Report[[#This Row],[FT]]="",,(RIGHT(Report[[#This Row],[FT]],SEARCH("-",Report[[#This Row],[FT]])-1)*1))</f>
        <v>0</v>
      </c>
      <c r="R77" s="18" t="str">
        <f>IF(Report[Résultat FT]="","",IF(Report[Résultat FT]=Report[Résultats],"Gagné","Perdu"))</f>
        <v>Gagné</v>
      </c>
      <c r="S77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77" s="53">
        <f>IF(Report[[#This Row],[FT]]="","",IF(Report[[#This Row],[FT]]=Report[[#This Row],[Score 1]],1,0))</f>
        <v>1</v>
      </c>
      <c r="U77" s="53">
        <f>IF(Report[[#This Row],[FT]]="","",IF(Report[ [#This Row],[FT] ]=Report[[#This Row],[Score 2]],1,0))</f>
        <v>0</v>
      </c>
      <c r="V77" s="53">
        <f>IF(Report[[#This Row],[FT]]="","",IF(Report[[#This Row],[FT]]=Report[[#This Row],[Score 3]],1,0))</f>
        <v>0</v>
      </c>
      <c r="W77" s="53">
        <f>IF(Report[[#This Row],[FT]]="","",IF(Report[[#This Row],[FT]]=Report[[#This Row],[Score 4]],1,0))</f>
        <v>0</v>
      </c>
      <c r="X77" s="94">
        <f>IF(Report[[#This Row],[Résultat FT]]="",,IF(Report[[#This Row],[Résultat FT]]=Report[[#This Row],[Résultats]],(Suivi_Gain!$B$1*Report[[#This Row],[Cote FT]])-Suivi_Gain!$B$1,-Suivi_Gain!$B$1))</f>
        <v>0.37999999999999989</v>
      </c>
      <c r="Y77" s="94">
        <f>IF(Report[[#This Row],[FT]]="",,IF(Report[[#This Row],[FT]]=Report[[#This Row],[Score 1]],(Suivi_Gain!$G$1*Report[[#This Row],[Cote SE]])-Suivi_Gain!$G$1,-Suivi_Gain!$G$1))</f>
        <v>7.5</v>
      </c>
      <c r="Z77" s="65">
        <f>IF(Report[[#This Row],[FT]]="",,IF(Report[[#This Row],[FT]]=Report[[#This Row],[Score 2]],Suivi_Gain!$G$1*Report[[#This Row],[Cote SE]],-Suivi_Gain!$G$1))</f>
        <v>-1</v>
      </c>
      <c r="AA77" s="65">
        <f>IF(Report[[#This Row],[FT]]="",,IF(Report[[#This Row],[FT]]=Report[[#This Row],[Score 3]],Suivi_Gain!$G$1*Report[[#This Row],[Cote SE]],-Suivi_Gain!$G$1))</f>
        <v>-1</v>
      </c>
      <c r="AB77" s="65">
        <f>IF(Report[[#This Row],[FT]]="",,IF(Report[[#This Row],[FT]]=Report[[#This Row],[Score 4]],Suivi_Gain!$G$1*Report[[#This Row],[Cote SE]],-Suivi_Gain!$G$1))</f>
        <v>-1</v>
      </c>
      <c r="AC77" s="18" t="str">
        <f>IF(Report[[#This Row],[Résultats SE]]="Gagné",Report[[#This Row],[FT]],"")</f>
        <v>1-0</v>
      </c>
      <c r="AD77" s="18" t="str">
        <f>IF(AND(Report[[#This Row],[Résultats SE]]="Gagné",Report[[#This Row],[FT]]=Report[[#This Row],[Score 1]]),Report[[#This Row],[FT]],"")</f>
        <v>1-0</v>
      </c>
      <c r="AE77" s="18" t="str">
        <f>IF(AND(Report[[#This Row],[Résultats SE]]="Gagné",Report[[#This Row],[FT]]=Report[[#This Row],[Score 2]]),Report[[#This Row],[FT]],"")</f>
        <v/>
      </c>
      <c r="AF77" s="18" t="str">
        <f>IF(AND(Report[[#This Row],[Résultats SE]]="Gagné",Report[[#This Row],[FT]]=Report[[#This Row],[Score 3]]),Report[[#This Row],[FT]],"")</f>
        <v/>
      </c>
      <c r="AG77" s="18" t="str">
        <f>IF(AND(Report[[#This Row],[Résultats SE]]="Gagné",Report[[#This Row],[FT]]=Report[[#This Row],[Score 4]]),Report[[#This Row],[FT]],"")</f>
        <v/>
      </c>
    </row>
    <row r="78" spans="1:33" ht="20.100000000000001" customHeight="1" x14ac:dyDescent="0.25">
      <c r="A78" s="11">
        <v>43429</v>
      </c>
      <c r="B78" s="7" t="s">
        <v>67</v>
      </c>
      <c r="C78" s="7" t="s">
        <v>102</v>
      </c>
      <c r="D78" s="19" t="s">
        <v>598</v>
      </c>
      <c r="E78" s="19" t="s">
        <v>601</v>
      </c>
      <c r="F78" s="7" t="s">
        <v>829</v>
      </c>
      <c r="G78" s="20" t="s">
        <v>830</v>
      </c>
      <c r="H78" s="20" t="s">
        <v>826</v>
      </c>
      <c r="I78" s="20" t="s">
        <v>831</v>
      </c>
      <c r="J78" s="20" t="s">
        <v>832</v>
      </c>
      <c r="K78" s="9" t="s">
        <v>598</v>
      </c>
      <c r="L78" s="16" t="str">
        <f>IF(Report[Résultat FT]="","",IF(Report[Résultat FT]=Report[Résultats],"","-"))</f>
        <v>-</v>
      </c>
      <c r="M78" s="16" t="str">
        <f>IF(Report[[#This Row],[Résultat FT]]="","",IF(Report[[#This Row],[Résultats SE]]="Gagné","","-"))</f>
        <v>-</v>
      </c>
      <c r="N78" s="17" t="s">
        <v>841</v>
      </c>
      <c r="O78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Girona</v>
      </c>
      <c r="P78" s="18">
        <f>IF(Report[[#This Row],[FT]]="",,(LEFT(Report[[#This Row],[FT]],SEARCH("-",Report[[#This Row],[FT]])-1)*1))</f>
        <v>1</v>
      </c>
      <c r="Q78" s="22">
        <f>IF(Report[[#This Row],[FT]]="",,(RIGHT(Report[[#This Row],[FT]],SEARCH("-",Report[[#This Row],[FT]])-1)*1))</f>
        <v>3</v>
      </c>
      <c r="R78" s="18" t="str">
        <f>IF(Report[Résultat FT]="","",IF(Report[Résultat FT]=Report[Résultats],"Gagné","Perdu"))</f>
        <v>Perdu</v>
      </c>
      <c r="S78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78" s="53">
        <f>IF(Report[[#This Row],[FT]]="","",IF(Report[[#This Row],[FT]]=Report[[#This Row],[Score 1]],1,0))</f>
        <v>0</v>
      </c>
      <c r="U78" s="53">
        <f>IF(Report[[#This Row],[FT]]="","",IF(Report[ [#This Row],[FT] ]=Report[[#This Row],[Score 2]],1,0))</f>
        <v>0</v>
      </c>
      <c r="V78" s="53">
        <f>IF(Report[[#This Row],[FT]]="","",IF(Report[[#This Row],[FT]]=Report[[#This Row],[Score 3]],1,0))</f>
        <v>0</v>
      </c>
      <c r="W78" s="53">
        <f>IF(Report[[#This Row],[FT]]="","",IF(Report[[#This Row],[FT]]=Report[[#This Row],[Score 4]],1,0))</f>
        <v>0</v>
      </c>
      <c r="X78" s="94">
        <f>IF(Report[[#This Row],[Résultat FT]]="",,IF(Report[[#This Row],[Résultat FT]]=Report[[#This Row],[Résultats]],(Suivi_Gain!$B$1*Report[[#This Row],[Cote FT]])-Suivi_Gain!$B$1,-Suivi_Gain!$B$1))</f>
        <v>-1</v>
      </c>
      <c r="Y78" s="94">
        <f>IF(Report[[#This Row],[FT]]="",,IF(Report[[#This Row],[FT]]=Report[[#This Row],[Score 1]],(Suivi_Gain!$G$1*Report[[#This Row],[Cote SE]])-Suivi_Gain!$G$1,-Suivi_Gain!$G$1))</f>
        <v>-1</v>
      </c>
      <c r="Z78" s="65">
        <f>IF(Report[[#This Row],[FT]]="",,IF(Report[[#This Row],[FT]]=Report[[#This Row],[Score 2]],Suivi_Gain!$G$1*Report[[#This Row],[Cote SE]],-Suivi_Gain!$G$1))</f>
        <v>-1</v>
      </c>
      <c r="AA78" s="65">
        <f>IF(Report[[#This Row],[FT]]="",,IF(Report[[#This Row],[FT]]=Report[[#This Row],[Score 3]],Suivi_Gain!$G$1*Report[[#This Row],[Cote SE]],-Suivi_Gain!$G$1))</f>
        <v>-1</v>
      </c>
      <c r="AB78" s="65">
        <f>IF(Report[[#This Row],[FT]]="",,IF(Report[[#This Row],[FT]]=Report[[#This Row],[Score 4]],Suivi_Gain!$G$1*Report[[#This Row],[Cote SE]],-Suivi_Gain!$G$1))</f>
        <v>-1</v>
      </c>
      <c r="AC78" s="18" t="str">
        <f>IF(Report[[#This Row],[Résultats SE]]="Gagné",Report[[#This Row],[FT]],"")</f>
        <v/>
      </c>
      <c r="AD78" s="18" t="str">
        <f>IF(AND(Report[[#This Row],[Résultats SE]]="Gagné",Report[[#This Row],[FT]]=Report[[#This Row],[Score 1]]),Report[[#This Row],[FT]],"")</f>
        <v/>
      </c>
      <c r="AE78" s="18" t="str">
        <f>IF(AND(Report[[#This Row],[Résultats SE]]="Gagné",Report[[#This Row],[FT]]=Report[[#This Row],[Score 2]]),Report[[#This Row],[FT]],"")</f>
        <v/>
      </c>
      <c r="AF78" s="18" t="str">
        <f>IF(AND(Report[[#This Row],[Résultats SE]]="Gagné",Report[[#This Row],[FT]]=Report[[#This Row],[Score 3]]),Report[[#This Row],[FT]],"")</f>
        <v/>
      </c>
      <c r="AG78" s="18" t="str">
        <f>IF(AND(Report[[#This Row],[Résultats SE]]="Gagné",Report[[#This Row],[FT]]=Report[[#This Row],[Score 4]]),Report[[#This Row],[FT]],"")</f>
        <v/>
      </c>
    </row>
    <row r="79" spans="1:33" ht="20.100000000000001" customHeight="1" x14ac:dyDescent="0.25">
      <c r="A79" s="11">
        <v>43429</v>
      </c>
      <c r="B79" s="7" t="s">
        <v>67</v>
      </c>
      <c r="C79" s="7" t="s">
        <v>102</v>
      </c>
      <c r="D79" s="19" t="s">
        <v>610</v>
      </c>
      <c r="E79" s="19" t="s">
        <v>595</v>
      </c>
      <c r="F79" s="7" t="s">
        <v>844</v>
      </c>
      <c r="G79" s="20" t="s">
        <v>826</v>
      </c>
      <c r="H79" s="20" t="s">
        <v>845</v>
      </c>
      <c r="I79" s="20" t="s">
        <v>846</v>
      </c>
      <c r="J79" s="20" t="s">
        <v>847</v>
      </c>
      <c r="K79" s="9" t="s">
        <v>233</v>
      </c>
      <c r="L79" s="16" t="str">
        <f>IF(Report[Résultat FT]="","",IF(Report[Résultat FT]=Report[Résultats],"","-"))</f>
        <v>-</v>
      </c>
      <c r="M79" s="16" t="str">
        <f>IF(Report[[#This Row],[Résultat FT]]="","",IF(Report[[#This Row],[Résultats SE]]="Gagné","","-"))</f>
        <v>-</v>
      </c>
      <c r="N79" s="17" t="s">
        <v>838</v>
      </c>
      <c r="O79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Villarreal</v>
      </c>
      <c r="P79" s="18">
        <f>IF(Report[[#This Row],[FT]]="",,(LEFT(Report[[#This Row],[FT]],SEARCH("-",Report[[#This Row],[FT]])-1)*1))</f>
        <v>2</v>
      </c>
      <c r="Q79" s="22">
        <f>IF(Report[[#This Row],[FT]]="",,(RIGHT(Report[[#This Row],[FT]],SEARCH("-",Report[[#This Row],[FT]])-1)*1))</f>
        <v>1</v>
      </c>
      <c r="R79" s="18" t="str">
        <f>IF(Report[Résultat FT]="","",IF(Report[Résultat FT]=Report[Résultats],"Gagné","Perdu"))</f>
        <v>Perdu</v>
      </c>
      <c r="S79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79" s="53">
        <f>IF(Report[[#This Row],[FT]]="","",IF(Report[[#This Row],[FT]]=Report[[#This Row],[Score 1]],1,0))</f>
        <v>0</v>
      </c>
      <c r="U79" s="53">
        <f>IF(Report[[#This Row],[FT]]="","",IF(Report[ [#This Row],[FT] ]=Report[[#This Row],[Score 2]],1,0))</f>
        <v>0</v>
      </c>
      <c r="V79" s="53">
        <f>IF(Report[[#This Row],[FT]]="","",IF(Report[[#This Row],[FT]]=Report[[#This Row],[Score 3]],1,0))</f>
        <v>0</v>
      </c>
      <c r="W79" s="53">
        <f>IF(Report[[#This Row],[FT]]="","",IF(Report[[#This Row],[FT]]=Report[[#This Row],[Score 4]],1,0))</f>
        <v>0</v>
      </c>
      <c r="X79" s="94">
        <f>IF(Report[[#This Row],[Résultat FT]]="",,IF(Report[[#This Row],[Résultat FT]]=Report[[#This Row],[Résultats]],(Suivi_Gain!$B$1*Report[[#This Row],[Cote FT]])-Suivi_Gain!$B$1,-Suivi_Gain!$B$1))</f>
        <v>-1</v>
      </c>
      <c r="Y79" s="94">
        <f>IF(Report[[#This Row],[FT]]="",,IF(Report[[#This Row],[FT]]=Report[[#This Row],[Score 1]],(Suivi_Gain!$G$1*Report[[#This Row],[Cote SE]])-Suivi_Gain!$G$1,-Suivi_Gain!$G$1))</f>
        <v>-1</v>
      </c>
      <c r="Z79" s="65">
        <f>IF(Report[[#This Row],[FT]]="",,IF(Report[[#This Row],[FT]]=Report[[#This Row],[Score 2]],Suivi_Gain!$G$1*Report[[#This Row],[Cote SE]],-Suivi_Gain!$G$1))</f>
        <v>-1</v>
      </c>
      <c r="AA79" s="65">
        <f>IF(Report[[#This Row],[FT]]="",,IF(Report[[#This Row],[FT]]=Report[[#This Row],[Score 3]],Suivi_Gain!$G$1*Report[[#This Row],[Cote SE]],-Suivi_Gain!$G$1))</f>
        <v>-1</v>
      </c>
      <c r="AB79" s="65">
        <f>IF(Report[[#This Row],[FT]]="",,IF(Report[[#This Row],[FT]]=Report[[#This Row],[Score 4]],Suivi_Gain!$G$1*Report[[#This Row],[Cote SE]],-Suivi_Gain!$G$1))</f>
        <v>-1</v>
      </c>
      <c r="AC79" s="18" t="str">
        <f>IF(Report[[#This Row],[Résultats SE]]="Gagné",Report[[#This Row],[FT]],"")</f>
        <v/>
      </c>
      <c r="AD79" s="18" t="str">
        <f>IF(AND(Report[[#This Row],[Résultats SE]]="Gagné",Report[[#This Row],[FT]]=Report[[#This Row],[Score 1]]),Report[[#This Row],[FT]],"")</f>
        <v/>
      </c>
      <c r="AE79" s="18" t="str">
        <f>IF(AND(Report[[#This Row],[Résultats SE]]="Gagné",Report[[#This Row],[FT]]=Report[[#This Row],[Score 2]]),Report[[#This Row],[FT]],"")</f>
        <v/>
      </c>
      <c r="AF79" s="18" t="str">
        <f>IF(AND(Report[[#This Row],[Résultats SE]]="Gagné",Report[[#This Row],[FT]]=Report[[#This Row],[Score 3]]),Report[[#This Row],[FT]],"")</f>
        <v/>
      </c>
      <c r="AG79" s="18" t="str">
        <f>IF(AND(Report[[#This Row],[Résultats SE]]="Gagné",Report[[#This Row],[FT]]=Report[[#This Row],[Score 4]]),Report[[#This Row],[FT]],"")</f>
        <v/>
      </c>
    </row>
    <row r="80" spans="1:33" ht="20.100000000000001" customHeight="1" x14ac:dyDescent="0.25">
      <c r="A80" s="11">
        <v>43429</v>
      </c>
      <c r="B80" s="7" t="s">
        <v>36</v>
      </c>
      <c r="C80" s="7" t="s">
        <v>37</v>
      </c>
      <c r="D80" s="10" t="s">
        <v>3</v>
      </c>
      <c r="E80" s="10" t="s">
        <v>17</v>
      </c>
      <c r="F80" s="7" t="s">
        <v>829</v>
      </c>
      <c r="G80" s="8" t="s">
        <v>830</v>
      </c>
      <c r="H80" s="9" t="s">
        <v>826</v>
      </c>
      <c r="I80" s="9" t="s">
        <v>831</v>
      </c>
      <c r="J80" s="9" t="s">
        <v>832</v>
      </c>
      <c r="K80" s="9" t="s">
        <v>3</v>
      </c>
      <c r="L80" s="16" t="str">
        <f>IF(Report[Résultat FT]="","",IF(Report[Résultat FT]=Report[Résultats],"","-"))</f>
        <v>-</v>
      </c>
      <c r="M80" s="16" t="str">
        <f>IF(Report[[#This Row],[Résultat FT]]="","",IF(Report[[#This Row],[Résultats SE]]="Gagné","","-"))</f>
        <v>-</v>
      </c>
      <c r="N80" s="17" t="s">
        <v>837</v>
      </c>
      <c r="O80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80" s="18">
        <f>IF(Report[[#This Row],[FT]]="",,(LEFT(Report[[#This Row],[FT]],SEARCH("-",Report[[#This Row],[FT]])-1)*1))</f>
        <v>2</v>
      </c>
      <c r="Q80" s="22">
        <f>IF(Report[[#This Row],[FT]]="",,(RIGHT(Report[[#This Row],[FT]],SEARCH("-",Report[[#This Row],[FT]])-1)*1))</f>
        <v>2</v>
      </c>
      <c r="R80" s="18" t="str">
        <f>IF(Report[Résultat FT]="","",IF(Report[Résultat FT]=Report[Résultats],"Gagné","Perdu"))</f>
        <v>Perdu</v>
      </c>
      <c r="S80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80" s="53">
        <f>IF(Report[[#This Row],[FT]]="","",IF(Report[[#This Row],[FT]]=Report[[#This Row],[Score 1]],1,0))</f>
        <v>0</v>
      </c>
      <c r="U80" s="53">
        <f>IF(Report[[#This Row],[FT]]="","",IF(Report[ [#This Row],[FT] ]=Report[[#This Row],[Score 2]],1,0))</f>
        <v>0</v>
      </c>
      <c r="V80" s="53">
        <f>IF(Report[[#This Row],[FT]]="","",IF(Report[[#This Row],[FT]]=Report[[#This Row],[Score 3]],1,0))</f>
        <v>0</v>
      </c>
      <c r="W80" s="53">
        <f>IF(Report[[#This Row],[FT]]="","",IF(Report[[#This Row],[FT]]=Report[[#This Row],[Score 4]],1,0))</f>
        <v>0</v>
      </c>
      <c r="X80" s="94">
        <f>IF(Report[[#This Row],[Résultat FT]]="",,IF(Report[[#This Row],[Résultat FT]]=Report[[#This Row],[Résultats]],(Suivi_Gain!$B$1*Report[[#This Row],[Cote FT]])-Suivi_Gain!$B$1,-Suivi_Gain!$B$1))</f>
        <v>-1</v>
      </c>
      <c r="Y80" s="94">
        <f>IF(Report[[#This Row],[FT]]="",,IF(Report[[#This Row],[FT]]=Report[[#This Row],[Score 1]],(Suivi_Gain!$G$1*Report[[#This Row],[Cote SE]])-Suivi_Gain!$G$1,-Suivi_Gain!$G$1))</f>
        <v>-1</v>
      </c>
      <c r="Z80" s="65">
        <f>IF(Report[[#This Row],[FT]]="",,IF(Report[[#This Row],[FT]]=Report[[#This Row],[Score 2]],Suivi_Gain!$G$1*Report[[#This Row],[Cote SE]],-Suivi_Gain!$G$1))</f>
        <v>-1</v>
      </c>
      <c r="AA80" s="65">
        <f>IF(Report[[#This Row],[FT]]="",,IF(Report[[#This Row],[FT]]=Report[[#This Row],[Score 3]],Suivi_Gain!$G$1*Report[[#This Row],[Cote SE]],-Suivi_Gain!$G$1))</f>
        <v>-1</v>
      </c>
      <c r="AB80" s="65">
        <f>IF(Report[[#This Row],[FT]]="",,IF(Report[[#This Row],[FT]]=Report[[#This Row],[Score 4]],Suivi_Gain!$G$1*Report[[#This Row],[Cote SE]],-Suivi_Gain!$G$1))</f>
        <v>-1</v>
      </c>
      <c r="AC80" s="18" t="str">
        <f>IF(Report[[#This Row],[Résultats SE]]="Gagné",Report[[#This Row],[FT]],"")</f>
        <v/>
      </c>
      <c r="AD80" s="18" t="str">
        <f>IF(AND(Report[[#This Row],[Résultats SE]]="Gagné",Report[[#This Row],[FT]]=Report[[#This Row],[Score 1]]),Report[[#This Row],[FT]],"")</f>
        <v/>
      </c>
      <c r="AE80" s="18" t="str">
        <f>IF(AND(Report[[#This Row],[Résultats SE]]="Gagné",Report[[#This Row],[FT]]=Report[[#This Row],[Score 2]]),Report[[#This Row],[FT]],"")</f>
        <v/>
      </c>
      <c r="AF80" s="18" t="str">
        <f>IF(AND(Report[[#This Row],[Résultats SE]]="Gagné",Report[[#This Row],[FT]]=Report[[#This Row],[Score 3]]),Report[[#This Row],[FT]],"")</f>
        <v/>
      </c>
      <c r="AG80" s="18" t="str">
        <f>IF(AND(Report[[#This Row],[Résultats SE]]="Gagné",Report[[#This Row],[FT]]=Report[[#This Row],[Score 4]]),Report[[#This Row],[FT]],"")</f>
        <v/>
      </c>
    </row>
    <row r="81" spans="1:33" ht="20.100000000000001" customHeight="1" x14ac:dyDescent="0.25">
      <c r="A81" s="11">
        <v>43429</v>
      </c>
      <c r="B81" s="7" t="s">
        <v>36</v>
      </c>
      <c r="C81" s="7" t="s">
        <v>37</v>
      </c>
      <c r="D81" s="10" t="s">
        <v>13</v>
      </c>
      <c r="E81" s="10" t="s">
        <v>9</v>
      </c>
      <c r="F81" s="7" t="s">
        <v>824</v>
      </c>
      <c r="G81" s="8" t="s">
        <v>825</v>
      </c>
      <c r="H81" s="9" t="s">
        <v>826</v>
      </c>
      <c r="I81" s="9" t="s">
        <v>827</v>
      </c>
      <c r="J81" s="9" t="s">
        <v>828</v>
      </c>
      <c r="K81" s="9" t="s">
        <v>9</v>
      </c>
      <c r="L81" s="16" t="str">
        <f>IF(Report[Résultat FT]="","",IF(Report[Résultat FT]=Report[Résultats],"","-"))</f>
        <v>-</v>
      </c>
      <c r="M81" s="16" t="str">
        <f>IF(Report[[#This Row],[Résultat FT]]="","",IF(Report[[#This Row],[Résultats SE]]="Gagné","","-"))</f>
        <v>-</v>
      </c>
      <c r="N81" s="17" t="s">
        <v>831</v>
      </c>
      <c r="O81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Nice</v>
      </c>
      <c r="P81" s="18">
        <f>IF(Report[[#This Row],[FT]]="",,(LEFT(Report[[#This Row],[FT]],SEARCH("-",Report[[#This Row],[FT]])-1)*1))</f>
        <v>2</v>
      </c>
      <c r="Q81" s="22">
        <f>IF(Report[[#This Row],[FT]]="",,(RIGHT(Report[[#This Row],[FT]],SEARCH("-",Report[[#This Row],[FT]])-1)*1))</f>
        <v>0</v>
      </c>
      <c r="R81" s="18" t="str">
        <f>IF(Report[Résultat FT]="","",IF(Report[Résultat FT]=Report[Résultats],"Gagné","Perdu"))</f>
        <v>Perdu</v>
      </c>
      <c r="S81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81" s="53">
        <f>IF(Report[[#This Row],[FT]]="","",IF(Report[[#This Row],[FT]]=Report[[#This Row],[Score 1]],1,0))</f>
        <v>0</v>
      </c>
      <c r="U81" s="53">
        <f>IF(Report[[#This Row],[FT]]="","",IF(Report[ [#This Row],[FT] ]=Report[[#This Row],[Score 2]],1,0))</f>
        <v>0</v>
      </c>
      <c r="V81" s="53">
        <f>IF(Report[[#This Row],[FT]]="","",IF(Report[[#This Row],[FT]]=Report[[#This Row],[Score 3]],1,0))</f>
        <v>0</v>
      </c>
      <c r="W81" s="53">
        <f>IF(Report[[#This Row],[FT]]="","",IF(Report[[#This Row],[FT]]=Report[[#This Row],[Score 4]],1,0))</f>
        <v>0</v>
      </c>
      <c r="X81" s="94">
        <f>IF(Report[[#This Row],[Résultat FT]]="",,IF(Report[[#This Row],[Résultat FT]]=Report[[#This Row],[Résultats]],(Suivi_Gain!$B$1*Report[[#This Row],[Cote FT]])-Suivi_Gain!$B$1,-Suivi_Gain!$B$1))</f>
        <v>-1</v>
      </c>
      <c r="Y81" s="94">
        <f>IF(Report[[#This Row],[FT]]="",,IF(Report[[#This Row],[FT]]=Report[[#This Row],[Score 1]],(Suivi_Gain!$G$1*Report[[#This Row],[Cote SE]])-Suivi_Gain!$G$1,-Suivi_Gain!$G$1))</f>
        <v>-1</v>
      </c>
      <c r="Z81" s="65">
        <f>IF(Report[[#This Row],[FT]]="",,IF(Report[[#This Row],[FT]]=Report[[#This Row],[Score 2]],Suivi_Gain!$G$1*Report[[#This Row],[Cote SE]],-Suivi_Gain!$G$1))</f>
        <v>-1</v>
      </c>
      <c r="AA81" s="65">
        <f>IF(Report[[#This Row],[FT]]="",,IF(Report[[#This Row],[FT]]=Report[[#This Row],[Score 3]],Suivi_Gain!$G$1*Report[[#This Row],[Cote SE]],-Suivi_Gain!$G$1))</f>
        <v>-1</v>
      </c>
      <c r="AB81" s="65">
        <f>IF(Report[[#This Row],[FT]]="",,IF(Report[[#This Row],[FT]]=Report[[#This Row],[Score 4]],Suivi_Gain!$G$1*Report[[#This Row],[Cote SE]],-Suivi_Gain!$G$1))</f>
        <v>-1</v>
      </c>
      <c r="AC81" s="18" t="str">
        <f>IF(Report[[#This Row],[Résultats SE]]="Gagné",Report[[#This Row],[FT]],"")</f>
        <v/>
      </c>
      <c r="AD81" s="18" t="str">
        <f>IF(AND(Report[[#This Row],[Résultats SE]]="Gagné",Report[[#This Row],[FT]]=Report[[#This Row],[Score 1]]),Report[[#This Row],[FT]],"")</f>
        <v/>
      </c>
      <c r="AE81" s="18" t="str">
        <f>IF(AND(Report[[#This Row],[Résultats SE]]="Gagné",Report[[#This Row],[FT]]=Report[[#This Row],[Score 2]]),Report[[#This Row],[FT]],"")</f>
        <v/>
      </c>
      <c r="AF81" s="18" t="str">
        <f>IF(AND(Report[[#This Row],[Résultats SE]]="Gagné",Report[[#This Row],[FT]]=Report[[#This Row],[Score 3]]),Report[[#This Row],[FT]],"")</f>
        <v/>
      </c>
      <c r="AG81" s="18" t="str">
        <f>IF(AND(Report[[#This Row],[Résultats SE]]="Gagné",Report[[#This Row],[FT]]=Report[[#This Row],[Score 4]]),Report[[#This Row],[FT]],"")</f>
        <v/>
      </c>
    </row>
    <row r="82" spans="1:33" ht="20.100000000000001" customHeight="1" x14ac:dyDescent="0.25">
      <c r="A82" s="11">
        <v>43429</v>
      </c>
      <c r="B82" s="7" t="s">
        <v>36</v>
      </c>
      <c r="C82" s="7" t="s">
        <v>37</v>
      </c>
      <c r="D82" s="10" t="s">
        <v>5</v>
      </c>
      <c r="E82" s="10" t="s">
        <v>10</v>
      </c>
      <c r="F82" s="7" t="s">
        <v>843</v>
      </c>
      <c r="G82" s="8" t="s">
        <v>839</v>
      </c>
      <c r="H82" s="9" t="s">
        <v>834</v>
      </c>
      <c r="I82" s="9" t="s">
        <v>827</v>
      </c>
      <c r="J82" s="9" t="s">
        <v>825</v>
      </c>
      <c r="K82" s="9" t="s">
        <v>10</v>
      </c>
      <c r="L82" s="16">
        <v>1.82</v>
      </c>
      <c r="M82" s="16" t="str">
        <f>IF(Report[[#This Row],[Résultat FT]]="","",IF(Report[[#This Row],[Résultats SE]]="Gagné","","-"))</f>
        <v>-</v>
      </c>
      <c r="N82" s="17" t="s">
        <v>841</v>
      </c>
      <c r="O82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Marseille</v>
      </c>
      <c r="P82" s="18">
        <f>IF(Report[[#This Row],[FT]]="",,(LEFT(Report[[#This Row],[FT]],SEARCH("-",Report[[#This Row],[FT]])-1)*1))</f>
        <v>1</v>
      </c>
      <c r="Q82" s="22">
        <f>IF(Report[[#This Row],[FT]]="",,(RIGHT(Report[[#This Row],[FT]],SEARCH("-",Report[[#This Row],[FT]])-1)*1))</f>
        <v>3</v>
      </c>
      <c r="R82" s="18" t="str">
        <f>IF(Report[Résultat FT]="","",IF(Report[Résultat FT]=Report[Résultats],"Gagné","Perdu"))</f>
        <v>Gagné</v>
      </c>
      <c r="S82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82" s="53">
        <f>IF(Report[[#This Row],[FT]]="","",IF(Report[[#This Row],[FT]]=Report[[#This Row],[Score 1]],1,0))</f>
        <v>0</v>
      </c>
      <c r="U82" s="53">
        <f>IF(Report[[#This Row],[FT]]="","",IF(Report[ [#This Row],[FT] ]=Report[[#This Row],[Score 2]],1,0))</f>
        <v>0</v>
      </c>
      <c r="V82" s="53">
        <f>IF(Report[[#This Row],[FT]]="","",IF(Report[[#This Row],[FT]]=Report[[#This Row],[Score 3]],1,0))</f>
        <v>0</v>
      </c>
      <c r="W82" s="53">
        <f>IF(Report[[#This Row],[FT]]="","",IF(Report[[#This Row],[FT]]=Report[[#This Row],[Score 4]],1,0))</f>
        <v>0</v>
      </c>
      <c r="X82" s="94">
        <f>IF(Report[[#This Row],[Résultat FT]]="",,IF(Report[[#This Row],[Résultat FT]]=Report[[#This Row],[Résultats]],(Suivi_Gain!$B$1*Report[[#This Row],[Cote FT]])-Suivi_Gain!$B$1,-Suivi_Gain!$B$1))</f>
        <v>0.82000000000000006</v>
      </c>
      <c r="Y82" s="94">
        <f>IF(Report[[#This Row],[FT]]="",,IF(Report[[#This Row],[FT]]=Report[[#This Row],[Score 1]],(Suivi_Gain!$G$1*Report[[#This Row],[Cote SE]])-Suivi_Gain!$G$1,-Suivi_Gain!$G$1))</f>
        <v>-1</v>
      </c>
      <c r="Z82" s="65">
        <f>IF(Report[[#This Row],[FT]]="",,IF(Report[[#This Row],[FT]]=Report[[#This Row],[Score 2]],Suivi_Gain!$G$1*Report[[#This Row],[Cote SE]],-Suivi_Gain!$G$1))</f>
        <v>-1</v>
      </c>
      <c r="AA82" s="65">
        <f>IF(Report[[#This Row],[FT]]="",,IF(Report[[#This Row],[FT]]=Report[[#This Row],[Score 3]],Suivi_Gain!$G$1*Report[[#This Row],[Cote SE]],-Suivi_Gain!$G$1))</f>
        <v>-1</v>
      </c>
      <c r="AB82" s="65">
        <f>IF(Report[[#This Row],[FT]]="",,IF(Report[[#This Row],[FT]]=Report[[#This Row],[Score 4]],Suivi_Gain!$G$1*Report[[#This Row],[Cote SE]],-Suivi_Gain!$G$1))</f>
        <v>-1</v>
      </c>
      <c r="AC82" s="18" t="str">
        <f>IF(Report[[#This Row],[Résultats SE]]="Gagné",Report[[#This Row],[FT]],"")</f>
        <v/>
      </c>
      <c r="AD82" s="18" t="str">
        <f>IF(AND(Report[[#This Row],[Résultats SE]]="Gagné",Report[[#This Row],[FT]]=Report[[#This Row],[Score 1]]),Report[[#This Row],[FT]],"")</f>
        <v/>
      </c>
      <c r="AE82" s="18" t="str">
        <f>IF(AND(Report[[#This Row],[Résultats SE]]="Gagné",Report[[#This Row],[FT]]=Report[[#This Row],[Score 2]]),Report[[#This Row],[FT]],"")</f>
        <v/>
      </c>
      <c r="AF82" s="18" t="str">
        <f>IF(AND(Report[[#This Row],[Résultats SE]]="Gagné",Report[[#This Row],[FT]]=Report[[#This Row],[Score 3]]),Report[[#This Row],[FT]],"")</f>
        <v/>
      </c>
      <c r="AG82" s="18" t="str">
        <f>IF(AND(Report[[#This Row],[Résultats SE]]="Gagné",Report[[#This Row],[FT]]=Report[[#This Row],[Score 4]]),Report[[#This Row],[FT]],"")</f>
        <v/>
      </c>
    </row>
    <row r="83" spans="1:33" ht="20.100000000000001" customHeight="1" x14ac:dyDescent="0.25">
      <c r="A83" s="11">
        <v>43429</v>
      </c>
      <c r="B83" s="7" t="s">
        <v>222</v>
      </c>
      <c r="C83" s="7" t="s">
        <v>116</v>
      </c>
      <c r="D83" s="10" t="s">
        <v>660</v>
      </c>
      <c r="E83" s="10" t="s">
        <v>662</v>
      </c>
      <c r="F83" s="7" t="s">
        <v>824</v>
      </c>
      <c r="G83" s="8" t="s">
        <v>825</v>
      </c>
      <c r="H83" s="9" t="s">
        <v>826</v>
      </c>
      <c r="I83" s="9" t="s">
        <v>827</v>
      </c>
      <c r="J83" s="9" t="s">
        <v>828</v>
      </c>
      <c r="K83" s="9" t="s">
        <v>662</v>
      </c>
      <c r="L83" s="16" t="str">
        <f>IF(Report[Résultat FT]="","",IF(Report[Résultat FT]=Report[Résultats],"","-"))</f>
        <v>-</v>
      </c>
      <c r="M83" s="16" t="str">
        <f>IF(Report[[#This Row],[Résultat FT]]="","",IF(Report[[#This Row],[Résultats SE]]="Gagné","","-"))</f>
        <v>-</v>
      </c>
      <c r="N83" s="17" t="s">
        <v>831</v>
      </c>
      <c r="O83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Giannina</v>
      </c>
      <c r="P83" s="18">
        <f>IF(Report[[#This Row],[FT]]="",,(LEFT(Report[[#This Row],[FT]],SEARCH("-",Report[[#This Row],[FT]])-1)*1))</f>
        <v>2</v>
      </c>
      <c r="Q83" s="22">
        <f>IF(Report[[#This Row],[FT]]="",,(RIGHT(Report[[#This Row],[FT]],SEARCH("-",Report[[#This Row],[FT]])-1)*1))</f>
        <v>0</v>
      </c>
      <c r="R83" s="18" t="str">
        <f>IF(Report[Résultat FT]="","",IF(Report[Résultat FT]=Report[Résultats],"Gagné","Perdu"))</f>
        <v>Perdu</v>
      </c>
      <c r="S83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83" s="53">
        <f>IF(Report[[#This Row],[FT]]="","",IF(Report[[#This Row],[FT]]=Report[[#This Row],[Score 1]],1,0))</f>
        <v>0</v>
      </c>
      <c r="U83" s="53">
        <f>IF(Report[[#This Row],[FT]]="","",IF(Report[ [#This Row],[FT] ]=Report[[#This Row],[Score 2]],1,0))</f>
        <v>0</v>
      </c>
      <c r="V83" s="53">
        <f>IF(Report[[#This Row],[FT]]="","",IF(Report[[#This Row],[FT]]=Report[[#This Row],[Score 3]],1,0))</f>
        <v>0</v>
      </c>
      <c r="W83" s="53">
        <f>IF(Report[[#This Row],[FT]]="","",IF(Report[[#This Row],[FT]]=Report[[#This Row],[Score 4]],1,0))</f>
        <v>0</v>
      </c>
      <c r="X83" s="94">
        <f>IF(Report[[#This Row],[Résultat FT]]="",,IF(Report[[#This Row],[Résultat FT]]=Report[[#This Row],[Résultats]],(Suivi_Gain!$B$1*Report[[#This Row],[Cote FT]])-Suivi_Gain!$B$1,-Suivi_Gain!$B$1))</f>
        <v>-1</v>
      </c>
      <c r="Y83" s="94">
        <f>IF(Report[[#This Row],[FT]]="",,IF(Report[[#This Row],[FT]]=Report[[#This Row],[Score 1]],(Suivi_Gain!$G$1*Report[[#This Row],[Cote SE]])-Suivi_Gain!$G$1,-Suivi_Gain!$G$1))</f>
        <v>-1</v>
      </c>
      <c r="Z83" s="65">
        <f>IF(Report[[#This Row],[FT]]="",,IF(Report[[#This Row],[FT]]=Report[[#This Row],[Score 2]],Suivi_Gain!$G$1*Report[[#This Row],[Cote SE]],-Suivi_Gain!$G$1))</f>
        <v>-1</v>
      </c>
      <c r="AA83" s="65">
        <f>IF(Report[[#This Row],[FT]]="",,IF(Report[[#This Row],[FT]]=Report[[#This Row],[Score 3]],Suivi_Gain!$G$1*Report[[#This Row],[Cote SE]],-Suivi_Gain!$G$1))</f>
        <v>-1</v>
      </c>
      <c r="AB83" s="65">
        <f>IF(Report[[#This Row],[FT]]="",,IF(Report[[#This Row],[FT]]=Report[[#This Row],[Score 4]],Suivi_Gain!$G$1*Report[[#This Row],[Cote SE]],-Suivi_Gain!$G$1))</f>
        <v>-1</v>
      </c>
      <c r="AC83" s="18" t="str">
        <f>IF(Report[[#This Row],[Résultats SE]]="Gagné",Report[[#This Row],[FT]],"")</f>
        <v/>
      </c>
      <c r="AD83" s="18" t="str">
        <f>IF(AND(Report[[#This Row],[Résultats SE]]="Gagné",Report[[#This Row],[FT]]=Report[[#This Row],[Score 1]]),Report[[#This Row],[FT]],"")</f>
        <v/>
      </c>
      <c r="AE83" s="18" t="str">
        <f>IF(AND(Report[[#This Row],[Résultats SE]]="Gagné",Report[[#This Row],[FT]]=Report[[#This Row],[Score 2]]),Report[[#This Row],[FT]],"")</f>
        <v/>
      </c>
      <c r="AF83" s="18" t="str">
        <f>IF(AND(Report[[#This Row],[Résultats SE]]="Gagné",Report[[#This Row],[FT]]=Report[[#This Row],[Score 3]]),Report[[#This Row],[FT]],"")</f>
        <v/>
      </c>
      <c r="AG83" s="18" t="str">
        <f>IF(AND(Report[[#This Row],[Résultats SE]]="Gagné",Report[[#This Row],[FT]]=Report[[#This Row],[Score 4]]),Report[[#This Row],[FT]],"")</f>
        <v/>
      </c>
    </row>
    <row r="84" spans="1:33" ht="20.100000000000001" customHeight="1" x14ac:dyDescent="0.25">
      <c r="A84" s="11">
        <v>43429</v>
      </c>
      <c r="B84" s="7" t="s">
        <v>222</v>
      </c>
      <c r="C84" s="7" t="s">
        <v>116</v>
      </c>
      <c r="D84" s="10" t="s">
        <v>659</v>
      </c>
      <c r="E84" s="10" t="s">
        <v>664</v>
      </c>
      <c r="F84" s="7" t="s">
        <v>844</v>
      </c>
      <c r="G84" s="8" t="s">
        <v>826</v>
      </c>
      <c r="H84" s="9" t="s">
        <v>845</v>
      </c>
      <c r="I84" s="9" t="s">
        <v>846</v>
      </c>
      <c r="J84" s="9" t="s">
        <v>847</v>
      </c>
      <c r="K84" s="9" t="s">
        <v>233</v>
      </c>
      <c r="L84" s="16" t="str">
        <f>IF(Report[Résultat FT]="","",IF(Report[Résultat FT]=Report[Résultats],"","-"))</f>
        <v>-</v>
      </c>
      <c r="M84" s="16" t="str">
        <f>IF(Report[[#This Row],[Résultat FT]]="","",IF(Report[[#This Row],[Résultats SE]]="Gagné","","-"))</f>
        <v>-</v>
      </c>
      <c r="N84" s="17" t="s">
        <v>839</v>
      </c>
      <c r="O84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Olympiakos</v>
      </c>
      <c r="P84" s="18">
        <f>IF(Report[[#This Row],[FT]]="",,(LEFT(Report[[#This Row],[FT]],SEARCH("-",Report[[#This Row],[FT]])-1)*1))</f>
        <v>1</v>
      </c>
      <c r="Q84" s="22">
        <f>IF(Report[[#This Row],[FT]]="",,(RIGHT(Report[[#This Row],[FT]],SEARCH("-",Report[[#This Row],[FT]])-1)*1))</f>
        <v>2</v>
      </c>
      <c r="R84" s="18" t="str">
        <f>IF(Report[Résultat FT]="","",IF(Report[Résultat FT]=Report[Résultats],"Gagné","Perdu"))</f>
        <v>Perdu</v>
      </c>
      <c r="S84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84" s="53">
        <f>IF(Report[[#This Row],[FT]]="","",IF(Report[[#This Row],[FT]]=Report[[#This Row],[Score 1]],1,0))</f>
        <v>0</v>
      </c>
      <c r="U84" s="53">
        <f>IF(Report[[#This Row],[FT]]="","",IF(Report[ [#This Row],[FT] ]=Report[[#This Row],[Score 2]],1,0))</f>
        <v>0</v>
      </c>
      <c r="V84" s="53">
        <f>IF(Report[[#This Row],[FT]]="","",IF(Report[[#This Row],[FT]]=Report[[#This Row],[Score 3]],1,0))</f>
        <v>0</v>
      </c>
      <c r="W84" s="53">
        <f>IF(Report[[#This Row],[FT]]="","",IF(Report[[#This Row],[FT]]=Report[[#This Row],[Score 4]],1,0))</f>
        <v>0</v>
      </c>
      <c r="X84" s="94">
        <f>IF(Report[[#This Row],[Résultat FT]]="",,IF(Report[[#This Row],[Résultat FT]]=Report[[#This Row],[Résultats]],(Suivi_Gain!$B$1*Report[[#This Row],[Cote FT]])-Suivi_Gain!$B$1,-Suivi_Gain!$B$1))</f>
        <v>-1</v>
      </c>
      <c r="Y84" s="94">
        <f>IF(Report[[#This Row],[FT]]="",,IF(Report[[#This Row],[FT]]=Report[[#This Row],[Score 1]],(Suivi_Gain!$G$1*Report[[#This Row],[Cote SE]])-Suivi_Gain!$G$1,-Suivi_Gain!$G$1))</f>
        <v>-1</v>
      </c>
      <c r="Z84" s="65">
        <f>IF(Report[[#This Row],[FT]]="",,IF(Report[[#This Row],[FT]]=Report[[#This Row],[Score 2]],Suivi_Gain!$G$1*Report[[#This Row],[Cote SE]],-Suivi_Gain!$G$1))</f>
        <v>-1</v>
      </c>
      <c r="AA84" s="65">
        <f>IF(Report[[#This Row],[FT]]="",,IF(Report[[#This Row],[FT]]=Report[[#This Row],[Score 3]],Suivi_Gain!$G$1*Report[[#This Row],[Cote SE]],-Suivi_Gain!$G$1))</f>
        <v>-1</v>
      </c>
      <c r="AB84" s="65">
        <f>IF(Report[[#This Row],[FT]]="",,IF(Report[[#This Row],[FT]]=Report[[#This Row],[Score 4]],Suivi_Gain!$G$1*Report[[#This Row],[Cote SE]],-Suivi_Gain!$G$1))</f>
        <v>-1</v>
      </c>
      <c r="AC84" s="18" t="str">
        <f>IF(Report[[#This Row],[Résultats SE]]="Gagné",Report[[#This Row],[FT]],"")</f>
        <v/>
      </c>
      <c r="AD84" s="18" t="str">
        <f>IF(AND(Report[[#This Row],[Résultats SE]]="Gagné",Report[[#This Row],[FT]]=Report[[#This Row],[Score 1]]),Report[[#This Row],[FT]],"")</f>
        <v/>
      </c>
      <c r="AE84" s="18" t="str">
        <f>IF(AND(Report[[#This Row],[Résultats SE]]="Gagné",Report[[#This Row],[FT]]=Report[[#This Row],[Score 2]]),Report[[#This Row],[FT]],"")</f>
        <v/>
      </c>
      <c r="AF84" s="18" t="str">
        <f>IF(AND(Report[[#This Row],[Résultats SE]]="Gagné",Report[[#This Row],[FT]]=Report[[#This Row],[Score 3]]),Report[[#This Row],[FT]],"")</f>
        <v/>
      </c>
      <c r="AG84" s="18" t="str">
        <f>IF(AND(Report[[#This Row],[Résultats SE]]="Gagné",Report[[#This Row],[FT]]=Report[[#This Row],[Score 4]]),Report[[#This Row],[FT]],"")</f>
        <v/>
      </c>
    </row>
    <row r="85" spans="1:33" ht="20.100000000000001" customHeight="1" x14ac:dyDescent="0.25">
      <c r="A85" s="11">
        <v>43429</v>
      </c>
      <c r="B85" s="7" t="s">
        <v>222</v>
      </c>
      <c r="C85" s="7" t="s">
        <v>116</v>
      </c>
      <c r="D85" s="10" t="s">
        <v>663</v>
      </c>
      <c r="E85" s="10" t="s">
        <v>657</v>
      </c>
      <c r="F85" s="7" t="s">
        <v>824</v>
      </c>
      <c r="G85" s="8" t="s">
        <v>825</v>
      </c>
      <c r="H85" s="9" t="s">
        <v>826</v>
      </c>
      <c r="I85" s="9" t="s">
        <v>827</v>
      </c>
      <c r="J85" s="9" t="s">
        <v>828</v>
      </c>
      <c r="K85" s="9" t="s">
        <v>657</v>
      </c>
      <c r="L85" s="16">
        <v>2.65</v>
      </c>
      <c r="M85" s="16" t="str">
        <f>IF(Report[[#This Row],[Résultat FT]]="","",IF(Report[[#This Row],[Résultats SE]]="Gagné","","-"))</f>
        <v>-</v>
      </c>
      <c r="N85" s="17" t="s">
        <v>839</v>
      </c>
      <c r="O85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Aris</v>
      </c>
      <c r="P85" s="18">
        <f>IF(Report[[#This Row],[FT]]="",,(LEFT(Report[[#This Row],[FT]],SEARCH("-",Report[[#This Row],[FT]])-1)*1))</f>
        <v>1</v>
      </c>
      <c r="Q85" s="22">
        <f>IF(Report[[#This Row],[FT]]="",,(RIGHT(Report[[#This Row],[FT]],SEARCH("-",Report[[#This Row],[FT]])-1)*1))</f>
        <v>2</v>
      </c>
      <c r="R85" s="18" t="str">
        <f>IF(Report[Résultat FT]="","",IF(Report[Résultat FT]=Report[Résultats],"Gagné","Perdu"))</f>
        <v>Gagné</v>
      </c>
      <c r="S85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85" s="53">
        <f>IF(Report[[#This Row],[FT]]="","",IF(Report[[#This Row],[FT]]=Report[[#This Row],[Score 1]],1,0))</f>
        <v>0</v>
      </c>
      <c r="U85" s="53">
        <f>IF(Report[[#This Row],[FT]]="","",IF(Report[ [#This Row],[FT] ]=Report[[#This Row],[Score 2]],1,0))</f>
        <v>0</v>
      </c>
      <c r="V85" s="53">
        <f>IF(Report[[#This Row],[FT]]="","",IF(Report[[#This Row],[FT]]=Report[[#This Row],[Score 3]],1,0))</f>
        <v>0</v>
      </c>
      <c r="W85" s="53">
        <f>IF(Report[[#This Row],[FT]]="","",IF(Report[[#This Row],[FT]]=Report[[#This Row],[Score 4]],1,0))</f>
        <v>0</v>
      </c>
      <c r="X85" s="94">
        <f>IF(Report[[#This Row],[Résultat FT]]="",,IF(Report[[#This Row],[Résultat FT]]=Report[[#This Row],[Résultats]],(Suivi_Gain!$B$1*Report[[#This Row],[Cote FT]])-Suivi_Gain!$B$1,-Suivi_Gain!$B$1))</f>
        <v>1.65</v>
      </c>
      <c r="Y85" s="94">
        <f>IF(Report[[#This Row],[FT]]="",,IF(Report[[#This Row],[FT]]=Report[[#This Row],[Score 1]],(Suivi_Gain!$G$1*Report[[#This Row],[Cote SE]])-Suivi_Gain!$G$1,-Suivi_Gain!$G$1))</f>
        <v>-1</v>
      </c>
      <c r="Z85" s="65">
        <f>IF(Report[[#This Row],[FT]]="",,IF(Report[[#This Row],[FT]]=Report[[#This Row],[Score 2]],Suivi_Gain!$G$1*Report[[#This Row],[Cote SE]],-Suivi_Gain!$G$1))</f>
        <v>-1</v>
      </c>
      <c r="AA85" s="65">
        <f>IF(Report[[#This Row],[FT]]="",,IF(Report[[#This Row],[FT]]=Report[[#This Row],[Score 3]],Suivi_Gain!$G$1*Report[[#This Row],[Cote SE]],-Suivi_Gain!$G$1))</f>
        <v>-1</v>
      </c>
      <c r="AB85" s="65">
        <f>IF(Report[[#This Row],[FT]]="",,IF(Report[[#This Row],[FT]]=Report[[#This Row],[Score 4]],Suivi_Gain!$G$1*Report[[#This Row],[Cote SE]],-Suivi_Gain!$G$1))</f>
        <v>-1</v>
      </c>
      <c r="AC85" s="18" t="str">
        <f>IF(Report[[#This Row],[Résultats SE]]="Gagné",Report[[#This Row],[FT]],"")</f>
        <v/>
      </c>
      <c r="AD85" s="18" t="str">
        <f>IF(AND(Report[[#This Row],[Résultats SE]]="Gagné",Report[[#This Row],[FT]]=Report[[#This Row],[Score 1]]),Report[[#This Row],[FT]],"")</f>
        <v/>
      </c>
      <c r="AE85" s="18" t="str">
        <f>IF(AND(Report[[#This Row],[Résultats SE]]="Gagné",Report[[#This Row],[FT]]=Report[[#This Row],[Score 2]]),Report[[#This Row],[FT]],"")</f>
        <v/>
      </c>
      <c r="AF85" s="18" t="str">
        <f>IF(AND(Report[[#This Row],[Résultats SE]]="Gagné",Report[[#This Row],[FT]]=Report[[#This Row],[Score 3]]),Report[[#This Row],[FT]],"")</f>
        <v/>
      </c>
      <c r="AG85" s="18" t="str">
        <f>IF(AND(Report[[#This Row],[Résultats SE]]="Gagné",Report[[#This Row],[FT]]=Report[[#This Row],[Score 4]]),Report[[#This Row],[FT]],"")</f>
        <v/>
      </c>
    </row>
    <row r="86" spans="1:33" ht="20.100000000000001" customHeight="1" x14ac:dyDescent="0.25">
      <c r="A86" s="11">
        <v>43429</v>
      </c>
      <c r="B86" s="7" t="s">
        <v>863</v>
      </c>
      <c r="C86" s="7" t="s">
        <v>862</v>
      </c>
      <c r="D86" s="10" t="s">
        <v>864</v>
      </c>
      <c r="E86" s="10" t="s">
        <v>871</v>
      </c>
      <c r="F86" s="7" t="s">
        <v>843</v>
      </c>
      <c r="G86" s="8" t="s">
        <v>839</v>
      </c>
      <c r="H86" s="9" t="s">
        <v>834</v>
      </c>
      <c r="I86" s="9" t="s">
        <v>827</v>
      </c>
      <c r="J86" s="9" t="s">
        <v>825</v>
      </c>
      <c r="K86" s="9" t="s">
        <v>871</v>
      </c>
      <c r="L86" s="16">
        <v>2.1800000000000002</v>
      </c>
      <c r="M86" s="16">
        <v>8.5</v>
      </c>
      <c r="N86" s="17" t="s">
        <v>825</v>
      </c>
      <c r="O86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MOL Vidi</v>
      </c>
      <c r="P86" s="18">
        <f>IF(Report[[#This Row],[FT]]="",,(LEFT(Report[[#This Row],[FT]],SEARCH("-",Report[[#This Row],[FT]])-1)*1))</f>
        <v>0</v>
      </c>
      <c r="Q86" s="22">
        <f>IF(Report[[#This Row],[FT]]="",,(RIGHT(Report[[#This Row],[FT]],SEARCH("-",Report[[#This Row],[FT]])-1)*1))</f>
        <v>1</v>
      </c>
      <c r="R86" s="18" t="str">
        <f>IF(Report[Résultat FT]="","",IF(Report[Résultat FT]=Report[Résultats],"Gagné","Perdu"))</f>
        <v>Gagné</v>
      </c>
      <c r="S86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86" s="53">
        <f>IF(Report[[#This Row],[FT]]="","",IF(Report[[#This Row],[FT]]=Report[[#This Row],[Score 1]],1,0))</f>
        <v>0</v>
      </c>
      <c r="U86" s="53">
        <f>IF(Report[[#This Row],[FT]]="","",IF(Report[ [#This Row],[FT] ]=Report[[#This Row],[Score 2]],1,0))</f>
        <v>0</v>
      </c>
      <c r="V86" s="53">
        <f>IF(Report[[#This Row],[FT]]="","",IF(Report[[#This Row],[FT]]=Report[[#This Row],[Score 3]],1,0))</f>
        <v>0</v>
      </c>
      <c r="W86" s="53">
        <f>IF(Report[[#This Row],[FT]]="","",IF(Report[[#This Row],[FT]]=Report[[#This Row],[Score 4]],1,0))</f>
        <v>1</v>
      </c>
      <c r="X86" s="94">
        <f>IF(Report[[#This Row],[Résultat FT]]="",,IF(Report[[#This Row],[Résultat FT]]=Report[[#This Row],[Résultats]],(Suivi_Gain!$B$1*Report[[#This Row],[Cote FT]])-Suivi_Gain!$B$1,-Suivi_Gain!$B$1))</f>
        <v>1.1800000000000002</v>
      </c>
      <c r="Y86" s="94">
        <f>IF(Report[[#This Row],[FT]]="",,IF(Report[[#This Row],[FT]]=Report[[#This Row],[Score 1]],(Suivi_Gain!$G$1*Report[[#This Row],[Cote SE]])-Suivi_Gain!$G$1,-Suivi_Gain!$G$1))</f>
        <v>-1</v>
      </c>
      <c r="Z86" s="65">
        <f>IF(Report[[#This Row],[FT]]="",,IF(Report[[#This Row],[FT]]=Report[[#This Row],[Score 2]],Suivi_Gain!$G$1*Report[[#This Row],[Cote SE]],-Suivi_Gain!$G$1))</f>
        <v>-1</v>
      </c>
      <c r="AA86" s="65">
        <f>IF(Report[[#This Row],[FT]]="",,IF(Report[[#This Row],[FT]]=Report[[#This Row],[Score 3]],Suivi_Gain!$G$1*Report[[#This Row],[Cote SE]],-Suivi_Gain!$G$1))</f>
        <v>-1</v>
      </c>
      <c r="AB86" s="65">
        <f>IF(Report[[#This Row],[FT]]="",,IF(Report[[#This Row],[FT]]=Report[[#This Row],[Score 4]],Suivi_Gain!$G$1*Report[[#This Row],[Cote SE]],-Suivi_Gain!$G$1))</f>
        <v>8.5</v>
      </c>
      <c r="AC86" s="18" t="str">
        <f>IF(Report[[#This Row],[Résultats SE]]="Gagné",Report[[#This Row],[FT]],"")</f>
        <v>0-1</v>
      </c>
      <c r="AD86" s="18" t="str">
        <f>IF(AND(Report[[#This Row],[Résultats SE]]="Gagné",Report[[#This Row],[FT]]=Report[[#This Row],[Score 1]]),Report[[#This Row],[FT]],"")</f>
        <v/>
      </c>
      <c r="AE86" s="18" t="str">
        <f>IF(AND(Report[[#This Row],[Résultats SE]]="Gagné",Report[[#This Row],[FT]]=Report[[#This Row],[Score 2]]),Report[[#This Row],[FT]],"")</f>
        <v/>
      </c>
      <c r="AF86" s="18" t="str">
        <f>IF(AND(Report[[#This Row],[Résultats SE]]="Gagné",Report[[#This Row],[FT]]=Report[[#This Row],[Score 3]]),Report[[#This Row],[FT]],"")</f>
        <v/>
      </c>
      <c r="AG86" s="18" t="str">
        <f>IF(AND(Report[[#This Row],[Résultats SE]]="Gagné",Report[[#This Row],[FT]]=Report[[#This Row],[Score 4]]),Report[[#This Row],[FT]],"")</f>
        <v>0-1</v>
      </c>
    </row>
    <row r="87" spans="1:33" ht="20.100000000000001" customHeight="1" x14ac:dyDescent="0.25">
      <c r="A87" s="11">
        <v>43429</v>
      </c>
      <c r="B87" s="7" t="s">
        <v>69</v>
      </c>
      <c r="C87" s="7" t="s">
        <v>494</v>
      </c>
      <c r="D87" s="10" t="s">
        <v>510</v>
      </c>
      <c r="E87" s="10" t="s">
        <v>495</v>
      </c>
      <c r="F87" s="7" t="s">
        <v>833</v>
      </c>
      <c r="G87" s="8" t="s">
        <v>834</v>
      </c>
      <c r="H87" s="9" t="s">
        <v>830</v>
      </c>
      <c r="I87" s="9" t="s">
        <v>825</v>
      </c>
      <c r="J87" s="9" t="s">
        <v>826</v>
      </c>
      <c r="K87" s="9" t="s">
        <v>233</v>
      </c>
      <c r="L87" s="16">
        <v>3.25</v>
      </c>
      <c r="M87" s="16">
        <v>6.25</v>
      </c>
      <c r="N87" s="17" t="s">
        <v>834</v>
      </c>
      <c r="O87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87" s="18">
        <f>IF(Report[[#This Row],[FT]]="",,(LEFT(Report[[#This Row],[FT]],SEARCH("-",Report[[#This Row],[FT]])-1)*1))</f>
        <v>1</v>
      </c>
      <c r="Q87" s="22">
        <f>IF(Report[[#This Row],[FT]]="",,(RIGHT(Report[[#This Row],[FT]],SEARCH("-",Report[[#This Row],[FT]])-1)*1))</f>
        <v>1</v>
      </c>
      <c r="R87" s="18" t="str">
        <f>IF(Report[Résultat FT]="","",IF(Report[Résultat FT]=Report[Résultats],"Gagné","Perdu"))</f>
        <v>Gagné</v>
      </c>
      <c r="S87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87" s="53">
        <f>IF(Report[[#This Row],[FT]]="","",IF(Report[[#This Row],[FT]]=Report[[#This Row],[Score 1]],1,0))</f>
        <v>1</v>
      </c>
      <c r="U87" s="53">
        <f>IF(Report[[#This Row],[FT]]="","",IF(Report[ [#This Row],[FT] ]=Report[[#This Row],[Score 2]],1,0))</f>
        <v>0</v>
      </c>
      <c r="V87" s="53">
        <f>IF(Report[[#This Row],[FT]]="","",IF(Report[[#This Row],[FT]]=Report[[#This Row],[Score 3]],1,0))</f>
        <v>0</v>
      </c>
      <c r="W87" s="53">
        <f>IF(Report[[#This Row],[FT]]="","",IF(Report[[#This Row],[FT]]=Report[[#This Row],[Score 4]],1,0))</f>
        <v>0</v>
      </c>
      <c r="X87" s="94">
        <f>IF(Report[[#This Row],[Résultat FT]]="",,IF(Report[[#This Row],[Résultat FT]]=Report[[#This Row],[Résultats]],(Suivi_Gain!$B$1*Report[[#This Row],[Cote FT]])-Suivi_Gain!$B$1,-Suivi_Gain!$B$1))</f>
        <v>2.25</v>
      </c>
      <c r="Y87" s="94">
        <f>IF(Report[[#This Row],[FT]]="",,IF(Report[[#This Row],[FT]]=Report[[#This Row],[Score 1]],(Suivi_Gain!$G$1*Report[[#This Row],[Cote SE]])-Suivi_Gain!$G$1,-Suivi_Gain!$G$1))</f>
        <v>5.25</v>
      </c>
      <c r="Z87" s="65">
        <f>IF(Report[[#This Row],[FT]]="",,IF(Report[[#This Row],[FT]]=Report[[#This Row],[Score 2]],Suivi_Gain!$G$1*Report[[#This Row],[Cote SE]],-Suivi_Gain!$G$1))</f>
        <v>-1</v>
      </c>
      <c r="AA87" s="65">
        <f>IF(Report[[#This Row],[FT]]="",,IF(Report[[#This Row],[FT]]=Report[[#This Row],[Score 3]],Suivi_Gain!$G$1*Report[[#This Row],[Cote SE]],-Suivi_Gain!$G$1))</f>
        <v>-1</v>
      </c>
      <c r="AB87" s="65">
        <f>IF(Report[[#This Row],[FT]]="",,IF(Report[[#This Row],[FT]]=Report[[#This Row],[Score 4]],Suivi_Gain!$G$1*Report[[#This Row],[Cote SE]],-Suivi_Gain!$G$1))</f>
        <v>-1</v>
      </c>
      <c r="AC87" s="18" t="str">
        <f>IF(Report[[#This Row],[Résultats SE]]="Gagné",Report[[#This Row],[FT]],"")</f>
        <v>1-1</v>
      </c>
      <c r="AD87" s="18" t="str">
        <f>IF(AND(Report[[#This Row],[Résultats SE]]="Gagné",Report[[#This Row],[FT]]=Report[[#This Row],[Score 1]]),Report[[#This Row],[FT]],"")</f>
        <v>1-1</v>
      </c>
      <c r="AE87" s="18" t="str">
        <f>IF(AND(Report[[#This Row],[Résultats SE]]="Gagné",Report[[#This Row],[FT]]=Report[[#This Row],[Score 2]]),Report[[#This Row],[FT]],"")</f>
        <v/>
      </c>
      <c r="AF87" s="18" t="str">
        <f>IF(AND(Report[[#This Row],[Résultats SE]]="Gagné",Report[[#This Row],[FT]]=Report[[#This Row],[Score 3]]),Report[[#This Row],[FT]],"")</f>
        <v/>
      </c>
      <c r="AG87" s="18" t="str">
        <f>IF(AND(Report[[#This Row],[Résultats SE]]="Gagné",Report[[#This Row],[FT]]=Report[[#This Row],[Score 4]]),Report[[#This Row],[FT]],"")</f>
        <v/>
      </c>
    </row>
    <row r="88" spans="1:33" ht="20.100000000000001" customHeight="1" x14ac:dyDescent="0.25">
      <c r="A88" s="11">
        <v>43429</v>
      </c>
      <c r="B88" s="7" t="s">
        <v>69</v>
      </c>
      <c r="C88" s="7" t="s">
        <v>494</v>
      </c>
      <c r="D88" s="10" t="s">
        <v>512</v>
      </c>
      <c r="E88" s="10" t="s">
        <v>503</v>
      </c>
      <c r="F88" s="7" t="s">
        <v>833</v>
      </c>
      <c r="G88" s="8" t="s">
        <v>834</v>
      </c>
      <c r="H88" s="9" t="s">
        <v>830</v>
      </c>
      <c r="I88" s="9" t="s">
        <v>825</v>
      </c>
      <c r="J88" s="9" t="s">
        <v>826</v>
      </c>
      <c r="K88" s="9" t="s">
        <v>233</v>
      </c>
      <c r="L88" s="16">
        <v>3.45</v>
      </c>
      <c r="M88" s="16">
        <v>10</v>
      </c>
      <c r="N88" s="17" t="s">
        <v>826</v>
      </c>
      <c r="O88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88" s="18">
        <f>IF(Report[[#This Row],[FT]]="",,(LEFT(Report[[#This Row],[FT]],SEARCH("-",Report[[#This Row],[FT]])-1)*1))</f>
        <v>0</v>
      </c>
      <c r="Q88" s="22">
        <f>IF(Report[[#This Row],[FT]]="",,(RIGHT(Report[[#This Row],[FT]],SEARCH("-",Report[[#This Row],[FT]])-1)*1))</f>
        <v>0</v>
      </c>
      <c r="R88" s="18" t="str">
        <f>IF(Report[Résultat FT]="","",IF(Report[Résultat FT]=Report[Résultats],"Gagné","Perdu"))</f>
        <v>Gagné</v>
      </c>
      <c r="S88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88" s="53">
        <f>IF(Report[[#This Row],[FT]]="","",IF(Report[[#This Row],[FT]]=Report[[#This Row],[Score 1]],1,0))</f>
        <v>0</v>
      </c>
      <c r="U88" s="53">
        <f>IF(Report[[#This Row],[FT]]="","",IF(Report[ [#This Row],[FT] ]=Report[[#This Row],[Score 2]],1,0))</f>
        <v>0</v>
      </c>
      <c r="V88" s="53">
        <f>IF(Report[[#This Row],[FT]]="","",IF(Report[[#This Row],[FT]]=Report[[#This Row],[Score 3]],1,0))</f>
        <v>0</v>
      </c>
      <c r="W88" s="53">
        <f>IF(Report[[#This Row],[FT]]="","",IF(Report[[#This Row],[FT]]=Report[[#This Row],[Score 4]],1,0))</f>
        <v>1</v>
      </c>
      <c r="X88" s="94">
        <f>IF(Report[[#This Row],[Résultat FT]]="",,IF(Report[[#This Row],[Résultat FT]]=Report[[#This Row],[Résultats]],(Suivi_Gain!$B$1*Report[[#This Row],[Cote FT]])-Suivi_Gain!$B$1,-Suivi_Gain!$B$1))</f>
        <v>2.4500000000000002</v>
      </c>
      <c r="Y88" s="94">
        <f>IF(Report[[#This Row],[FT]]="",,IF(Report[[#This Row],[FT]]=Report[[#This Row],[Score 1]],(Suivi_Gain!$G$1*Report[[#This Row],[Cote SE]])-Suivi_Gain!$G$1,-Suivi_Gain!$G$1))</f>
        <v>-1</v>
      </c>
      <c r="Z88" s="65">
        <f>IF(Report[[#This Row],[FT]]="",,IF(Report[[#This Row],[FT]]=Report[[#This Row],[Score 2]],Suivi_Gain!$G$1*Report[[#This Row],[Cote SE]],-Suivi_Gain!$G$1))</f>
        <v>-1</v>
      </c>
      <c r="AA88" s="65">
        <f>IF(Report[[#This Row],[FT]]="",,IF(Report[[#This Row],[FT]]=Report[[#This Row],[Score 3]],Suivi_Gain!$G$1*Report[[#This Row],[Cote SE]],-Suivi_Gain!$G$1))</f>
        <v>-1</v>
      </c>
      <c r="AB88" s="65">
        <f>IF(Report[[#This Row],[FT]]="",,IF(Report[[#This Row],[FT]]=Report[[#This Row],[Score 4]],Suivi_Gain!$G$1*Report[[#This Row],[Cote SE]],-Suivi_Gain!$G$1))</f>
        <v>10</v>
      </c>
      <c r="AC88" s="18" t="str">
        <f>IF(Report[[#This Row],[Résultats SE]]="Gagné",Report[[#This Row],[FT]],"")</f>
        <v>0-0</v>
      </c>
      <c r="AD88" s="18" t="str">
        <f>IF(AND(Report[[#This Row],[Résultats SE]]="Gagné",Report[[#This Row],[FT]]=Report[[#This Row],[Score 1]]),Report[[#This Row],[FT]],"")</f>
        <v/>
      </c>
      <c r="AE88" s="18" t="str">
        <f>IF(AND(Report[[#This Row],[Résultats SE]]="Gagné",Report[[#This Row],[FT]]=Report[[#This Row],[Score 2]]),Report[[#This Row],[FT]],"")</f>
        <v/>
      </c>
      <c r="AF88" s="18" t="str">
        <f>IF(AND(Report[[#This Row],[Résultats SE]]="Gagné",Report[[#This Row],[FT]]=Report[[#This Row],[Score 3]]),Report[[#This Row],[FT]],"")</f>
        <v/>
      </c>
      <c r="AG88" s="18" t="str">
        <f>IF(AND(Report[[#This Row],[Résultats SE]]="Gagné",Report[[#This Row],[FT]]=Report[[#This Row],[Score 4]]),Report[[#This Row],[FT]],"")</f>
        <v>0-0</v>
      </c>
    </row>
    <row r="89" spans="1:33" ht="20.100000000000001" customHeight="1" x14ac:dyDescent="0.25">
      <c r="A89" s="11">
        <v>43429</v>
      </c>
      <c r="B89" s="7" t="s">
        <v>69</v>
      </c>
      <c r="C89" s="7" t="s">
        <v>494</v>
      </c>
      <c r="D89" s="10" t="s">
        <v>505</v>
      </c>
      <c r="E89" s="10" t="s">
        <v>501</v>
      </c>
      <c r="F89" s="7" t="s">
        <v>833</v>
      </c>
      <c r="G89" s="8" t="s">
        <v>834</v>
      </c>
      <c r="H89" s="9" t="s">
        <v>830</v>
      </c>
      <c r="I89" s="9" t="s">
        <v>825</v>
      </c>
      <c r="J89" s="9" t="s">
        <v>826</v>
      </c>
      <c r="K89" s="9" t="s">
        <v>233</v>
      </c>
      <c r="L89" s="16" t="str">
        <f>IF(Report[Résultat FT]="","",IF(Report[Résultat FT]=Report[Résultats],"","-"))</f>
        <v>-</v>
      </c>
      <c r="M89" s="16" t="str">
        <f>IF(Report[[#This Row],[Résultat FT]]="","",IF(Report[[#This Row],[Résultats SE]]="Gagné","","-"))</f>
        <v>-</v>
      </c>
      <c r="N89" s="17" t="s">
        <v>831</v>
      </c>
      <c r="O89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Lecce</v>
      </c>
      <c r="P89" s="18">
        <f>IF(Report[[#This Row],[FT]]="",,(LEFT(Report[[#This Row],[FT]],SEARCH("-",Report[[#This Row],[FT]])-1)*1))</f>
        <v>2</v>
      </c>
      <c r="Q89" s="22">
        <f>IF(Report[[#This Row],[FT]]="",,(RIGHT(Report[[#This Row],[FT]],SEARCH("-",Report[[#This Row],[FT]])-1)*1))</f>
        <v>0</v>
      </c>
      <c r="R89" s="18" t="str">
        <f>IF(Report[Résultat FT]="","",IF(Report[Résultat FT]=Report[Résultats],"Gagné","Perdu"))</f>
        <v>Perdu</v>
      </c>
      <c r="S89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89" s="53">
        <f>IF(Report[[#This Row],[FT]]="","",IF(Report[[#This Row],[FT]]=Report[[#This Row],[Score 1]],1,0))</f>
        <v>0</v>
      </c>
      <c r="U89" s="53">
        <f>IF(Report[[#This Row],[FT]]="","",IF(Report[ [#This Row],[FT] ]=Report[[#This Row],[Score 2]],1,0))</f>
        <v>0</v>
      </c>
      <c r="V89" s="53">
        <f>IF(Report[[#This Row],[FT]]="","",IF(Report[[#This Row],[FT]]=Report[[#This Row],[Score 3]],1,0))</f>
        <v>0</v>
      </c>
      <c r="W89" s="53">
        <f>IF(Report[[#This Row],[FT]]="","",IF(Report[[#This Row],[FT]]=Report[[#This Row],[Score 4]],1,0))</f>
        <v>0</v>
      </c>
      <c r="X89" s="94">
        <f>IF(Report[[#This Row],[Résultat FT]]="",,IF(Report[[#This Row],[Résultat FT]]=Report[[#This Row],[Résultats]],(Suivi_Gain!$B$1*Report[[#This Row],[Cote FT]])-Suivi_Gain!$B$1,-Suivi_Gain!$B$1))</f>
        <v>-1</v>
      </c>
      <c r="Y89" s="94">
        <f>IF(Report[[#This Row],[FT]]="",,IF(Report[[#This Row],[FT]]=Report[[#This Row],[Score 1]],(Suivi_Gain!$G$1*Report[[#This Row],[Cote SE]])-Suivi_Gain!$G$1,-Suivi_Gain!$G$1))</f>
        <v>-1</v>
      </c>
      <c r="Z89" s="65">
        <f>IF(Report[[#This Row],[FT]]="",,IF(Report[[#This Row],[FT]]=Report[[#This Row],[Score 2]],Suivi_Gain!$G$1*Report[[#This Row],[Cote SE]],-Suivi_Gain!$G$1))</f>
        <v>-1</v>
      </c>
      <c r="AA89" s="65">
        <f>IF(Report[[#This Row],[FT]]="",,IF(Report[[#This Row],[FT]]=Report[[#This Row],[Score 3]],Suivi_Gain!$G$1*Report[[#This Row],[Cote SE]],-Suivi_Gain!$G$1))</f>
        <v>-1</v>
      </c>
      <c r="AB89" s="65">
        <f>IF(Report[[#This Row],[FT]]="",,IF(Report[[#This Row],[FT]]=Report[[#This Row],[Score 4]],Suivi_Gain!$G$1*Report[[#This Row],[Cote SE]],-Suivi_Gain!$G$1))</f>
        <v>-1</v>
      </c>
      <c r="AC89" s="18" t="str">
        <f>IF(Report[[#This Row],[Résultats SE]]="Gagné",Report[[#This Row],[FT]],"")</f>
        <v/>
      </c>
      <c r="AD89" s="18" t="str">
        <f>IF(AND(Report[[#This Row],[Résultats SE]]="Gagné",Report[[#This Row],[FT]]=Report[[#This Row],[Score 1]]),Report[[#This Row],[FT]],"")</f>
        <v/>
      </c>
      <c r="AE89" s="18" t="str">
        <f>IF(AND(Report[[#This Row],[Résultats SE]]="Gagné",Report[[#This Row],[FT]]=Report[[#This Row],[Score 2]]),Report[[#This Row],[FT]],"")</f>
        <v/>
      </c>
      <c r="AF89" s="18" t="str">
        <f>IF(AND(Report[[#This Row],[Résultats SE]]="Gagné",Report[[#This Row],[FT]]=Report[[#This Row],[Score 3]]),Report[[#This Row],[FT]],"")</f>
        <v/>
      </c>
      <c r="AG89" s="18" t="str">
        <f>IF(AND(Report[[#This Row],[Résultats SE]]="Gagné",Report[[#This Row],[FT]]=Report[[#This Row],[Score 4]]),Report[[#This Row],[FT]],"")</f>
        <v/>
      </c>
    </row>
    <row r="90" spans="1:33" ht="20.100000000000001" customHeight="1" x14ac:dyDescent="0.25">
      <c r="A90" s="11">
        <v>43429</v>
      </c>
      <c r="B90" s="7" t="s">
        <v>69</v>
      </c>
      <c r="C90" s="7" t="s">
        <v>105</v>
      </c>
      <c r="D90" s="10" t="s">
        <v>488</v>
      </c>
      <c r="E90" s="10" t="s">
        <v>490</v>
      </c>
      <c r="F90" s="7" t="s">
        <v>833</v>
      </c>
      <c r="G90" s="8" t="s">
        <v>834</v>
      </c>
      <c r="H90" s="9" t="s">
        <v>830</v>
      </c>
      <c r="I90" s="9" t="s">
        <v>825</v>
      </c>
      <c r="J90" s="9" t="s">
        <v>826</v>
      </c>
      <c r="K90" s="9" t="s">
        <v>233</v>
      </c>
      <c r="L90" s="16" t="str">
        <f>IF(Report[Résultat FT]="","",IF(Report[Résultat FT]=Report[Résultats],"","-"))</f>
        <v>-</v>
      </c>
      <c r="M90" s="16" t="str">
        <f>IF(Report[[#This Row],[Résultat FT]]="","",IF(Report[[#This Row],[Résultats SE]]="Gagné","","-"))</f>
        <v>-</v>
      </c>
      <c r="N90" s="17" t="s">
        <v>838</v>
      </c>
      <c r="O90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Parma</v>
      </c>
      <c r="P90" s="18">
        <f>IF(Report[[#This Row],[FT]]="",,(LEFT(Report[[#This Row],[FT]],SEARCH("-",Report[[#This Row],[FT]])-1)*1))</f>
        <v>2</v>
      </c>
      <c r="Q90" s="22">
        <f>IF(Report[[#This Row],[FT]]="",,(RIGHT(Report[[#This Row],[FT]],SEARCH("-",Report[[#This Row],[FT]])-1)*1))</f>
        <v>1</v>
      </c>
      <c r="R90" s="18" t="str">
        <f>IF(Report[Résultat FT]="","",IF(Report[Résultat FT]=Report[Résultats],"Gagné","Perdu"))</f>
        <v>Perdu</v>
      </c>
      <c r="S90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90" s="53">
        <f>IF(Report[[#This Row],[FT]]="","",IF(Report[[#This Row],[FT]]=Report[[#This Row],[Score 1]],1,0))</f>
        <v>0</v>
      </c>
      <c r="U90" s="53">
        <f>IF(Report[[#This Row],[FT]]="","",IF(Report[ [#This Row],[FT] ]=Report[[#This Row],[Score 2]],1,0))</f>
        <v>0</v>
      </c>
      <c r="V90" s="53">
        <f>IF(Report[[#This Row],[FT]]="","",IF(Report[[#This Row],[FT]]=Report[[#This Row],[Score 3]],1,0))</f>
        <v>0</v>
      </c>
      <c r="W90" s="53">
        <f>IF(Report[[#This Row],[FT]]="","",IF(Report[[#This Row],[FT]]=Report[[#This Row],[Score 4]],1,0))</f>
        <v>0</v>
      </c>
      <c r="X90" s="94">
        <f>IF(Report[[#This Row],[Résultat FT]]="",,IF(Report[[#This Row],[Résultat FT]]=Report[[#This Row],[Résultats]],(Suivi_Gain!$B$1*Report[[#This Row],[Cote FT]])-Suivi_Gain!$B$1,-Suivi_Gain!$B$1))</f>
        <v>-1</v>
      </c>
      <c r="Y90" s="94">
        <f>IF(Report[[#This Row],[FT]]="",,IF(Report[[#This Row],[FT]]=Report[[#This Row],[Score 1]],(Suivi_Gain!$G$1*Report[[#This Row],[Cote SE]])-Suivi_Gain!$G$1,-Suivi_Gain!$G$1))</f>
        <v>-1</v>
      </c>
      <c r="Z90" s="65">
        <f>IF(Report[[#This Row],[FT]]="",,IF(Report[[#This Row],[FT]]=Report[[#This Row],[Score 2]],Suivi_Gain!$G$1*Report[[#This Row],[Cote SE]],-Suivi_Gain!$G$1))</f>
        <v>-1</v>
      </c>
      <c r="AA90" s="65">
        <f>IF(Report[[#This Row],[FT]]="",,IF(Report[[#This Row],[FT]]=Report[[#This Row],[Score 3]],Suivi_Gain!$G$1*Report[[#This Row],[Cote SE]],-Suivi_Gain!$G$1))</f>
        <v>-1</v>
      </c>
      <c r="AB90" s="65">
        <f>IF(Report[[#This Row],[FT]]="",,IF(Report[[#This Row],[FT]]=Report[[#This Row],[Score 4]],Suivi_Gain!$G$1*Report[[#This Row],[Cote SE]],-Suivi_Gain!$G$1))</f>
        <v>-1</v>
      </c>
      <c r="AC90" s="18" t="str">
        <f>IF(Report[[#This Row],[Résultats SE]]="Gagné",Report[[#This Row],[FT]],"")</f>
        <v/>
      </c>
      <c r="AD90" s="18" t="str">
        <f>IF(AND(Report[[#This Row],[Résultats SE]]="Gagné",Report[[#This Row],[FT]]=Report[[#This Row],[Score 1]]),Report[[#This Row],[FT]],"")</f>
        <v/>
      </c>
      <c r="AE90" s="18" t="str">
        <f>IF(AND(Report[[#This Row],[Résultats SE]]="Gagné",Report[[#This Row],[FT]]=Report[[#This Row],[Score 2]]),Report[[#This Row],[FT]],"")</f>
        <v/>
      </c>
      <c r="AF90" s="18" t="str">
        <f>IF(AND(Report[[#This Row],[Résultats SE]]="Gagné",Report[[#This Row],[FT]]=Report[[#This Row],[Score 3]]),Report[[#This Row],[FT]],"")</f>
        <v/>
      </c>
      <c r="AG90" s="18" t="str">
        <f>IF(AND(Report[[#This Row],[Résultats SE]]="Gagné",Report[[#This Row],[FT]]=Report[[#This Row],[Score 4]]),Report[[#This Row],[FT]],"")</f>
        <v/>
      </c>
    </row>
    <row r="91" spans="1:33" ht="20.100000000000001" customHeight="1" x14ac:dyDescent="0.25">
      <c r="A91" s="11">
        <v>43429</v>
      </c>
      <c r="B91" s="7" t="s">
        <v>69</v>
      </c>
      <c r="C91" s="7" t="s">
        <v>105</v>
      </c>
      <c r="D91" s="10" t="s">
        <v>477</v>
      </c>
      <c r="E91" s="10" t="s">
        <v>481</v>
      </c>
      <c r="F91" s="7" t="s">
        <v>824</v>
      </c>
      <c r="G91" s="8" t="s">
        <v>825</v>
      </c>
      <c r="H91" s="9" t="s">
        <v>826</v>
      </c>
      <c r="I91" s="9" t="s">
        <v>827</v>
      </c>
      <c r="J91" s="9" t="s">
        <v>828</v>
      </c>
      <c r="K91" s="9" t="s">
        <v>481</v>
      </c>
      <c r="L91" s="16" t="str">
        <f>IF(Report[Résultat FT]="","",IF(Report[Résultat FT]=Report[Résultats],"","-"))</f>
        <v>-</v>
      </c>
      <c r="M91" s="16">
        <v>9.5</v>
      </c>
      <c r="N91" s="17" t="s">
        <v>826</v>
      </c>
      <c r="O91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91" s="18">
        <f>IF(Report[[#This Row],[FT]]="",,(LEFT(Report[[#This Row],[FT]],SEARCH("-",Report[[#This Row],[FT]])-1)*1))</f>
        <v>0</v>
      </c>
      <c r="Q91" s="22">
        <f>IF(Report[[#This Row],[FT]]="",,(RIGHT(Report[[#This Row],[FT]],SEARCH("-",Report[[#This Row],[FT]])-1)*1))</f>
        <v>0</v>
      </c>
      <c r="R91" s="18" t="str">
        <f>IF(Report[Résultat FT]="","",IF(Report[Résultat FT]=Report[Résultats],"Gagné","Perdu"))</f>
        <v>Perdu</v>
      </c>
      <c r="S91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91" s="53">
        <f>IF(Report[[#This Row],[FT]]="","",IF(Report[[#This Row],[FT]]=Report[[#This Row],[Score 1]],1,0))</f>
        <v>0</v>
      </c>
      <c r="U91" s="53">
        <f>IF(Report[[#This Row],[FT]]="","",IF(Report[ [#This Row],[FT] ]=Report[[#This Row],[Score 2]],1,0))</f>
        <v>1</v>
      </c>
      <c r="V91" s="53">
        <f>IF(Report[[#This Row],[FT]]="","",IF(Report[[#This Row],[FT]]=Report[[#This Row],[Score 3]],1,0))</f>
        <v>0</v>
      </c>
      <c r="W91" s="53">
        <f>IF(Report[[#This Row],[FT]]="","",IF(Report[[#This Row],[FT]]=Report[[#This Row],[Score 4]],1,0))</f>
        <v>0</v>
      </c>
      <c r="X91" s="94">
        <f>IF(Report[[#This Row],[Résultat FT]]="",,IF(Report[[#This Row],[Résultat FT]]=Report[[#This Row],[Résultats]],(Suivi_Gain!$B$1*Report[[#This Row],[Cote FT]])-Suivi_Gain!$B$1,-Suivi_Gain!$B$1))</f>
        <v>-1</v>
      </c>
      <c r="Y91" s="94">
        <f>IF(Report[[#This Row],[FT]]="",,IF(Report[[#This Row],[FT]]=Report[[#This Row],[Score 1]],(Suivi_Gain!$G$1*Report[[#This Row],[Cote SE]])-Suivi_Gain!$G$1,-Suivi_Gain!$G$1))</f>
        <v>-1</v>
      </c>
      <c r="Z91" s="65">
        <f>IF(Report[[#This Row],[FT]]="",,IF(Report[[#This Row],[FT]]=Report[[#This Row],[Score 2]],Suivi_Gain!$G$1*Report[[#This Row],[Cote SE]],-Suivi_Gain!$G$1))</f>
        <v>9.5</v>
      </c>
      <c r="AA91" s="65">
        <f>IF(Report[[#This Row],[FT]]="",,IF(Report[[#This Row],[FT]]=Report[[#This Row],[Score 3]],Suivi_Gain!$G$1*Report[[#This Row],[Cote SE]],-Suivi_Gain!$G$1))</f>
        <v>-1</v>
      </c>
      <c r="AB91" s="65">
        <f>IF(Report[[#This Row],[FT]]="",,IF(Report[[#This Row],[FT]]=Report[[#This Row],[Score 4]],Suivi_Gain!$G$1*Report[[#This Row],[Cote SE]],-Suivi_Gain!$G$1))</f>
        <v>-1</v>
      </c>
      <c r="AC91" s="18" t="str">
        <f>IF(Report[[#This Row],[Résultats SE]]="Gagné",Report[[#This Row],[FT]],"")</f>
        <v>0-0</v>
      </c>
      <c r="AD91" s="18" t="str">
        <f>IF(AND(Report[[#This Row],[Résultats SE]]="Gagné",Report[[#This Row],[FT]]=Report[[#This Row],[Score 1]]),Report[[#This Row],[FT]],"")</f>
        <v/>
      </c>
      <c r="AE91" s="18" t="str">
        <f>IF(AND(Report[[#This Row],[Résultats SE]]="Gagné",Report[[#This Row],[FT]]=Report[[#This Row],[Score 2]]),Report[[#This Row],[FT]],"")</f>
        <v>0-0</v>
      </c>
      <c r="AF91" s="18" t="str">
        <f>IF(AND(Report[[#This Row],[Résultats SE]]="Gagné",Report[[#This Row],[FT]]=Report[[#This Row],[Score 3]]),Report[[#This Row],[FT]],"")</f>
        <v/>
      </c>
      <c r="AG91" s="18" t="str">
        <f>IF(AND(Report[[#This Row],[Résultats SE]]="Gagné",Report[[#This Row],[FT]]=Report[[#This Row],[Score 4]]),Report[[#This Row],[FT]],"")</f>
        <v/>
      </c>
    </row>
    <row r="92" spans="1:33" ht="20.100000000000001" customHeight="1" x14ac:dyDescent="0.25">
      <c r="A92" s="11">
        <v>43429</v>
      </c>
      <c r="B92" s="7" t="s">
        <v>69</v>
      </c>
      <c r="C92" s="7" t="s">
        <v>105</v>
      </c>
      <c r="D92" s="10" t="s">
        <v>480</v>
      </c>
      <c r="E92" s="10" t="s">
        <v>476</v>
      </c>
      <c r="F92" s="7" t="s">
        <v>835</v>
      </c>
      <c r="G92" s="8" t="s">
        <v>827</v>
      </c>
      <c r="H92" s="9" t="s">
        <v>825</v>
      </c>
      <c r="I92" s="9" t="s">
        <v>828</v>
      </c>
      <c r="J92" s="9" t="s">
        <v>826</v>
      </c>
      <c r="K92" s="9" t="s">
        <v>476</v>
      </c>
      <c r="L92" s="16" t="str">
        <f>IF(Report[Résultat FT]="","",IF(Report[Résultat FT]=Report[Résultats],"","-"))</f>
        <v>-</v>
      </c>
      <c r="M92" s="16" t="str">
        <f>IF(Report[[#This Row],[Résultat FT]]="","",IF(Report[[#This Row],[Résultats SE]]="Gagné","","-"))</f>
        <v>-</v>
      </c>
      <c r="N92" s="17" t="s">
        <v>891</v>
      </c>
      <c r="O92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Empoli</v>
      </c>
      <c r="P92" s="18">
        <f>IF(Report[[#This Row],[FT]]="",,(LEFT(Report[[#This Row],[FT]],SEARCH("-",Report[[#This Row],[FT]])-1)*1))</f>
        <v>3</v>
      </c>
      <c r="Q92" s="22">
        <f>IF(Report[[#This Row],[FT]]="",,(RIGHT(Report[[#This Row],[FT]],SEARCH("-",Report[[#This Row],[FT]])-1)*1))</f>
        <v>2</v>
      </c>
      <c r="R92" s="18" t="str">
        <f>IF(Report[Résultat FT]="","",IF(Report[Résultat FT]=Report[Résultats],"Gagné","Perdu"))</f>
        <v>Perdu</v>
      </c>
      <c r="S92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92" s="53">
        <f>IF(Report[[#This Row],[FT]]="","",IF(Report[[#This Row],[FT]]=Report[[#This Row],[Score 1]],1,0))</f>
        <v>0</v>
      </c>
      <c r="U92" s="53">
        <f>IF(Report[[#This Row],[FT]]="","",IF(Report[ [#This Row],[FT] ]=Report[[#This Row],[Score 2]],1,0))</f>
        <v>0</v>
      </c>
      <c r="V92" s="53">
        <f>IF(Report[[#This Row],[FT]]="","",IF(Report[[#This Row],[FT]]=Report[[#This Row],[Score 3]],1,0))</f>
        <v>0</v>
      </c>
      <c r="W92" s="53">
        <f>IF(Report[[#This Row],[FT]]="","",IF(Report[[#This Row],[FT]]=Report[[#This Row],[Score 4]],1,0))</f>
        <v>0</v>
      </c>
      <c r="X92" s="94">
        <f>IF(Report[[#This Row],[Résultat FT]]="",,IF(Report[[#This Row],[Résultat FT]]=Report[[#This Row],[Résultats]],(Suivi_Gain!$B$1*Report[[#This Row],[Cote FT]])-Suivi_Gain!$B$1,-Suivi_Gain!$B$1))</f>
        <v>-1</v>
      </c>
      <c r="Y92" s="94">
        <f>IF(Report[[#This Row],[FT]]="",,IF(Report[[#This Row],[FT]]=Report[[#This Row],[Score 1]],(Suivi_Gain!$G$1*Report[[#This Row],[Cote SE]])-Suivi_Gain!$G$1,-Suivi_Gain!$G$1))</f>
        <v>-1</v>
      </c>
      <c r="Z92" s="65">
        <f>IF(Report[[#This Row],[FT]]="",,IF(Report[[#This Row],[FT]]=Report[[#This Row],[Score 2]],Suivi_Gain!$G$1*Report[[#This Row],[Cote SE]],-Suivi_Gain!$G$1))</f>
        <v>-1</v>
      </c>
      <c r="AA92" s="65">
        <f>IF(Report[[#This Row],[FT]]="",,IF(Report[[#This Row],[FT]]=Report[[#This Row],[Score 3]],Suivi_Gain!$G$1*Report[[#This Row],[Cote SE]],-Suivi_Gain!$G$1))</f>
        <v>-1</v>
      </c>
      <c r="AB92" s="65">
        <f>IF(Report[[#This Row],[FT]]="",,IF(Report[[#This Row],[FT]]=Report[[#This Row],[Score 4]],Suivi_Gain!$G$1*Report[[#This Row],[Cote SE]],-Suivi_Gain!$G$1))</f>
        <v>-1</v>
      </c>
      <c r="AC92" s="18" t="str">
        <f>IF(Report[[#This Row],[Résultats SE]]="Gagné",Report[[#This Row],[FT]],"")</f>
        <v/>
      </c>
      <c r="AD92" s="18" t="str">
        <f>IF(AND(Report[[#This Row],[Résultats SE]]="Gagné",Report[[#This Row],[FT]]=Report[[#This Row],[Score 1]]),Report[[#This Row],[FT]],"")</f>
        <v/>
      </c>
      <c r="AE92" s="18" t="str">
        <f>IF(AND(Report[[#This Row],[Résultats SE]]="Gagné",Report[[#This Row],[FT]]=Report[[#This Row],[Score 2]]),Report[[#This Row],[FT]],"")</f>
        <v/>
      </c>
      <c r="AF92" s="18" t="str">
        <f>IF(AND(Report[[#This Row],[Résultats SE]]="Gagné",Report[[#This Row],[FT]]=Report[[#This Row],[Score 3]]),Report[[#This Row],[FT]],"")</f>
        <v/>
      </c>
      <c r="AG92" s="18" t="str">
        <f>IF(AND(Report[[#This Row],[Résultats SE]]="Gagné",Report[[#This Row],[FT]]=Report[[#This Row],[Score 4]]),Report[[#This Row],[FT]],"")</f>
        <v/>
      </c>
    </row>
    <row r="93" spans="1:33" ht="20.100000000000001" customHeight="1" x14ac:dyDescent="0.25">
      <c r="A93" s="11">
        <v>43429</v>
      </c>
      <c r="B93" s="7" t="s">
        <v>69</v>
      </c>
      <c r="C93" s="7" t="s">
        <v>105</v>
      </c>
      <c r="D93" s="10" t="s">
        <v>487</v>
      </c>
      <c r="E93" s="10" t="s">
        <v>479</v>
      </c>
      <c r="F93" s="7" t="s">
        <v>879</v>
      </c>
      <c r="G93" s="8" t="s">
        <v>859</v>
      </c>
      <c r="H93" s="9" t="s">
        <v>832</v>
      </c>
      <c r="I93" s="9" t="s">
        <v>857</v>
      </c>
      <c r="J93" s="9" t="s">
        <v>831</v>
      </c>
      <c r="K93" s="9" t="s">
        <v>487</v>
      </c>
      <c r="L93" s="16" t="str">
        <f>IF(Report[Résultat FT]="","",IF(Report[Résultat FT]=Report[Résultats],"","-"))</f>
        <v>-</v>
      </c>
      <c r="M93" s="16" t="str">
        <f>IF(Report[[#This Row],[Résultat FT]]="","",IF(Report[[#This Row],[Résultats SE]]="Gagné","","-"))</f>
        <v>-</v>
      </c>
      <c r="N93" s="17" t="s">
        <v>826</v>
      </c>
      <c r="O93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93" s="18">
        <f>IF(Report[[#This Row],[FT]]="",,(LEFT(Report[[#This Row],[FT]],SEARCH("-",Report[[#This Row],[FT]])-1)*1))</f>
        <v>0</v>
      </c>
      <c r="Q93" s="22">
        <f>IF(Report[[#This Row],[FT]]="",,(RIGHT(Report[[#This Row],[FT]],SEARCH("-",Report[[#This Row],[FT]])-1)*1))</f>
        <v>0</v>
      </c>
      <c r="R93" s="18" t="str">
        <f>IF(Report[Résultat FT]="","",IF(Report[Résultat FT]=Report[Résultats],"Gagné","Perdu"))</f>
        <v>Perdu</v>
      </c>
      <c r="S93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93" s="53">
        <f>IF(Report[[#This Row],[FT]]="","",IF(Report[[#This Row],[FT]]=Report[[#This Row],[Score 1]],1,0))</f>
        <v>0</v>
      </c>
      <c r="U93" s="53">
        <f>IF(Report[[#This Row],[FT]]="","",IF(Report[ [#This Row],[FT] ]=Report[[#This Row],[Score 2]],1,0))</f>
        <v>0</v>
      </c>
      <c r="V93" s="53">
        <f>IF(Report[[#This Row],[FT]]="","",IF(Report[[#This Row],[FT]]=Report[[#This Row],[Score 3]],1,0))</f>
        <v>0</v>
      </c>
      <c r="W93" s="53">
        <f>IF(Report[[#This Row],[FT]]="","",IF(Report[[#This Row],[FT]]=Report[[#This Row],[Score 4]],1,0))</f>
        <v>0</v>
      </c>
      <c r="X93" s="94">
        <f>IF(Report[[#This Row],[Résultat FT]]="",,IF(Report[[#This Row],[Résultat FT]]=Report[[#This Row],[Résultats]],(Suivi_Gain!$B$1*Report[[#This Row],[Cote FT]])-Suivi_Gain!$B$1,-Suivi_Gain!$B$1))</f>
        <v>-1</v>
      </c>
      <c r="Y93" s="94">
        <f>IF(Report[[#This Row],[FT]]="",,IF(Report[[#This Row],[FT]]=Report[[#This Row],[Score 1]],(Suivi_Gain!$G$1*Report[[#This Row],[Cote SE]])-Suivi_Gain!$G$1,-Suivi_Gain!$G$1))</f>
        <v>-1</v>
      </c>
      <c r="Z93" s="65">
        <f>IF(Report[[#This Row],[FT]]="",,IF(Report[[#This Row],[FT]]=Report[[#This Row],[Score 2]],Suivi_Gain!$G$1*Report[[#This Row],[Cote SE]],-Suivi_Gain!$G$1))</f>
        <v>-1</v>
      </c>
      <c r="AA93" s="65">
        <f>IF(Report[[#This Row],[FT]]="",,IF(Report[[#This Row],[FT]]=Report[[#This Row],[Score 3]],Suivi_Gain!$G$1*Report[[#This Row],[Cote SE]],-Suivi_Gain!$G$1))</f>
        <v>-1</v>
      </c>
      <c r="AB93" s="65">
        <f>IF(Report[[#This Row],[FT]]="",,IF(Report[[#This Row],[FT]]=Report[[#This Row],[Score 4]],Suivi_Gain!$G$1*Report[[#This Row],[Cote SE]],-Suivi_Gain!$G$1))</f>
        <v>-1</v>
      </c>
      <c r="AC93" s="18" t="str">
        <f>IF(Report[[#This Row],[Résultats SE]]="Gagné",Report[[#This Row],[FT]],"")</f>
        <v/>
      </c>
      <c r="AD93" s="18" t="str">
        <f>IF(AND(Report[[#This Row],[Résultats SE]]="Gagné",Report[[#This Row],[FT]]=Report[[#This Row],[Score 1]]),Report[[#This Row],[FT]],"")</f>
        <v/>
      </c>
      <c r="AE93" s="18" t="str">
        <f>IF(AND(Report[[#This Row],[Résultats SE]]="Gagné",Report[[#This Row],[FT]]=Report[[#This Row],[Score 2]]),Report[[#This Row],[FT]],"")</f>
        <v/>
      </c>
      <c r="AF93" s="18" t="str">
        <f>IF(AND(Report[[#This Row],[Résultats SE]]="Gagné",Report[[#This Row],[FT]]=Report[[#This Row],[Score 3]]),Report[[#This Row],[FT]],"")</f>
        <v/>
      </c>
      <c r="AG93" s="18" t="str">
        <f>IF(AND(Report[[#This Row],[Résultats SE]]="Gagné",Report[[#This Row],[FT]]=Report[[#This Row],[Score 4]]),Report[[#This Row],[FT]],"")</f>
        <v/>
      </c>
    </row>
    <row r="94" spans="1:33" ht="20.100000000000001" customHeight="1" x14ac:dyDescent="0.25">
      <c r="A94" s="11">
        <v>43429</v>
      </c>
      <c r="B94" s="7" t="s">
        <v>69</v>
      </c>
      <c r="C94" s="7" t="s">
        <v>105</v>
      </c>
      <c r="D94" s="19" t="s">
        <v>486</v>
      </c>
      <c r="E94" s="19" t="s">
        <v>474</v>
      </c>
      <c r="F94" s="7" t="s">
        <v>833</v>
      </c>
      <c r="G94" s="20" t="s">
        <v>834</v>
      </c>
      <c r="H94" s="20" t="s">
        <v>830</v>
      </c>
      <c r="I94" s="20" t="s">
        <v>825</v>
      </c>
      <c r="J94" s="20" t="s">
        <v>826</v>
      </c>
      <c r="K94" s="9" t="s">
        <v>233</v>
      </c>
      <c r="L94" s="16">
        <v>3.7</v>
      </c>
      <c r="M94" s="16">
        <v>6.5</v>
      </c>
      <c r="N94" s="17" t="s">
        <v>834</v>
      </c>
      <c r="O94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94" s="18">
        <f>IF(Report[[#This Row],[FT]]="",,(LEFT(Report[[#This Row],[FT]],SEARCH("-",Report[[#This Row],[FT]])-1)*1))</f>
        <v>1</v>
      </c>
      <c r="Q94" s="22">
        <f>IF(Report[[#This Row],[FT]]="",,(RIGHT(Report[[#This Row],[FT]],SEARCH("-",Report[[#This Row],[FT]])-1)*1))</f>
        <v>1</v>
      </c>
      <c r="R94" s="18" t="str">
        <f>IF(Report[Résultat FT]="","",IF(Report[Résultat FT]=Report[Résultats],"Gagné","Perdu"))</f>
        <v>Gagné</v>
      </c>
      <c r="S94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94" s="53">
        <f>IF(Report[[#This Row],[FT]]="","",IF(Report[[#This Row],[FT]]=Report[[#This Row],[Score 1]],1,0))</f>
        <v>1</v>
      </c>
      <c r="U94" s="53">
        <f>IF(Report[[#This Row],[FT]]="","",IF(Report[ [#This Row],[FT] ]=Report[[#This Row],[Score 2]],1,0))</f>
        <v>0</v>
      </c>
      <c r="V94" s="53">
        <f>IF(Report[[#This Row],[FT]]="","",IF(Report[[#This Row],[FT]]=Report[[#This Row],[Score 3]],1,0))</f>
        <v>0</v>
      </c>
      <c r="W94" s="53">
        <f>IF(Report[[#This Row],[FT]]="","",IF(Report[[#This Row],[FT]]=Report[[#This Row],[Score 4]],1,0))</f>
        <v>0</v>
      </c>
      <c r="X94" s="94">
        <f>IF(Report[[#This Row],[Résultat FT]]="",,IF(Report[[#This Row],[Résultat FT]]=Report[[#This Row],[Résultats]],(Suivi_Gain!$B$1*Report[[#This Row],[Cote FT]])-Suivi_Gain!$B$1,-Suivi_Gain!$B$1))</f>
        <v>2.7</v>
      </c>
      <c r="Y94" s="94">
        <f>IF(Report[[#This Row],[FT]]="",,IF(Report[[#This Row],[FT]]=Report[[#This Row],[Score 1]],(Suivi_Gain!$G$1*Report[[#This Row],[Cote SE]])-Suivi_Gain!$G$1,-Suivi_Gain!$G$1))</f>
        <v>5.5</v>
      </c>
      <c r="Z94" s="65">
        <f>IF(Report[[#This Row],[FT]]="",,IF(Report[[#This Row],[FT]]=Report[[#This Row],[Score 2]],Suivi_Gain!$G$1*Report[[#This Row],[Cote SE]],-Suivi_Gain!$G$1))</f>
        <v>-1</v>
      </c>
      <c r="AA94" s="65">
        <f>IF(Report[[#This Row],[FT]]="",,IF(Report[[#This Row],[FT]]=Report[[#This Row],[Score 3]],Suivi_Gain!$G$1*Report[[#This Row],[Cote SE]],-Suivi_Gain!$G$1))</f>
        <v>-1</v>
      </c>
      <c r="AB94" s="65">
        <f>IF(Report[[#This Row],[FT]]="",,IF(Report[[#This Row],[FT]]=Report[[#This Row],[Score 4]],Suivi_Gain!$G$1*Report[[#This Row],[Cote SE]],-Suivi_Gain!$G$1))</f>
        <v>-1</v>
      </c>
      <c r="AC94" s="18" t="str">
        <f>IF(Report[[#This Row],[Résultats SE]]="Gagné",Report[[#This Row],[FT]],"")</f>
        <v>1-1</v>
      </c>
      <c r="AD94" s="18" t="str">
        <f>IF(AND(Report[[#This Row],[Résultats SE]]="Gagné",Report[[#This Row],[FT]]=Report[[#This Row],[Score 1]]),Report[[#This Row],[FT]],"")</f>
        <v>1-1</v>
      </c>
      <c r="AE94" s="18" t="str">
        <f>IF(AND(Report[[#This Row],[Résultats SE]]="Gagné",Report[[#This Row],[FT]]=Report[[#This Row],[Score 2]]),Report[[#This Row],[FT]],"")</f>
        <v/>
      </c>
      <c r="AF94" s="18" t="str">
        <f>IF(AND(Report[[#This Row],[Résultats SE]]="Gagné",Report[[#This Row],[FT]]=Report[[#This Row],[Score 3]]),Report[[#This Row],[FT]],"")</f>
        <v/>
      </c>
      <c r="AG94" s="18" t="str">
        <f>IF(AND(Report[[#This Row],[Résultats SE]]="Gagné",Report[[#This Row],[FT]]=Report[[#This Row],[Score 4]]),Report[[#This Row],[FT]],"")</f>
        <v/>
      </c>
    </row>
    <row r="95" spans="1:33" ht="20.100000000000001" customHeight="1" x14ac:dyDescent="0.25">
      <c r="A95" s="11">
        <v>43429</v>
      </c>
      <c r="B95" s="7" t="s">
        <v>69</v>
      </c>
      <c r="C95" s="7" t="s">
        <v>105</v>
      </c>
      <c r="D95" s="19" t="s">
        <v>483</v>
      </c>
      <c r="E95" s="19" t="s">
        <v>489</v>
      </c>
      <c r="F95" s="7" t="s">
        <v>843</v>
      </c>
      <c r="G95" s="20" t="s">
        <v>839</v>
      </c>
      <c r="H95" s="20" t="s">
        <v>834</v>
      </c>
      <c r="I95" s="20" t="s">
        <v>827</v>
      </c>
      <c r="J95" s="20" t="s">
        <v>825</v>
      </c>
      <c r="K95" s="9" t="s">
        <v>489</v>
      </c>
      <c r="L95" s="16" t="str">
        <f>IF(Report[Résultat FT]="","",IF(Report[Résultat FT]=Report[Résultats],"","-"))</f>
        <v>-</v>
      </c>
      <c r="M95" s="16">
        <v>6.1</v>
      </c>
      <c r="N95" s="17" t="s">
        <v>834</v>
      </c>
      <c r="O95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95" s="18">
        <f>IF(Report[[#This Row],[FT]]="",,(LEFT(Report[[#This Row],[FT]],SEARCH("-",Report[[#This Row],[FT]])-1)*1))</f>
        <v>1</v>
      </c>
      <c r="Q95" s="22">
        <f>IF(Report[[#This Row],[FT]]="",,(RIGHT(Report[[#This Row],[FT]],SEARCH("-",Report[[#This Row],[FT]])-1)*1))</f>
        <v>1</v>
      </c>
      <c r="R95" s="18" t="str">
        <f>IF(Report[Résultat FT]="","",IF(Report[Résultat FT]=Report[Résultats],"Gagné","Perdu"))</f>
        <v>Perdu</v>
      </c>
      <c r="S95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95" s="53">
        <f>IF(Report[[#This Row],[FT]]="","",IF(Report[[#This Row],[FT]]=Report[[#This Row],[Score 1]],1,0))</f>
        <v>0</v>
      </c>
      <c r="U95" s="53">
        <f>IF(Report[[#This Row],[FT]]="","",IF(Report[ [#This Row],[FT] ]=Report[[#This Row],[Score 2]],1,0))</f>
        <v>1</v>
      </c>
      <c r="V95" s="53">
        <f>IF(Report[[#This Row],[FT]]="","",IF(Report[[#This Row],[FT]]=Report[[#This Row],[Score 3]],1,0))</f>
        <v>0</v>
      </c>
      <c r="W95" s="53">
        <f>IF(Report[[#This Row],[FT]]="","",IF(Report[[#This Row],[FT]]=Report[[#This Row],[Score 4]],1,0))</f>
        <v>0</v>
      </c>
      <c r="X95" s="94">
        <f>IF(Report[[#This Row],[Résultat FT]]="",,IF(Report[[#This Row],[Résultat FT]]=Report[[#This Row],[Résultats]],(Suivi_Gain!$B$1*Report[[#This Row],[Cote FT]])-Suivi_Gain!$B$1,-Suivi_Gain!$B$1))</f>
        <v>-1</v>
      </c>
      <c r="Y95" s="94">
        <f>IF(Report[[#This Row],[FT]]="",,IF(Report[[#This Row],[FT]]=Report[[#This Row],[Score 1]],(Suivi_Gain!$G$1*Report[[#This Row],[Cote SE]])-Suivi_Gain!$G$1,-Suivi_Gain!$G$1))</f>
        <v>-1</v>
      </c>
      <c r="Z95" s="65">
        <f>IF(Report[[#This Row],[FT]]="",,IF(Report[[#This Row],[FT]]=Report[[#This Row],[Score 2]],Suivi_Gain!$G$1*Report[[#This Row],[Cote SE]],-Suivi_Gain!$G$1))</f>
        <v>6.1</v>
      </c>
      <c r="AA95" s="65">
        <f>IF(Report[[#This Row],[FT]]="",,IF(Report[[#This Row],[FT]]=Report[[#This Row],[Score 3]],Suivi_Gain!$G$1*Report[[#This Row],[Cote SE]],-Suivi_Gain!$G$1))</f>
        <v>-1</v>
      </c>
      <c r="AB95" s="65">
        <f>IF(Report[[#This Row],[FT]]="",,IF(Report[[#This Row],[FT]]=Report[[#This Row],[Score 4]],Suivi_Gain!$G$1*Report[[#This Row],[Cote SE]],-Suivi_Gain!$G$1))</f>
        <v>-1</v>
      </c>
      <c r="AC95" s="18" t="str">
        <f>IF(Report[[#This Row],[Résultats SE]]="Gagné",Report[[#This Row],[FT]],"")</f>
        <v>1-1</v>
      </c>
      <c r="AD95" s="18" t="str">
        <f>IF(AND(Report[[#This Row],[Résultats SE]]="Gagné",Report[[#This Row],[FT]]=Report[[#This Row],[Score 1]]),Report[[#This Row],[FT]],"")</f>
        <v/>
      </c>
      <c r="AE95" s="18" t="str">
        <f>IF(AND(Report[[#This Row],[Résultats SE]]="Gagné",Report[[#This Row],[FT]]=Report[[#This Row],[Score 2]]),Report[[#This Row],[FT]],"")</f>
        <v>1-1</v>
      </c>
      <c r="AF95" s="18" t="str">
        <f>IF(AND(Report[[#This Row],[Résultats SE]]="Gagné",Report[[#This Row],[FT]]=Report[[#This Row],[Score 3]]),Report[[#This Row],[FT]],"")</f>
        <v/>
      </c>
      <c r="AG95" s="18" t="str">
        <f>IF(AND(Report[[#This Row],[Résultats SE]]="Gagné",Report[[#This Row],[FT]]=Report[[#This Row],[Score 4]]),Report[[#This Row],[FT]],"")</f>
        <v/>
      </c>
    </row>
    <row r="96" spans="1:33" ht="20.100000000000001" customHeight="1" x14ac:dyDescent="0.25">
      <c r="A96" s="11">
        <v>43429</v>
      </c>
      <c r="B96" s="7" t="s">
        <v>84</v>
      </c>
      <c r="C96" s="7" t="s">
        <v>130</v>
      </c>
      <c r="D96" s="10" t="s">
        <v>315</v>
      </c>
      <c r="E96" s="10" t="s">
        <v>720</v>
      </c>
      <c r="F96" s="7" t="s">
        <v>843</v>
      </c>
      <c r="G96" s="8" t="s">
        <v>839</v>
      </c>
      <c r="H96" s="9" t="s">
        <v>834</v>
      </c>
      <c r="I96" s="9" t="s">
        <v>827</v>
      </c>
      <c r="J96" s="9" t="s">
        <v>825</v>
      </c>
      <c r="K96" s="9" t="s">
        <v>720</v>
      </c>
      <c r="L96" s="16">
        <v>1.57</v>
      </c>
      <c r="M96" s="16">
        <v>8</v>
      </c>
      <c r="N96" s="17" t="s">
        <v>839</v>
      </c>
      <c r="O96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Fola</v>
      </c>
      <c r="P96" s="18">
        <f>IF(Report[[#This Row],[FT]]="",,(LEFT(Report[[#This Row],[FT]],SEARCH("-",Report[[#This Row],[FT]])-1)*1))</f>
        <v>1</v>
      </c>
      <c r="Q96" s="22">
        <f>IF(Report[[#This Row],[FT]]="",,(RIGHT(Report[[#This Row],[FT]],SEARCH("-",Report[[#This Row],[FT]])-1)*1))</f>
        <v>2</v>
      </c>
      <c r="R96" s="18" t="str">
        <f>IF(Report[Résultat FT]="","",IF(Report[Résultat FT]=Report[Résultats],"Gagné","Perdu"))</f>
        <v>Gagné</v>
      </c>
      <c r="S96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96" s="53">
        <f>IF(Report[[#This Row],[FT]]="","",IF(Report[[#This Row],[FT]]=Report[[#This Row],[Score 1]],1,0))</f>
        <v>1</v>
      </c>
      <c r="U96" s="53">
        <f>IF(Report[[#This Row],[FT]]="","",IF(Report[ [#This Row],[FT] ]=Report[[#This Row],[Score 2]],1,0))</f>
        <v>0</v>
      </c>
      <c r="V96" s="53">
        <f>IF(Report[[#This Row],[FT]]="","",IF(Report[[#This Row],[FT]]=Report[[#This Row],[Score 3]],1,0))</f>
        <v>0</v>
      </c>
      <c r="W96" s="53">
        <f>IF(Report[[#This Row],[FT]]="","",IF(Report[[#This Row],[FT]]=Report[[#This Row],[Score 4]],1,0))</f>
        <v>0</v>
      </c>
      <c r="X96" s="94">
        <f>IF(Report[[#This Row],[Résultat FT]]="",,IF(Report[[#This Row],[Résultat FT]]=Report[[#This Row],[Résultats]],(Suivi_Gain!$B$1*Report[[#This Row],[Cote FT]])-Suivi_Gain!$B$1,-Suivi_Gain!$B$1))</f>
        <v>0.57000000000000006</v>
      </c>
      <c r="Y96" s="94">
        <f>IF(Report[[#This Row],[FT]]="",,IF(Report[[#This Row],[FT]]=Report[[#This Row],[Score 1]],(Suivi_Gain!$G$1*Report[[#This Row],[Cote SE]])-Suivi_Gain!$G$1,-Suivi_Gain!$G$1))</f>
        <v>7</v>
      </c>
      <c r="Z96" s="65">
        <f>IF(Report[[#This Row],[FT]]="",,IF(Report[[#This Row],[FT]]=Report[[#This Row],[Score 2]],Suivi_Gain!$G$1*Report[[#This Row],[Cote SE]],-Suivi_Gain!$G$1))</f>
        <v>-1</v>
      </c>
      <c r="AA96" s="65">
        <f>IF(Report[[#This Row],[FT]]="",,IF(Report[[#This Row],[FT]]=Report[[#This Row],[Score 3]],Suivi_Gain!$G$1*Report[[#This Row],[Cote SE]],-Suivi_Gain!$G$1))</f>
        <v>-1</v>
      </c>
      <c r="AB96" s="65">
        <f>IF(Report[[#This Row],[FT]]="",,IF(Report[[#This Row],[FT]]=Report[[#This Row],[Score 4]],Suivi_Gain!$G$1*Report[[#This Row],[Cote SE]],-Suivi_Gain!$G$1))</f>
        <v>-1</v>
      </c>
      <c r="AC96" s="18" t="str">
        <f>IF(Report[[#This Row],[Résultats SE]]="Gagné",Report[[#This Row],[FT]],"")</f>
        <v>1-2</v>
      </c>
      <c r="AD96" s="18" t="str">
        <f>IF(AND(Report[[#This Row],[Résultats SE]]="Gagné",Report[[#This Row],[FT]]=Report[[#This Row],[Score 1]]),Report[[#This Row],[FT]],"")</f>
        <v>1-2</v>
      </c>
      <c r="AE96" s="18" t="str">
        <f>IF(AND(Report[[#This Row],[Résultats SE]]="Gagné",Report[[#This Row],[FT]]=Report[[#This Row],[Score 2]]),Report[[#This Row],[FT]],"")</f>
        <v/>
      </c>
      <c r="AF96" s="18" t="str">
        <f>IF(AND(Report[[#This Row],[Résultats SE]]="Gagné",Report[[#This Row],[FT]]=Report[[#This Row],[Score 3]]),Report[[#This Row],[FT]],"")</f>
        <v/>
      </c>
      <c r="AG96" s="18" t="str">
        <f>IF(AND(Report[[#This Row],[Résultats SE]]="Gagné",Report[[#This Row],[FT]]=Report[[#This Row],[Score 4]]),Report[[#This Row],[FT]],"")</f>
        <v/>
      </c>
    </row>
    <row r="97" spans="1:33" ht="20.100000000000001" customHeight="1" x14ac:dyDescent="0.25">
      <c r="A97" s="11">
        <v>43429</v>
      </c>
      <c r="B97" s="7" t="s">
        <v>84</v>
      </c>
      <c r="C97" s="7" t="s">
        <v>130</v>
      </c>
      <c r="D97" s="10" t="s">
        <v>719</v>
      </c>
      <c r="E97" s="10" t="s">
        <v>727</v>
      </c>
      <c r="F97" s="7" t="s">
        <v>836</v>
      </c>
      <c r="G97" s="8" t="s">
        <v>837</v>
      </c>
      <c r="H97" s="9" t="s">
        <v>838</v>
      </c>
      <c r="I97" s="9" t="s">
        <v>839</v>
      </c>
      <c r="J97" s="9" t="s">
        <v>834</v>
      </c>
      <c r="K97" s="9" t="s">
        <v>233</v>
      </c>
      <c r="L97" s="16" t="str">
        <f>IF(Report[Résultat FT]="","",IF(Report[Résultat FT]=Report[Résultats],"","-"))</f>
        <v>-</v>
      </c>
      <c r="M97" s="16" t="str">
        <f>IF(Report[[#This Row],[Résultat FT]]="","",IF(Report[[#This Row],[Résultats SE]]="Gagné","","-"))</f>
        <v>-</v>
      </c>
      <c r="N97" s="17" t="s">
        <v>827</v>
      </c>
      <c r="O97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UNA Strassen</v>
      </c>
      <c r="P97" s="18">
        <f>IF(Report[[#This Row],[FT]]="",,(LEFT(Report[[#This Row],[FT]],SEARCH("-",Report[[#This Row],[FT]])-1)*1))</f>
        <v>0</v>
      </c>
      <c r="Q97" s="22">
        <f>IF(Report[[#This Row],[FT]]="",,(RIGHT(Report[[#This Row],[FT]],SEARCH("-",Report[[#This Row],[FT]])-1)*1))</f>
        <v>2</v>
      </c>
      <c r="R97" s="18" t="str">
        <f>IF(Report[Résultat FT]="","",IF(Report[Résultat FT]=Report[Résultats],"Gagné","Perdu"))</f>
        <v>Perdu</v>
      </c>
      <c r="S97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97" s="53">
        <f>IF(Report[[#This Row],[FT]]="","",IF(Report[[#This Row],[FT]]=Report[[#This Row],[Score 1]],1,0))</f>
        <v>0</v>
      </c>
      <c r="U97" s="53">
        <f>IF(Report[[#This Row],[FT]]="","",IF(Report[ [#This Row],[FT] ]=Report[[#This Row],[Score 2]],1,0))</f>
        <v>0</v>
      </c>
      <c r="V97" s="53">
        <f>IF(Report[[#This Row],[FT]]="","",IF(Report[[#This Row],[FT]]=Report[[#This Row],[Score 3]],1,0))</f>
        <v>0</v>
      </c>
      <c r="W97" s="53">
        <f>IF(Report[[#This Row],[FT]]="","",IF(Report[[#This Row],[FT]]=Report[[#This Row],[Score 4]],1,0))</f>
        <v>0</v>
      </c>
      <c r="X97" s="94">
        <f>IF(Report[[#This Row],[Résultat FT]]="",,IF(Report[[#This Row],[Résultat FT]]=Report[[#This Row],[Résultats]],(Suivi_Gain!$B$1*Report[[#This Row],[Cote FT]])-Suivi_Gain!$B$1,-Suivi_Gain!$B$1))</f>
        <v>-1</v>
      </c>
      <c r="Y97" s="94">
        <f>IF(Report[[#This Row],[FT]]="",,IF(Report[[#This Row],[FT]]=Report[[#This Row],[Score 1]],(Suivi_Gain!$G$1*Report[[#This Row],[Cote SE]])-Suivi_Gain!$G$1,-Suivi_Gain!$G$1))</f>
        <v>-1</v>
      </c>
      <c r="Z97" s="65">
        <f>IF(Report[[#This Row],[FT]]="",,IF(Report[[#This Row],[FT]]=Report[[#This Row],[Score 2]],Suivi_Gain!$G$1*Report[[#This Row],[Cote SE]],-Suivi_Gain!$G$1))</f>
        <v>-1</v>
      </c>
      <c r="AA97" s="65">
        <f>IF(Report[[#This Row],[FT]]="",,IF(Report[[#This Row],[FT]]=Report[[#This Row],[Score 3]],Suivi_Gain!$G$1*Report[[#This Row],[Cote SE]],-Suivi_Gain!$G$1))</f>
        <v>-1</v>
      </c>
      <c r="AB97" s="65">
        <f>IF(Report[[#This Row],[FT]]="",,IF(Report[[#This Row],[FT]]=Report[[#This Row],[Score 4]],Suivi_Gain!$G$1*Report[[#This Row],[Cote SE]],-Suivi_Gain!$G$1))</f>
        <v>-1</v>
      </c>
      <c r="AC97" s="18" t="str">
        <f>IF(Report[[#This Row],[Résultats SE]]="Gagné",Report[[#This Row],[FT]],"")</f>
        <v/>
      </c>
      <c r="AD97" s="18" t="str">
        <f>IF(AND(Report[[#This Row],[Résultats SE]]="Gagné",Report[[#This Row],[FT]]=Report[[#This Row],[Score 1]]),Report[[#This Row],[FT]],"")</f>
        <v/>
      </c>
      <c r="AE97" s="18" t="str">
        <f>IF(AND(Report[[#This Row],[Résultats SE]]="Gagné",Report[[#This Row],[FT]]=Report[[#This Row],[Score 2]]),Report[[#This Row],[FT]],"")</f>
        <v/>
      </c>
      <c r="AF97" s="18" t="str">
        <f>IF(AND(Report[[#This Row],[Résultats SE]]="Gagné",Report[[#This Row],[FT]]=Report[[#This Row],[Score 3]]),Report[[#This Row],[FT]],"")</f>
        <v/>
      </c>
      <c r="AG97" s="18" t="str">
        <f>IF(AND(Report[[#This Row],[Résultats SE]]="Gagné",Report[[#This Row],[FT]]=Report[[#This Row],[Score 4]]),Report[[#This Row],[FT]],"")</f>
        <v/>
      </c>
    </row>
    <row r="98" spans="1:33" ht="20.100000000000001" customHeight="1" x14ac:dyDescent="0.25">
      <c r="A98" s="11">
        <v>43429</v>
      </c>
      <c r="B98" s="7" t="s">
        <v>84</v>
      </c>
      <c r="C98" s="7" t="s">
        <v>130</v>
      </c>
      <c r="D98" s="10" t="s">
        <v>721</v>
      </c>
      <c r="E98" s="10" t="s">
        <v>723</v>
      </c>
      <c r="F98" s="7" t="s">
        <v>840</v>
      </c>
      <c r="G98" s="8" t="s">
        <v>841</v>
      </c>
      <c r="H98" s="9" t="s">
        <v>839</v>
      </c>
      <c r="I98" s="9" t="s">
        <v>828</v>
      </c>
      <c r="J98" s="9" t="s">
        <v>827</v>
      </c>
      <c r="K98" s="9" t="s">
        <v>723</v>
      </c>
      <c r="L98" s="16" t="str">
        <f>IF(Report[Résultat FT]="","",IF(Report[Résultat FT]=Report[Résultats],"","-"))</f>
        <v>-</v>
      </c>
      <c r="M98" s="16" t="str">
        <f>IF(Report[[#This Row],[Résultat FT]]="","",IF(Report[[#This Row],[Résultats SE]]="Gagné","","-"))</f>
        <v>-</v>
      </c>
      <c r="N98" s="17" t="s">
        <v>834</v>
      </c>
      <c r="O98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98" s="18">
        <f>IF(Report[[#This Row],[FT]]="",,(LEFT(Report[[#This Row],[FT]],SEARCH("-",Report[[#This Row],[FT]])-1)*1))</f>
        <v>1</v>
      </c>
      <c r="Q98" s="22">
        <f>IF(Report[[#This Row],[FT]]="",,(RIGHT(Report[[#This Row],[FT]],SEARCH("-",Report[[#This Row],[FT]])-1)*1))</f>
        <v>1</v>
      </c>
      <c r="R98" s="18" t="str">
        <f>IF(Report[Résultat FT]="","",IF(Report[Résultat FT]=Report[Résultats],"Gagné","Perdu"))</f>
        <v>Perdu</v>
      </c>
      <c r="S98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98" s="53">
        <f>IF(Report[[#This Row],[FT]]="","",IF(Report[[#This Row],[FT]]=Report[[#This Row],[Score 1]],1,0))</f>
        <v>0</v>
      </c>
      <c r="U98" s="53">
        <f>IF(Report[[#This Row],[FT]]="","",IF(Report[ [#This Row],[FT] ]=Report[[#This Row],[Score 2]],1,0))</f>
        <v>0</v>
      </c>
      <c r="V98" s="53">
        <f>IF(Report[[#This Row],[FT]]="","",IF(Report[[#This Row],[FT]]=Report[[#This Row],[Score 3]],1,0))</f>
        <v>0</v>
      </c>
      <c r="W98" s="53">
        <f>IF(Report[[#This Row],[FT]]="","",IF(Report[[#This Row],[FT]]=Report[[#This Row],[Score 4]],1,0))</f>
        <v>0</v>
      </c>
      <c r="X98" s="94">
        <f>IF(Report[[#This Row],[Résultat FT]]="",,IF(Report[[#This Row],[Résultat FT]]=Report[[#This Row],[Résultats]],(Suivi_Gain!$B$1*Report[[#This Row],[Cote FT]])-Suivi_Gain!$B$1,-Suivi_Gain!$B$1))</f>
        <v>-1</v>
      </c>
      <c r="Y98" s="94">
        <f>IF(Report[[#This Row],[FT]]="",,IF(Report[[#This Row],[FT]]=Report[[#This Row],[Score 1]],(Suivi_Gain!$G$1*Report[[#This Row],[Cote SE]])-Suivi_Gain!$G$1,-Suivi_Gain!$G$1))</f>
        <v>-1</v>
      </c>
      <c r="Z98" s="65">
        <f>IF(Report[[#This Row],[FT]]="",,IF(Report[[#This Row],[FT]]=Report[[#This Row],[Score 2]],Suivi_Gain!$G$1*Report[[#This Row],[Cote SE]],-Suivi_Gain!$G$1))</f>
        <v>-1</v>
      </c>
      <c r="AA98" s="65">
        <f>IF(Report[[#This Row],[FT]]="",,IF(Report[[#This Row],[FT]]=Report[[#This Row],[Score 3]],Suivi_Gain!$G$1*Report[[#This Row],[Cote SE]],-Suivi_Gain!$G$1))</f>
        <v>-1</v>
      </c>
      <c r="AB98" s="65">
        <f>IF(Report[[#This Row],[FT]]="",,IF(Report[[#This Row],[FT]]=Report[[#This Row],[Score 4]],Suivi_Gain!$G$1*Report[[#This Row],[Cote SE]],-Suivi_Gain!$G$1))</f>
        <v>-1</v>
      </c>
      <c r="AC98" s="18" t="str">
        <f>IF(Report[[#This Row],[Résultats SE]]="Gagné",Report[[#This Row],[FT]],"")</f>
        <v/>
      </c>
      <c r="AD98" s="18" t="str">
        <f>IF(AND(Report[[#This Row],[Résultats SE]]="Gagné",Report[[#This Row],[FT]]=Report[[#This Row],[Score 1]]),Report[[#This Row],[FT]],"")</f>
        <v/>
      </c>
      <c r="AE98" s="18" t="str">
        <f>IF(AND(Report[[#This Row],[Résultats SE]]="Gagné",Report[[#This Row],[FT]]=Report[[#This Row],[Score 2]]),Report[[#This Row],[FT]],"")</f>
        <v/>
      </c>
      <c r="AF98" s="18" t="str">
        <f>IF(AND(Report[[#This Row],[Résultats SE]]="Gagné",Report[[#This Row],[FT]]=Report[[#This Row],[Score 3]]),Report[[#This Row],[FT]],"")</f>
        <v/>
      </c>
      <c r="AG98" s="18" t="str">
        <f>IF(AND(Report[[#This Row],[Résultats SE]]="Gagné",Report[[#This Row],[FT]]=Report[[#This Row],[Score 4]]),Report[[#This Row],[FT]],"")</f>
        <v/>
      </c>
    </row>
    <row r="99" spans="1:33" ht="20.100000000000001" customHeight="1" x14ac:dyDescent="0.25">
      <c r="A99" s="11">
        <v>43429</v>
      </c>
      <c r="B99" s="7" t="s">
        <v>84</v>
      </c>
      <c r="C99" s="7" t="s">
        <v>130</v>
      </c>
      <c r="D99" s="10" t="s">
        <v>722</v>
      </c>
      <c r="E99" s="10" t="s">
        <v>717</v>
      </c>
      <c r="F99" s="7" t="s">
        <v>829</v>
      </c>
      <c r="G99" s="8" t="s">
        <v>830</v>
      </c>
      <c r="H99" s="9" t="s">
        <v>826</v>
      </c>
      <c r="I99" s="9" t="s">
        <v>831</v>
      </c>
      <c r="J99" s="9" t="s">
        <v>832</v>
      </c>
      <c r="K99" s="9" t="s">
        <v>722</v>
      </c>
      <c r="L99" s="16" t="str">
        <f>IF(Report[Résultat FT]="","",IF(Report[Résultat FT]=Report[Résultats],"","-"))</f>
        <v>-</v>
      </c>
      <c r="M99" s="16">
        <v>14</v>
      </c>
      <c r="N99" s="17" t="s">
        <v>826</v>
      </c>
      <c r="O99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99" s="18">
        <f>IF(Report[[#This Row],[FT]]="",,(LEFT(Report[[#This Row],[FT]],SEARCH("-",Report[[#This Row],[FT]])-1)*1))</f>
        <v>0</v>
      </c>
      <c r="Q99" s="22">
        <f>IF(Report[[#This Row],[FT]]="",,(RIGHT(Report[[#This Row],[FT]],SEARCH("-",Report[[#This Row],[FT]])-1)*1))</f>
        <v>0</v>
      </c>
      <c r="R99" s="18" t="str">
        <f>IF(Report[Résultat FT]="","",IF(Report[Résultat FT]=Report[Résultats],"Gagné","Perdu"))</f>
        <v>Perdu</v>
      </c>
      <c r="S99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99" s="53">
        <f>IF(Report[[#This Row],[FT]]="","",IF(Report[[#This Row],[FT]]=Report[[#This Row],[Score 1]],1,0))</f>
        <v>0</v>
      </c>
      <c r="U99" s="53">
        <f>IF(Report[[#This Row],[FT]]="","",IF(Report[ [#This Row],[FT] ]=Report[[#This Row],[Score 2]],1,0))</f>
        <v>1</v>
      </c>
      <c r="V99" s="53">
        <f>IF(Report[[#This Row],[FT]]="","",IF(Report[[#This Row],[FT]]=Report[[#This Row],[Score 3]],1,0))</f>
        <v>0</v>
      </c>
      <c r="W99" s="53">
        <f>IF(Report[[#This Row],[FT]]="","",IF(Report[[#This Row],[FT]]=Report[[#This Row],[Score 4]],1,0))</f>
        <v>0</v>
      </c>
      <c r="X99" s="94">
        <f>IF(Report[[#This Row],[Résultat FT]]="",,IF(Report[[#This Row],[Résultat FT]]=Report[[#This Row],[Résultats]],(Suivi_Gain!$B$1*Report[[#This Row],[Cote FT]])-Suivi_Gain!$B$1,-Suivi_Gain!$B$1))</f>
        <v>-1</v>
      </c>
      <c r="Y99" s="94">
        <f>IF(Report[[#This Row],[FT]]="",,IF(Report[[#This Row],[FT]]=Report[[#This Row],[Score 1]],(Suivi_Gain!$G$1*Report[[#This Row],[Cote SE]])-Suivi_Gain!$G$1,-Suivi_Gain!$G$1))</f>
        <v>-1</v>
      </c>
      <c r="Z99" s="65">
        <f>IF(Report[[#This Row],[FT]]="",,IF(Report[[#This Row],[FT]]=Report[[#This Row],[Score 2]],Suivi_Gain!$G$1*Report[[#This Row],[Cote SE]],-Suivi_Gain!$G$1))</f>
        <v>14</v>
      </c>
      <c r="AA99" s="65">
        <f>IF(Report[[#This Row],[FT]]="",,IF(Report[[#This Row],[FT]]=Report[[#This Row],[Score 3]],Suivi_Gain!$G$1*Report[[#This Row],[Cote SE]],-Suivi_Gain!$G$1))</f>
        <v>-1</v>
      </c>
      <c r="AB99" s="65">
        <f>IF(Report[[#This Row],[FT]]="",,IF(Report[[#This Row],[FT]]=Report[[#This Row],[Score 4]],Suivi_Gain!$G$1*Report[[#This Row],[Cote SE]],-Suivi_Gain!$G$1))</f>
        <v>-1</v>
      </c>
      <c r="AC99" s="18" t="str">
        <f>IF(Report[[#This Row],[Résultats SE]]="Gagné",Report[[#This Row],[FT]],"")</f>
        <v>0-0</v>
      </c>
      <c r="AD99" s="18" t="str">
        <f>IF(AND(Report[[#This Row],[Résultats SE]]="Gagné",Report[[#This Row],[FT]]=Report[[#This Row],[Score 1]]),Report[[#This Row],[FT]],"")</f>
        <v/>
      </c>
      <c r="AE99" s="18" t="str">
        <f>IF(AND(Report[[#This Row],[Résultats SE]]="Gagné",Report[[#This Row],[FT]]=Report[[#This Row],[Score 2]]),Report[[#This Row],[FT]],"")</f>
        <v>0-0</v>
      </c>
      <c r="AF99" s="18" t="str">
        <f>IF(AND(Report[[#This Row],[Résultats SE]]="Gagné",Report[[#This Row],[FT]]=Report[[#This Row],[Score 3]]),Report[[#This Row],[FT]],"")</f>
        <v/>
      </c>
      <c r="AG99" s="18" t="str">
        <f>IF(AND(Report[[#This Row],[Résultats SE]]="Gagné",Report[[#This Row],[FT]]=Report[[#This Row],[Score 4]]),Report[[#This Row],[FT]],"")</f>
        <v/>
      </c>
    </row>
    <row r="100" spans="1:33" ht="20.100000000000001" customHeight="1" x14ac:dyDescent="0.25">
      <c r="A100" s="11">
        <v>43429</v>
      </c>
      <c r="B100" s="7" t="s">
        <v>84</v>
      </c>
      <c r="C100" s="7" t="s">
        <v>130</v>
      </c>
      <c r="D100" s="10" t="s">
        <v>724</v>
      </c>
      <c r="E100" s="10" t="s">
        <v>725</v>
      </c>
      <c r="F100" s="7" t="s">
        <v>843</v>
      </c>
      <c r="G100" s="8" t="s">
        <v>839</v>
      </c>
      <c r="H100" s="9" t="s">
        <v>834</v>
      </c>
      <c r="I100" s="9" t="s">
        <v>827</v>
      </c>
      <c r="J100" s="9" t="s">
        <v>825</v>
      </c>
      <c r="K100" s="9" t="s">
        <v>725</v>
      </c>
      <c r="L100" s="16" t="str">
        <f>IF(Report[Résultat FT]="","",IF(Report[Résultat FT]=Report[Résultats],"","-"))</f>
        <v>-</v>
      </c>
      <c r="M100" s="16" t="str">
        <f>IF(Report[[#This Row],[Résultat FT]]="","",IF(Report[[#This Row],[Résultats SE]]="Gagné","","-"))</f>
        <v>-</v>
      </c>
      <c r="N100" s="17" t="s">
        <v>831</v>
      </c>
      <c r="O100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Niedercorn</v>
      </c>
      <c r="P100" s="18">
        <f>IF(Report[[#This Row],[FT]]="",,(LEFT(Report[[#This Row],[FT]],SEARCH("-",Report[[#This Row],[FT]])-1)*1))</f>
        <v>2</v>
      </c>
      <c r="Q100" s="22">
        <f>IF(Report[[#This Row],[FT]]="",,(RIGHT(Report[[#This Row],[FT]],SEARCH("-",Report[[#This Row],[FT]])-1)*1))</f>
        <v>0</v>
      </c>
      <c r="R100" s="18" t="str">
        <f>IF(Report[Résultat FT]="","",IF(Report[Résultat FT]=Report[Résultats],"Gagné","Perdu"))</f>
        <v>Perdu</v>
      </c>
      <c r="S100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00" s="53">
        <f>IF(Report[[#This Row],[FT]]="","",IF(Report[[#This Row],[FT]]=Report[[#This Row],[Score 1]],1,0))</f>
        <v>0</v>
      </c>
      <c r="U100" s="53">
        <f>IF(Report[[#This Row],[FT]]="","",IF(Report[ [#This Row],[FT] ]=Report[[#This Row],[Score 2]],1,0))</f>
        <v>0</v>
      </c>
      <c r="V100" s="53">
        <f>IF(Report[[#This Row],[FT]]="","",IF(Report[[#This Row],[FT]]=Report[[#This Row],[Score 3]],1,0))</f>
        <v>0</v>
      </c>
      <c r="W100" s="53">
        <f>IF(Report[[#This Row],[FT]]="","",IF(Report[[#This Row],[FT]]=Report[[#This Row],[Score 4]],1,0))</f>
        <v>0</v>
      </c>
      <c r="X100" s="94">
        <f>IF(Report[[#This Row],[Résultat FT]]="",,IF(Report[[#This Row],[Résultat FT]]=Report[[#This Row],[Résultats]],(Suivi_Gain!$B$1*Report[[#This Row],[Cote FT]])-Suivi_Gain!$B$1,-Suivi_Gain!$B$1))</f>
        <v>-1</v>
      </c>
      <c r="Y100" s="94">
        <f>IF(Report[[#This Row],[FT]]="",,IF(Report[[#This Row],[FT]]=Report[[#This Row],[Score 1]],(Suivi_Gain!$G$1*Report[[#This Row],[Cote SE]])-Suivi_Gain!$G$1,-Suivi_Gain!$G$1))</f>
        <v>-1</v>
      </c>
      <c r="Z100" s="65">
        <f>IF(Report[[#This Row],[FT]]="",,IF(Report[[#This Row],[FT]]=Report[[#This Row],[Score 2]],Suivi_Gain!$G$1*Report[[#This Row],[Cote SE]],-Suivi_Gain!$G$1))</f>
        <v>-1</v>
      </c>
      <c r="AA100" s="65">
        <f>IF(Report[[#This Row],[FT]]="",,IF(Report[[#This Row],[FT]]=Report[[#This Row],[Score 3]],Suivi_Gain!$G$1*Report[[#This Row],[Cote SE]],-Suivi_Gain!$G$1))</f>
        <v>-1</v>
      </c>
      <c r="AB100" s="65">
        <f>IF(Report[[#This Row],[FT]]="",,IF(Report[[#This Row],[FT]]=Report[[#This Row],[Score 4]],Suivi_Gain!$G$1*Report[[#This Row],[Cote SE]],-Suivi_Gain!$G$1))</f>
        <v>-1</v>
      </c>
      <c r="AC100" s="18" t="str">
        <f>IF(Report[[#This Row],[Résultats SE]]="Gagné",Report[[#This Row],[FT]],"")</f>
        <v/>
      </c>
      <c r="AD100" s="18" t="str">
        <f>IF(AND(Report[[#This Row],[Résultats SE]]="Gagné",Report[[#This Row],[FT]]=Report[[#This Row],[Score 1]]),Report[[#This Row],[FT]],"")</f>
        <v/>
      </c>
      <c r="AE100" s="18" t="str">
        <f>IF(AND(Report[[#This Row],[Résultats SE]]="Gagné",Report[[#This Row],[FT]]=Report[[#This Row],[Score 2]]),Report[[#This Row],[FT]],"")</f>
        <v/>
      </c>
      <c r="AF100" s="18" t="str">
        <f>IF(AND(Report[[#This Row],[Résultats SE]]="Gagné",Report[[#This Row],[FT]]=Report[[#This Row],[Score 3]]),Report[[#This Row],[FT]],"")</f>
        <v/>
      </c>
      <c r="AG100" s="18" t="str">
        <f>IF(AND(Report[[#This Row],[Résultats SE]]="Gagné",Report[[#This Row],[FT]]=Report[[#This Row],[Score 4]]),Report[[#This Row],[FT]],"")</f>
        <v/>
      </c>
    </row>
    <row r="101" spans="1:33" ht="20.100000000000001" customHeight="1" x14ac:dyDescent="0.25">
      <c r="A101" s="11">
        <v>43429</v>
      </c>
      <c r="B101" s="7" t="s">
        <v>84</v>
      </c>
      <c r="C101" s="7" t="s">
        <v>130</v>
      </c>
      <c r="D101" s="10" t="s">
        <v>726</v>
      </c>
      <c r="E101" s="10" t="s">
        <v>728</v>
      </c>
      <c r="F101" s="7" t="s">
        <v>889</v>
      </c>
      <c r="G101" s="8" t="s">
        <v>890</v>
      </c>
      <c r="H101" s="9" t="s">
        <v>891</v>
      </c>
      <c r="I101" s="9" t="s">
        <v>851</v>
      </c>
      <c r="J101" s="9" t="s">
        <v>837</v>
      </c>
      <c r="K101" s="9" t="s">
        <v>233</v>
      </c>
      <c r="L101" s="16">
        <v>4.0999999999999996</v>
      </c>
      <c r="M101" s="16" t="str">
        <f>IF(Report[[#This Row],[Résultat FT]]="","",IF(Report[[#This Row],[Résultats SE]]="Gagné","","-"))</f>
        <v>-</v>
      </c>
      <c r="N101" s="17" t="s">
        <v>826</v>
      </c>
      <c r="O101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101" s="18">
        <f>IF(Report[[#This Row],[FT]]="",,(LEFT(Report[[#This Row],[FT]],SEARCH("-",Report[[#This Row],[FT]])-1)*1))</f>
        <v>0</v>
      </c>
      <c r="Q101" s="22">
        <f>IF(Report[[#This Row],[FT]]="",,(RIGHT(Report[[#This Row],[FT]],SEARCH("-",Report[[#This Row],[FT]])-1)*1))</f>
        <v>0</v>
      </c>
      <c r="R101" s="18" t="str">
        <f>IF(Report[Résultat FT]="","",IF(Report[Résultat FT]=Report[Résultats],"Gagné","Perdu"))</f>
        <v>Gagné</v>
      </c>
      <c r="S101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01" s="53">
        <f>IF(Report[[#This Row],[FT]]="","",IF(Report[[#This Row],[FT]]=Report[[#This Row],[Score 1]],1,0))</f>
        <v>0</v>
      </c>
      <c r="U101" s="53">
        <f>IF(Report[[#This Row],[FT]]="","",IF(Report[ [#This Row],[FT] ]=Report[[#This Row],[Score 2]],1,0))</f>
        <v>0</v>
      </c>
      <c r="V101" s="53">
        <f>IF(Report[[#This Row],[FT]]="","",IF(Report[[#This Row],[FT]]=Report[[#This Row],[Score 3]],1,0))</f>
        <v>0</v>
      </c>
      <c r="W101" s="53">
        <f>IF(Report[[#This Row],[FT]]="","",IF(Report[[#This Row],[FT]]=Report[[#This Row],[Score 4]],1,0))</f>
        <v>0</v>
      </c>
      <c r="X101" s="94">
        <f>IF(Report[[#This Row],[Résultat FT]]="",,IF(Report[[#This Row],[Résultat FT]]=Report[[#This Row],[Résultats]],(Suivi_Gain!$B$1*Report[[#This Row],[Cote FT]])-Suivi_Gain!$B$1,-Suivi_Gain!$B$1))</f>
        <v>3.0999999999999996</v>
      </c>
      <c r="Y101" s="94">
        <f>IF(Report[[#This Row],[FT]]="",,IF(Report[[#This Row],[FT]]=Report[[#This Row],[Score 1]],(Suivi_Gain!$G$1*Report[[#This Row],[Cote SE]])-Suivi_Gain!$G$1,-Suivi_Gain!$G$1))</f>
        <v>-1</v>
      </c>
      <c r="Z101" s="65">
        <f>IF(Report[[#This Row],[FT]]="",,IF(Report[[#This Row],[FT]]=Report[[#This Row],[Score 2]],Suivi_Gain!$G$1*Report[[#This Row],[Cote SE]],-Suivi_Gain!$G$1))</f>
        <v>-1</v>
      </c>
      <c r="AA101" s="65">
        <f>IF(Report[[#This Row],[FT]]="",,IF(Report[[#This Row],[FT]]=Report[[#This Row],[Score 3]],Suivi_Gain!$G$1*Report[[#This Row],[Cote SE]],-Suivi_Gain!$G$1))</f>
        <v>-1</v>
      </c>
      <c r="AB101" s="65">
        <f>IF(Report[[#This Row],[FT]]="",,IF(Report[[#This Row],[FT]]=Report[[#This Row],[Score 4]],Suivi_Gain!$G$1*Report[[#This Row],[Cote SE]],-Suivi_Gain!$G$1))</f>
        <v>-1</v>
      </c>
      <c r="AC101" s="18" t="str">
        <f>IF(Report[[#This Row],[Résultats SE]]="Gagné",Report[[#This Row],[FT]],"")</f>
        <v/>
      </c>
      <c r="AD101" s="18" t="str">
        <f>IF(AND(Report[[#This Row],[Résultats SE]]="Gagné",Report[[#This Row],[FT]]=Report[[#This Row],[Score 1]]),Report[[#This Row],[FT]],"")</f>
        <v/>
      </c>
      <c r="AE101" s="18" t="str">
        <f>IF(AND(Report[[#This Row],[Résultats SE]]="Gagné",Report[[#This Row],[FT]]=Report[[#This Row],[Score 2]]),Report[[#This Row],[FT]],"")</f>
        <v/>
      </c>
      <c r="AF101" s="18" t="str">
        <f>IF(AND(Report[[#This Row],[Résultats SE]]="Gagné",Report[[#This Row],[FT]]=Report[[#This Row],[Score 3]]),Report[[#This Row],[FT]],"")</f>
        <v/>
      </c>
      <c r="AG101" s="18" t="str">
        <f>IF(AND(Report[[#This Row],[Résultats SE]]="Gagné",Report[[#This Row],[FT]]=Report[[#This Row],[Score 4]]),Report[[#This Row],[FT]],"")</f>
        <v/>
      </c>
    </row>
    <row r="102" spans="1:33" ht="20.100000000000001" customHeight="1" x14ac:dyDescent="0.25">
      <c r="A102" s="11">
        <v>43429</v>
      </c>
      <c r="B102" s="7" t="s">
        <v>84</v>
      </c>
      <c r="C102" s="7" t="s">
        <v>130</v>
      </c>
      <c r="D102" s="10" t="s">
        <v>729</v>
      </c>
      <c r="E102" s="10" t="s">
        <v>718</v>
      </c>
      <c r="F102" s="7" t="s">
        <v>912</v>
      </c>
      <c r="G102" s="8" t="s">
        <v>904</v>
      </c>
      <c r="H102" s="9" t="s">
        <v>852</v>
      </c>
      <c r="I102" s="9" t="s">
        <v>884</v>
      </c>
      <c r="J102" s="9" t="s">
        <v>878</v>
      </c>
      <c r="K102" s="9" t="s">
        <v>718</v>
      </c>
      <c r="L102" s="16" t="str">
        <f>IF(Report[Résultat FT]="","",IF(Report[Résultat FT]=Report[Résultats],"","-"))</f>
        <v>-</v>
      </c>
      <c r="M102" s="16" t="str">
        <f>IF(Report[[#This Row],[Résultat FT]]="","",IF(Report[[#This Row],[Résultats SE]]="Gagné","","-"))</f>
        <v>-</v>
      </c>
      <c r="N102" s="17" t="s">
        <v>837</v>
      </c>
      <c r="O102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102" s="18">
        <f>IF(Report[[#This Row],[FT]]="",,(LEFT(Report[[#This Row],[FT]],SEARCH("-",Report[[#This Row],[FT]])-1)*1))</f>
        <v>2</v>
      </c>
      <c r="Q102" s="22">
        <f>IF(Report[[#This Row],[FT]]="",,(RIGHT(Report[[#This Row],[FT]],SEARCH("-",Report[[#This Row],[FT]])-1)*1))</f>
        <v>2</v>
      </c>
      <c r="R102" s="18" t="str">
        <f>IF(Report[Résultat FT]="","",IF(Report[Résultat FT]=Report[Résultats],"Gagné","Perdu"))</f>
        <v>Perdu</v>
      </c>
      <c r="S102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02" s="53">
        <f>IF(Report[[#This Row],[FT]]="","",IF(Report[[#This Row],[FT]]=Report[[#This Row],[Score 1]],1,0))</f>
        <v>0</v>
      </c>
      <c r="U102" s="53">
        <f>IF(Report[[#This Row],[FT]]="","",IF(Report[ [#This Row],[FT] ]=Report[[#This Row],[Score 2]],1,0))</f>
        <v>0</v>
      </c>
      <c r="V102" s="53">
        <f>IF(Report[[#This Row],[FT]]="","",IF(Report[[#This Row],[FT]]=Report[[#This Row],[Score 3]],1,0))</f>
        <v>0</v>
      </c>
      <c r="W102" s="53">
        <f>IF(Report[[#This Row],[FT]]="","",IF(Report[[#This Row],[FT]]=Report[[#This Row],[Score 4]],1,0))</f>
        <v>0</v>
      </c>
      <c r="X102" s="94">
        <f>IF(Report[[#This Row],[Résultat FT]]="",,IF(Report[[#This Row],[Résultat FT]]=Report[[#This Row],[Résultats]],(Suivi_Gain!$B$1*Report[[#This Row],[Cote FT]])-Suivi_Gain!$B$1,-Suivi_Gain!$B$1))</f>
        <v>-1</v>
      </c>
      <c r="Y102" s="94">
        <f>IF(Report[[#This Row],[FT]]="",,IF(Report[[#This Row],[FT]]=Report[[#This Row],[Score 1]],(Suivi_Gain!$G$1*Report[[#This Row],[Cote SE]])-Suivi_Gain!$G$1,-Suivi_Gain!$G$1))</f>
        <v>-1</v>
      </c>
      <c r="Z102" s="65">
        <f>IF(Report[[#This Row],[FT]]="",,IF(Report[[#This Row],[FT]]=Report[[#This Row],[Score 2]],Suivi_Gain!$G$1*Report[[#This Row],[Cote SE]],-Suivi_Gain!$G$1))</f>
        <v>-1</v>
      </c>
      <c r="AA102" s="65">
        <f>IF(Report[[#This Row],[FT]]="",,IF(Report[[#This Row],[FT]]=Report[[#This Row],[Score 3]],Suivi_Gain!$G$1*Report[[#This Row],[Cote SE]],-Suivi_Gain!$G$1))</f>
        <v>-1</v>
      </c>
      <c r="AB102" s="65">
        <f>IF(Report[[#This Row],[FT]]="",,IF(Report[[#This Row],[FT]]=Report[[#This Row],[Score 4]],Suivi_Gain!$G$1*Report[[#This Row],[Cote SE]],-Suivi_Gain!$G$1))</f>
        <v>-1</v>
      </c>
      <c r="AC102" s="18" t="str">
        <f>IF(Report[[#This Row],[Résultats SE]]="Gagné",Report[[#This Row],[FT]],"")</f>
        <v/>
      </c>
      <c r="AD102" s="18" t="str">
        <f>IF(AND(Report[[#This Row],[Résultats SE]]="Gagné",Report[[#This Row],[FT]]=Report[[#This Row],[Score 1]]),Report[[#This Row],[FT]],"")</f>
        <v/>
      </c>
      <c r="AE102" s="18" t="str">
        <f>IF(AND(Report[[#This Row],[Résultats SE]]="Gagné",Report[[#This Row],[FT]]=Report[[#This Row],[Score 2]]),Report[[#This Row],[FT]],"")</f>
        <v/>
      </c>
      <c r="AF102" s="18" t="str">
        <f>IF(AND(Report[[#This Row],[Résultats SE]]="Gagné",Report[[#This Row],[FT]]=Report[[#This Row],[Score 3]]),Report[[#This Row],[FT]],"")</f>
        <v/>
      </c>
      <c r="AG102" s="18" t="str">
        <f>IF(AND(Report[[#This Row],[Résultats SE]]="Gagné",Report[[#This Row],[FT]]=Report[[#This Row],[Score 4]]),Report[[#This Row],[FT]],"")</f>
        <v/>
      </c>
    </row>
    <row r="103" spans="1:33" ht="20.100000000000001" customHeight="1" x14ac:dyDescent="0.25">
      <c r="A103" s="11">
        <v>43429</v>
      </c>
      <c r="B103" s="7" t="s">
        <v>87</v>
      </c>
      <c r="C103" s="7" t="s">
        <v>120</v>
      </c>
      <c r="D103" s="10" t="s">
        <v>751</v>
      </c>
      <c r="E103" s="10" t="s">
        <v>750</v>
      </c>
      <c r="F103" s="7" t="s">
        <v>836</v>
      </c>
      <c r="G103" s="8" t="s">
        <v>837</v>
      </c>
      <c r="H103" s="9" t="s">
        <v>838</v>
      </c>
      <c r="I103" s="9" t="s">
        <v>839</v>
      </c>
      <c r="J103" s="9" t="s">
        <v>834</v>
      </c>
      <c r="K103" s="9" t="s">
        <v>233</v>
      </c>
      <c r="L103" s="16" t="str">
        <f>IF(Report[Résultat FT]="","",IF(Report[Résultat FT]=Report[Résultats],"","-"))</f>
        <v>-</v>
      </c>
      <c r="M103" s="16">
        <v>11.5</v>
      </c>
      <c r="N103" s="17" t="s">
        <v>839</v>
      </c>
      <c r="O103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Excelsior</v>
      </c>
      <c r="P103" s="18">
        <f>IF(Report[[#This Row],[FT]]="",,(LEFT(Report[[#This Row],[FT]],SEARCH("-",Report[[#This Row],[FT]])-1)*1))</f>
        <v>1</v>
      </c>
      <c r="Q103" s="22">
        <f>IF(Report[[#This Row],[FT]]="",,(RIGHT(Report[[#This Row],[FT]],SEARCH("-",Report[[#This Row],[FT]])-1)*1))</f>
        <v>2</v>
      </c>
      <c r="R103" s="18" t="str">
        <f>IF(Report[Résultat FT]="","",IF(Report[Résultat FT]=Report[Résultats],"Gagné","Perdu"))</f>
        <v>Perdu</v>
      </c>
      <c r="S103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103" s="53">
        <f>IF(Report[[#This Row],[FT]]="","",IF(Report[[#This Row],[FT]]=Report[[#This Row],[Score 1]],1,0))</f>
        <v>0</v>
      </c>
      <c r="U103" s="53">
        <f>IF(Report[[#This Row],[FT]]="","",IF(Report[ [#This Row],[FT] ]=Report[[#This Row],[Score 2]],1,0))</f>
        <v>0</v>
      </c>
      <c r="V103" s="53">
        <f>IF(Report[[#This Row],[FT]]="","",IF(Report[[#This Row],[FT]]=Report[[#This Row],[Score 3]],1,0))</f>
        <v>1</v>
      </c>
      <c r="W103" s="53">
        <f>IF(Report[[#This Row],[FT]]="","",IF(Report[[#This Row],[FT]]=Report[[#This Row],[Score 4]],1,0))</f>
        <v>0</v>
      </c>
      <c r="X103" s="94">
        <f>IF(Report[[#This Row],[Résultat FT]]="",,IF(Report[[#This Row],[Résultat FT]]=Report[[#This Row],[Résultats]],(Suivi_Gain!$B$1*Report[[#This Row],[Cote FT]])-Suivi_Gain!$B$1,-Suivi_Gain!$B$1))</f>
        <v>-1</v>
      </c>
      <c r="Y103" s="94">
        <f>IF(Report[[#This Row],[FT]]="",,IF(Report[[#This Row],[FT]]=Report[[#This Row],[Score 1]],(Suivi_Gain!$G$1*Report[[#This Row],[Cote SE]])-Suivi_Gain!$G$1,-Suivi_Gain!$G$1))</f>
        <v>-1</v>
      </c>
      <c r="Z103" s="65">
        <f>IF(Report[[#This Row],[FT]]="",,IF(Report[[#This Row],[FT]]=Report[[#This Row],[Score 2]],Suivi_Gain!$G$1*Report[[#This Row],[Cote SE]],-Suivi_Gain!$G$1))</f>
        <v>-1</v>
      </c>
      <c r="AA103" s="65">
        <f>IF(Report[[#This Row],[FT]]="",,IF(Report[[#This Row],[FT]]=Report[[#This Row],[Score 3]],Suivi_Gain!$G$1*Report[[#This Row],[Cote SE]],-Suivi_Gain!$G$1))</f>
        <v>11.5</v>
      </c>
      <c r="AB103" s="65">
        <f>IF(Report[[#This Row],[FT]]="",,IF(Report[[#This Row],[FT]]=Report[[#This Row],[Score 4]],Suivi_Gain!$G$1*Report[[#This Row],[Cote SE]],-Suivi_Gain!$G$1))</f>
        <v>-1</v>
      </c>
      <c r="AC103" s="18" t="str">
        <f>IF(Report[[#This Row],[Résultats SE]]="Gagné",Report[[#This Row],[FT]],"")</f>
        <v>1-2</v>
      </c>
      <c r="AD103" s="18" t="str">
        <f>IF(AND(Report[[#This Row],[Résultats SE]]="Gagné",Report[[#This Row],[FT]]=Report[[#This Row],[Score 1]]),Report[[#This Row],[FT]],"")</f>
        <v/>
      </c>
      <c r="AE103" s="18" t="str">
        <f>IF(AND(Report[[#This Row],[Résultats SE]]="Gagné",Report[[#This Row],[FT]]=Report[[#This Row],[Score 2]]),Report[[#This Row],[FT]],"")</f>
        <v/>
      </c>
      <c r="AF103" s="18" t="str">
        <f>IF(AND(Report[[#This Row],[Résultats SE]]="Gagné",Report[[#This Row],[FT]]=Report[[#This Row],[Score 3]]),Report[[#This Row],[FT]],"")</f>
        <v>1-2</v>
      </c>
      <c r="AG103" s="18" t="str">
        <f>IF(AND(Report[[#This Row],[Résultats SE]]="Gagné",Report[[#This Row],[FT]]=Report[[#This Row],[Score 4]]),Report[[#This Row],[FT]],"")</f>
        <v/>
      </c>
    </row>
    <row r="104" spans="1:33" ht="20.100000000000001" customHeight="1" x14ac:dyDescent="0.25">
      <c r="A104" s="11">
        <v>43429</v>
      </c>
      <c r="B104" s="7" t="s">
        <v>87</v>
      </c>
      <c r="C104" s="7" t="s">
        <v>120</v>
      </c>
      <c r="D104" s="10" t="s">
        <v>752</v>
      </c>
      <c r="E104" s="10" t="s">
        <v>754</v>
      </c>
      <c r="F104" s="7" t="s">
        <v>880</v>
      </c>
      <c r="G104" s="8" t="s">
        <v>853</v>
      </c>
      <c r="H104" s="9" t="s">
        <v>832</v>
      </c>
      <c r="I104" s="9" t="s">
        <v>838</v>
      </c>
      <c r="J104" s="9" t="s">
        <v>831</v>
      </c>
      <c r="K104" s="9" t="s">
        <v>752</v>
      </c>
      <c r="L104" s="16">
        <v>1.33</v>
      </c>
      <c r="M104" s="16" t="str">
        <f>IF(Report[[#This Row],[Résultat FT]]="","",IF(Report[[#This Row],[Résultats SE]]="Gagné","","-"))</f>
        <v>-</v>
      </c>
      <c r="N104" s="17" t="s">
        <v>830</v>
      </c>
      <c r="O104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Feyenoord</v>
      </c>
      <c r="P104" s="18">
        <f>IF(Report[[#This Row],[FT]]="",,(LEFT(Report[[#This Row],[FT]],SEARCH("-",Report[[#This Row],[FT]])-1)*1))</f>
        <v>1</v>
      </c>
      <c r="Q104" s="22">
        <f>IF(Report[[#This Row],[FT]]="",,(RIGHT(Report[[#This Row],[FT]],SEARCH("-",Report[[#This Row],[FT]])-1)*1))</f>
        <v>0</v>
      </c>
      <c r="R104" s="18" t="str">
        <f>IF(Report[Résultat FT]="","",IF(Report[Résultat FT]=Report[Résultats],"Gagné","Perdu"))</f>
        <v>Gagné</v>
      </c>
      <c r="S104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04" s="53">
        <f>IF(Report[[#This Row],[FT]]="","",IF(Report[[#This Row],[FT]]=Report[[#This Row],[Score 1]],1,0))</f>
        <v>0</v>
      </c>
      <c r="U104" s="53">
        <f>IF(Report[[#This Row],[FT]]="","",IF(Report[ [#This Row],[FT] ]=Report[[#This Row],[Score 2]],1,0))</f>
        <v>0</v>
      </c>
      <c r="V104" s="53">
        <f>IF(Report[[#This Row],[FT]]="","",IF(Report[[#This Row],[FT]]=Report[[#This Row],[Score 3]],1,0))</f>
        <v>0</v>
      </c>
      <c r="W104" s="53">
        <f>IF(Report[[#This Row],[FT]]="","",IF(Report[[#This Row],[FT]]=Report[[#This Row],[Score 4]],1,0))</f>
        <v>0</v>
      </c>
      <c r="X104" s="94">
        <f>IF(Report[[#This Row],[Résultat FT]]="",,IF(Report[[#This Row],[Résultat FT]]=Report[[#This Row],[Résultats]],(Suivi_Gain!$B$1*Report[[#This Row],[Cote FT]])-Suivi_Gain!$B$1,-Suivi_Gain!$B$1))</f>
        <v>0.33000000000000007</v>
      </c>
      <c r="Y104" s="94">
        <f>IF(Report[[#This Row],[FT]]="",,IF(Report[[#This Row],[FT]]=Report[[#This Row],[Score 1]],(Suivi_Gain!$G$1*Report[[#This Row],[Cote SE]])-Suivi_Gain!$G$1,-Suivi_Gain!$G$1))</f>
        <v>-1</v>
      </c>
      <c r="Z104" s="65">
        <f>IF(Report[[#This Row],[FT]]="",,IF(Report[[#This Row],[FT]]=Report[[#This Row],[Score 2]],Suivi_Gain!$G$1*Report[[#This Row],[Cote SE]],-Suivi_Gain!$G$1))</f>
        <v>-1</v>
      </c>
      <c r="AA104" s="65">
        <f>IF(Report[[#This Row],[FT]]="",,IF(Report[[#This Row],[FT]]=Report[[#This Row],[Score 3]],Suivi_Gain!$G$1*Report[[#This Row],[Cote SE]],-Suivi_Gain!$G$1))</f>
        <v>-1</v>
      </c>
      <c r="AB104" s="65">
        <f>IF(Report[[#This Row],[FT]]="",,IF(Report[[#This Row],[FT]]=Report[[#This Row],[Score 4]],Suivi_Gain!$G$1*Report[[#This Row],[Cote SE]],-Suivi_Gain!$G$1))</f>
        <v>-1</v>
      </c>
      <c r="AC104" s="18" t="str">
        <f>IF(Report[[#This Row],[Résultats SE]]="Gagné",Report[[#This Row],[FT]],"")</f>
        <v/>
      </c>
      <c r="AD104" s="18" t="str">
        <f>IF(AND(Report[[#This Row],[Résultats SE]]="Gagné",Report[[#This Row],[FT]]=Report[[#This Row],[Score 1]]),Report[[#This Row],[FT]],"")</f>
        <v/>
      </c>
      <c r="AE104" s="18" t="str">
        <f>IF(AND(Report[[#This Row],[Résultats SE]]="Gagné",Report[[#This Row],[FT]]=Report[[#This Row],[Score 2]]),Report[[#This Row],[FT]],"")</f>
        <v/>
      </c>
      <c r="AF104" s="18" t="str">
        <f>IF(AND(Report[[#This Row],[Résultats SE]]="Gagné",Report[[#This Row],[FT]]=Report[[#This Row],[Score 3]]),Report[[#This Row],[FT]],"")</f>
        <v/>
      </c>
      <c r="AG104" s="18" t="str">
        <f>IF(AND(Report[[#This Row],[Résultats SE]]="Gagné",Report[[#This Row],[FT]]=Report[[#This Row],[Score 4]]),Report[[#This Row],[FT]],"")</f>
        <v/>
      </c>
    </row>
    <row r="105" spans="1:33" ht="20.100000000000001" customHeight="1" x14ac:dyDescent="0.25">
      <c r="A105" s="11">
        <v>43429</v>
      </c>
      <c r="B105" s="7" t="s">
        <v>87</v>
      </c>
      <c r="C105" s="7" t="s">
        <v>120</v>
      </c>
      <c r="D105" s="10" t="s">
        <v>759</v>
      </c>
      <c r="E105" s="10" t="s">
        <v>753</v>
      </c>
      <c r="F105" s="7" t="s">
        <v>861</v>
      </c>
      <c r="G105" s="8" t="s">
        <v>831</v>
      </c>
      <c r="H105" s="9" t="s">
        <v>830</v>
      </c>
      <c r="I105" s="9" t="s">
        <v>832</v>
      </c>
      <c r="J105" s="9" t="s">
        <v>826</v>
      </c>
      <c r="K105" s="9" t="s">
        <v>759</v>
      </c>
      <c r="L105" s="16">
        <v>1.23</v>
      </c>
      <c r="M105" s="16" t="str">
        <f>IF(Report[[#This Row],[Résultat FT]]="","",IF(Report[[#This Row],[Résultats SE]]="Gagné","","-"))</f>
        <v>-</v>
      </c>
      <c r="N105" s="17" t="s">
        <v>857</v>
      </c>
      <c r="O105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Utrecht</v>
      </c>
      <c r="P105" s="18">
        <f>IF(Report[[#This Row],[FT]]="",,(LEFT(Report[[#This Row],[FT]],SEARCH("-",Report[[#This Row],[FT]])-1)*1))</f>
        <v>5</v>
      </c>
      <c r="Q105" s="22">
        <f>IF(Report[[#This Row],[FT]]="",,(RIGHT(Report[[#This Row],[FT]],SEARCH("-",Report[[#This Row],[FT]])-1)*1))</f>
        <v>0</v>
      </c>
      <c r="R105" s="18" t="str">
        <f>IF(Report[Résultat FT]="","",IF(Report[Résultat FT]=Report[Résultats],"Gagné","Perdu"))</f>
        <v>Gagné</v>
      </c>
      <c r="S105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05" s="53">
        <f>IF(Report[[#This Row],[FT]]="","",IF(Report[[#This Row],[FT]]=Report[[#This Row],[Score 1]],1,0))</f>
        <v>0</v>
      </c>
      <c r="U105" s="53">
        <f>IF(Report[[#This Row],[FT]]="","",IF(Report[ [#This Row],[FT] ]=Report[[#This Row],[Score 2]],1,0))</f>
        <v>0</v>
      </c>
      <c r="V105" s="53">
        <f>IF(Report[[#This Row],[FT]]="","",IF(Report[[#This Row],[FT]]=Report[[#This Row],[Score 3]],1,0))</f>
        <v>0</v>
      </c>
      <c r="W105" s="53">
        <f>IF(Report[[#This Row],[FT]]="","",IF(Report[[#This Row],[FT]]=Report[[#This Row],[Score 4]],1,0))</f>
        <v>0</v>
      </c>
      <c r="X105" s="94">
        <f>IF(Report[[#This Row],[Résultat FT]]="",,IF(Report[[#This Row],[Résultat FT]]=Report[[#This Row],[Résultats]],(Suivi_Gain!$B$1*Report[[#This Row],[Cote FT]])-Suivi_Gain!$B$1,-Suivi_Gain!$B$1))</f>
        <v>0.22999999999999998</v>
      </c>
      <c r="Y105" s="94">
        <f>IF(Report[[#This Row],[FT]]="",,IF(Report[[#This Row],[FT]]=Report[[#This Row],[Score 1]],(Suivi_Gain!$G$1*Report[[#This Row],[Cote SE]])-Suivi_Gain!$G$1,-Suivi_Gain!$G$1))</f>
        <v>-1</v>
      </c>
      <c r="Z105" s="65">
        <f>IF(Report[[#This Row],[FT]]="",,IF(Report[[#This Row],[FT]]=Report[[#This Row],[Score 2]],Suivi_Gain!$G$1*Report[[#This Row],[Cote SE]],-Suivi_Gain!$G$1))</f>
        <v>-1</v>
      </c>
      <c r="AA105" s="65">
        <f>IF(Report[[#This Row],[FT]]="",,IF(Report[[#This Row],[FT]]=Report[[#This Row],[Score 3]],Suivi_Gain!$G$1*Report[[#This Row],[Cote SE]],-Suivi_Gain!$G$1))</f>
        <v>-1</v>
      </c>
      <c r="AB105" s="65">
        <f>IF(Report[[#This Row],[FT]]="",,IF(Report[[#This Row],[FT]]=Report[[#This Row],[Score 4]],Suivi_Gain!$G$1*Report[[#This Row],[Cote SE]],-Suivi_Gain!$G$1))</f>
        <v>-1</v>
      </c>
      <c r="AC105" s="18" t="str">
        <f>IF(Report[[#This Row],[Résultats SE]]="Gagné",Report[[#This Row],[FT]],"")</f>
        <v/>
      </c>
      <c r="AD105" s="18" t="str">
        <f>IF(AND(Report[[#This Row],[Résultats SE]]="Gagné",Report[[#This Row],[FT]]=Report[[#This Row],[Score 1]]),Report[[#This Row],[FT]],"")</f>
        <v/>
      </c>
      <c r="AE105" s="18" t="str">
        <f>IF(AND(Report[[#This Row],[Résultats SE]]="Gagné",Report[[#This Row],[FT]]=Report[[#This Row],[Score 2]]),Report[[#This Row],[FT]],"")</f>
        <v/>
      </c>
      <c r="AF105" s="18" t="str">
        <f>IF(AND(Report[[#This Row],[Résultats SE]]="Gagné",Report[[#This Row],[FT]]=Report[[#This Row],[Score 3]]),Report[[#This Row],[FT]],"")</f>
        <v/>
      </c>
      <c r="AG105" s="18" t="str">
        <f>IF(AND(Report[[#This Row],[Résultats SE]]="Gagné",Report[[#This Row],[FT]]=Report[[#This Row],[Score 4]]),Report[[#This Row],[FT]],"")</f>
        <v/>
      </c>
    </row>
    <row r="106" spans="1:33" ht="20.100000000000001" customHeight="1" x14ac:dyDescent="0.25">
      <c r="A106" s="11">
        <v>43429</v>
      </c>
      <c r="B106" s="7" t="s">
        <v>87</v>
      </c>
      <c r="C106" s="7" t="s">
        <v>120</v>
      </c>
      <c r="D106" s="19" t="s">
        <v>762</v>
      </c>
      <c r="E106" s="19" t="s">
        <v>761</v>
      </c>
      <c r="F106" s="7" t="s">
        <v>843</v>
      </c>
      <c r="G106" s="20" t="s">
        <v>839</v>
      </c>
      <c r="H106" s="20" t="s">
        <v>834</v>
      </c>
      <c r="I106" s="20" t="s">
        <v>827</v>
      </c>
      <c r="J106" s="20" t="s">
        <v>825</v>
      </c>
      <c r="K106" s="9" t="s">
        <v>761</v>
      </c>
      <c r="L106" s="16">
        <v>2.12</v>
      </c>
      <c r="M106" s="16" t="str">
        <f>IF(Report[[#This Row],[Résultat FT]]="","",IF(Report[[#This Row],[Résultats SE]]="Gagné","","-"))</f>
        <v>-</v>
      </c>
      <c r="N106" s="17" t="s">
        <v>841</v>
      </c>
      <c r="O106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Vitesse</v>
      </c>
      <c r="P106" s="18">
        <f>IF(Report[[#This Row],[FT]]="",,(LEFT(Report[[#This Row],[FT]],SEARCH("-",Report[[#This Row],[FT]])-1)*1))</f>
        <v>1</v>
      </c>
      <c r="Q106" s="22">
        <f>IF(Report[[#This Row],[FT]]="",,(RIGHT(Report[[#This Row],[FT]],SEARCH("-",Report[[#This Row],[FT]])-1)*1))</f>
        <v>3</v>
      </c>
      <c r="R106" s="18" t="str">
        <f>IF(Report[Résultat FT]="","",IF(Report[Résultat FT]=Report[Résultats],"Gagné","Perdu"))</f>
        <v>Gagné</v>
      </c>
      <c r="S106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06" s="53">
        <f>IF(Report[[#This Row],[FT]]="","",IF(Report[[#This Row],[FT]]=Report[[#This Row],[Score 1]],1,0))</f>
        <v>0</v>
      </c>
      <c r="U106" s="53">
        <f>IF(Report[[#This Row],[FT]]="","",IF(Report[ [#This Row],[FT] ]=Report[[#This Row],[Score 2]],1,0))</f>
        <v>0</v>
      </c>
      <c r="V106" s="53">
        <f>IF(Report[[#This Row],[FT]]="","",IF(Report[[#This Row],[FT]]=Report[[#This Row],[Score 3]],1,0))</f>
        <v>0</v>
      </c>
      <c r="W106" s="53">
        <f>IF(Report[[#This Row],[FT]]="","",IF(Report[[#This Row],[FT]]=Report[[#This Row],[Score 4]],1,0))</f>
        <v>0</v>
      </c>
      <c r="X106" s="94">
        <f>IF(Report[[#This Row],[Résultat FT]]="",,IF(Report[[#This Row],[Résultat FT]]=Report[[#This Row],[Résultats]],(Suivi_Gain!$B$1*Report[[#This Row],[Cote FT]])-Suivi_Gain!$B$1,-Suivi_Gain!$B$1))</f>
        <v>1.1200000000000001</v>
      </c>
      <c r="Y106" s="94">
        <f>IF(Report[[#This Row],[FT]]="",,IF(Report[[#This Row],[FT]]=Report[[#This Row],[Score 1]],(Suivi_Gain!$G$1*Report[[#This Row],[Cote SE]])-Suivi_Gain!$G$1,-Suivi_Gain!$G$1))</f>
        <v>-1</v>
      </c>
      <c r="Z106" s="65">
        <f>IF(Report[[#This Row],[FT]]="",,IF(Report[[#This Row],[FT]]=Report[[#This Row],[Score 2]],Suivi_Gain!$G$1*Report[[#This Row],[Cote SE]],-Suivi_Gain!$G$1))</f>
        <v>-1</v>
      </c>
      <c r="AA106" s="65">
        <f>IF(Report[[#This Row],[FT]]="",,IF(Report[[#This Row],[FT]]=Report[[#This Row],[Score 3]],Suivi_Gain!$G$1*Report[[#This Row],[Cote SE]],-Suivi_Gain!$G$1))</f>
        <v>-1</v>
      </c>
      <c r="AB106" s="65">
        <f>IF(Report[[#This Row],[FT]]="",,IF(Report[[#This Row],[FT]]=Report[[#This Row],[Score 4]],Suivi_Gain!$G$1*Report[[#This Row],[Cote SE]],-Suivi_Gain!$G$1))</f>
        <v>-1</v>
      </c>
      <c r="AC106" s="18" t="str">
        <f>IF(Report[[#This Row],[Résultats SE]]="Gagné",Report[[#This Row],[FT]],"")</f>
        <v/>
      </c>
      <c r="AD106" s="18" t="str">
        <f>IF(AND(Report[[#This Row],[Résultats SE]]="Gagné",Report[[#This Row],[FT]]=Report[[#This Row],[Score 1]]),Report[[#This Row],[FT]],"")</f>
        <v/>
      </c>
      <c r="AE106" s="18" t="str">
        <f>IF(AND(Report[[#This Row],[Résultats SE]]="Gagné",Report[[#This Row],[FT]]=Report[[#This Row],[Score 2]]),Report[[#This Row],[FT]],"")</f>
        <v/>
      </c>
      <c r="AF106" s="18" t="str">
        <f>IF(AND(Report[[#This Row],[Résultats SE]]="Gagné",Report[[#This Row],[FT]]=Report[[#This Row],[Score 3]]),Report[[#This Row],[FT]],"")</f>
        <v/>
      </c>
      <c r="AG106" s="18" t="str">
        <f>IF(AND(Report[[#This Row],[Résultats SE]]="Gagné",Report[[#This Row],[FT]]=Report[[#This Row],[Score 4]]),Report[[#This Row],[FT]],"")</f>
        <v/>
      </c>
    </row>
    <row r="107" spans="1:33" ht="20.100000000000001" customHeight="1" x14ac:dyDescent="0.25">
      <c r="A107" s="11">
        <v>43429</v>
      </c>
      <c r="B107" s="7" t="s">
        <v>87</v>
      </c>
      <c r="C107" s="7" t="s">
        <v>120</v>
      </c>
      <c r="D107" s="19" t="s">
        <v>760</v>
      </c>
      <c r="E107" s="19" t="s">
        <v>747</v>
      </c>
      <c r="F107" s="7" t="s">
        <v>833</v>
      </c>
      <c r="G107" s="20" t="s">
        <v>834</v>
      </c>
      <c r="H107" s="20" t="s">
        <v>830</v>
      </c>
      <c r="I107" s="20" t="s">
        <v>825</v>
      </c>
      <c r="J107" s="20" t="s">
        <v>826</v>
      </c>
      <c r="K107" s="9" t="s">
        <v>233</v>
      </c>
      <c r="L107" s="16">
        <v>3.6</v>
      </c>
      <c r="M107" s="16" t="str">
        <f>IF(Report[[#This Row],[Résultat FT]]="","",IF(Report[[#This Row],[Résultats SE]]="Gagné","","-"))</f>
        <v>-</v>
      </c>
      <c r="N107" s="17" t="s">
        <v>837</v>
      </c>
      <c r="O107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107" s="18">
        <f>IF(Report[[#This Row],[FT]]="",,(LEFT(Report[[#This Row],[FT]],SEARCH("-",Report[[#This Row],[FT]])-1)*1))</f>
        <v>2</v>
      </c>
      <c r="Q107" s="22">
        <f>IF(Report[[#This Row],[FT]]="",,(RIGHT(Report[[#This Row],[FT]],SEARCH("-",Report[[#This Row],[FT]])-1)*1))</f>
        <v>2</v>
      </c>
      <c r="R107" s="18" t="str">
        <f>IF(Report[Résultat FT]="","",IF(Report[Résultat FT]=Report[Résultats],"Gagné","Perdu"))</f>
        <v>Gagné</v>
      </c>
      <c r="S107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07" s="53">
        <f>IF(Report[[#This Row],[FT]]="","",IF(Report[[#This Row],[FT]]=Report[[#This Row],[Score 1]],1,0))</f>
        <v>0</v>
      </c>
      <c r="U107" s="53">
        <f>IF(Report[[#This Row],[FT]]="","",IF(Report[ [#This Row],[FT] ]=Report[[#This Row],[Score 2]],1,0))</f>
        <v>0</v>
      </c>
      <c r="V107" s="53">
        <f>IF(Report[[#This Row],[FT]]="","",IF(Report[[#This Row],[FT]]=Report[[#This Row],[Score 3]],1,0))</f>
        <v>0</v>
      </c>
      <c r="W107" s="53">
        <f>IF(Report[[#This Row],[FT]]="","",IF(Report[[#This Row],[FT]]=Report[[#This Row],[Score 4]],1,0))</f>
        <v>0</v>
      </c>
      <c r="X107" s="94">
        <f>IF(Report[[#This Row],[Résultat FT]]="",,IF(Report[[#This Row],[Résultat FT]]=Report[[#This Row],[Résultats]],(Suivi_Gain!$B$1*Report[[#This Row],[Cote FT]])-Suivi_Gain!$B$1,-Suivi_Gain!$B$1))</f>
        <v>2.6</v>
      </c>
      <c r="Y107" s="94">
        <f>IF(Report[[#This Row],[FT]]="",,IF(Report[[#This Row],[FT]]=Report[[#This Row],[Score 1]],(Suivi_Gain!$G$1*Report[[#This Row],[Cote SE]])-Suivi_Gain!$G$1,-Suivi_Gain!$G$1))</f>
        <v>-1</v>
      </c>
      <c r="Z107" s="65">
        <f>IF(Report[[#This Row],[FT]]="",,IF(Report[[#This Row],[FT]]=Report[[#This Row],[Score 2]],Suivi_Gain!$G$1*Report[[#This Row],[Cote SE]],-Suivi_Gain!$G$1))</f>
        <v>-1</v>
      </c>
      <c r="AA107" s="65">
        <f>IF(Report[[#This Row],[FT]]="",,IF(Report[[#This Row],[FT]]=Report[[#This Row],[Score 3]],Suivi_Gain!$G$1*Report[[#This Row],[Cote SE]],-Suivi_Gain!$G$1))</f>
        <v>-1</v>
      </c>
      <c r="AB107" s="65">
        <f>IF(Report[[#This Row],[FT]]="",,IF(Report[[#This Row],[FT]]=Report[[#This Row],[Score 4]],Suivi_Gain!$G$1*Report[[#This Row],[Cote SE]],-Suivi_Gain!$G$1))</f>
        <v>-1</v>
      </c>
      <c r="AC107" s="18" t="str">
        <f>IF(Report[[#This Row],[Résultats SE]]="Gagné",Report[[#This Row],[FT]],"")</f>
        <v/>
      </c>
      <c r="AD107" s="18" t="str">
        <f>IF(AND(Report[[#This Row],[Résultats SE]]="Gagné",Report[[#This Row],[FT]]=Report[[#This Row],[Score 1]]),Report[[#This Row],[FT]],"")</f>
        <v/>
      </c>
      <c r="AE107" s="18" t="str">
        <f>IF(AND(Report[[#This Row],[Résultats SE]]="Gagné",Report[[#This Row],[FT]]=Report[[#This Row],[Score 2]]),Report[[#This Row],[FT]],"")</f>
        <v/>
      </c>
      <c r="AF107" s="18" t="str">
        <f>IF(AND(Report[[#This Row],[Résultats SE]]="Gagné",Report[[#This Row],[FT]]=Report[[#This Row],[Score 3]]),Report[[#This Row],[FT]],"")</f>
        <v/>
      </c>
      <c r="AG107" s="18" t="str">
        <f>IF(AND(Report[[#This Row],[Résultats SE]]="Gagné",Report[[#This Row],[FT]]=Report[[#This Row],[Score 4]]),Report[[#This Row],[FT]],"")</f>
        <v/>
      </c>
    </row>
    <row r="108" spans="1:33" ht="20.100000000000001" customHeight="1" x14ac:dyDescent="0.25">
      <c r="A108" s="11">
        <v>43429</v>
      </c>
      <c r="B108" s="7" t="s">
        <v>88</v>
      </c>
      <c r="C108" s="7" t="s">
        <v>121</v>
      </c>
      <c r="D108" s="10" t="s">
        <v>775</v>
      </c>
      <c r="E108" s="10" t="s">
        <v>772</v>
      </c>
      <c r="F108" s="7" t="s">
        <v>842</v>
      </c>
      <c r="G108" s="8" t="s">
        <v>838</v>
      </c>
      <c r="H108" s="9" t="s">
        <v>831</v>
      </c>
      <c r="I108" s="9" t="s">
        <v>834</v>
      </c>
      <c r="J108" s="9" t="s">
        <v>830</v>
      </c>
      <c r="K108" s="9" t="s">
        <v>775</v>
      </c>
      <c r="L108" s="16">
        <v>1.68</v>
      </c>
      <c r="M108" s="16">
        <v>8</v>
      </c>
      <c r="N108" s="17" t="s">
        <v>831</v>
      </c>
      <c r="O108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Pogon Szczecin</v>
      </c>
      <c r="P108" s="18">
        <f>IF(Report[[#This Row],[FT]]="",,(LEFT(Report[[#This Row],[FT]],SEARCH("-",Report[[#This Row],[FT]])-1)*1))</f>
        <v>2</v>
      </c>
      <c r="Q108" s="22">
        <f>IF(Report[[#This Row],[FT]]="",,(RIGHT(Report[[#This Row],[FT]],SEARCH("-",Report[[#This Row],[FT]])-1)*1))</f>
        <v>0</v>
      </c>
      <c r="R108" s="18" t="str">
        <f>IF(Report[Résultat FT]="","",IF(Report[Résultat FT]=Report[Résultats],"Gagné","Perdu"))</f>
        <v>Gagné</v>
      </c>
      <c r="S108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108" s="53">
        <f>IF(Report[[#This Row],[FT]]="","",IF(Report[[#This Row],[FT]]=Report[[#This Row],[Score 1]],1,0))</f>
        <v>0</v>
      </c>
      <c r="U108" s="53">
        <f>IF(Report[[#This Row],[FT]]="","",IF(Report[ [#This Row],[FT] ]=Report[[#This Row],[Score 2]],1,0))</f>
        <v>1</v>
      </c>
      <c r="V108" s="53">
        <f>IF(Report[[#This Row],[FT]]="","",IF(Report[[#This Row],[FT]]=Report[[#This Row],[Score 3]],1,0))</f>
        <v>0</v>
      </c>
      <c r="W108" s="53">
        <f>IF(Report[[#This Row],[FT]]="","",IF(Report[[#This Row],[FT]]=Report[[#This Row],[Score 4]],1,0))</f>
        <v>0</v>
      </c>
      <c r="X108" s="94">
        <f>IF(Report[[#This Row],[Résultat FT]]="",,IF(Report[[#This Row],[Résultat FT]]=Report[[#This Row],[Résultats]],(Suivi_Gain!$B$1*Report[[#This Row],[Cote FT]])-Suivi_Gain!$B$1,-Suivi_Gain!$B$1))</f>
        <v>0.67999999999999994</v>
      </c>
      <c r="Y108" s="94">
        <f>IF(Report[[#This Row],[FT]]="",,IF(Report[[#This Row],[FT]]=Report[[#This Row],[Score 1]],(Suivi_Gain!$G$1*Report[[#This Row],[Cote SE]])-Suivi_Gain!$G$1,-Suivi_Gain!$G$1))</f>
        <v>-1</v>
      </c>
      <c r="Z108" s="65">
        <f>IF(Report[[#This Row],[FT]]="",,IF(Report[[#This Row],[FT]]=Report[[#This Row],[Score 2]],Suivi_Gain!$G$1*Report[[#This Row],[Cote SE]],-Suivi_Gain!$G$1))</f>
        <v>8</v>
      </c>
      <c r="AA108" s="65">
        <f>IF(Report[[#This Row],[FT]]="",,IF(Report[[#This Row],[FT]]=Report[[#This Row],[Score 3]],Suivi_Gain!$G$1*Report[[#This Row],[Cote SE]],-Suivi_Gain!$G$1))</f>
        <v>-1</v>
      </c>
      <c r="AB108" s="65">
        <f>IF(Report[[#This Row],[FT]]="",,IF(Report[[#This Row],[FT]]=Report[[#This Row],[Score 4]],Suivi_Gain!$G$1*Report[[#This Row],[Cote SE]],-Suivi_Gain!$G$1))</f>
        <v>-1</v>
      </c>
      <c r="AC108" s="18" t="str">
        <f>IF(Report[[#This Row],[Résultats SE]]="Gagné",Report[[#This Row],[FT]],"")</f>
        <v>2-0</v>
      </c>
      <c r="AD108" s="18" t="str">
        <f>IF(AND(Report[[#This Row],[Résultats SE]]="Gagné",Report[[#This Row],[FT]]=Report[[#This Row],[Score 1]]),Report[[#This Row],[FT]],"")</f>
        <v/>
      </c>
      <c r="AE108" s="18" t="str">
        <f>IF(AND(Report[[#This Row],[Résultats SE]]="Gagné",Report[[#This Row],[FT]]=Report[[#This Row],[Score 2]]),Report[[#This Row],[FT]],"")</f>
        <v>2-0</v>
      </c>
      <c r="AF108" s="18" t="str">
        <f>IF(AND(Report[[#This Row],[Résultats SE]]="Gagné",Report[[#This Row],[FT]]=Report[[#This Row],[Score 3]]),Report[[#This Row],[FT]],"")</f>
        <v/>
      </c>
      <c r="AG108" s="18" t="str">
        <f>IF(AND(Report[[#This Row],[Résultats SE]]="Gagné",Report[[#This Row],[FT]]=Report[[#This Row],[Score 4]]),Report[[#This Row],[FT]],"")</f>
        <v/>
      </c>
    </row>
    <row r="109" spans="1:33" ht="20.100000000000001" customHeight="1" x14ac:dyDescent="0.25">
      <c r="A109" s="11">
        <v>43429</v>
      </c>
      <c r="B109" s="7" t="s">
        <v>88</v>
      </c>
      <c r="C109" s="7" t="s">
        <v>121</v>
      </c>
      <c r="D109" s="10" t="s">
        <v>779</v>
      </c>
      <c r="E109" s="10" t="s">
        <v>771</v>
      </c>
      <c r="F109" s="7" t="s">
        <v>843</v>
      </c>
      <c r="G109" s="8" t="s">
        <v>839</v>
      </c>
      <c r="H109" s="9" t="s">
        <v>834</v>
      </c>
      <c r="I109" s="9" t="s">
        <v>827</v>
      </c>
      <c r="J109" s="9" t="s">
        <v>825</v>
      </c>
      <c r="K109" s="9" t="s">
        <v>771</v>
      </c>
      <c r="L109" s="16">
        <v>1.95</v>
      </c>
      <c r="M109" s="16">
        <v>8</v>
      </c>
      <c r="N109" s="17" t="s">
        <v>825</v>
      </c>
      <c r="O109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Legia</v>
      </c>
      <c r="P109" s="18">
        <f>IF(Report[[#This Row],[FT]]="",,(LEFT(Report[[#This Row],[FT]],SEARCH("-",Report[[#This Row],[FT]])-1)*1))</f>
        <v>0</v>
      </c>
      <c r="Q109" s="22">
        <f>IF(Report[[#This Row],[FT]]="",,(RIGHT(Report[[#This Row],[FT]],SEARCH("-",Report[[#This Row],[FT]])-1)*1))</f>
        <v>1</v>
      </c>
      <c r="R109" s="18" t="str">
        <f>IF(Report[Résultat FT]="","",IF(Report[Résultat FT]=Report[Résultats],"Gagné","Perdu"))</f>
        <v>Gagné</v>
      </c>
      <c r="S109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109" s="53">
        <f>IF(Report[[#This Row],[FT]]="","",IF(Report[[#This Row],[FT]]=Report[[#This Row],[Score 1]],1,0))</f>
        <v>0</v>
      </c>
      <c r="U109" s="53">
        <f>IF(Report[[#This Row],[FT]]="","",IF(Report[ [#This Row],[FT] ]=Report[[#This Row],[Score 2]],1,0))</f>
        <v>0</v>
      </c>
      <c r="V109" s="53">
        <f>IF(Report[[#This Row],[FT]]="","",IF(Report[[#This Row],[FT]]=Report[[#This Row],[Score 3]],1,0))</f>
        <v>0</v>
      </c>
      <c r="W109" s="53">
        <f>IF(Report[[#This Row],[FT]]="","",IF(Report[[#This Row],[FT]]=Report[[#This Row],[Score 4]],1,0))</f>
        <v>1</v>
      </c>
      <c r="X109" s="94">
        <f>IF(Report[[#This Row],[Résultat FT]]="",,IF(Report[[#This Row],[Résultat FT]]=Report[[#This Row],[Résultats]],(Suivi_Gain!$B$1*Report[[#This Row],[Cote FT]])-Suivi_Gain!$B$1,-Suivi_Gain!$B$1))</f>
        <v>0.95</v>
      </c>
      <c r="Y109" s="94">
        <f>IF(Report[[#This Row],[FT]]="",,IF(Report[[#This Row],[FT]]=Report[[#This Row],[Score 1]],(Suivi_Gain!$G$1*Report[[#This Row],[Cote SE]])-Suivi_Gain!$G$1,-Suivi_Gain!$G$1))</f>
        <v>-1</v>
      </c>
      <c r="Z109" s="65">
        <f>IF(Report[[#This Row],[FT]]="",,IF(Report[[#This Row],[FT]]=Report[[#This Row],[Score 2]],Suivi_Gain!$G$1*Report[[#This Row],[Cote SE]],-Suivi_Gain!$G$1))</f>
        <v>-1</v>
      </c>
      <c r="AA109" s="65">
        <f>IF(Report[[#This Row],[FT]]="",,IF(Report[[#This Row],[FT]]=Report[[#This Row],[Score 3]],Suivi_Gain!$G$1*Report[[#This Row],[Cote SE]],-Suivi_Gain!$G$1))</f>
        <v>-1</v>
      </c>
      <c r="AB109" s="65">
        <f>IF(Report[[#This Row],[FT]]="",,IF(Report[[#This Row],[FT]]=Report[[#This Row],[Score 4]],Suivi_Gain!$G$1*Report[[#This Row],[Cote SE]],-Suivi_Gain!$G$1))</f>
        <v>8</v>
      </c>
      <c r="AC109" s="18" t="str">
        <f>IF(Report[[#This Row],[Résultats SE]]="Gagné",Report[[#This Row],[FT]],"")</f>
        <v>0-1</v>
      </c>
      <c r="AD109" s="18" t="str">
        <f>IF(AND(Report[[#This Row],[Résultats SE]]="Gagné",Report[[#This Row],[FT]]=Report[[#This Row],[Score 1]]),Report[[#This Row],[FT]],"")</f>
        <v/>
      </c>
      <c r="AE109" s="18" t="str">
        <f>IF(AND(Report[[#This Row],[Résultats SE]]="Gagné",Report[[#This Row],[FT]]=Report[[#This Row],[Score 2]]),Report[[#This Row],[FT]],"")</f>
        <v/>
      </c>
      <c r="AF109" s="18" t="str">
        <f>IF(AND(Report[[#This Row],[Résultats SE]]="Gagné",Report[[#This Row],[FT]]=Report[[#This Row],[Score 3]]),Report[[#This Row],[FT]],"")</f>
        <v/>
      </c>
      <c r="AG109" s="18" t="str">
        <f>IF(AND(Report[[#This Row],[Résultats SE]]="Gagné",Report[[#This Row],[FT]]=Report[[#This Row],[Score 4]]),Report[[#This Row],[FT]],"")</f>
        <v>0-1</v>
      </c>
    </row>
    <row r="110" spans="1:33" ht="20.100000000000001" customHeight="1" x14ac:dyDescent="0.25">
      <c r="A110" s="11">
        <v>43429</v>
      </c>
      <c r="B110" s="7" t="s">
        <v>88</v>
      </c>
      <c r="C110" s="7" t="s">
        <v>121</v>
      </c>
      <c r="D110" s="10" t="s">
        <v>770</v>
      </c>
      <c r="E110" s="10" t="s">
        <v>767</v>
      </c>
      <c r="F110" s="7" t="s">
        <v>833</v>
      </c>
      <c r="G110" s="8" t="s">
        <v>834</v>
      </c>
      <c r="H110" s="9" t="s">
        <v>830</v>
      </c>
      <c r="I110" s="9" t="s">
        <v>825</v>
      </c>
      <c r="J110" s="9" t="s">
        <v>826</v>
      </c>
      <c r="K110" s="9" t="s">
        <v>233</v>
      </c>
      <c r="L110" s="16" t="str">
        <f>IF(Report[Résultat FT]="","",IF(Report[Résultat FT]=Report[Résultats],"","-"))</f>
        <v>-</v>
      </c>
      <c r="M110" s="16" t="str">
        <f>IF(Report[[#This Row],[Résultat FT]]="","",IF(Report[[#This Row],[Résultats SE]]="Gagné","","-"))</f>
        <v>-</v>
      </c>
      <c r="N110" s="17" t="s">
        <v>891</v>
      </c>
      <c r="O110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Lechia</v>
      </c>
      <c r="P110" s="18">
        <f>IF(Report[[#This Row],[FT]]="",,(LEFT(Report[[#This Row],[FT]],SEARCH("-",Report[[#This Row],[FT]])-1)*1))</f>
        <v>3</v>
      </c>
      <c r="Q110" s="22">
        <f>IF(Report[[#This Row],[FT]]="",,(RIGHT(Report[[#This Row],[FT]],SEARCH("-",Report[[#This Row],[FT]])-1)*1))</f>
        <v>2</v>
      </c>
      <c r="R110" s="18" t="str">
        <f>IF(Report[Résultat FT]="","",IF(Report[Résultat FT]=Report[Résultats],"Gagné","Perdu"))</f>
        <v>Perdu</v>
      </c>
      <c r="S110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10" s="53">
        <f>IF(Report[[#This Row],[FT]]="","",IF(Report[[#This Row],[FT]]=Report[[#This Row],[Score 1]],1,0))</f>
        <v>0</v>
      </c>
      <c r="U110" s="53">
        <f>IF(Report[[#This Row],[FT]]="","",IF(Report[ [#This Row],[FT] ]=Report[[#This Row],[Score 2]],1,0))</f>
        <v>0</v>
      </c>
      <c r="V110" s="53">
        <f>IF(Report[[#This Row],[FT]]="","",IF(Report[[#This Row],[FT]]=Report[[#This Row],[Score 3]],1,0))</f>
        <v>0</v>
      </c>
      <c r="W110" s="53">
        <f>IF(Report[[#This Row],[FT]]="","",IF(Report[[#This Row],[FT]]=Report[[#This Row],[Score 4]],1,0))</f>
        <v>0</v>
      </c>
      <c r="X110" s="94">
        <f>IF(Report[[#This Row],[Résultat FT]]="",,IF(Report[[#This Row],[Résultat FT]]=Report[[#This Row],[Résultats]],(Suivi_Gain!$B$1*Report[[#This Row],[Cote FT]])-Suivi_Gain!$B$1,-Suivi_Gain!$B$1))</f>
        <v>-1</v>
      </c>
      <c r="Y110" s="94">
        <f>IF(Report[[#This Row],[FT]]="",,IF(Report[[#This Row],[FT]]=Report[[#This Row],[Score 1]],(Suivi_Gain!$G$1*Report[[#This Row],[Cote SE]])-Suivi_Gain!$G$1,-Suivi_Gain!$G$1))</f>
        <v>-1</v>
      </c>
      <c r="Z110" s="65">
        <f>IF(Report[[#This Row],[FT]]="",,IF(Report[[#This Row],[FT]]=Report[[#This Row],[Score 2]],Suivi_Gain!$G$1*Report[[#This Row],[Cote SE]],-Suivi_Gain!$G$1))</f>
        <v>-1</v>
      </c>
      <c r="AA110" s="65">
        <f>IF(Report[[#This Row],[FT]]="",,IF(Report[[#This Row],[FT]]=Report[[#This Row],[Score 3]],Suivi_Gain!$G$1*Report[[#This Row],[Cote SE]],-Suivi_Gain!$G$1))</f>
        <v>-1</v>
      </c>
      <c r="AB110" s="65">
        <f>IF(Report[[#This Row],[FT]]="",,IF(Report[[#This Row],[FT]]=Report[[#This Row],[Score 4]],Suivi_Gain!$G$1*Report[[#This Row],[Cote SE]],-Suivi_Gain!$G$1))</f>
        <v>-1</v>
      </c>
      <c r="AC110" s="18" t="str">
        <f>IF(Report[[#This Row],[Résultats SE]]="Gagné",Report[[#This Row],[FT]],"")</f>
        <v/>
      </c>
      <c r="AD110" s="18" t="str">
        <f>IF(AND(Report[[#This Row],[Résultats SE]]="Gagné",Report[[#This Row],[FT]]=Report[[#This Row],[Score 1]]),Report[[#This Row],[FT]],"")</f>
        <v/>
      </c>
      <c r="AE110" s="18" t="str">
        <f>IF(AND(Report[[#This Row],[Résultats SE]]="Gagné",Report[[#This Row],[FT]]=Report[[#This Row],[Score 2]]),Report[[#This Row],[FT]],"")</f>
        <v/>
      </c>
      <c r="AF110" s="18" t="str">
        <f>IF(AND(Report[[#This Row],[Résultats SE]]="Gagné",Report[[#This Row],[FT]]=Report[[#This Row],[Score 3]]),Report[[#This Row],[FT]],"")</f>
        <v/>
      </c>
      <c r="AG110" s="18" t="str">
        <f>IF(AND(Report[[#This Row],[Résultats SE]]="Gagné",Report[[#This Row],[FT]]=Report[[#This Row],[Score 4]]),Report[[#This Row],[FT]],"")</f>
        <v/>
      </c>
    </row>
    <row r="111" spans="1:33" ht="20.100000000000001" customHeight="1" x14ac:dyDescent="0.25">
      <c r="A111" s="11">
        <v>43429</v>
      </c>
      <c r="B111" s="7" t="s">
        <v>89</v>
      </c>
      <c r="C111" s="7" t="s">
        <v>860</v>
      </c>
      <c r="D111" s="19" t="s">
        <v>355</v>
      </c>
      <c r="E111" s="19" t="s">
        <v>350</v>
      </c>
      <c r="F111" s="7" t="s">
        <v>843</v>
      </c>
      <c r="G111" s="20" t="s">
        <v>839</v>
      </c>
      <c r="H111" s="20" t="s">
        <v>834</v>
      </c>
      <c r="I111" s="20" t="s">
        <v>827</v>
      </c>
      <c r="J111" s="20" t="s">
        <v>825</v>
      </c>
      <c r="K111" s="9" t="s">
        <v>350</v>
      </c>
      <c r="L111" s="16">
        <v>3.9</v>
      </c>
      <c r="M111" s="16" t="str">
        <f>IF(Report[[#This Row],[Résultat FT]]="","",IF(Report[[#This Row],[Résultats SE]]="Gagné","","-"))</f>
        <v>-</v>
      </c>
      <c r="N111" s="17" t="s">
        <v>878</v>
      </c>
      <c r="O111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Mlada Boleslav</v>
      </c>
      <c r="P111" s="18">
        <f>IF(Report[[#This Row],[FT]]="",,(LEFT(Report[[#This Row],[FT]],SEARCH("-",Report[[#This Row],[FT]])-1)*1))</f>
        <v>0</v>
      </c>
      <c r="Q111" s="22">
        <f>IF(Report[[#This Row],[FT]]="",,(RIGHT(Report[[#This Row],[FT]],SEARCH("-",Report[[#This Row],[FT]])-1)*1))</f>
        <v>4</v>
      </c>
      <c r="R111" s="18" t="str">
        <f>IF(Report[Résultat FT]="","",IF(Report[Résultat FT]=Report[Résultats],"Gagné","Perdu"))</f>
        <v>Gagné</v>
      </c>
      <c r="S111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11" s="53">
        <f>IF(Report[[#This Row],[FT]]="","",IF(Report[[#This Row],[FT]]=Report[[#This Row],[Score 1]],1,0))</f>
        <v>0</v>
      </c>
      <c r="U111" s="53">
        <f>IF(Report[[#This Row],[FT]]="","",IF(Report[ [#This Row],[FT] ]=Report[[#This Row],[Score 2]],1,0))</f>
        <v>0</v>
      </c>
      <c r="V111" s="53">
        <f>IF(Report[[#This Row],[FT]]="","",IF(Report[[#This Row],[FT]]=Report[[#This Row],[Score 3]],1,0))</f>
        <v>0</v>
      </c>
      <c r="W111" s="53">
        <f>IF(Report[[#This Row],[FT]]="","",IF(Report[[#This Row],[FT]]=Report[[#This Row],[Score 4]],1,0))</f>
        <v>0</v>
      </c>
      <c r="X111" s="94">
        <f>IF(Report[[#This Row],[Résultat FT]]="",,IF(Report[[#This Row],[Résultat FT]]=Report[[#This Row],[Résultats]],(Suivi_Gain!$B$1*Report[[#This Row],[Cote FT]])-Suivi_Gain!$B$1,-Suivi_Gain!$B$1))</f>
        <v>2.9</v>
      </c>
      <c r="Y111" s="94">
        <f>IF(Report[[#This Row],[FT]]="",,IF(Report[[#This Row],[FT]]=Report[[#This Row],[Score 1]],(Suivi_Gain!$G$1*Report[[#This Row],[Cote SE]])-Suivi_Gain!$G$1,-Suivi_Gain!$G$1))</f>
        <v>-1</v>
      </c>
      <c r="Z111" s="65">
        <f>IF(Report[[#This Row],[FT]]="",,IF(Report[[#This Row],[FT]]=Report[[#This Row],[Score 2]],Suivi_Gain!$G$1*Report[[#This Row],[Cote SE]],-Suivi_Gain!$G$1))</f>
        <v>-1</v>
      </c>
      <c r="AA111" s="65">
        <f>IF(Report[[#This Row],[FT]]="",,IF(Report[[#This Row],[FT]]=Report[[#This Row],[Score 3]],Suivi_Gain!$G$1*Report[[#This Row],[Cote SE]],-Suivi_Gain!$G$1))</f>
        <v>-1</v>
      </c>
      <c r="AB111" s="65">
        <f>IF(Report[[#This Row],[FT]]="",,IF(Report[[#This Row],[FT]]=Report[[#This Row],[Score 4]],Suivi_Gain!$G$1*Report[[#This Row],[Cote SE]],-Suivi_Gain!$G$1))</f>
        <v>-1</v>
      </c>
      <c r="AC111" s="18" t="str">
        <f>IF(Report[[#This Row],[Résultats SE]]="Gagné",Report[[#This Row],[FT]],"")</f>
        <v/>
      </c>
      <c r="AD111" s="18" t="str">
        <f>IF(AND(Report[[#This Row],[Résultats SE]]="Gagné",Report[[#This Row],[FT]]=Report[[#This Row],[Score 1]]),Report[[#This Row],[FT]],"")</f>
        <v/>
      </c>
      <c r="AE111" s="18" t="str">
        <f>IF(AND(Report[[#This Row],[Résultats SE]]="Gagné",Report[[#This Row],[FT]]=Report[[#This Row],[Score 2]]),Report[[#This Row],[FT]],"")</f>
        <v/>
      </c>
      <c r="AF111" s="18" t="str">
        <f>IF(AND(Report[[#This Row],[Résultats SE]]="Gagné",Report[[#This Row],[FT]]=Report[[#This Row],[Score 3]]),Report[[#This Row],[FT]],"")</f>
        <v/>
      </c>
      <c r="AG111" s="18" t="str">
        <f>IF(AND(Report[[#This Row],[Résultats SE]]="Gagné",Report[[#This Row],[FT]]=Report[[#This Row],[Score 4]]),Report[[#This Row],[FT]],"")</f>
        <v/>
      </c>
    </row>
    <row r="112" spans="1:33" ht="20.100000000000001" customHeight="1" x14ac:dyDescent="0.25">
      <c r="A112" s="11">
        <v>43429</v>
      </c>
      <c r="B112" s="7" t="s">
        <v>89</v>
      </c>
      <c r="C112" s="7" t="s">
        <v>860</v>
      </c>
      <c r="D112" s="19" t="s">
        <v>358</v>
      </c>
      <c r="E112" s="19" t="s">
        <v>347</v>
      </c>
      <c r="F112" s="7" t="s">
        <v>833</v>
      </c>
      <c r="G112" s="20" t="s">
        <v>834</v>
      </c>
      <c r="H112" s="20" t="s">
        <v>830</v>
      </c>
      <c r="I112" s="20" t="s">
        <v>825</v>
      </c>
      <c r="J112" s="20" t="s">
        <v>826</v>
      </c>
      <c r="K112" s="9" t="s">
        <v>233</v>
      </c>
      <c r="L112" s="16">
        <v>3.7</v>
      </c>
      <c r="M112" s="16">
        <v>12</v>
      </c>
      <c r="N112" s="17" t="s">
        <v>826</v>
      </c>
      <c r="O112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112" s="18">
        <f>IF(Report[[#This Row],[FT]]="",,(LEFT(Report[[#This Row],[FT]],SEARCH("-",Report[[#This Row],[FT]])-1)*1))</f>
        <v>0</v>
      </c>
      <c r="Q112" s="22">
        <f>IF(Report[[#This Row],[FT]]="",,(RIGHT(Report[[#This Row],[FT]],SEARCH("-",Report[[#This Row],[FT]])-1)*1))</f>
        <v>0</v>
      </c>
      <c r="R112" s="18" t="str">
        <f>IF(Report[Résultat FT]="","",IF(Report[Résultat FT]=Report[Résultats],"Gagné","Perdu"))</f>
        <v>Gagné</v>
      </c>
      <c r="S112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112" s="53">
        <f>IF(Report[[#This Row],[FT]]="","",IF(Report[[#This Row],[FT]]=Report[[#This Row],[Score 1]],1,0))</f>
        <v>0</v>
      </c>
      <c r="U112" s="53">
        <f>IF(Report[[#This Row],[FT]]="","",IF(Report[ [#This Row],[FT] ]=Report[[#This Row],[Score 2]],1,0))</f>
        <v>0</v>
      </c>
      <c r="V112" s="53">
        <f>IF(Report[[#This Row],[FT]]="","",IF(Report[[#This Row],[FT]]=Report[[#This Row],[Score 3]],1,0))</f>
        <v>0</v>
      </c>
      <c r="W112" s="53">
        <f>IF(Report[[#This Row],[FT]]="","",IF(Report[[#This Row],[FT]]=Report[[#This Row],[Score 4]],1,0))</f>
        <v>1</v>
      </c>
      <c r="X112" s="94">
        <f>IF(Report[[#This Row],[Résultat FT]]="",,IF(Report[[#This Row],[Résultat FT]]=Report[[#This Row],[Résultats]],(Suivi_Gain!$B$1*Report[[#This Row],[Cote FT]])-Suivi_Gain!$B$1,-Suivi_Gain!$B$1))</f>
        <v>2.7</v>
      </c>
      <c r="Y112" s="94">
        <f>IF(Report[[#This Row],[FT]]="",,IF(Report[[#This Row],[FT]]=Report[[#This Row],[Score 1]],(Suivi_Gain!$G$1*Report[[#This Row],[Cote SE]])-Suivi_Gain!$G$1,-Suivi_Gain!$G$1))</f>
        <v>-1</v>
      </c>
      <c r="Z112" s="65">
        <f>IF(Report[[#This Row],[FT]]="",,IF(Report[[#This Row],[FT]]=Report[[#This Row],[Score 2]],Suivi_Gain!$G$1*Report[[#This Row],[Cote SE]],-Suivi_Gain!$G$1))</f>
        <v>-1</v>
      </c>
      <c r="AA112" s="65">
        <f>IF(Report[[#This Row],[FT]]="",,IF(Report[[#This Row],[FT]]=Report[[#This Row],[Score 3]],Suivi_Gain!$G$1*Report[[#This Row],[Cote SE]],-Suivi_Gain!$G$1))</f>
        <v>-1</v>
      </c>
      <c r="AB112" s="65">
        <f>IF(Report[[#This Row],[FT]]="",,IF(Report[[#This Row],[FT]]=Report[[#This Row],[Score 4]],Suivi_Gain!$G$1*Report[[#This Row],[Cote SE]],-Suivi_Gain!$G$1))</f>
        <v>12</v>
      </c>
      <c r="AC112" s="18" t="str">
        <f>IF(Report[[#This Row],[Résultats SE]]="Gagné",Report[[#This Row],[FT]],"")</f>
        <v>0-0</v>
      </c>
      <c r="AD112" s="18" t="str">
        <f>IF(AND(Report[[#This Row],[Résultats SE]]="Gagné",Report[[#This Row],[FT]]=Report[[#This Row],[Score 1]]),Report[[#This Row],[FT]],"")</f>
        <v/>
      </c>
      <c r="AE112" s="18" t="str">
        <f>IF(AND(Report[[#This Row],[Résultats SE]]="Gagné",Report[[#This Row],[FT]]=Report[[#This Row],[Score 2]]),Report[[#This Row],[FT]],"")</f>
        <v/>
      </c>
      <c r="AF112" s="18" t="str">
        <f>IF(AND(Report[[#This Row],[Résultats SE]]="Gagné",Report[[#This Row],[FT]]=Report[[#This Row],[Score 3]]),Report[[#This Row],[FT]],"")</f>
        <v/>
      </c>
      <c r="AG112" s="18" t="str">
        <f>IF(AND(Report[[#This Row],[Résultats SE]]="Gagné",Report[[#This Row],[FT]]=Report[[#This Row],[Score 4]]),Report[[#This Row],[FT]],"")</f>
        <v>0-0</v>
      </c>
    </row>
    <row r="113" spans="1:33" ht="20.100000000000001" customHeight="1" x14ac:dyDescent="0.25">
      <c r="A113" s="11">
        <v>43429</v>
      </c>
      <c r="B113" s="7" t="s">
        <v>90</v>
      </c>
      <c r="C113" s="7" t="s">
        <v>122</v>
      </c>
      <c r="D113" s="10" t="s">
        <v>333</v>
      </c>
      <c r="E113" s="10" t="s">
        <v>337</v>
      </c>
      <c r="F113" s="7" t="s">
        <v>844</v>
      </c>
      <c r="G113" s="8" t="s">
        <v>826</v>
      </c>
      <c r="H113" s="9" t="s">
        <v>845</v>
      </c>
      <c r="I113" s="9" t="s">
        <v>846</v>
      </c>
      <c r="J113" s="9" t="s">
        <v>847</v>
      </c>
      <c r="K113" s="9" t="s">
        <v>233</v>
      </c>
      <c r="L113" s="16" t="str">
        <f>IF(Report[Résultat FT]="","",IF(Report[Résultat FT]=Report[Résultats],"","-"))</f>
        <v>-</v>
      </c>
      <c r="M113" s="16" t="str">
        <f>IF(Report[[#This Row],[Résultat FT]]="","",IF(Report[[#This Row],[Résultats SE]]="Gagné","","-"))</f>
        <v>-</v>
      </c>
      <c r="N113" s="17" t="s">
        <v>825</v>
      </c>
      <c r="O113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FC Hermannstadt</v>
      </c>
      <c r="P113" s="18">
        <f>IF(Report[[#This Row],[FT]]="",,(LEFT(Report[[#This Row],[FT]],SEARCH("-",Report[[#This Row],[FT]])-1)*1))</f>
        <v>0</v>
      </c>
      <c r="Q113" s="22">
        <f>IF(Report[[#This Row],[FT]]="",,(RIGHT(Report[[#This Row],[FT]],SEARCH("-",Report[[#This Row],[FT]])-1)*1))</f>
        <v>1</v>
      </c>
      <c r="R113" s="18" t="str">
        <f>IF(Report[Résultat FT]="","",IF(Report[Résultat FT]=Report[Résultats],"Gagné","Perdu"))</f>
        <v>Perdu</v>
      </c>
      <c r="S113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13" s="53">
        <f>IF(Report[[#This Row],[FT]]="","",IF(Report[[#This Row],[FT]]=Report[[#This Row],[Score 1]],1,0))</f>
        <v>0</v>
      </c>
      <c r="U113" s="53">
        <f>IF(Report[[#This Row],[FT]]="","",IF(Report[ [#This Row],[FT] ]=Report[[#This Row],[Score 2]],1,0))</f>
        <v>0</v>
      </c>
      <c r="V113" s="53">
        <f>IF(Report[[#This Row],[FT]]="","",IF(Report[[#This Row],[FT]]=Report[[#This Row],[Score 3]],1,0))</f>
        <v>0</v>
      </c>
      <c r="W113" s="53">
        <f>IF(Report[[#This Row],[FT]]="","",IF(Report[[#This Row],[FT]]=Report[[#This Row],[Score 4]],1,0))</f>
        <v>0</v>
      </c>
      <c r="X113" s="94">
        <f>IF(Report[[#This Row],[Résultat FT]]="",,IF(Report[[#This Row],[Résultat FT]]=Report[[#This Row],[Résultats]],(Suivi_Gain!$B$1*Report[[#This Row],[Cote FT]])-Suivi_Gain!$B$1,-Suivi_Gain!$B$1))</f>
        <v>-1</v>
      </c>
      <c r="Y113" s="94">
        <f>IF(Report[[#This Row],[FT]]="",,IF(Report[[#This Row],[FT]]=Report[[#This Row],[Score 1]],(Suivi_Gain!$G$1*Report[[#This Row],[Cote SE]])-Suivi_Gain!$G$1,-Suivi_Gain!$G$1))</f>
        <v>-1</v>
      </c>
      <c r="Z113" s="65">
        <f>IF(Report[[#This Row],[FT]]="",,IF(Report[[#This Row],[FT]]=Report[[#This Row],[Score 2]],Suivi_Gain!$G$1*Report[[#This Row],[Cote SE]],-Suivi_Gain!$G$1))</f>
        <v>-1</v>
      </c>
      <c r="AA113" s="65">
        <f>IF(Report[[#This Row],[FT]]="",,IF(Report[[#This Row],[FT]]=Report[[#This Row],[Score 3]],Suivi_Gain!$G$1*Report[[#This Row],[Cote SE]],-Suivi_Gain!$G$1))</f>
        <v>-1</v>
      </c>
      <c r="AB113" s="65">
        <f>IF(Report[[#This Row],[FT]]="",,IF(Report[[#This Row],[FT]]=Report[[#This Row],[Score 4]],Suivi_Gain!$G$1*Report[[#This Row],[Cote SE]],-Suivi_Gain!$G$1))</f>
        <v>-1</v>
      </c>
      <c r="AC113" s="18" t="str">
        <f>IF(Report[[#This Row],[Résultats SE]]="Gagné",Report[[#This Row],[FT]],"")</f>
        <v/>
      </c>
      <c r="AD113" s="18" t="str">
        <f>IF(AND(Report[[#This Row],[Résultats SE]]="Gagné",Report[[#This Row],[FT]]=Report[[#This Row],[Score 1]]),Report[[#This Row],[FT]],"")</f>
        <v/>
      </c>
      <c r="AE113" s="18" t="str">
        <f>IF(AND(Report[[#This Row],[Résultats SE]]="Gagné",Report[[#This Row],[FT]]=Report[[#This Row],[Score 2]]),Report[[#This Row],[FT]],"")</f>
        <v/>
      </c>
      <c r="AF113" s="18" t="str">
        <f>IF(AND(Report[[#This Row],[Résultats SE]]="Gagné",Report[[#This Row],[FT]]=Report[[#This Row],[Score 3]]),Report[[#This Row],[FT]],"")</f>
        <v/>
      </c>
      <c r="AG113" s="18" t="str">
        <f>IF(AND(Report[[#This Row],[Résultats SE]]="Gagné",Report[[#This Row],[FT]]=Report[[#This Row],[Score 4]]),Report[[#This Row],[FT]],"")</f>
        <v/>
      </c>
    </row>
    <row r="114" spans="1:33" ht="20.100000000000001" customHeight="1" x14ac:dyDescent="0.25">
      <c r="A114" s="11">
        <v>43429</v>
      </c>
      <c r="B114" s="7" t="s">
        <v>90</v>
      </c>
      <c r="C114" s="7" t="s">
        <v>122</v>
      </c>
      <c r="D114" s="10" t="s">
        <v>344</v>
      </c>
      <c r="E114" s="10" t="s">
        <v>343</v>
      </c>
      <c r="F114" s="7" t="s">
        <v>824</v>
      </c>
      <c r="G114" s="8" t="s">
        <v>825</v>
      </c>
      <c r="H114" s="9" t="s">
        <v>826</v>
      </c>
      <c r="I114" s="9" t="s">
        <v>827</v>
      </c>
      <c r="J114" s="9" t="s">
        <v>828</v>
      </c>
      <c r="K114" s="9" t="s">
        <v>343</v>
      </c>
      <c r="L114" s="16">
        <v>1.7</v>
      </c>
      <c r="M114" s="16" t="str">
        <f>IF(Report[[#This Row],[Résultat FT]]="","",IF(Report[[#This Row],[Résultats SE]]="Gagné","","-"))</f>
        <v>-</v>
      </c>
      <c r="N114" s="17" t="s">
        <v>839</v>
      </c>
      <c r="O114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Viitorul Constanta</v>
      </c>
      <c r="P114" s="18">
        <f>IF(Report[[#This Row],[FT]]="",,(LEFT(Report[[#This Row],[FT]],SEARCH("-",Report[[#This Row],[FT]])-1)*1))</f>
        <v>1</v>
      </c>
      <c r="Q114" s="22">
        <f>IF(Report[[#This Row],[FT]]="",,(RIGHT(Report[[#This Row],[FT]],SEARCH("-",Report[[#This Row],[FT]])-1)*1))</f>
        <v>2</v>
      </c>
      <c r="R114" s="18" t="str">
        <f>IF(Report[Résultat FT]="","",IF(Report[Résultat FT]=Report[Résultats],"Gagné","Perdu"))</f>
        <v>Gagné</v>
      </c>
      <c r="S114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14" s="53">
        <f>IF(Report[[#This Row],[FT]]="","",IF(Report[[#This Row],[FT]]=Report[[#This Row],[Score 1]],1,0))</f>
        <v>0</v>
      </c>
      <c r="U114" s="53">
        <f>IF(Report[[#This Row],[FT]]="","",IF(Report[ [#This Row],[FT] ]=Report[[#This Row],[Score 2]],1,0))</f>
        <v>0</v>
      </c>
      <c r="V114" s="53">
        <f>IF(Report[[#This Row],[FT]]="","",IF(Report[[#This Row],[FT]]=Report[[#This Row],[Score 3]],1,0))</f>
        <v>0</v>
      </c>
      <c r="W114" s="53">
        <f>IF(Report[[#This Row],[FT]]="","",IF(Report[[#This Row],[FT]]=Report[[#This Row],[Score 4]],1,0))</f>
        <v>0</v>
      </c>
      <c r="X114" s="94">
        <f>IF(Report[[#This Row],[Résultat FT]]="",,IF(Report[[#This Row],[Résultat FT]]=Report[[#This Row],[Résultats]],(Suivi_Gain!$B$1*Report[[#This Row],[Cote FT]])-Suivi_Gain!$B$1,-Suivi_Gain!$B$1))</f>
        <v>0.7</v>
      </c>
      <c r="Y114" s="94">
        <f>IF(Report[[#This Row],[FT]]="",,IF(Report[[#This Row],[FT]]=Report[[#This Row],[Score 1]],(Suivi_Gain!$G$1*Report[[#This Row],[Cote SE]])-Suivi_Gain!$G$1,-Suivi_Gain!$G$1))</f>
        <v>-1</v>
      </c>
      <c r="Z114" s="65">
        <f>IF(Report[[#This Row],[FT]]="",,IF(Report[[#This Row],[FT]]=Report[[#This Row],[Score 2]],Suivi_Gain!$G$1*Report[[#This Row],[Cote SE]],-Suivi_Gain!$G$1))</f>
        <v>-1</v>
      </c>
      <c r="AA114" s="65">
        <f>IF(Report[[#This Row],[FT]]="",,IF(Report[[#This Row],[FT]]=Report[[#This Row],[Score 3]],Suivi_Gain!$G$1*Report[[#This Row],[Cote SE]],-Suivi_Gain!$G$1))</f>
        <v>-1</v>
      </c>
      <c r="AB114" s="65">
        <f>IF(Report[[#This Row],[FT]]="",,IF(Report[[#This Row],[FT]]=Report[[#This Row],[Score 4]],Suivi_Gain!$G$1*Report[[#This Row],[Cote SE]],-Suivi_Gain!$G$1))</f>
        <v>-1</v>
      </c>
      <c r="AC114" s="18" t="str">
        <f>IF(Report[[#This Row],[Résultats SE]]="Gagné",Report[[#This Row],[FT]],"")</f>
        <v/>
      </c>
      <c r="AD114" s="18" t="str">
        <f>IF(AND(Report[[#This Row],[Résultats SE]]="Gagné",Report[[#This Row],[FT]]=Report[[#This Row],[Score 1]]),Report[[#This Row],[FT]],"")</f>
        <v/>
      </c>
      <c r="AE114" s="18" t="str">
        <f>IF(AND(Report[[#This Row],[Résultats SE]]="Gagné",Report[[#This Row],[FT]]=Report[[#This Row],[Score 2]]),Report[[#This Row],[FT]],"")</f>
        <v/>
      </c>
      <c r="AF114" s="18" t="str">
        <f>IF(AND(Report[[#This Row],[Résultats SE]]="Gagné",Report[[#This Row],[FT]]=Report[[#This Row],[Score 3]]),Report[[#This Row],[FT]],"")</f>
        <v/>
      </c>
      <c r="AG114" s="18" t="str">
        <f>IF(AND(Report[[#This Row],[Résultats SE]]="Gagné",Report[[#This Row],[FT]]=Report[[#This Row],[Score 4]]),Report[[#This Row],[FT]],"")</f>
        <v/>
      </c>
    </row>
    <row r="115" spans="1:33" ht="20.100000000000001" customHeight="1" x14ac:dyDescent="0.25">
      <c r="A115" s="11">
        <v>43429</v>
      </c>
      <c r="B115" s="7" t="s">
        <v>90</v>
      </c>
      <c r="C115" s="7" t="s">
        <v>122</v>
      </c>
      <c r="D115" s="10" t="s">
        <v>340</v>
      </c>
      <c r="E115" s="10" t="s">
        <v>338</v>
      </c>
      <c r="F115" s="7" t="s">
        <v>835</v>
      </c>
      <c r="G115" s="8" t="s">
        <v>827</v>
      </c>
      <c r="H115" s="9" t="s">
        <v>825</v>
      </c>
      <c r="I115" s="9" t="s">
        <v>828</v>
      </c>
      <c r="J115" s="9" t="s">
        <v>826</v>
      </c>
      <c r="K115" s="9" t="s">
        <v>338</v>
      </c>
      <c r="L115" s="16">
        <v>1.84</v>
      </c>
      <c r="M115" s="16" t="str">
        <f>IF(Report[[#This Row],[Résultat FT]]="","",IF(Report[[#This Row],[Résultats SE]]="Gagné","","-"))</f>
        <v>-</v>
      </c>
      <c r="N115" s="17" t="s">
        <v>839</v>
      </c>
      <c r="O115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FCSB</v>
      </c>
      <c r="P115" s="18">
        <f>IF(Report[[#This Row],[FT]]="",,(LEFT(Report[[#This Row],[FT]],SEARCH("-",Report[[#This Row],[FT]])-1)*1))</f>
        <v>1</v>
      </c>
      <c r="Q115" s="22">
        <f>IF(Report[[#This Row],[FT]]="",,(RIGHT(Report[[#This Row],[FT]],SEARCH("-",Report[[#This Row],[FT]])-1)*1))</f>
        <v>2</v>
      </c>
      <c r="R115" s="18" t="str">
        <f>IF(Report[Résultat FT]="","",IF(Report[Résultat FT]=Report[Résultats],"Gagné","Perdu"))</f>
        <v>Gagné</v>
      </c>
      <c r="S115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15" s="53">
        <f>IF(Report[[#This Row],[FT]]="","",IF(Report[[#This Row],[FT]]=Report[[#This Row],[Score 1]],1,0))</f>
        <v>0</v>
      </c>
      <c r="U115" s="53">
        <f>IF(Report[[#This Row],[FT]]="","",IF(Report[ [#This Row],[FT] ]=Report[[#This Row],[Score 2]],1,0))</f>
        <v>0</v>
      </c>
      <c r="V115" s="53">
        <f>IF(Report[[#This Row],[FT]]="","",IF(Report[[#This Row],[FT]]=Report[[#This Row],[Score 3]],1,0))</f>
        <v>0</v>
      </c>
      <c r="W115" s="53">
        <f>IF(Report[[#This Row],[FT]]="","",IF(Report[[#This Row],[FT]]=Report[[#This Row],[Score 4]],1,0))</f>
        <v>0</v>
      </c>
      <c r="X115" s="94">
        <f>IF(Report[[#This Row],[Résultat FT]]="",,IF(Report[[#This Row],[Résultat FT]]=Report[[#This Row],[Résultats]],(Suivi_Gain!$B$1*Report[[#This Row],[Cote FT]])-Suivi_Gain!$B$1,-Suivi_Gain!$B$1))</f>
        <v>0.84000000000000008</v>
      </c>
      <c r="Y115" s="94">
        <f>IF(Report[[#This Row],[FT]]="",,IF(Report[[#This Row],[FT]]=Report[[#This Row],[Score 1]],(Suivi_Gain!$G$1*Report[[#This Row],[Cote SE]])-Suivi_Gain!$G$1,-Suivi_Gain!$G$1))</f>
        <v>-1</v>
      </c>
      <c r="Z115" s="65">
        <f>IF(Report[[#This Row],[FT]]="",,IF(Report[[#This Row],[FT]]=Report[[#This Row],[Score 2]],Suivi_Gain!$G$1*Report[[#This Row],[Cote SE]],-Suivi_Gain!$G$1))</f>
        <v>-1</v>
      </c>
      <c r="AA115" s="65">
        <f>IF(Report[[#This Row],[FT]]="",,IF(Report[[#This Row],[FT]]=Report[[#This Row],[Score 3]],Suivi_Gain!$G$1*Report[[#This Row],[Cote SE]],-Suivi_Gain!$G$1))</f>
        <v>-1</v>
      </c>
      <c r="AB115" s="65">
        <f>IF(Report[[#This Row],[FT]]="",,IF(Report[[#This Row],[FT]]=Report[[#This Row],[Score 4]],Suivi_Gain!$G$1*Report[[#This Row],[Cote SE]],-Suivi_Gain!$G$1))</f>
        <v>-1</v>
      </c>
      <c r="AC115" s="18" t="str">
        <f>IF(Report[[#This Row],[Résultats SE]]="Gagné",Report[[#This Row],[FT]],"")</f>
        <v/>
      </c>
      <c r="AD115" s="18" t="str">
        <f>IF(AND(Report[[#This Row],[Résultats SE]]="Gagné",Report[[#This Row],[FT]]=Report[[#This Row],[Score 1]]),Report[[#This Row],[FT]],"")</f>
        <v/>
      </c>
      <c r="AE115" s="18" t="str">
        <f>IF(AND(Report[[#This Row],[Résultats SE]]="Gagné",Report[[#This Row],[FT]]=Report[[#This Row],[Score 2]]),Report[[#This Row],[FT]],"")</f>
        <v/>
      </c>
      <c r="AF115" s="18" t="str">
        <f>IF(AND(Report[[#This Row],[Résultats SE]]="Gagné",Report[[#This Row],[FT]]=Report[[#This Row],[Score 3]]),Report[[#This Row],[FT]],"")</f>
        <v/>
      </c>
      <c r="AG115" s="18" t="str">
        <f>IF(AND(Report[[#This Row],[Résultats SE]]="Gagné",Report[[#This Row],[FT]]=Report[[#This Row],[Score 4]]),Report[[#This Row],[FT]],"")</f>
        <v/>
      </c>
    </row>
    <row r="116" spans="1:33" ht="20.100000000000001" customHeight="1" x14ac:dyDescent="0.25">
      <c r="A116" s="11">
        <v>43429</v>
      </c>
      <c r="B116" s="7" t="s">
        <v>94</v>
      </c>
      <c r="C116" s="7" t="s">
        <v>123</v>
      </c>
      <c r="D116" s="10" t="s">
        <v>308</v>
      </c>
      <c r="E116" s="10" t="s">
        <v>307</v>
      </c>
      <c r="F116" s="7" t="s">
        <v>829</v>
      </c>
      <c r="G116" s="8" t="s">
        <v>830</v>
      </c>
      <c r="H116" s="9" t="s">
        <v>826</v>
      </c>
      <c r="I116" s="9" t="s">
        <v>831</v>
      </c>
      <c r="J116" s="9" t="s">
        <v>832</v>
      </c>
      <c r="K116" s="9" t="s">
        <v>308</v>
      </c>
      <c r="L116" s="16">
        <v>1.56</v>
      </c>
      <c r="M116" s="16" t="str">
        <f>IF(Report[[#This Row],[Résultat FT]]="","",IF(Report[[#This Row],[Résultats SE]]="Gagné","","-"))</f>
        <v>-</v>
      </c>
      <c r="N116" s="17" t="s">
        <v>853</v>
      </c>
      <c r="O116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Sp. Moscou</v>
      </c>
      <c r="P116" s="18">
        <f>IF(Report[[#This Row],[FT]]="",,(LEFT(Report[[#This Row],[FT]],SEARCH("-",Report[[#This Row],[FT]])-1)*1))</f>
        <v>3</v>
      </c>
      <c r="Q116" s="22">
        <f>IF(Report[[#This Row],[FT]]="",,(RIGHT(Report[[#This Row],[FT]],SEARCH("-",Report[[#This Row],[FT]])-1)*1))</f>
        <v>1</v>
      </c>
      <c r="R116" s="18" t="str">
        <f>IF(Report[Résultat FT]="","",IF(Report[Résultat FT]=Report[Résultats],"Gagné","Perdu"))</f>
        <v>Gagné</v>
      </c>
      <c r="S116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16" s="53">
        <f>IF(Report[[#This Row],[FT]]="","",IF(Report[[#This Row],[FT]]=Report[[#This Row],[Score 1]],1,0))</f>
        <v>0</v>
      </c>
      <c r="U116" s="53">
        <f>IF(Report[[#This Row],[FT]]="","",IF(Report[ [#This Row],[FT] ]=Report[[#This Row],[Score 2]],1,0))</f>
        <v>0</v>
      </c>
      <c r="V116" s="53">
        <f>IF(Report[[#This Row],[FT]]="","",IF(Report[[#This Row],[FT]]=Report[[#This Row],[Score 3]],1,0))</f>
        <v>0</v>
      </c>
      <c r="W116" s="53">
        <f>IF(Report[[#This Row],[FT]]="","",IF(Report[[#This Row],[FT]]=Report[[#This Row],[Score 4]],1,0))</f>
        <v>0</v>
      </c>
      <c r="X116" s="94">
        <f>IF(Report[[#This Row],[Résultat FT]]="",,IF(Report[[#This Row],[Résultat FT]]=Report[[#This Row],[Résultats]],(Suivi_Gain!$B$1*Report[[#This Row],[Cote FT]])-Suivi_Gain!$B$1,-Suivi_Gain!$B$1))</f>
        <v>0.56000000000000005</v>
      </c>
      <c r="Y116" s="94">
        <f>IF(Report[[#This Row],[FT]]="",,IF(Report[[#This Row],[FT]]=Report[[#This Row],[Score 1]],(Suivi_Gain!$G$1*Report[[#This Row],[Cote SE]])-Suivi_Gain!$G$1,-Suivi_Gain!$G$1))</f>
        <v>-1</v>
      </c>
      <c r="Z116" s="65">
        <f>IF(Report[[#This Row],[FT]]="",,IF(Report[[#This Row],[FT]]=Report[[#This Row],[Score 2]],Suivi_Gain!$G$1*Report[[#This Row],[Cote SE]],-Suivi_Gain!$G$1))</f>
        <v>-1</v>
      </c>
      <c r="AA116" s="65">
        <f>IF(Report[[#This Row],[FT]]="",,IF(Report[[#This Row],[FT]]=Report[[#This Row],[Score 3]],Suivi_Gain!$G$1*Report[[#This Row],[Cote SE]],-Suivi_Gain!$G$1))</f>
        <v>-1</v>
      </c>
      <c r="AB116" s="65">
        <f>IF(Report[[#This Row],[FT]]="",,IF(Report[[#This Row],[FT]]=Report[[#This Row],[Score 4]],Suivi_Gain!$G$1*Report[[#This Row],[Cote SE]],-Suivi_Gain!$G$1))</f>
        <v>-1</v>
      </c>
      <c r="AC116" s="18" t="str">
        <f>IF(Report[[#This Row],[Résultats SE]]="Gagné",Report[[#This Row],[FT]],"")</f>
        <v/>
      </c>
      <c r="AD116" s="18" t="str">
        <f>IF(AND(Report[[#This Row],[Résultats SE]]="Gagné",Report[[#This Row],[FT]]=Report[[#This Row],[Score 1]]),Report[[#This Row],[FT]],"")</f>
        <v/>
      </c>
      <c r="AE116" s="18" t="str">
        <f>IF(AND(Report[[#This Row],[Résultats SE]]="Gagné",Report[[#This Row],[FT]]=Report[[#This Row],[Score 2]]),Report[[#This Row],[FT]],"")</f>
        <v/>
      </c>
      <c r="AF116" s="18" t="str">
        <f>IF(AND(Report[[#This Row],[Résultats SE]]="Gagné",Report[[#This Row],[FT]]=Report[[#This Row],[Score 3]]),Report[[#This Row],[FT]],"")</f>
        <v/>
      </c>
      <c r="AG116" s="18" t="str">
        <f>IF(AND(Report[[#This Row],[Résultats SE]]="Gagné",Report[[#This Row],[FT]]=Report[[#This Row],[Score 4]]),Report[[#This Row],[FT]],"")</f>
        <v/>
      </c>
    </row>
    <row r="117" spans="1:33" ht="20.100000000000001" customHeight="1" x14ac:dyDescent="0.25">
      <c r="A117" s="11">
        <v>43429</v>
      </c>
      <c r="B117" s="7" t="s">
        <v>94</v>
      </c>
      <c r="C117" s="7" t="s">
        <v>123</v>
      </c>
      <c r="D117" s="10" t="s">
        <v>304</v>
      </c>
      <c r="E117" s="10" t="s">
        <v>299</v>
      </c>
      <c r="F117" s="7" t="s">
        <v>842</v>
      </c>
      <c r="G117" s="8" t="s">
        <v>838</v>
      </c>
      <c r="H117" s="9" t="s">
        <v>831</v>
      </c>
      <c r="I117" s="9" t="s">
        <v>834</v>
      </c>
      <c r="J117" s="9" t="s">
        <v>830</v>
      </c>
      <c r="K117" s="9" t="s">
        <v>304</v>
      </c>
      <c r="L117" s="16">
        <v>1.45</v>
      </c>
      <c r="M117" s="16" t="str">
        <f>IF(Report[[#This Row],[Résultat FT]]="","",IF(Report[[#This Row],[Résultats SE]]="Gagné","","-"))</f>
        <v>-</v>
      </c>
      <c r="N117" s="17" t="s">
        <v>832</v>
      </c>
      <c r="O117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Krasnodar</v>
      </c>
      <c r="P117" s="18">
        <f>IF(Report[[#This Row],[FT]]="",,(LEFT(Report[[#This Row],[FT]],SEARCH("-",Report[[#This Row],[FT]])-1)*1))</f>
        <v>3</v>
      </c>
      <c r="Q117" s="22">
        <f>IF(Report[[#This Row],[FT]]="",,(RIGHT(Report[[#This Row],[FT]],SEARCH("-",Report[[#This Row],[FT]])-1)*1))</f>
        <v>0</v>
      </c>
      <c r="R117" s="18" t="str">
        <f>IF(Report[Résultat FT]="","",IF(Report[Résultat FT]=Report[Résultats],"Gagné","Perdu"))</f>
        <v>Gagné</v>
      </c>
      <c r="S117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17" s="53">
        <f>IF(Report[[#This Row],[FT]]="","",IF(Report[[#This Row],[FT]]=Report[[#This Row],[Score 1]],1,0))</f>
        <v>0</v>
      </c>
      <c r="U117" s="53">
        <f>IF(Report[[#This Row],[FT]]="","",IF(Report[ [#This Row],[FT] ]=Report[[#This Row],[Score 2]],1,0))</f>
        <v>0</v>
      </c>
      <c r="V117" s="53">
        <f>IF(Report[[#This Row],[FT]]="","",IF(Report[[#This Row],[FT]]=Report[[#This Row],[Score 3]],1,0))</f>
        <v>0</v>
      </c>
      <c r="W117" s="53">
        <f>IF(Report[[#This Row],[FT]]="","",IF(Report[[#This Row],[FT]]=Report[[#This Row],[Score 4]],1,0))</f>
        <v>0</v>
      </c>
      <c r="X117" s="94">
        <f>IF(Report[[#This Row],[Résultat FT]]="",,IF(Report[[#This Row],[Résultat FT]]=Report[[#This Row],[Résultats]],(Suivi_Gain!$B$1*Report[[#This Row],[Cote FT]])-Suivi_Gain!$B$1,-Suivi_Gain!$B$1))</f>
        <v>0.44999999999999996</v>
      </c>
      <c r="Y117" s="94">
        <f>IF(Report[[#This Row],[FT]]="",,IF(Report[[#This Row],[FT]]=Report[[#This Row],[Score 1]],(Suivi_Gain!$G$1*Report[[#This Row],[Cote SE]])-Suivi_Gain!$G$1,-Suivi_Gain!$G$1))</f>
        <v>-1</v>
      </c>
      <c r="Z117" s="65">
        <f>IF(Report[[#This Row],[FT]]="",,IF(Report[[#This Row],[FT]]=Report[[#This Row],[Score 2]],Suivi_Gain!$G$1*Report[[#This Row],[Cote SE]],-Suivi_Gain!$G$1))</f>
        <v>-1</v>
      </c>
      <c r="AA117" s="65">
        <f>IF(Report[[#This Row],[FT]]="",,IF(Report[[#This Row],[FT]]=Report[[#This Row],[Score 3]],Suivi_Gain!$G$1*Report[[#This Row],[Cote SE]],-Suivi_Gain!$G$1))</f>
        <v>-1</v>
      </c>
      <c r="AB117" s="65">
        <f>IF(Report[[#This Row],[FT]]="",,IF(Report[[#This Row],[FT]]=Report[[#This Row],[Score 4]],Suivi_Gain!$G$1*Report[[#This Row],[Cote SE]],-Suivi_Gain!$G$1))</f>
        <v>-1</v>
      </c>
      <c r="AC117" s="18" t="str">
        <f>IF(Report[[#This Row],[Résultats SE]]="Gagné",Report[[#This Row],[FT]],"")</f>
        <v/>
      </c>
      <c r="AD117" s="18" t="str">
        <f>IF(AND(Report[[#This Row],[Résultats SE]]="Gagné",Report[[#This Row],[FT]]=Report[[#This Row],[Score 1]]),Report[[#This Row],[FT]],"")</f>
        <v/>
      </c>
      <c r="AE117" s="18" t="str">
        <f>IF(AND(Report[[#This Row],[Résultats SE]]="Gagné",Report[[#This Row],[FT]]=Report[[#This Row],[Score 2]]),Report[[#This Row],[FT]],"")</f>
        <v/>
      </c>
      <c r="AF117" s="18" t="str">
        <f>IF(AND(Report[[#This Row],[Résultats SE]]="Gagné",Report[[#This Row],[FT]]=Report[[#This Row],[Score 3]]),Report[[#This Row],[FT]],"")</f>
        <v/>
      </c>
      <c r="AG117" s="18" t="str">
        <f>IF(AND(Report[[#This Row],[Résultats SE]]="Gagné",Report[[#This Row],[FT]]=Report[[#This Row],[Score 4]]),Report[[#This Row],[FT]],"")</f>
        <v/>
      </c>
    </row>
    <row r="118" spans="1:33" ht="20.100000000000001" customHeight="1" x14ac:dyDescent="0.25">
      <c r="A118" s="11">
        <v>43429</v>
      </c>
      <c r="B118" s="7" t="s">
        <v>94</v>
      </c>
      <c r="C118" s="7" t="s">
        <v>123</v>
      </c>
      <c r="D118" s="10" t="s">
        <v>312</v>
      </c>
      <c r="E118" s="10" t="s">
        <v>302</v>
      </c>
      <c r="F118" s="7" t="s">
        <v>844</v>
      </c>
      <c r="G118" s="8" t="s">
        <v>826</v>
      </c>
      <c r="H118" s="9" t="s">
        <v>845</v>
      </c>
      <c r="I118" s="9" t="s">
        <v>846</v>
      </c>
      <c r="J118" s="9" t="s">
        <v>847</v>
      </c>
      <c r="K118" s="9" t="s">
        <v>233</v>
      </c>
      <c r="L118" s="16" t="str">
        <f>IF(Report[Résultat FT]="","",IF(Report[Résultat FT]=Report[Résultats],"","-"))</f>
        <v>-</v>
      </c>
      <c r="M118" s="16" t="str">
        <f>IF(Report[[#This Row],[Résultat FT]]="","",IF(Report[[#This Row],[Résultats SE]]="Gagné","","-"))</f>
        <v>-</v>
      </c>
      <c r="N118" s="17" t="s">
        <v>831</v>
      </c>
      <c r="O118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Zenit Petersburg</v>
      </c>
      <c r="P118" s="18">
        <f>IF(Report[[#This Row],[FT]]="",,(LEFT(Report[[#This Row],[FT]],SEARCH("-",Report[[#This Row],[FT]])-1)*1))</f>
        <v>2</v>
      </c>
      <c r="Q118" s="22">
        <f>IF(Report[[#This Row],[FT]]="",,(RIGHT(Report[[#This Row],[FT]],SEARCH("-",Report[[#This Row],[FT]])-1)*1))</f>
        <v>0</v>
      </c>
      <c r="R118" s="18" t="str">
        <f>IF(Report[Résultat FT]="","",IF(Report[Résultat FT]=Report[Résultats],"Gagné","Perdu"))</f>
        <v>Perdu</v>
      </c>
      <c r="S118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18" s="53">
        <f>IF(Report[[#This Row],[FT]]="","",IF(Report[[#This Row],[FT]]=Report[[#This Row],[Score 1]],1,0))</f>
        <v>0</v>
      </c>
      <c r="U118" s="53">
        <f>IF(Report[[#This Row],[FT]]="","",IF(Report[ [#This Row],[FT] ]=Report[[#This Row],[Score 2]],1,0))</f>
        <v>0</v>
      </c>
      <c r="V118" s="53">
        <f>IF(Report[[#This Row],[FT]]="","",IF(Report[[#This Row],[FT]]=Report[[#This Row],[Score 3]],1,0))</f>
        <v>0</v>
      </c>
      <c r="W118" s="53">
        <f>IF(Report[[#This Row],[FT]]="","",IF(Report[[#This Row],[FT]]=Report[[#This Row],[Score 4]],1,0))</f>
        <v>0</v>
      </c>
      <c r="X118" s="94">
        <f>IF(Report[[#This Row],[Résultat FT]]="",,IF(Report[[#This Row],[Résultat FT]]=Report[[#This Row],[Résultats]],(Suivi_Gain!$B$1*Report[[#This Row],[Cote FT]])-Suivi_Gain!$B$1,-Suivi_Gain!$B$1))</f>
        <v>-1</v>
      </c>
      <c r="Y118" s="94">
        <f>IF(Report[[#This Row],[FT]]="",,IF(Report[[#This Row],[FT]]=Report[[#This Row],[Score 1]],(Suivi_Gain!$G$1*Report[[#This Row],[Cote SE]])-Suivi_Gain!$G$1,-Suivi_Gain!$G$1))</f>
        <v>-1</v>
      </c>
      <c r="Z118" s="65">
        <f>IF(Report[[#This Row],[FT]]="",,IF(Report[[#This Row],[FT]]=Report[[#This Row],[Score 2]],Suivi_Gain!$G$1*Report[[#This Row],[Cote SE]],-Suivi_Gain!$G$1))</f>
        <v>-1</v>
      </c>
      <c r="AA118" s="65">
        <f>IF(Report[[#This Row],[FT]]="",,IF(Report[[#This Row],[FT]]=Report[[#This Row],[Score 3]],Suivi_Gain!$G$1*Report[[#This Row],[Cote SE]],-Suivi_Gain!$G$1))</f>
        <v>-1</v>
      </c>
      <c r="AB118" s="65">
        <f>IF(Report[[#This Row],[FT]]="",,IF(Report[[#This Row],[FT]]=Report[[#This Row],[Score 4]],Suivi_Gain!$G$1*Report[[#This Row],[Cote SE]],-Suivi_Gain!$G$1))</f>
        <v>-1</v>
      </c>
      <c r="AC118" s="18" t="str">
        <f>IF(Report[[#This Row],[Résultats SE]]="Gagné",Report[[#This Row],[FT]],"")</f>
        <v/>
      </c>
      <c r="AD118" s="18" t="str">
        <f>IF(AND(Report[[#This Row],[Résultats SE]]="Gagné",Report[[#This Row],[FT]]=Report[[#This Row],[Score 1]]),Report[[#This Row],[FT]],"")</f>
        <v/>
      </c>
      <c r="AE118" s="18" t="str">
        <f>IF(AND(Report[[#This Row],[Résultats SE]]="Gagné",Report[[#This Row],[FT]]=Report[[#This Row],[Score 2]]),Report[[#This Row],[FT]],"")</f>
        <v/>
      </c>
      <c r="AF118" s="18" t="str">
        <f>IF(AND(Report[[#This Row],[Résultats SE]]="Gagné",Report[[#This Row],[FT]]=Report[[#This Row],[Score 3]]),Report[[#This Row],[FT]],"")</f>
        <v/>
      </c>
      <c r="AG118" s="18" t="str">
        <f>IF(AND(Report[[#This Row],[Résultats SE]]="Gagné",Report[[#This Row],[FT]]=Report[[#This Row],[Score 4]]),Report[[#This Row],[FT]],"")</f>
        <v/>
      </c>
    </row>
    <row r="119" spans="1:33" ht="20.100000000000001" customHeight="1" x14ac:dyDescent="0.25">
      <c r="A119" s="11">
        <v>43429</v>
      </c>
      <c r="B119" s="7" t="s">
        <v>91</v>
      </c>
      <c r="C119" s="7" t="s">
        <v>124</v>
      </c>
      <c r="D119" s="10" t="s">
        <v>428</v>
      </c>
      <c r="E119" s="10" t="s">
        <v>422</v>
      </c>
      <c r="F119" s="7" t="s">
        <v>861</v>
      </c>
      <c r="G119" s="8" t="s">
        <v>831</v>
      </c>
      <c r="H119" s="9" t="s">
        <v>830</v>
      </c>
      <c r="I119" s="9" t="s">
        <v>832</v>
      </c>
      <c r="J119" s="9" t="s">
        <v>826</v>
      </c>
      <c r="K119" s="9" t="s">
        <v>428</v>
      </c>
      <c r="L119" s="16">
        <v>1.01</v>
      </c>
      <c r="M119" s="16" t="str">
        <f>IF(Report[[#This Row],[Résultat FT]]="","",IF(Report[[#This Row],[Résultats SE]]="Gagné","","-"))</f>
        <v>-</v>
      </c>
      <c r="N119" s="17" t="s">
        <v>882</v>
      </c>
      <c r="O119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Partizan Belgrade</v>
      </c>
      <c r="P119" s="18">
        <f>IF(Report[[#This Row],[FT]]="",,(LEFT(Report[[#This Row],[FT]],SEARCH("-",Report[[#This Row],[FT]])-1)*1))</f>
        <v>6</v>
      </c>
      <c r="Q119" s="22">
        <f>IF(Report[[#This Row],[FT]]="",,(RIGHT(Report[[#This Row],[FT]],SEARCH("-",Report[[#This Row],[FT]])-1)*1))</f>
        <v>0</v>
      </c>
      <c r="R119" s="18" t="str">
        <f>IF(Report[Résultat FT]="","",IF(Report[Résultat FT]=Report[Résultats],"Gagné","Perdu"))</f>
        <v>Gagné</v>
      </c>
      <c r="S119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19" s="53">
        <f>IF(Report[[#This Row],[FT]]="","",IF(Report[[#This Row],[FT]]=Report[[#This Row],[Score 1]],1,0))</f>
        <v>0</v>
      </c>
      <c r="U119" s="53">
        <f>IF(Report[[#This Row],[FT]]="","",IF(Report[ [#This Row],[FT] ]=Report[[#This Row],[Score 2]],1,0))</f>
        <v>0</v>
      </c>
      <c r="V119" s="53">
        <f>IF(Report[[#This Row],[FT]]="","",IF(Report[[#This Row],[FT]]=Report[[#This Row],[Score 3]],1,0))</f>
        <v>0</v>
      </c>
      <c r="W119" s="53">
        <f>IF(Report[[#This Row],[FT]]="","",IF(Report[[#This Row],[FT]]=Report[[#This Row],[Score 4]],1,0))</f>
        <v>0</v>
      </c>
      <c r="X119" s="94">
        <f>IF(Report[[#This Row],[Résultat FT]]="",,IF(Report[[#This Row],[Résultat FT]]=Report[[#This Row],[Résultats]],(Suivi_Gain!$B$1*Report[[#This Row],[Cote FT]])-Suivi_Gain!$B$1,-Suivi_Gain!$B$1))</f>
        <v>1.0000000000000009E-2</v>
      </c>
      <c r="Y119" s="94">
        <f>IF(Report[[#This Row],[FT]]="",,IF(Report[[#This Row],[FT]]=Report[[#This Row],[Score 1]],(Suivi_Gain!$G$1*Report[[#This Row],[Cote SE]])-Suivi_Gain!$G$1,-Suivi_Gain!$G$1))</f>
        <v>-1</v>
      </c>
      <c r="Z119" s="65">
        <f>IF(Report[[#This Row],[FT]]="",,IF(Report[[#This Row],[FT]]=Report[[#This Row],[Score 2]],Suivi_Gain!$G$1*Report[[#This Row],[Cote SE]],-Suivi_Gain!$G$1))</f>
        <v>-1</v>
      </c>
      <c r="AA119" s="65">
        <f>IF(Report[[#This Row],[FT]]="",,IF(Report[[#This Row],[FT]]=Report[[#This Row],[Score 3]],Suivi_Gain!$G$1*Report[[#This Row],[Cote SE]],-Suivi_Gain!$G$1))</f>
        <v>-1</v>
      </c>
      <c r="AB119" s="65">
        <f>IF(Report[[#This Row],[FT]]="",,IF(Report[[#This Row],[FT]]=Report[[#This Row],[Score 4]],Suivi_Gain!$G$1*Report[[#This Row],[Cote SE]],-Suivi_Gain!$G$1))</f>
        <v>-1</v>
      </c>
      <c r="AC119" s="18" t="str">
        <f>IF(Report[[#This Row],[Résultats SE]]="Gagné",Report[[#This Row],[FT]],"")</f>
        <v/>
      </c>
      <c r="AD119" s="18" t="str">
        <f>IF(AND(Report[[#This Row],[Résultats SE]]="Gagné",Report[[#This Row],[FT]]=Report[[#This Row],[Score 1]]),Report[[#This Row],[FT]],"")</f>
        <v/>
      </c>
      <c r="AE119" s="18" t="str">
        <f>IF(AND(Report[[#This Row],[Résultats SE]]="Gagné",Report[[#This Row],[FT]]=Report[[#This Row],[Score 2]]),Report[[#This Row],[FT]],"")</f>
        <v/>
      </c>
      <c r="AF119" s="18" t="str">
        <f>IF(AND(Report[[#This Row],[Résultats SE]]="Gagné",Report[[#This Row],[FT]]=Report[[#This Row],[Score 3]]),Report[[#This Row],[FT]],"")</f>
        <v/>
      </c>
      <c r="AG119" s="18" t="str">
        <f>IF(AND(Report[[#This Row],[Résultats SE]]="Gagné",Report[[#This Row],[FT]]=Report[[#This Row],[Score 4]]),Report[[#This Row],[FT]],"")</f>
        <v/>
      </c>
    </row>
    <row r="120" spans="1:33" ht="20.100000000000001" customHeight="1" x14ac:dyDescent="0.25">
      <c r="A120" s="11">
        <v>43429</v>
      </c>
      <c r="B120" s="7" t="s">
        <v>92</v>
      </c>
      <c r="C120" s="7" t="s">
        <v>126</v>
      </c>
      <c r="D120" s="10" t="s">
        <v>445</v>
      </c>
      <c r="E120" s="10" t="s">
        <v>438</v>
      </c>
      <c r="F120" s="7" t="s">
        <v>840</v>
      </c>
      <c r="G120" s="8" t="s">
        <v>841</v>
      </c>
      <c r="H120" s="9" t="s">
        <v>839</v>
      </c>
      <c r="I120" s="9" t="s">
        <v>828</v>
      </c>
      <c r="J120" s="9" t="s">
        <v>827</v>
      </c>
      <c r="K120" s="9" t="s">
        <v>438</v>
      </c>
      <c r="L120" s="16">
        <v>1.35</v>
      </c>
      <c r="M120" s="16" t="str">
        <f>IF(Report[[#This Row],[Résultat FT]]="","",IF(Report[[#This Row],[Résultats SE]]="Gagné","","-"))</f>
        <v>-</v>
      </c>
      <c r="N120" s="17" t="s">
        <v>852</v>
      </c>
      <c r="O120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Domzale</v>
      </c>
      <c r="P120" s="18">
        <f>IF(Report[[#This Row],[FT]]="",,(LEFT(Report[[#This Row],[FT]],SEARCH("-",Report[[#This Row],[FT]])-1)*1))</f>
        <v>1</v>
      </c>
      <c r="Q120" s="22">
        <f>IF(Report[[#This Row],[FT]]="",,(RIGHT(Report[[#This Row],[FT]],SEARCH("-",Report[[#This Row],[FT]])-1)*1))</f>
        <v>4</v>
      </c>
      <c r="R120" s="18" t="str">
        <f>IF(Report[Résultat FT]="","",IF(Report[Résultat FT]=Report[Résultats],"Gagné","Perdu"))</f>
        <v>Gagné</v>
      </c>
      <c r="S120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20" s="53">
        <f>IF(Report[[#This Row],[FT]]="","",IF(Report[[#This Row],[FT]]=Report[[#This Row],[Score 1]],1,0))</f>
        <v>0</v>
      </c>
      <c r="U120" s="53">
        <f>IF(Report[[#This Row],[FT]]="","",IF(Report[ [#This Row],[FT] ]=Report[[#This Row],[Score 2]],1,0))</f>
        <v>0</v>
      </c>
      <c r="V120" s="53">
        <f>IF(Report[[#This Row],[FT]]="","",IF(Report[[#This Row],[FT]]=Report[[#This Row],[Score 3]],1,0))</f>
        <v>0</v>
      </c>
      <c r="W120" s="53">
        <f>IF(Report[[#This Row],[FT]]="","",IF(Report[[#This Row],[FT]]=Report[[#This Row],[Score 4]],1,0))</f>
        <v>0</v>
      </c>
      <c r="X120" s="94">
        <f>IF(Report[[#This Row],[Résultat FT]]="",,IF(Report[[#This Row],[Résultat FT]]=Report[[#This Row],[Résultats]],(Suivi_Gain!$B$1*Report[[#This Row],[Cote FT]])-Suivi_Gain!$B$1,-Suivi_Gain!$B$1))</f>
        <v>0.35000000000000009</v>
      </c>
      <c r="Y120" s="94">
        <f>IF(Report[[#This Row],[FT]]="",,IF(Report[[#This Row],[FT]]=Report[[#This Row],[Score 1]],(Suivi_Gain!$G$1*Report[[#This Row],[Cote SE]])-Suivi_Gain!$G$1,-Suivi_Gain!$G$1))</f>
        <v>-1</v>
      </c>
      <c r="Z120" s="65">
        <f>IF(Report[[#This Row],[FT]]="",,IF(Report[[#This Row],[FT]]=Report[[#This Row],[Score 2]],Suivi_Gain!$G$1*Report[[#This Row],[Cote SE]],-Suivi_Gain!$G$1))</f>
        <v>-1</v>
      </c>
      <c r="AA120" s="65">
        <f>IF(Report[[#This Row],[FT]]="",,IF(Report[[#This Row],[FT]]=Report[[#This Row],[Score 3]],Suivi_Gain!$G$1*Report[[#This Row],[Cote SE]],-Suivi_Gain!$G$1))</f>
        <v>-1</v>
      </c>
      <c r="AB120" s="65">
        <f>IF(Report[[#This Row],[FT]]="",,IF(Report[[#This Row],[FT]]=Report[[#This Row],[Score 4]],Suivi_Gain!$G$1*Report[[#This Row],[Cote SE]],-Suivi_Gain!$G$1))</f>
        <v>-1</v>
      </c>
      <c r="AC120" s="18" t="str">
        <f>IF(Report[[#This Row],[Résultats SE]]="Gagné",Report[[#This Row],[FT]],"")</f>
        <v/>
      </c>
      <c r="AD120" s="18" t="str">
        <f>IF(AND(Report[[#This Row],[Résultats SE]]="Gagné",Report[[#This Row],[FT]]=Report[[#This Row],[Score 1]]),Report[[#This Row],[FT]],"")</f>
        <v/>
      </c>
      <c r="AE120" s="18" t="str">
        <f>IF(AND(Report[[#This Row],[Résultats SE]]="Gagné",Report[[#This Row],[FT]]=Report[[#This Row],[Score 2]]),Report[[#This Row],[FT]],"")</f>
        <v/>
      </c>
      <c r="AF120" s="18" t="str">
        <f>IF(AND(Report[[#This Row],[Résultats SE]]="Gagné",Report[[#This Row],[FT]]=Report[[#This Row],[Score 3]]),Report[[#This Row],[FT]],"")</f>
        <v/>
      </c>
      <c r="AG120" s="18" t="str">
        <f>IF(AND(Report[[#This Row],[Résultats SE]]="Gagné",Report[[#This Row],[FT]]=Report[[#This Row],[Score 4]]),Report[[#This Row],[FT]],"")</f>
        <v/>
      </c>
    </row>
    <row r="121" spans="1:33" ht="20.100000000000001" customHeight="1" x14ac:dyDescent="0.25">
      <c r="A121" s="11">
        <v>43429</v>
      </c>
      <c r="B121" s="7" t="s">
        <v>92</v>
      </c>
      <c r="C121" s="7" t="s">
        <v>126</v>
      </c>
      <c r="D121" s="10" t="s">
        <v>439</v>
      </c>
      <c r="E121" s="10" t="s">
        <v>436</v>
      </c>
      <c r="F121" s="7" t="s">
        <v>833</v>
      </c>
      <c r="G121" s="8" t="s">
        <v>834</v>
      </c>
      <c r="H121" s="9" t="s">
        <v>830</v>
      </c>
      <c r="I121" s="9" t="s">
        <v>825</v>
      </c>
      <c r="J121" s="9" t="s">
        <v>826</v>
      </c>
      <c r="K121" s="9" t="s">
        <v>233</v>
      </c>
      <c r="L121" s="16" t="str">
        <f>IF(Report[Résultat FT]="","",IF(Report[Résultat FT]=Report[Résultats],"","-"))</f>
        <v>-</v>
      </c>
      <c r="M121" s="16">
        <v>10</v>
      </c>
      <c r="N121" s="17" t="s">
        <v>825</v>
      </c>
      <c r="O121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Aluminij</v>
      </c>
      <c r="P121" s="18">
        <f>IF(Report[[#This Row],[FT]]="",,(LEFT(Report[[#This Row],[FT]],SEARCH("-",Report[[#This Row],[FT]])-1)*1))</f>
        <v>0</v>
      </c>
      <c r="Q121" s="22">
        <f>IF(Report[[#This Row],[FT]]="",,(RIGHT(Report[[#This Row],[FT]],SEARCH("-",Report[[#This Row],[FT]])-1)*1))</f>
        <v>1</v>
      </c>
      <c r="R121" s="18" t="str">
        <f>IF(Report[Résultat FT]="","",IF(Report[Résultat FT]=Report[Résultats],"Gagné","Perdu"))</f>
        <v>Perdu</v>
      </c>
      <c r="S121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121" s="53">
        <f>IF(Report[[#This Row],[FT]]="","",IF(Report[[#This Row],[FT]]=Report[[#This Row],[Score 1]],1,0))</f>
        <v>0</v>
      </c>
      <c r="U121" s="53">
        <f>IF(Report[[#This Row],[FT]]="","",IF(Report[ [#This Row],[FT] ]=Report[[#This Row],[Score 2]],1,0))</f>
        <v>0</v>
      </c>
      <c r="V121" s="53">
        <f>IF(Report[[#This Row],[FT]]="","",IF(Report[[#This Row],[FT]]=Report[[#This Row],[Score 3]],1,0))</f>
        <v>1</v>
      </c>
      <c r="W121" s="53">
        <f>IF(Report[[#This Row],[FT]]="","",IF(Report[[#This Row],[FT]]=Report[[#This Row],[Score 4]],1,0))</f>
        <v>0</v>
      </c>
      <c r="X121" s="94">
        <f>IF(Report[[#This Row],[Résultat FT]]="",,IF(Report[[#This Row],[Résultat FT]]=Report[[#This Row],[Résultats]],(Suivi_Gain!$B$1*Report[[#This Row],[Cote FT]])-Suivi_Gain!$B$1,-Suivi_Gain!$B$1))</f>
        <v>-1</v>
      </c>
      <c r="Y121" s="94">
        <f>IF(Report[[#This Row],[FT]]="",,IF(Report[[#This Row],[FT]]=Report[[#This Row],[Score 1]],(Suivi_Gain!$G$1*Report[[#This Row],[Cote SE]])-Suivi_Gain!$G$1,-Suivi_Gain!$G$1))</f>
        <v>-1</v>
      </c>
      <c r="Z121" s="65">
        <f>IF(Report[[#This Row],[FT]]="",,IF(Report[[#This Row],[FT]]=Report[[#This Row],[Score 2]],Suivi_Gain!$G$1*Report[[#This Row],[Cote SE]],-Suivi_Gain!$G$1))</f>
        <v>-1</v>
      </c>
      <c r="AA121" s="65">
        <f>IF(Report[[#This Row],[FT]]="",,IF(Report[[#This Row],[FT]]=Report[[#This Row],[Score 3]],Suivi_Gain!$G$1*Report[[#This Row],[Cote SE]],-Suivi_Gain!$G$1))</f>
        <v>10</v>
      </c>
      <c r="AB121" s="65">
        <f>IF(Report[[#This Row],[FT]]="",,IF(Report[[#This Row],[FT]]=Report[[#This Row],[Score 4]],Suivi_Gain!$G$1*Report[[#This Row],[Cote SE]],-Suivi_Gain!$G$1))</f>
        <v>-1</v>
      </c>
      <c r="AC121" s="18" t="str">
        <f>IF(Report[[#This Row],[Résultats SE]]="Gagné",Report[[#This Row],[FT]],"")</f>
        <v>0-1</v>
      </c>
      <c r="AD121" s="18" t="str">
        <f>IF(AND(Report[[#This Row],[Résultats SE]]="Gagné",Report[[#This Row],[FT]]=Report[[#This Row],[Score 1]]),Report[[#This Row],[FT]],"")</f>
        <v/>
      </c>
      <c r="AE121" s="18" t="str">
        <f>IF(AND(Report[[#This Row],[Résultats SE]]="Gagné",Report[[#This Row],[FT]]=Report[[#This Row],[Score 2]]),Report[[#This Row],[FT]],"")</f>
        <v/>
      </c>
      <c r="AF121" s="18" t="str">
        <f>IF(AND(Report[[#This Row],[Résultats SE]]="Gagné",Report[[#This Row],[FT]]=Report[[#This Row],[Score 3]]),Report[[#This Row],[FT]],"")</f>
        <v>0-1</v>
      </c>
      <c r="AG121" s="18" t="str">
        <f>IF(AND(Report[[#This Row],[Résultats SE]]="Gagné",Report[[#This Row],[FT]]=Report[[#This Row],[Score 4]]),Report[[#This Row],[FT]],"")</f>
        <v/>
      </c>
    </row>
    <row r="122" spans="1:33" ht="20.100000000000001" customHeight="1" x14ac:dyDescent="0.25">
      <c r="A122" s="11">
        <v>43429</v>
      </c>
      <c r="B122" s="7" t="s">
        <v>96</v>
      </c>
      <c r="C122" s="7" t="s">
        <v>127</v>
      </c>
      <c r="D122" s="10" t="s">
        <v>797</v>
      </c>
      <c r="E122" s="10" t="s">
        <v>801</v>
      </c>
      <c r="F122" s="7" t="s">
        <v>843</v>
      </c>
      <c r="G122" s="8" t="s">
        <v>839</v>
      </c>
      <c r="H122" s="9" t="s">
        <v>834</v>
      </c>
      <c r="I122" s="9" t="s">
        <v>827</v>
      </c>
      <c r="J122" s="9" t="s">
        <v>825</v>
      </c>
      <c r="K122" s="9" t="s">
        <v>801</v>
      </c>
      <c r="L122" s="16" t="str">
        <f>IF(Report[Résultat FT]="","",IF(Report[Résultat FT]=Report[Résultats],"","-"))</f>
        <v>-</v>
      </c>
      <c r="M122" s="16" t="str">
        <f>IF(Report[[#This Row],[Résultat FT]]="","",IF(Report[[#This Row],[Résultats SE]]="Gagné","","-"))</f>
        <v>-</v>
      </c>
      <c r="N122" s="17" t="s">
        <v>838</v>
      </c>
      <c r="O122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Grasshoppers</v>
      </c>
      <c r="P122" s="18">
        <f>IF(Report[[#This Row],[FT]]="",,(LEFT(Report[[#This Row],[FT]],SEARCH("-",Report[[#This Row],[FT]])-1)*1))</f>
        <v>2</v>
      </c>
      <c r="Q122" s="22">
        <f>IF(Report[[#This Row],[FT]]="",,(RIGHT(Report[[#This Row],[FT]],SEARCH("-",Report[[#This Row],[FT]])-1)*1))</f>
        <v>1</v>
      </c>
      <c r="R122" s="18" t="str">
        <f>IF(Report[Résultat FT]="","",IF(Report[Résultat FT]=Report[Résultats],"Gagné","Perdu"))</f>
        <v>Perdu</v>
      </c>
      <c r="S122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22" s="53">
        <f>IF(Report[[#This Row],[FT]]="","",IF(Report[[#This Row],[FT]]=Report[[#This Row],[Score 1]],1,0))</f>
        <v>0</v>
      </c>
      <c r="U122" s="53">
        <f>IF(Report[[#This Row],[FT]]="","",IF(Report[ [#This Row],[FT] ]=Report[[#This Row],[Score 2]],1,0))</f>
        <v>0</v>
      </c>
      <c r="V122" s="53">
        <f>IF(Report[[#This Row],[FT]]="","",IF(Report[[#This Row],[FT]]=Report[[#This Row],[Score 3]],1,0))</f>
        <v>0</v>
      </c>
      <c r="W122" s="53">
        <f>IF(Report[[#This Row],[FT]]="","",IF(Report[[#This Row],[FT]]=Report[[#This Row],[Score 4]],1,0))</f>
        <v>0</v>
      </c>
      <c r="X122" s="94">
        <f>IF(Report[[#This Row],[Résultat FT]]="",,IF(Report[[#This Row],[Résultat FT]]=Report[[#This Row],[Résultats]],(Suivi_Gain!$B$1*Report[[#This Row],[Cote FT]])-Suivi_Gain!$B$1,-Suivi_Gain!$B$1))</f>
        <v>-1</v>
      </c>
      <c r="Y122" s="94">
        <f>IF(Report[[#This Row],[FT]]="",,IF(Report[[#This Row],[FT]]=Report[[#This Row],[Score 1]],(Suivi_Gain!$G$1*Report[[#This Row],[Cote SE]])-Suivi_Gain!$G$1,-Suivi_Gain!$G$1))</f>
        <v>-1</v>
      </c>
      <c r="Z122" s="65">
        <f>IF(Report[[#This Row],[FT]]="",,IF(Report[[#This Row],[FT]]=Report[[#This Row],[Score 2]],Suivi_Gain!$G$1*Report[[#This Row],[Cote SE]],-Suivi_Gain!$G$1))</f>
        <v>-1</v>
      </c>
      <c r="AA122" s="65">
        <f>IF(Report[[#This Row],[FT]]="",,IF(Report[[#This Row],[FT]]=Report[[#This Row],[Score 3]],Suivi_Gain!$G$1*Report[[#This Row],[Cote SE]],-Suivi_Gain!$G$1))</f>
        <v>-1</v>
      </c>
      <c r="AB122" s="65">
        <f>IF(Report[[#This Row],[FT]]="",,IF(Report[[#This Row],[FT]]=Report[[#This Row],[Score 4]],Suivi_Gain!$G$1*Report[[#This Row],[Cote SE]],-Suivi_Gain!$G$1))</f>
        <v>-1</v>
      </c>
      <c r="AC122" s="18" t="str">
        <f>IF(Report[[#This Row],[Résultats SE]]="Gagné",Report[[#This Row],[FT]],"")</f>
        <v/>
      </c>
      <c r="AD122" s="18" t="str">
        <f>IF(AND(Report[[#This Row],[Résultats SE]]="Gagné",Report[[#This Row],[FT]]=Report[[#This Row],[Score 1]]),Report[[#This Row],[FT]],"")</f>
        <v/>
      </c>
      <c r="AE122" s="18" t="str">
        <f>IF(AND(Report[[#This Row],[Résultats SE]]="Gagné",Report[[#This Row],[FT]]=Report[[#This Row],[Score 2]]),Report[[#This Row],[FT]],"")</f>
        <v/>
      </c>
      <c r="AF122" s="18" t="str">
        <f>IF(AND(Report[[#This Row],[Résultats SE]]="Gagné",Report[[#This Row],[FT]]=Report[[#This Row],[Score 3]]),Report[[#This Row],[FT]],"")</f>
        <v/>
      </c>
      <c r="AG122" s="18" t="str">
        <f>IF(AND(Report[[#This Row],[Résultats SE]]="Gagné",Report[[#This Row],[FT]]=Report[[#This Row],[Score 4]]),Report[[#This Row],[FT]],"")</f>
        <v/>
      </c>
    </row>
    <row r="123" spans="1:33" ht="20.100000000000001" customHeight="1" x14ac:dyDescent="0.25">
      <c r="A123" s="11">
        <v>43429</v>
      </c>
      <c r="B123" s="7" t="s">
        <v>96</v>
      </c>
      <c r="C123" s="7" t="s">
        <v>127</v>
      </c>
      <c r="D123" s="19" t="s">
        <v>799</v>
      </c>
      <c r="E123" s="19" t="s">
        <v>796</v>
      </c>
      <c r="F123" s="7" t="s">
        <v>913</v>
      </c>
      <c r="G123" s="20" t="s">
        <v>851</v>
      </c>
      <c r="H123" s="20" t="s">
        <v>837</v>
      </c>
      <c r="I123" s="20" t="s">
        <v>841</v>
      </c>
      <c r="J123" s="20" t="s">
        <v>839</v>
      </c>
      <c r="K123" s="9" t="s">
        <v>796</v>
      </c>
      <c r="L123" s="16" t="str">
        <f>IF(Report[Résultat FT]="","",IF(Report[Résultat FT]=Report[Résultats],"","-"))</f>
        <v>-</v>
      </c>
      <c r="M123" s="16" t="str">
        <f>IF(Report[[#This Row],[Résultat FT]]="","",IF(Report[[#This Row],[Résultats SE]]="Gagné","","-"))</f>
        <v>-</v>
      </c>
      <c r="N123" s="17" t="s">
        <v>834</v>
      </c>
      <c r="O123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123" s="18">
        <f>IF(Report[[#This Row],[FT]]="",,(LEFT(Report[[#This Row],[FT]],SEARCH("-",Report[[#This Row],[FT]])-1)*1))</f>
        <v>1</v>
      </c>
      <c r="Q123" s="22">
        <f>IF(Report[[#This Row],[FT]]="",,(RIGHT(Report[[#This Row],[FT]],SEARCH("-",Report[[#This Row],[FT]])-1)*1))</f>
        <v>1</v>
      </c>
      <c r="R123" s="18" t="str">
        <f>IF(Report[Résultat FT]="","",IF(Report[Résultat FT]=Report[Résultats],"Gagné","Perdu"))</f>
        <v>Perdu</v>
      </c>
      <c r="S123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23" s="53">
        <f>IF(Report[[#This Row],[FT]]="","",IF(Report[[#This Row],[FT]]=Report[[#This Row],[Score 1]],1,0))</f>
        <v>0</v>
      </c>
      <c r="U123" s="53">
        <f>IF(Report[[#This Row],[FT]]="","",IF(Report[ [#This Row],[FT] ]=Report[[#This Row],[Score 2]],1,0))</f>
        <v>0</v>
      </c>
      <c r="V123" s="53">
        <f>IF(Report[[#This Row],[FT]]="","",IF(Report[[#This Row],[FT]]=Report[[#This Row],[Score 3]],1,0))</f>
        <v>0</v>
      </c>
      <c r="W123" s="53">
        <f>IF(Report[[#This Row],[FT]]="","",IF(Report[[#This Row],[FT]]=Report[[#This Row],[Score 4]],1,0))</f>
        <v>0</v>
      </c>
      <c r="X123" s="94">
        <f>IF(Report[[#This Row],[Résultat FT]]="",,IF(Report[[#This Row],[Résultat FT]]=Report[[#This Row],[Résultats]],(Suivi_Gain!$B$1*Report[[#This Row],[Cote FT]])-Suivi_Gain!$B$1,-Suivi_Gain!$B$1))</f>
        <v>-1</v>
      </c>
      <c r="Y123" s="94">
        <f>IF(Report[[#This Row],[FT]]="",,IF(Report[[#This Row],[FT]]=Report[[#This Row],[Score 1]],(Suivi_Gain!$G$1*Report[[#This Row],[Cote SE]])-Suivi_Gain!$G$1,-Suivi_Gain!$G$1))</f>
        <v>-1</v>
      </c>
      <c r="Z123" s="65">
        <f>IF(Report[[#This Row],[FT]]="",,IF(Report[[#This Row],[FT]]=Report[[#This Row],[Score 2]],Suivi_Gain!$G$1*Report[[#This Row],[Cote SE]],-Suivi_Gain!$G$1))</f>
        <v>-1</v>
      </c>
      <c r="AA123" s="65">
        <f>IF(Report[[#This Row],[FT]]="",,IF(Report[[#This Row],[FT]]=Report[[#This Row],[Score 3]],Suivi_Gain!$G$1*Report[[#This Row],[Cote SE]],-Suivi_Gain!$G$1))</f>
        <v>-1</v>
      </c>
      <c r="AB123" s="65">
        <f>IF(Report[[#This Row],[FT]]="",,IF(Report[[#This Row],[FT]]=Report[[#This Row],[Score 4]],Suivi_Gain!$G$1*Report[[#This Row],[Cote SE]],-Suivi_Gain!$G$1))</f>
        <v>-1</v>
      </c>
      <c r="AC123" s="18" t="str">
        <f>IF(Report[[#This Row],[Résultats SE]]="Gagné",Report[[#This Row],[FT]],"")</f>
        <v/>
      </c>
      <c r="AD123" s="18" t="str">
        <f>IF(AND(Report[[#This Row],[Résultats SE]]="Gagné",Report[[#This Row],[FT]]=Report[[#This Row],[Score 1]]),Report[[#This Row],[FT]],"")</f>
        <v/>
      </c>
      <c r="AE123" s="18" t="str">
        <f>IF(AND(Report[[#This Row],[Résultats SE]]="Gagné",Report[[#This Row],[FT]]=Report[[#This Row],[Score 2]]),Report[[#This Row],[FT]],"")</f>
        <v/>
      </c>
      <c r="AF123" s="18" t="str">
        <f>IF(AND(Report[[#This Row],[Résultats SE]]="Gagné",Report[[#This Row],[FT]]=Report[[#This Row],[Score 3]]),Report[[#This Row],[FT]],"")</f>
        <v/>
      </c>
      <c r="AG123" s="18" t="str">
        <f>IF(AND(Report[[#This Row],[Résultats SE]]="Gagné",Report[[#This Row],[FT]]=Report[[#This Row],[Score 4]]),Report[[#This Row],[FT]],"")</f>
        <v/>
      </c>
    </row>
    <row r="124" spans="1:33" ht="20.100000000000001" customHeight="1" x14ac:dyDescent="0.25">
      <c r="A124" s="11">
        <v>43429</v>
      </c>
      <c r="B124" s="7" t="s">
        <v>96</v>
      </c>
      <c r="C124" s="7" t="s">
        <v>127</v>
      </c>
      <c r="D124" s="19" t="s">
        <v>800</v>
      </c>
      <c r="E124" s="19" t="s">
        <v>802</v>
      </c>
      <c r="F124" s="7" t="s">
        <v>913</v>
      </c>
      <c r="G124" s="20" t="s">
        <v>851</v>
      </c>
      <c r="H124" s="20" t="s">
        <v>837</v>
      </c>
      <c r="I124" s="20" t="s">
        <v>841</v>
      </c>
      <c r="J124" s="20" t="s">
        <v>839</v>
      </c>
      <c r="K124" s="9" t="s">
        <v>802</v>
      </c>
      <c r="L124" s="16" t="str">
        <f>IF(Report[Résultat FT]="","",IF(Report[Résultat FT]=Report[Résultats],"","-"))</f>
        <v>-</v>
      </c>
      <c r="M124" s="16" t="str">
        <f>IF(Report[[#This Row],[Résultat FT]]="","",IF(Report[[#This Row],[Résultats SE]]="Gagné","","-"))</f>
        <v>-</v>
      </c>
      <c r="N124" s="17" t="s">
        <v>838</v>
      </c>
      <c r="O124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Sion</v>
      </c>
      <c r="P124" s="18">
        <f>IF(Report[[#This Row],[FT]]="",,(LEFT(Report[[#This Row],[FT]],SEARCH("-",Report[[#This Row],[FT]])-1)*1))</f>
        <v>2</v>
      </c>
      <c r="Q124" s="22">
        <f>IF(Report[[#This Row],[FT]]="",,(RIGHT(Report[[#This Row],[FT]],SEARCH("-",Report[[#This Row],[FT]])-1)*1))</f>
        <v>1</v>
      </c>
      <c r="R124" s="18" t="str">
        <f>IF(Report[Résultat FT]="","",IF(Report[Résultat FT]=Report[Résultats],"Gagné","Perdu"))</f>
        <v>Perdu</v>
      </c>
      <c r="S124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24" s="53">
        <f>IF(Report[[#This Row],[FT]]="","",IF(Report[[#This Row],[FT]]=Report[[#This Row],[Score 1]],1,0))</f>
        <v>0</v>
      </c>
      <c r="U124" s="53">
        <f>IF(Report[[#This Row],[FT]]="","",IF(Report[ [#This Row],[FT] ]=Report[[#This Row],[Score 2]],1,0))</f>
        <v>0</v>
      </c>
      <c r="V124" s="53">
        <f>IF(Report[[#This Row],[FT]]="","",IF(Report[[#This Row],[FT]]=Report[[#This Row],[Score 3]],1,0))</f>
        <v>0</v>
      </c>
      <c r="W124" s="53">
        <f>IF(Report[[#This Row],[FT]]="","",IF(Report[[#This Row],[FT]]=Report[[#This Row],[Score 4]],1,0))</f>
        <v>0</v>
      </c>
      <c r="X124" s="94">
        <f>IF(Report[[#This Row],[Résultat FT]]="",,IF(Report[[#This Row],[Résultat FT]]=Report[[#This Row],[Résultats]],(Suivi_Gain!$B$1*Report[[#This Row],[Cote FT]])-Suivi_Gain!$B$1,-Suivi_Gain!$B$1))</f>
        <v>-1</v>
      </c>
      <c r="Y124" s="94">
        <f>IF(Report[[#This Row],[FT]]="",,IF(Report[[#This Row],[FT]]=Report[[#This Row],[Score 1]],(Suivi_Gain!$G$1*Report[[#This Row],[Cote SE]])-Suivi_Gain!$G$1,-Suivi_Gain!$G$1))</f>
        <v>-1</v>
      </c>
      <c r="Z124" s="65">
        <f>IF(Report[[#This Row],[FT]]="",,IF(Report[[#This Row],[FT]]=Report[[#This Row],[Score 2]],Suivi_Gain!$G$1*Report[[#This Row],[Cote SE]],-Suivi_Gain!$G$1))</f>
        <v>-1</v>
      </c>
      <c r="AA124" s="65">
        <f>IF(Report[[#This Row],[FT]]="",,IF(Report[[#This Row],[FT]]=Report[[#This Row],[Score 3]],Suivi_Gain!$G$1*Report[[#This Row],[Cote SE]],-Suivi_Gain!$G$1))</f>
        <v>-1</v>
      </c>
      <c r="AB124" s="65">
        <f>IF(Report[[#This Row],[FT]]="",,IF(Report[[#This Row],[FT]]=Report[[#This Row],[Score 4]],Suivi_Gain!$G$1*Report[[#This Row],[Cote SE]],-Suivi_Gain!$G$1))</f>
        <v>-1</v>
      </c>
      <c r="AC124" s="18" t="str">
        <f>IF(Report[[#This Row],[Résultats SE]]="Gagné",Report[[#This Row],[FT]],"")</f>
        <v/>
      </c>
      <c r="AD124" s="18" t="str">
        <f>IF(AND(Report[[#This Row],[Résultats SE]]="Gagné",Report[[#This Row],[FT]]=Report[[#This Row],[Score 1]]),Report[[#This Row],[FT]],"")</f>
        <v/>
      </c>
      <c r="AE124" s="18" t="str">
        <f>IF(AND(Report[[#This Row],[Résultats SE]]="Gagné",Report[[#This Row],[FT]]=Report[[#This Row],[Score 2]]),Report[[#This Row],[FT]],"")</f>
        <v/>
      </c>
      <c r="AF124" s="18" t="str">
        <f>IF(AND(Report[[#This Row],[Résultats SE]]="Gagné",Report[[#This Row],[FT]]=Report[[#This Row],[Score 3]]),Report[[#This Row],[FT]],"")</f>
        <v/>
      </c>
      <c r="AG124" s="18" t="str">
        <f>IF(AND(Report[[#This Row],[Résultats SE]]="Gagné",Report[[#This Row],[FT]]=Report[[#This Row],[Score 4]]),Report[[#This Row],[FT]],"")</f>
        <v/>
      </c>
    </row>
    <row r="125" spans="1:33" ht="20.100000000000001" customHeight="1" x14ac:dyDescent="0.25">
      <c r="A125" s="11">
        <v>43429</v>
      </c>
      <c r="B125" s="7" t="s">
        <v>74</v>
      </c>
      <c r="C125" s="7" t="s">
        <v>128</v>
      </c>
      <c r="D125" s="10" t="s">
        <v>821</v>
      </c>
      <c r="E125" s="10" t="s">
        <v>820</v>
      </c>
      <c r="F125" s="7" t="s">
        <v>833</v>
      </c>
      <c r="G125" s="8" t="s">
        <v>834</v>
      </c>
      <c r="H125" s="9" t="s">
        <v>830</v>
      </c>
      <c r="I125" s="9" t="s">
        <v>825</v>
      </c>
      <c r="J125" s="9" t="s">
        <v>826</v>
      </c>
      <c r="K125" s="9" t="s">
        <v>233</v>
      </c>
      <c r="L125" s="16">
        <v>3.55</v>
      </c>
      <c r="M125" s="16">
        <v>7</v>
      </c>
      <c r="N125" s="17" t="s">
        <v>834</v>
      </c>
      <c r="O125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125" s="18">
        <f>IF(Report[[#This Row],[FT]]="",,(LEFT(Report[[#This Row],[FT]],SEARCH("-",Report[[#This Row],[FT]])-1)*1))</f>
        <v>1</v>
      </c>
      <c r="Q125" s="22">
        <f>IF(Report[[#This Row],[FT]]="",,(RIGHT(Report[[#This Row],[FT]],SEARCH("-",Report[[#This Row],[FT]])-1)*1))</f>
        <v>1</v>
      </c>
      <c r="R125" s="18" t="str">
        <f>IF(Report[Résultat FT]="","",IF(Report[Résultat FT]=Report[Résultats],"Gagné","Perdu"))</f>
        <v>Gagné</v>
      </c>
      <c r="S125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125" s="53">
        <f>IF(Report[[#This Row],[FT]]="","",IF(Report[[#This Row],[FT]]=Report[[#This Row],[Score 1]],1,0))</f>
        <v>1</v>
      </c>
      <c r="U125" s="53">
        <f>IF(Report[[#This Row],[FT]]="","",IF(Report[ [#This Row],[FT] ]=Report[[#This Row],[Score 2]],1,0))</f>
        <v>0</v>
      </c>
      <c r="V125" s="53">
        <f>IF(Report[[#This Row],[FT]]="","",IF(Report[[#This Row],[FT]]=Report[[#This Row],[Score 3]],1,0))</f>
        <v>0</v>
      </c>
      <c r="W125" s="53">
        <f>IF(Report[[#This Row],[FT]]="","",IF(Report[[#This Row],[FT]]=Report[[#This Row],[Score 4]],1,0))</f>
        <v>0</v>
      </c>
      <c r="X125" s="94">
        <f>IF(Report[[#This Row],[Résultat FT]]="",,IF(Report[[#This Row],[Résultat FT]]=Report[[#This Row],[Résultats]],(Suivi_Gain!$B$1*Report[[#This Row],[Cote FT]])-Suivi_Gain!$B$1,-Suivi_Gain!$B$1))</f>
        <v>2.5499999999999998</v>
      </c>
      <c r="Y125" s="94">
        <f>IF(Report[[#This Row],[FT]]="",,IF(Report[[#This Row],[FT]]=Report[[#This Row],[Score 1]],(Suivi_Gain!$G$1*Report[[#This Row],[Cote SE]])-Suivi_Gain!$G$1,-Suivi_Gain!$G$1))</f>
        <v>6</v>
      </c>
      <c r="Z125" s="65">
        <f>IF(Report[[#This Row],[FT]]="",,IF(Report[[#This Row],[FT]]=Report[[#This Row],[Score 2]],Suivi_Gain!$G$1*Report[[#This Row],[Cote SE]],-Suivi_Gain!$G$1))</f>
        <v>-1</v>
      </c>
      <c r="AA125" s="65">
        <f>IF(Report[[#This Row],[FT]]="",,IF(Report[[#This Row],[FT]]=Report[[#This Row],[Score 3]],Suivi_Gain!$G$1*Report[[#This Row],[Cote SE]],-Suivi_Gain!$G$1))</f>
        <v>-1</v>
      </c>
      <c r="AB125" s="65">
        <f>IF(Report[[#This Row],[FT]]="",,IF(Report[[#This Row],[FT]]=Report[[#This Row],[Score 4]],Suivi_Gain!$G$1*Report[[#This Row],[Cote SE]],-Suivi_Gain!$G$1))</f>
        <v>-1</v>
      </c>
      <c r="AC125" s="18" t="str">
        <f>IF(Report[[#This Row],[Résultats SE]]="Gagné",Report[[#This Row],[FT]],"")</f>
        <v>1-1</v>
      </c>
      <c r="AD125" s="18" t="str">
        <f>IF(AND(Report[[#This Row],[Résultats SE]]="Gagné",Report[[#This Row],[FT]]=Report[[#This Row],[Score 1]]),Report[[#This Row],[FT]],"")</f>
        <v>1-1</v>
      </c>
      <c r="AE125" s="18" t="str">
        <f>IF(AND(Report[[#This Row],[Résultats SE]]="Gagné",Report[[#This Row],[FT]]=Report[[#This Row],[Score 2]]),Report[[#This Row],[FT]],"")</f>
        <v/>
      </c>
      <c r="AF125" s="18" t="str">
        <f>IF(AND(Report[[#This Row],[Résultats SE]]="Gagné",Report[[#This Row],[FT]]=Report[[#This Row],[Score 3]]),Report[[#This Row],[FT]],"")</f>
        <v/>
      </c>
      <c r="AG125" s="18" t="str">
        <f>IF(AND(Report[[#This Row],[Résultats SE]]="Gagné",Report[[#This Row],[FT]]=Report[[#This Row],[Score 4]]),Report[[#This Row],[FT]],"")</f>
        <v/>
      </c>
    </row>
    <row r="126" spans="1:33" ht="20.100000000000001" customHeight="1" x14ac:dyDescent="0.25">
      <c r="A126" s="11">
        <v>43429</v>
      </c>
      <c r="B126" s="7" t="s">
        <v>74</v>
      </c>
      <c r="C126" s="7" t="s">
        <v>128</v>
      </c>
      <c r="D126" s="10" t="s">
        <v>806</v>
      </c>
      <c r="E126" s="10" t="s">
        <v>812</v>
      </c>
      <c r="F126" s="7" t="s">
        <v>824</v>
      </c>
      <c r="G126" s="8" t="s">
        <v>825</v>
      </c>
      <c r="H126" s="9" t="s">
        <v>826</v>
      </c>
      <c r="I126" s="9" t="s">
        <v>827</v>
      </c>
      <c r="J126" s="9" t="s">
        <v>828</v>
      </c>
      <c r="K126" s="9" t="s">
        <v>812</v>
      </c>
      <c r="L126" s="16">
        <v>2.95</v>
      </c>
      <c r="M126" s="16" t="str">
        <f>IF(Report[[#This Row],[Résultat FT]]="","",IF(Report[[#This Row],[Résultats SE]]="Gagné","","-"))</f>
        <v>-</v>
      </c>
      <c r="N126" s="17" t="s">
        <v>922</v>
      </c>
      <c r="O126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Bursaspor</v>
      </c>
      <c r="P126" s="18">
        <f>IF(Report[[#This Row],[FT]]="",,(LEFT(Report[[#This Row],[FT]],SEARCH("-",Report[[#This Row],[FT]])-1)*1))</f>
        <v>2</v>
      </c>
      <c r="Q126" s="22">
        <f>IF(Report[[#This Row],[FT]]="",,(RIGHT(Report[[#This Row],[FT]],SEARCH("-",Report[[#This Row],[FT]])-1)*1))</f>
        <v>4</v>
      </c>
      <c r="R126" s="18" t="str">
        <f>IF(Report[Résultat FT]="","",IF(Report[Résultat FT]=Report[Résultats],"Gagné","Perdu"))</f>
        <v>Gagné</v>
      </c>
      <c r="S126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26" s="53">
        <f>IF(Report[[#This Row],[FT]]="","",IF(Report[[#This Row],[FT]]=Report[[#This Row],[Score 1]],1,0))</f>
        <v>0</v>
      </c>
      <c r="U126" s="53">
        <f>IF(Report[[#This Row],[FT]]="","",IF(Report[ [#This Row],[FT] ]=Report[[#This Row],[Score 2]],1,0))</f>
        <v>0</v>
      </c>
      <c r="V126" s="53">
        <f>IF(Report[[#This Row],[FT]]="","",IF(Report[[#This Row],[FT]]=Report[[#This Row],[Score 3]],1,0))</f>
        <v>0</v>
      </c>
      <c r="W126" s="53">
        <f>IF(Report[[#This Row],[FT]]="","",IF(Report[[#This Row],[FT]]=Report[[#This Row],[Score 4]],1,0))</f>
        <v>0</v>
      </c>
      <c r="X126" s="94">
        <f>IF(Report[[#This Row],[Résultat FT]]="",,IF(Report[[#This Row],[Résultat FT]]=Report[[#This Row],[Résultats]],(Suivi_Gain!$B$1*Report[[#This Row],[Cote FT]])-Suivi_Gain!$B$1,-Suivi_Gain!$B$1))</f>
        <v>1.9500000000000002</v>
      </c>
      <c r="Y126" s="94">
        <f>IF(Report[[#This Row],[FT]]="",,IF(Report[[#This Row],[FT]]=Report[[#This Row],[Score 1]],(Suivi_Gain!$G$1*Report[[#This Row],[Cote SE]])-Suivi_Gain!$G$1,-Suivi_Gain!$G$1))</f>
        <v>-1</v>
      </c>
      <c r="Z126" s="65">
        <f>IF(Report[[#This Row],[FT]]="",,IF(Report[[#This Row],[FT]]=Report[[#This Row],[Score 2]],Suivi_Gain!$G$1*Report[[#This Row],[Cote SE]],-Suivi_Gain!$G$1))</f>
        <v>-1</v>
      </c>
      <c r="AA126" s="65">
        <f>IF(Report[[#This Row],[FT]]="",,IF(Report[[#This Row],[FT]]=Report[[#This Row],[Score 3]],Suivi_Gain!$G$1*Report[[#This Row],[Cote SE]],-Suivi_Gain!$G$1))</f>
        <v>-1</v>
      </c>
      <c r="AB126" s="65">
        <f>IF(Report[[#This Row],[FT]]="",,IF(Report[[#This Row],[FT]]=Report[[#This Row],[Score 4]],Suivi_Gain!$G$1*Report[[#This Row],[Cote SE]],-Suivi_Gain!$G$1))</f>
        <v>-1</v>
      </c>
      <c r="AC126" s="18" t="str">
        <f>IF(Report[[#This Row],[Résultats SE]]="Gagné",Report[[#This Row],[FT]],"")</f>
        <v/>
      </c>
      <c r="AD126" s="18" t="str">
        <f>IF(AND(Report[[#This Row],[Résultats SE]]="Gagné",Report[[#This Row],[FT]]=Report[[#This Row],[Score 1]]),Report[[#This Row],[FT]],"")</f>
        <v/>
      </c>
      <c r="AE126" s="18" t="str">
        <f>IF(AND(Report[[#This Row],[Résultats SE]]="Gagné",Report[[#This Row],[FT]]=Report[[#This Row],[Score 2]]),Report[[#This Row],[FT]],"")</f>
        <v/>
      </c>
      <c r="AF126" s="18" t="str">
        <f>IF(AND(Report[[#This Row],[Résultats SE]]="Gagné",Report[[#This Row],[FT]]=Report[[#This Row],[Score 3]]),Report[[#This Row],[FT]],"")</f>
        <v/>
      </c>
      <c r="AG126" s="18" t="str">
        <f>IF(AND(Report[[#This Row],[Résultats SE]]="Gagné",Report[[#This Row],[FT]]=Report[[#This Row],[Score 4]]),Report[[#This Row],[FT]],"")</f>
        <v/>
      </c>
    </row>
    <row r="127" spans="1:33" ht="20.100000000000001" customHeight="1" x14ac:dyDescent="0.25">
      <c r="A127" s="11">
        <v>43429</v>
      </c>
      <c r="B127" s="7" t="s">
        <v>74</v>
      </c>
      <c r="C127" s="7" t="s">
        <v>128</v>
      </c>
      <c r="D127" s="10" t="s">
        <v>817</v>
      </c>
      <c r="E127" s="10" t="s">
        <v>823</v>
      </c>
      <c r="F127" s="7" t="s">
        <v>843</v>
      </c>
      <c r="G127" s="8" t="s">
        <v>839</v>
      </c>
      <c r="H127" s="9" t="s">
        <v>834</v>
      </c>
      <c r="I127" s="9" t="s">
        <v>827</v>
      </c>
      <c r="J127" s="9" t="s">
        <v>825</v>
      </c>
      <c r="K127" s="9" t="s">
        <v>823</v>
      </c>
      <c r="L127" s="16" t="str">
        <f>IF(Report[Résultat FT]="","",IF(Report[Résultat FT]=Report[Résultats],"","-"))</f>
        <v>-</v>
      </c>
      <c r="M127" s="16" t="str">
        <f>IF(Report[[#This Row],[Résultat FT]]="","",IF(Report[[#This Row],[Résultats SE]]="Gagné","","-"))</f>
        <v>-</v>
      </c>
      <c r="N127" s="17" t="s">
        <v>832</v>
      </c>
      <c r="O127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Kasimpasa</v>
      </c>
      <c r="P127" s="18">
        <f>IF(Report[[#This Row],[FT]]="",,(LEFT(Report[[#This Row],[FT]],SEARCH("-",Report[[#This Row],[FT]])-1)*1))</f>
        <v>3</v>
      </c>
      <c r="Q127" s="22">
        <f>IF(Report[[#This Row],[FT]]="",,(RIGHT(Report[[#This Row],[FT]],SEARCH("-",Report[[#This Row],[FT]])-1)*1))</f>
        <v>0</v>
      </c>
      <c r="R127" s="18" t="str">
        <f>IF(Report[Résultat FT]="","",IF(Report[Résultat FT]=Report[Résultats],"Gagné","Perdu"))</f>
        <v>Perdu</v>
      </c>
      <c r="S127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27" s="53">
        <f>IF(Report[[#This Row],[FT]]="","",IF(Report[[#This Row],[FT]]=Report[[#This Row],[Score 1]],1,0))</f>
        <v>0</v>
      </c>
      <c r="U127" s="53">
        <f>IF(Report[[#This Row],[FT]]="","",IF(Report[ [#This Row],[FT] ]=Report[[#This Row],[Score 2]],1,0))</f>
        <v>0</v>
      </c>
      <c r="V127" s="53">
        <f>IF(Report[[#This Row],[FT]]="","",IF(Report[[#This Row],[FT]]=Report[[#This Row],[Score 3]],1,0))</f>
        <v>0</v>
      </c>
      <c r="W127" s="53">
        <f>IF(Report[[#This Row],[FT]]="","",IF(Report[[#This Row],[FT]]=Report[[#This Row],[Score 4]],1,0))</f>
        <v>0</v>
      </c>
      <c r="X127" s="94">
        <f>IF(Report[[#This Row],[Résultat FT]]="",,IF(Report[[#This Row],[Résultat FT]]=Report[[#This Row],[Résultats]],(Suivi_Gain!$B$1*Report[[#This Row],[Cote FT]])-Suivi_Gain!$B$1,-Suivi_Gain!$B$1))</f>
        <v>-1</v>
      </c>
      <c r="Y127" s="94">
        <f>IF(Report[[#This Row],[FT]]="",,IF(Report[[#This Row],[FT]]=Report[[#This Row],[Score 1]],(Suivi_Gain!$G$1*Report[[#This Row],[Cote SE]])-Suivi_Gain!$G$1,-Suivi_Gain!$G$1))</f>
        <v>-1</v>
      </c>
      <c r="Z127" s="65">
        <f>IF(Report[[#This Row],[FT]]="",,IF(Report[[#This Row],[FT]]=Report[[#This Row],[Score 2]],Suivi_Gain!$G$1*Report[[#This Row],[Cote SE]],-Suivi_Gain!$G$1))</f>
        <v>-1</v>
      </c>
      <c r="AA127" s="65">
        <f>IF(Report[[#This Row],[FT]]="",,IF(Report[[#This Row],[FT]]=Report[[#This Row],[Score 3]],Suivi_Gain!$G$1*Report[[#This Row],[Cote SE]],-Suivi_Gain!$G$1))</f>
        <v>-1</v>
      </c>
      <c r="AB127" s="65">
        <f>IF(Report[[#This Row],[FT]]="",,IF(Report[[#This Row],[FT]]=Report[[#This Row],[Score 4]],Suivi_Gain!$G$1*Report[[#This Row],[Cote SE]],-Suivi_Gain!$G$1))</f>
        <v>-1</v>
      </c>
      <c r="AC127" s="18" t="str">
        <f>IF(Report[[#This Row],[Résultats SE]]="Gagné",Report[[#This Row],[FT]],"")</f>
        <v/>
      </c>
      <c r="AD127" s="18" t="str">
        <f>IF(AND(Report[[#This Row],[Résultats SE]]="Gagné",Report[[#This Row],[FT]]=Report[[#This Row],[Score 1]]),Report[[#This Row],[FT]],"")</f>
        <v/>
      </c>
      <c r="AE127" s="18" t="str">
        <f>IF(AND(Report[[#This Row],[Résultats SE]]="Gagné",Report[[#This Row],[FT]]=Report[[#This Row],[Score 2]]),Report[[#This Row],[FT]],"")</f>
        <v/>
      </c>
      <c r="AF127" s="18" t="str">
        <f>IF(AND(Report[[#This Row],[Résultats SE]]="Gagné",Report[[#This Row],[FT]]=Report[[#This Row],[Score 3]]),Report[[#This Row],[FT]],"")</f>
        <v/>
      </c>
      <c r="AG127" s="18" t="str">
        <f>IF(AND(Report[[#This Row],[Résultats SE]]="Gagné",Report[[#This Row],[FT]]=Report[[#This Row],[Score 4]]),Report[[#This Row],[FT]],"")</f>
        <v/>
      </c>
    </row>
    <row r="128" spans="1:33" ht="20.100000000000001" customHeight="1" x14ac:dyDescent="0.25">
      <c r="A128" s="11">
        <v>43429</v>
      </c>
      <c r="B128" s="7" t="s">
        <v>74</v>
      </c>
      <c r="C128" s="7" t="s">
        <v>128</v>
      </c>
      <c r="D128" s="10" t="s">
        <v>822</v>
      </c>
      <c r="E128" s="10" t="s">
        <v>814</v>
      </c>
      <c r="F128" s="7" t="s">
        <v>833</v>
      </c>
      <c r="G128" s="8" t="s">
        <v>834</v>
      </c>
      <c r="H128" s="9" t="s">
        <v>830</v>
      </c>
      <c r="I128" s="9" t="s">
        <v>825</v>
      </c>
      <c r="J128" s="9" t="s">
        <v>826</v>
      </c>
      <c r="K128" s="9" t="s">
        <v>233</v>
      </c>
      <c r="L128" s="16" t="str">
        <f>IF(Report[Résultat FT]="","",IF(Report[Résultat FT]=Report[Résultats],"","-"))</f>
        <v>-</v>
      </c>
      <c r="M128" s="16" t="str">
        <f>IF(Report[[#This Row],[Résultat FT]]="","",IF(Report[[#This Row],[Résultats SE]]="Gagné","","-"))</f>
        <v>-</v>
      </c>
      <c r="N128" s="17" t="s">
        <v>838</v>
      </c>
      <c r="O128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Trabzonspor</v>
      </c>
      <c r="P128" s="18">
        <f>IF(Report[[#This Row],[FT]]="",,(LEFT(Report[[#This Row],[FT]],SEARCH("-",Report[[#This Row],[FT]])-1)*1))</f>
        <v>2</v>
      </c>
      <c r="Q128" s="22">
        <f>IF(Report[[#This Row],[FT]]="",,(RIGHT(Report[[#This Row],[FT]],SEARCH("-",Report[[#This Row],[FT]])-1)*1))</f>
        <v>1</v>
      </c>
      <c r="R128" s="18" t="str">
        <f>IF(Report[Résultat FT]="","",IF(Report[Résultat FT]=Report[Résultats],"Gagné","Perdu"))</f>
        <v>Perdu</v>
      </c>
      <c r="S128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28" s="53">
        <f>IF(Report[[#This Row],[FT]]="","",IF(Report[[#This Row],[FT]]=Report[[#This Row],[Score 1]],1,0))</f>
        <v>0</v>
      </c>
      <c r="U128" s="53">
        <f>IF(Report[[#This Row],[FT]]="","",IF(Report[ [#This Row],[FT] ]=Report[[#This Row],[Score 2]],1,0))</f>
        <v>0</v>
      </c>
      <c r="V128" s="53">
        <f>IF(Report[[#This Row],[FT]]="","",IF(Report[[#This Row],[FT]]=Report[[#This Row],[Score 3]],1,0))</f>
        <v>0</v>
      </c>
      <c r="W128" s="53">
        <f>IF(Report[[#This Row],[FT]]="","",IF(Report[[#This Row],[FT]]=Report[[#This Row],[Score 4]],1,0))</f>
        <v>0</v>
      </c>
      <c r="X128" s="94">
        <f>IF(Report[[#This Row],[Résultat FT]]="",,IF(Report[[#This Row],[Résultat FT]]=Report[[#This Row],[Résultats]],(Suivi_Gain!$B$1*Report[[#This Row],[Cote FT]])-Suivi_Gain!$B$1,-Suivi_Gain!$B$1))</f>
        <v>-1</v>
      </c>
      <c r="Y128" s="94">
        <f>IF(Report[[#This Row],[FT]]="",,IF(Report[[#This Row],[FT]]=Report[[#This Row],[Score 1]],(Suivi_Gain!$G$1*Report[[#This Row],[Cote SE]])-Suivi_Gain!$G$1,-Suivi_Gain!$G$1))</f>
        <v>-1</v>
      </c>
      <c r="Z128" s="65">
        <f>IF(Report[[#This Row],[FT]]="",,IF(Report[[#This Row],[FT]]=Report[[#This Row],[Score 2]],Suivi_Gain!$G$1*Report[[#This Row],[Cote SE]],-Suivi_Gain!$G$1))</f>
        <v>-1</v>
      </c>
      <c r="AA128" s="65">
        <f>IF(Report[[#This Row],[FT]]="",,IF(Report[[#This Row],[FT]]=Report[[#This Row],[Score 3]],Suivi_Gain!$G$1*Report[[#This Row],[Cote SE]],-Suivi_Gain!$G$1))</f>
        <v>-1</v>
      </c>
      <c r="AB128" s="65">
        <f>IF(Report[[#This Row],[FT]]="",,IF(Report[[#This Row],[FT]]=Report[[#This Row],[Score 4]],Suivi_Gain!$G$1*Report[[#This Row],[Cote SE]],-Suivi_Gain!$G$1))</f>
        <v>-1</v>
      </c>
      <c r="AC128" s="18" t="str">
        <f>IF(Report[[#This Row],[Résultats SE]]="Gagné",Report[[#This Row],[FT]],"")</f>
        <v/>
      </c>
      <c r="AD128" s="18" t="str">
        <f>IF(AND(Report[[#This Row],[Résultats SE]]="Gagné",Report[[#This Row],[FT]]=Report[[#This Row],[Score 1]]),Report[[#This Row],[FT]],"")</f>
        <v/>
      </c>
      <c r="AE128" s="18" t="str">
        <f>IF(AND(Report[[#This Row],[Résultats SE]]="Gagné",Report[[#This Row],[FT]]=Report[[#This Row],[Score 2]]),Report[[#This Row],[FT]],"")</f>
        <v/>
      </c>
      <c r="AF128" s="18" t="str">
        <f>IF(AND(Report[[#This Row],[Résultats SE]]="Gagné",Report[[#This Row],[FT]]=Report[[#This Row],[Score 3]]),Report[[#This Row],[FT]],"")</f>
        <v/>
      </c>
      <c r="AG128" s="18" t="str">
        <f>IF(AND(Report[[#This Row],[Résultats SE]]="Gagné",Report[[#This Row],[FT]]=Report[[#This Row],[Score 4]]),Report[[#This Row],[FT]],"")</f>
        <v/>
      </c>
    </row>
    <row r="129" spans="1:33" ht="20.100000000000001" customHeight="1" x14ac:dyDescent="0.25">
      <c r="A129" s="11">
        <v>43429</v>
      </c>
      <c r="B129" s="7" t="s">
        <v>97</v>
      </c>
      <c r="C129" s="7" t="s">
        <v>129</v>
      </c>
      <c r="D129" s="10" t="s">
        <v>293</v>
      </c>
      <c r="E129" s="10" t="s">
        <v>296</v>
      </c>
      <c r="F129" s="7" t="s">
        <v>824</v>
      </c>
      <c r="G129" s="8" t="s">
        <v>825</v>
      </c>
      <c r="H129" s="9" t="s">
        <v>826</v>
      </c>
      <c r="I129" s="9" t="s">
        <v>827</v>
      </c>
      <c r="J129" s="9" t="s">
        <v>828</v>
      </c>
      <c r="K129" s="9" t="s">
        <v>296</v>
      </c>
      <c r="L129" s="16" t="str">
        <f>IF(Report[Résultat FT]="","",IF(Report[Résultat FT]=Report[Résultats],"","-"))</f>
        <v>-</v>
      </c>
      <c r="M129" s="16" t="str">
        <f>IF(Report[[#This Row],[Résultat FT]]="","",IF(Report[[#This Row],[Résultats SE]]="Gagné","","-"))</f>
        <v>-</v>
      </c>
      <c r="N129" s="17" t="s">
        <v>834</v>
      </c>
      <c r="O129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129" s="18">
        <f>IF(Report[[#This Row],[FT]]="",,(LEFT(Report[[#This Row],[FT]],SEARCH("-",Report[[#This Row],[FT]])-1)*1))</f>
        <v>1</v>
      </c>
      <c r="Q129" s="22">
        <f>IF(Report[[#This Row],[FT]]="",,(RIGHT(Report[[#This Row],[FT]],SEARCH("-",Report[[#This Row],[FT]])-1)*1))</f>
        <v>1</v>
      </c>
      <c r="R129" s="18" t="str">
        <f>IF(Report[Résultat FT]="","",IF(Report[Résultat FT]=Report[Résultats],"Gagné","Perdu"))</f>
        <v>Perdu</v>
      </c>
      <c r="S129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29" s="53">
        <f>IF(Report[[#This Row],[FT]]="","",IF(Report[[#This Row],[FT]]=Report[[#This Row],[Score 1]],1,0))</f>
        <v>0</v>
      </c>
      <c r="U129" s="53">
        <f>IF(Report[[#This Row],[FT]]="","",IF(Report[ [#This Row],[FT] ]=Report[[#This Row],[Score 2]],1,0))</f>
        <v>0</v>
      </c>
      <c r="V129" s="53">
        <f>IF(Report[[#This Row],[FT]]="","",IF(Report[[#This Row],[FT]]=Report[[#This Row],[Score 3]],1,0))</f>
        <v>0</v>
      </c>
      <c r="W129" s="53">
        <f>IF(Report[[#This Row],[FT]]="","",IF(Report[[#This Row],[FT]]=Report[[#This Row],[Score 4]],1,0))</f>
        <v>0</v>
      </c>
      <c r="X129" s="94">
        <f>IF(Report[[#This Row],[Résultat FT]]="",,IF(Report[[#This Row],[Résultat FT]]=Report[[#This Row],[Résultats]],(Suivi_Gain!$B$1*Report[[#This Row],[Cote FT]])-Suivi_Gain!$B$1,-Suivi_Gain!$B$1))</f>
        <v>-1</v>
      </c>
      <c r="Y129" s="94">
        <f>IF(Report[[#This Row],[FT]]="",,IF(Report[[#This Row],[FT]]=Report[[#This Row],[Score 1]],(Suivi_Gain!$G$1*Report[[#This Row],[Cote SE]])-Suivi_Gain!$G$1,-Suivi_Gain!$G$1))</f>
        <v>-1</v>
      </c>
      <c r="Z129" s="65">
        <f>IF(Report[[#This Row],[FT]]="",,IF(Report[[#This Row],[FT]]=Report[[#This Row],[Score 2]],Suivi_Gain!$G$1*Report[[#This Row],[Cote SE]],-Suivi_Gain!$G$1))</f>
        <v>-1</v>
      </c>
      <c r="AA129" s="65">
        <f>IF(Report[[#This Row],[FT]]="",,IF(Report[[#This Row],[FT]]=Report[[#This Row],[Score 3]],Suivi_Gain!$G$1*Report[[#This Row],[Cote SE]],-Suivi_Gain!$G$1))</f>
        <v>-1</v>
      </c>
      <c r="AB129" s="65">
        <f>IF(Report[[#This Row],[FT]]="",,IF(Report[[#This Row],[FT]]=Report[[#This Row],[Score 4]],Suivi_Gain!$G$1*Report[[#This Row],[Cote SE]],-Suivi_Gain!$G$1))</f>
        <v>-1</v>
      </c>
      <c r="AC129" s="18" t="str">
        <f>IF(Report[[#This Row],[Résultats SE]]="Gagné",Report[[#This Row],[FT]],"")</f>
        <v/>
      </c>
      <c r="AD129" s="18" t="str">
        <f>IF(AND(Report[[#This Row],[Résultats SE]]="Gagné",Report[[#This Row],[FT]]=Report[[#This Row],[Score 1]]),Report[[#This Row],[FT]],"")</f>
        <v/>
      </c>
      <c r="AE129" s="18" t="str">
        <f>IF(AND(Report[[#This Row],[Résultats SE]]="Gagné",Report[[#This Row],[FT]]=Report[[#This Row],[Score 2]]),Report[[#This Row],[FT]],"")</f>
        <v/>
      </c>
      <c r="AF129" s="18" t="str">
        <f>IF(AND(Report[[#This Row],[Résultats SE]]="Gagné",Report[[#This Row],[FT]]=Report[[#This Row],[Score 3]]),Report[[#This Row],[FT]],"")</f>
        <v/>
      </c>
      <c r="AG129" s="18" t="str">
        <f>IF(AND(Report[[#This Row],[Résultats SE]]="Gagné",Report[[#This Row],[FT]]=Report[[#This Row],[Score 4]]),Report[[#This Row],[FT]],"")</f>
        <v/>
      </c>
    </row>
    <row r="130" spans="1:33" ht="20.100000000000001" customHeight="1" x14ac:dyDescent="0.25">
      <c r="A130" s="11">
        <v>43429</v>
      </c>
      <c r="B130" s="7" t="s">
        <v>97</v>
      </c>
      <c r="C130" s="7" t="s">
        <v>129</v>
      </c>
      <c r="D130" s="10" t="s">
        <v>286</v>
      </c>
      <c r="E130" s="10" t="s">
        <v>285</v>
      </c>
      <c r="F130" s="7" t="s">
        <v>844</v>
      </c>
      <c r="G130" s="8" t="s">
        <v>826</v>
      </c>
      <c r="H130" s="9" t="s">
        <v>845</v>
      </c>
      <c r="I130" s="9" t="s">
        <v>846</v>
      </c>
      <c r="J130" s="9" t="s">
        <v>847</v>
      </c>
      <c r="K130" s="9" t="s">
        <v>233</v>
      </c>
      <c r="L130" s="16" t="str">
        <f>IF(Report[Résultat FT]="","",IF(Report[Résultat FT]=Report[Résultats],"","-"))</f>
        <v>-</v>
      </c>
      <c r="M130" s="16" t="str">
        <f>IF(Report[[#This Row],[Résultat FT]]="","",IF(Report[[#This Row],[Résultats SE]]="Gagné","","-"))</f>
        <v>-</v>
      </c>
      <c r="N130" s="17" t="s">
        <v>838</v>
      </c>
      <c r="O130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Ch. Odessa</v>
      </c>
      <c r="P130" s="18">
        <f>IF(Report[[#This Row],[FT]]="",,(LEFT(Report[[#This Row],[FT]],SEARCH("-",Report[[#This Row],[FT]])-1)*1))</f>
        <v>2</v>
      </c>
      <c r="Q130" s="22">
        <f>IF(Report[[#This Row],[FT]]="",,(RIGHT(Report[[#This Row],[FT]],SEARCH("-",Report[[#This Row],[FT]])-1)*1))</f>
        <v>1</v>
      </c>
      <c r="R130" s="18" t="str">
        <f>IF(Report[Résultat FT]="","",IF(Report[Résultat FT]=Report[Résultats],"Gagné","Perdu"))</f>
        <v>Perdu</v>
      </c>
      <c r="S130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30" s="53">
        <f>IF(Report[[#This Row],[FT]]="","",IF(Report[[#This Row],[FT]]=Report[[#This Row],[Score 1]],1,0))</f>
        <v>0</v>
      </c>
      <c r="U130" s="53">
        <f>IF(Report[[#This Row],[FT]]="","",IF(Report[ [#This Row],[FT] ]=Report[[#This Row],[Score 2]],1,0))</f>
        <v>0</v>
      </c>
      <c r="V130" s="53">
        <f>IF(Report[[#This Row],[FT]]="","",IF(Report[[#This Row],[FT]]=Report[[#This Row],[Score 3]],1,0))</f>
        <v>0</v>
      </c>
      <c r="W130" s="53">
        <f>IF(Report[[#This Row],[FT]]="","",IF(Report[[#This Row],[FT]]=Report[[#This Row],[Score 4]],1,0))</f>
        <v>0</v>
      </c>
      <c r="X130" s="94">
        <f>IF(Report[[#This Row],[Résultat FT]]="",,IF(Report[[#This Row],[Résultat FT]]=Report[[#This Row],[Résultats]],(Suivi_Gain!$B$1*Report[[#This Row],[Cote FT]])-Suivi_Gain!$B$1,-Suivi_Gain!$B$1))</f>
        <v>-1</v>
      </c>
      <c r="Y130" s="94">
        <f>IF(Report[[#This Row],[FT]]="",,IF(Report[[#This Row],[FT]]=Report[[#This Row],[Score 1]],(Suivi_Gain!$G$1*Report[[#This Row],[Cote SE]])-Suivi_Gain!$G$1,-Suivi_Gain!$G$1))</f>
        <v>-1</v>
      </c>
      <c r="Z130" s="65">
        <f>IF(Report[[#This Row],[FT]]="",,IF(Report[[#This Row],[FT]]=Report[[#This Row],[Score 2]],Suivi_Gain!$G$1*Report[[#This Row],[Cote SE]],-Suivi_Gain!$G$1))</f>
        <v>-1</v>
      </c>
      <c r="AA130" s="65">
        <f>IF(Report[[#This Row],[FT]]="",,IF(Report[[#This Row],[FT]]=Report[[#This Row],[Score 3]],Suivi_Gain!$G$1*Report[[#This Row],[Cote SE]],-Suivi_Gain!$G$1))</f>
        <v>-1</v>
      </c>
      <c r="AB130" s="65">
        <f>IF(Report[[#This Row],[FT]]="",,IF(Report[[#This Row],[FT]]=Report[[#This Row],[Score 4]],Suivi_Gain!$G$1*Report[[#This Row],[Cote SE]],-Suivi_Gain!$G$1))</f>
        <v>-1</v>
      </c>
      <c r="AC130" s="18" t="str">
        <f>IF(Report[[#This Row],[Résultats SE]]="Gagné",Report[[#This Row],[FT]],"")</f>
        <v/>
      </c>
      <c r="AD130" s="18" t="str">
        <f>IF(AND(Report[[#This Row],[Résultats SE]]="Gagné",Report[[#This Row],[FT]]=Report[[#This Row],[Score 1]]),Report[[#This Row],[FT]],"")</f>
        <v/>
      </c>
      <c r="AE130" s="18" t="str">
        <f>IF(AND(Report[[#This Row],[Résultats SE]]="Gagné",Report[[#This Row],[FT]]=Report[[#This Row],[Score 2]]),Report[[#This Row],[FT]],"")</f>
        <v/>
      </c>
      <c r="AF130" s="18" t="str">
        <f>IF(AND(Report[[#This Row],[Résultats SE]]="Gagné",Report[[#This Row],[FT]]=Report[[#This Row],[Score 3]]),Report[[#This Row],[FT]],"")</f>
        <v/>
      </c>
      <c r="AG130" s="18" t="str">
        <f>IF(AND(Report[[#This Row],[Résultats SE]]="Gagné",Report[[#This Row],[FT]]=Report[[#This Row],[Score 4]]),Report[[#This Row],[FT]],"")</f>
        <v/>
      </c>
    </row>
    <row r="131" spans="1:33" ht="20.100000000000001" customHeight="1" x14ac:dyDescent="0.25">
      <c r="A131" s="11">
        <v>43429</v>
      </c>
      <c r="B131" s="7" t="s">
        <v>97</v>
      </c>
      <c r="C131" s="7" t="s">
        <v>129</v>
      </c>
      <c r="D131" s="10" t="s">
        <v>292</v>
      </c>
      <c r="E131" s="10" t="s">
        <v>288</v>
      </c>
      <c r="F131" s="7" t="s">
        <v>844</v>
      </c>
      <c r="G131" s="8" t="s">
        <v>826</v>
      </c>
      <c r="H131" s="9" t="s">
        <v>845</v>
      </c>
      <c r="I131" s="9" t="s">
        <v>846</v>
      </c>
      <c r="J131" s="9" t="s">
        <v>847</v>
      </c>
      <c r="K131" s="9" t="s">
        <v>233</v>
      </c>
      <c r="L131" s="16" t="str">
        <f>IF(Report[Résultat FT]="","",IF(Report[Résultat FT]=Report[Résultats],"","-"))</f>
        <v>-</v>
      </c>
      <c r="M131" s="16" t="str">
        <f>IF(Report[[#This Row],[Résultat FT]]="","",IF(Report[[#This Row],[Résultats SE]]="Gagné","","-"))</f>
        <v>-</v>
      </c>
      <c r="N131" s="17" t="s">
        <v>838</v>
      </c>
      <c r="O131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Oleksandriya</v>
      </c>
      <c r="P131" s="18">
        <f>IF(Report[[#This Row],[FT]]="",,(LEFT(Report[[#This Row],[FT]],SEARCH("-",Report[[#This Row],[FT]])-1)*1))</f>
        <v>2</v>
      </c>
      <c r="Q131" s="22">
        <f>IF(Report[[#This Row],[FT]]="",,(RIGHT(Report[[#This Row],[FT]],SEARCH("-",Report[[#This Row],[FT]])-1)*1))</f>
        <v>1</v>
      </c>
      <c r="R131" s="18" t="str">
        <f>IF(Report[Résultat FT]="","",IF(Report[Résultat FT]=Report[Résultats],"Gagné","Perdu"))</f>
        <v>Perdu</v>
      </c>
      <c r="S131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31" s="53">
        <f>IF(Report[[#This Row],[FT]]="","",IF(Report[[#This Row],[FT]]=Report[[#This Row],[Score 1]],1,0))</f>
        <v>0</v>
      </c>
      <c r="U131" s="53">
        <f>IF(Report[[#This Row],[FT]]="","",IF(Report[ [#This Row],[FT] ]=Report[[#This Row],[Score 2]],1,0))</f>
        <v>0</v>
      </c>
      <c r="V131" s="53">
        <f>IF(Report[[#This Row],[FT]]="","",IF(Report[[#This Row],[FT]]=Report[[#This Row],[Score 3]],1,0))</f>
        <v>0</v>
      </c>
      <c r="W131" s="53">
        <f>IF(Report[[#This Row],[FT]]="","",IF(Report[[#This Row],[FT]]=Report[[#This Row],[Score 4]],1,0))</f>
        <v>0</v>
      </c>
      <c r="X131" s="94">
        <f>IF(Report[[#This Row],[Résultat FT]]="",,IF(Report[[#This Row],[Résultat FT]]=Report[[#This Row],[Résultats]],(Suivi_Gain!$B$1*Report[[#This Row],[Cote FT]])-Suivi_Gain!$B$1,-Suivi_Gain!$B$1))</f>
        <v>-1</v>
      </c>
      <c r="Y131" s="94">
        <f>IF(Report[[#This Row],[FT]]="",,IF(Report[[#This Row],[FT]]=Report[[#This Row],[Score 1]],(Suivi_Gain!$G$1*Report[[#This Row],[Cote SE]])-Suivi_Gain!$G$1,-Suivi_Gain!$G$1))</f>
        <v>-1</v>
      </c>
      <c r="Z131" s="65">
        <f>IF(Report[[#This Row],[FT]]="",,IF(Report[[#This Row],[FT]]=Report[[#This Row],[Score 2]],Suivi_Gain!$G$1*Report[[#This Row],[Cote SE]],-Suivi_Gain!$G$1))</f>
        <v>-1</v>
      </c>
      <c r="AA131" s="65">
        <f>IF(Report[[#This Row],[FT]]="",,IF(Report[[#This Row],[FT]]=Report[[#This Row],[Score 3]],Suivi_Gain!$G$1*Report[[#This Row],[Cote SE]],-Suivi_Gain!$G$1))</f>
        <v>-1</v>
      </c>
      <c r="AB131" s="65">
        <f>IF(Report[[#This Row],[FT]]="",,IF(Report[[#This Row],[FT]]=Report[[#This Row],[Score 4]],Suivi_Gain!$G$1*Report[[#This Row],[Cote SE]],-Suivi_Gain!$G$1))</f>
        <v>-1</v>
      </c>
      <c r="AC131" s="18" t="str">
        <f>IF(Report[[#This Row],[Résultats SE]]="Gagné",Report[[#This Row],[FT]],"")</f>
        <v/>
      </c>
      <c r="AD131" s="18" t="str">
        <f>IF(AND(Report[[#This Row],[Résultats SE]]="Gagné",Report[[#This Row],[FT]]=Report[[#This Row],[Score 1]]),Report[[#This Row],[FT]],"")</f>
        <v/>
      </c>
      <c r="AE131" s="18" t="str">
        <f>IF(AND(Report[[#This Row],[Résultats SE]]="Gagné",Report[[#This Row],[FT]]=Report[[#This Row],[Score 2]]),Report[[#This Row],[FT]],"")</f>
        <v/>
      </c>
      <c r="AF131" s="18" t="str">
        <f>IF(AND(Report[[#This Row],[Résultats SE]]="Gagné",Report[[#This Row],[FT]]=Report[[#This Row],[Score 3]]),Report[[#This Row],[FT]],"")</f>
        <v/>
      </c>
      <c r="AG131" s="18" t="str">
        <f>IF(AND(Report[[#This Row],[Résultats SE]]="Gagné",Report[[#This Row],[FT]]=Report[[#This Row],[Score 4]]),Report[[#This Row],[FT]],"")</f>
        <v/>
      </c>
    </row>
    <row r="132" spans="1:33" ht="20.100000000000001" customHeight="1" x14ac:dyDescent="0.25">
      <c r="A132" s="11">
        <v>43428</v>
      </c>
      <c r="B132" s="7" t="s">
        <v>65</v>
      </c>
      <c r="C132" s="7" t="s">
        <v>98</v>
      </c>
      <c r="D132" s="10" t="s">
        <v>139</v>
      </c>
      <c r="E132" s="10" t="s">
        <v>144</v>
      </c>
      <c r="F132" s="7" t="s">
        <v>840</v>
      </c>
      <c r="G132" s="8" t="s">
        <v>841</v>
      </c>
      <c r="H132" s="9" t="s">
        <v>839</v>
      </c>
      <c r="I132" s="9" t="s">
        <v>828</v>
      </c>
      <c r="J132" s="9" t="s">
        <v>827</v>
      </c>
      <c r="K132" s="9" t="s">
        <v>144</v>
      </c>
      <c r="L132" s="16">
        <v>2.5499999999999998</v>
      </c>
      <c r="M132" s="16">
        <v>18</v>
      </c>
      <c r="N132" s="17" t="s">
        <v>841</v>
      </c>
      <c r="O132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Frankfurt</v>
      </c>
      <c r="P132" s="18">
        <f>IF(Report[[#This Row],[FT]]="",,(LEFT(Report[[#This Row],[FT]],SEARCH("-",Report[[#This Row],[FT]])-1)*1))</f>
        <v>1</v>
      </c>
      <c r="Q132" s="22">
        <f>IF(Report[[#This Row],[FT]]="",,(RIGHT(Report[[#This Row],[FT]],SEARCH("-",Report[[#This Row],[FT]])-1)*1))</f>
        <v>3</v>
      </c>
      <c r="R132" s="18" t="str">
        <f>IF(Report[Résultat FT]="","",IF(Report[Résultat FT]=Report[Résultats],"Gagné","Perdu"))</f>
        <v>Gagné</v>
      </c>
      <c r="S132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132" s="53">
        <f>IF(Report[[#This Row],[FT]]="","",IF(Report[[#This Row],[FT]]=Report[[#This Row],[Score 1]],1,0))</f>
        <v>1</v>
      </c>
      <c r="U132" s="53">
        <f>IF(Report[[#This Row],[FT]]="","",IF(Report[ [#This Row],[FT] ]=Report[[#This Row],[Score 2]],1,0))</f>
        <v>0</v>
      </c>
      <c r="V132" s="53">
        <f>IF(Report[[#This Row],[FT]]="","",IF(Report[[#This Row],[FT]]=Report[[#This Row],[Score 3]],1,0))</f>
        <v>0</v>
      </c>
      <c r="W132" s="53">
        <f>IF(Report[[#This Row],[FT]]="","",IF(Report[[#This Row],[FT]]=Report[[#This Row],[Score 4]],1,0))</f>
        <v>0</v>
      </c>
      <c r="X132" s="66">
        <f>IF(Report[[#This Row],[Résultat FT]]="",,IF(Report[[#This Row],[Résultat FT]]=Report[[#This Row],[Résultats]],(Suivi_Gain!$B$1*Report[[#This Row],[Cote FT]])-Suivi_Gain!$B$1,-Suivi_Gain!$B$1))</f>
        <v>1.5499999999999998</v>
      </c>
      <c r="Y132" s="94">
        <f>IF(Report[[#This Row],[FT]]="",,IF(Report[[#This Row],[FT]]=Report[[#This Row],[Score 1]],(Suivi_Gain!$G$1*Report[[#This Row],[Cote SE]])-Suivi_Gain!$G$1,-Suivi_Gain!$G$1))</f>
        <v>17</v>
      </c>
      <c r="Z132" s="65">
        <f>IF(Report[[#This Row],[FT]]="",,IF(Report[[#This Row],[FT]]=Report[[#This Row],[Score 2]],Suivi_Gain!$G$1*Report[[#This Row],[Cote SE]],-Suivi_Gain!$G$1))</f>
        <v>-1</v>
      </c>
      <c r="AA132" s="65">
        <f>IF(Report[[#This Row],[FT]]="",,IF(Report[[#This Row],[FT]]=Report[[#This Row],[Score 3]],Suivi_Gain!$G$1*Report[[#This Row],[Cote SE]],-Suivi_Gain!$G$1))</f>
        <v>-1</v>
      </c>
      <c r="AB132" s="65">
        <f>IF(Report[[#This Row],[FT]]="",,IF(Report[[#This Row],[FT]]=Report[[#This Row],[Score 4]],Suivi_Gain!$G$1*Report[[#This Row],[Cote SE]],-Suivi_Gain!$G$1))</f>
        <v>-1</v>
      </c>
      <c r="AC132" s="63" t="str">
        <f>IF(Report[[#This Row],[Résultats SE]]="Gagné",Report[[#This Row],[FT]],"")</f>
        <v>1-3</v>
      </c>
      <c r="AD132" s="63" t="str">
        <f>IF(AND(Report[[#This Row],[Résultats SE]]="Gagné",Report[[#This Row],[FT]]=Report[[#This Row],[Score 1]]),Report[[#This Row],[FT]],"")</f>
        <v>1-3</v>
      </c>
      <c r="AE132" s="63" t="str">
        <f>IF(AND(Report[[#This Row],[Résultats SE]]="Gagné",Report[[#This Row],[FT]]=Report[[#This Row],[Score 2]]),Report[[#This Row],[FT]],"")</f>
        <v/>
      </c>
      <c r="AF132" s="63" t="str">
        <f>IF(AND(Report[[#This Row],[Résultats SE]]="Gagné",Report[[#This Row],[FT]]=Report[[#This Row],[Score 3]]),Report[[#This Row],[FT]],"")</f>
        <v/>
      </c>
      <c r="AG132" s="63" t="str">
        <f>IF(AND(Report[[#This Row],[Résultats SE]]="Gagné",Report[[#This Row],[FT]]=Report[[#This Row],[Score 4]]),Report[[#This Row],[FT]],"")</f>
        <v/>
      </c>
    </row>
    <row r="133" spans="1:33" ht="20.100000000000001" customHeight="1" x14ac:dyDescent="0.25">
      <c r="A133" s="11">
        <v>43428</v>
      </c>
      <c r="B133" s="7" t="s">
        <v>65</v>
      </c>
      <c r="C133" s="7" t="s">
        <v>98</v>
      </c>
      <c r="D133" s="10" t="s">
        <v>140</v>
      </c>
      <c r="E133" s="10" t="s">
        <v>143</v>
      </c>
      <c r="F133" s="7" t="s">
        <v>876</v>
      </c>
      <c r="G133" s="8" t="s">
        <v>832</v>
      </c>
      <c r="H133" s="9" t="s">
        <v>831</v>
      </c>
      <c r="I133" s="9" t="s">
        <v>859</v>
      </c>
      <c r="J133" s="9" t="s">
        <v>830</v>
      </c>
      <c r="K133" s="9" t="s">
        <v>140</v>
      </c>
      <c r="L133" s="16" t="str">
        <f>IF(Report[Résultat FT]="","",IF(Report[Résultat FT]=Report[Résultats],"","-"))</f>
        <v>-</v>
      </c>
      <c r="M133" s="16" t="str">
        <f>IF(Report[[#This Row],[Résultat FT]]="","",IF(Report[[#This Row],[Résultats SE]]="Gagné","","-"))</f>
        <v>-</v>
      </c>
      <c r="N133" s="17" t="s">
        <v>890</v>
      </c>
      <c r="O133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133" s="18">
        <f>IF(Report[[#This Row],[FT]]="",,(LEFT(Report[[#This Row],[FT]],SEARCH("-",Report[[#This Row],[FT]])-1)*1))</f>
        <v>3</v>
      </c>
      <c r="Q133" s="22">
        <f>IF(Report[[#This Row],[FT]]="",,(RIGHT(Report[[#This Row],[FT]],SEARCH("-",Report[[#This Row],[FT]])-1)*1))</f>
        <v>3</v>
      </c>
      <c r="R133" s="18" t="str">
        <f>IF(Report[Résultat FT]="","",IF(Report[Résultat FT]=Report[Résultats],"Gagné","Perdu"))</f>
        <v>Perdu</v>
      </c>
      <c r="S133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33" s="53">
        <f>IF(Report[[#This Row],[FT]]="","",IF(Report[[#This Row],[FT]]=Report[[#This Row],[Score 1]],1,0))</f>
        <v>0</v>
      </c>
      <c r="U133" s="53">
        <f>IF(Report[[#This Row],[FT]]="","",IF(Report[ [#This Row],[FT] ]=Report[[#This Row],[Score 2]],1,0))</f>
        <v>0</v>
      </c>
      <c r="V133" s="53">
        <f>IF(Report[[#This Row],[FT]]="","",IF(Report[[#This Row],[FT]]=Report[[#This Row],[Score 3]],1,0))</f>
        <v>0</v>
      </c>
      <c r="W133" s="53">
        <f>IF(Report[[#This Row],[FT]]="","",IF(Report[[#This Row],[FT]]=Report[[#This Row],[Score 4]],1,0))</f>
        <v>0</v>
      </c>
      <c r="X133" s="66">
        <f>IF(Report[[#This Row],[Résultat FT]]="",,IF(Report[[#This Row],[Résultat FT]]=Report[[#This Row],[Résultats]],(Suivi_Gain!$B$1*Report[[#This Row],[Cote FT]])-Suivi_Gain!$B$1,-Suivi_Gain!$B$1))</f>
        <v>-1</v>
      </c>
      <c r="Y133" s="94">
        <f>IF(Report[[#This Row],[FT]]="",,IF(Report[[#This Row],[FT]]=Report[[#This Row],[Score 1]],(Suivi_Gain!$G$1*Report[[#This Row],[Cote SE]])-Suivi_Gain!$G$1,-Suivi_Gain!$G$1))</f>
        <v>-1</v>
      </c>
      <c r="Z133" s="65">
        <f>IF(Report[[#This Row],[FT]]="",,IF(Report[[#This Row],[FT]]=Report[[#This Row],[Score 2]],Suivi_Gain!$G$1*Report[[#This Row],[Cote SE]],-Suivi_Gain!$G$1))</f>
        <v>-1</v>
      </c>
      <c r="AA133" s="65">
        <f>IF(Report[[#This Row],[FT]]="",,IF(Report[[#This Row],[FT]]=Report[[#This Row],[Score 3]],Suivi_Gain!$G$1*Report[[#This Row],[Cote SE]],-Suivi_Gain!$G$1))</f>
        <v>-1</v>
      </c>
      <c r="AB133" s="65">
        <f>IF(Report[[#This Row],[FT]]="",,IF(Report[[#This Row],[FT]]=Report[[#This Row],[Score 4]],Suivi_Gain!$G$1*Report[[#This Row],[Cote SE]],-Suivi_Gain!$G$1))</f>
        <v>-1</v>
      </c>
      <c r="AC133" s="63" t="str">
        <f>IF(Report[[#This Row],[Résultats SE]]="Gagné",Report[[#This Row],[FT]],"")</f>
        <v/>
      </c>
      <c r="AD133" s="63" t="str">
        <f>IF(AND(Report[[#This Row],[Résultats SE]]="Gagné",Report[[#This Row],[FT]]=Report[[#This Row],[Score 1]]),Report[[#This Row],[FT]],"")</f>
        <v/>
      </c>
      <c r="AE133" s="63" t="str">
        <f>IF(AND(Report[[#This Row],[Résultats SE]]="Gagné",Report[[#This Row],[FT]]=Report[[#This Row],[Score 2]]),Report[[#This Row],[FT]],"")</f>
        <v/>
      </c>
      <c r="AF133" s="63" t="str">
        <f>IF(AND(Report[[#This Row],[Résultats SE]]="Gagné",Report[[#This Row],[FT]]=Report[[#This Row],[Score 3]]),Report[[#This Row],[FT]],"")</f>
        <v/>
      </c>
      <c r="AG133" s="63" t="str">
        <f>IF(AND(Report[[#This Row],[Résultats SE]]="Gagné",Report[[#This Row],[FT]]=Report[[#This Row],[Score 4]]),Report[[#This Row],[FT]],"")</f>
        <v/>
      </c>
    </row>
    <row r="134" spans="1:33" ht="20.100000000000001" customHeight="1" x14ac:dyDescent="0.25">
      <c r="A134" s="11">
        <v>43428</v>
      </c>
      <c r="B134" s="7" t="s">
        <v>65</v>
      </c>
      <c r="C134" s="7" t="s">
        <v>98</v>
      </c>
      <c r="D134" s="10" t="s">
        <v>147</v>
      </c>
      <c r="E134" s="10" t="s">
        <v>148</v>
      </c>
      <c r="F134" s="7" t="s">
        <v>843</v>
      </c>
      <c r="G134" s="8" t="s">
        <v>839</v>
      </c>
      <c r="H134" s="9" t="s">
        <v>834</v>
      </c>
      <c r="I134" s="9" t="s">
        <v>827</v>
      </c>
      <c r="J134" s="9" t="s">
        <v>825</v>
      </c>
      <c r="K134" s="9" t="s">
        <v>148</v>
      </c>
      <c r="L134" s="16" t="str">
        <f>IF(Report[Résultat FT]="","",IF(Report[Résultat FT]=Report[Résultats],"","-"))</f>
        <v>-</v>
      </c>
      <c r="M134" s="16" t="str">
        <f>IF(Report[[#This Row],[Résultat FT]]="","",IF(Report[[#This Row],[Résultats SE]]="Gagné","","-"))</f>
        <v>-</v>
      </c>
      <c r="N134" s="17" t="s">
        <v>890</v>
      </c>
      <c r="O134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134" s="18">
        <f>IF(Report[[#This Row],[FT]]="",,(LEFT(Report[[#This Row],[FT]],SEARCH("-",Report[[#This Row],[FT]])-1)*1))</f>
        <v>3</v>
      </c>
      <c r="Q134" s="22">
        <f>IF(Report[[#This Row],[FT]]="",,(RIGHT(Report[[#This Row],[FT]],SEARCH("-",Report[[#This Row],[FT]])-1)*1))</f>
        <v>3</v>
      </c>
      <c r="R134" s="18" t="str">
        <f>IF(Report[Résultat FT]="","",IF(Report[Résultat FT]=Report[Résultats],"Gagné","Perdu"))</f>
        <v>Perdu</v>
      </c>
      <c r="S134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34" s="53">
        <f>IF(Report[[#This Row],[FT]]="","",IF(Report[[#This Row],[FT]]=Report[[#This Row],[Score 1]],1,0))</f>
        <v>0</v>
      </c>
      <c r="U134" s="53">
        <f>IF(Report[[#This Row],[FT]]="","",IF(Report[ [#This Row],[FT] ]=Report[[#This Row],[Score 2]],1,0))</f>
        <v>0</v>
      </c>
      <c r="V134" s="53">
        <f>IF(Report[[#This Row],[FT]]="","",IF(Report[[#This Row],[FT]]=Report[[#This Row],[Score 3]],1,0))</f>
        <v>0</v>
      </c>
      <c r="W134" s="53">
        <f>IF(Report[[#This Row],[FT]]="","",IF(Report[[#This Row],[FT]]=Report[[#This Row],[Score 4]],1,0))</f>
        <v>0</v>
      </c>
      <c r="X134" s="66">
        <f>IF(Report[[#This Row],[Résultat FT]]="",,IF(Report[[#This Row],[Résultat FT]]=Report[[#This Row],[Résultats]],(Suivi_Gain!$B$1*Report[[#This Row],[Cote FT]])-Suivi_Gain!$B$1,-Suivi_Gain!$B$1))</f>
        <v>-1</v>
      </c>
      <c r="Y134" s="94">
        <f>IF(Report[[#This Row],[FT]]="",,IF(Report[[#This Row],[FT]]=Report[[#This Row],[Score 1]],(Suivi_Gain!$G$1*Report[[#This Row],[Cote SE]])-Suivi_Gain!$G$1,-Suivi_Gain!$G$1))</f>
        <v>-1</v>
      </c>
      <c r="Z134" s="65">
        <f>IF(Report[[#This Row],[FT]]="",,IF(Report[[#This Row],[FT]]=Report[[#This Row],[Score 2]],Suivi_Gain!$G$1*Report[[#This Row],[Cote SE]],-Suivi_Gain!$G$1))</f>
        <v>-1</v>
      </c>
      <c r="AA134" s="65">
        <f>IF(Report[[#This Row],[FT]]="",,IF(Report[[#This Row],[FT]]=Report[[#This Row],[Score 3]],Suivi_Gain!$G$1*Report[[#This Row],[Cote SE]],-Suivi_Gain!$G$1))</f>
        <v>-1</v>
      </c>
      <c r="AB134" s="65">
        <f>IF(Report[[#This Row],[FT]]="",,IF(Report[[#This Row],[FT]]=Report[[#This Row],[Score 4]],Suivi_Gain!$G$1*Report[[#This Row],[Cote SE]],-Suivi_Gain!$G$1))</f>
        <v>-1</v>
      </c>
      <c r="AC134" s="63" t="str">
        <f>IF(Report[[#This Row],[Résultats SE]]="Gagné",Report[[#This Row],[FT]],"")</f>
        <v/>
      </c>
      <c r="AD134" s="63" t="str">
        <f>IF(AND(Report[[#This Row],[Résultats SE]]="Gagné",Report[[#This Row],[FT]]=Report[[#This Row],[Score 1]]),Report[[#This Row],[FT]],"")</f>
        <v/>
      </c>
      <c r="AE134" s="63" t="str">
        <f>IF(AND(Report[[#This Row],[Résultats SE]]="Gagné",Report[[#This Row],[FT]]=Report[[#This Row],[Score 2]]),Report[[#This Row],[FT]],"")</f>
        <v/>
      </c>
      <c r="AF134" s="63" t="str">
        <f>IF(AND(Report[[#This Row],[Résultats SE]]="Gagné",Report[[#This Row],[FT]]=Report[[#This Row],[Score 3]]),Report[[#This Row],[FT]],"")</f>
        <v/>
      </c>
      <c r="AG134" s="63" t="str">
        <f>IF(AND(Report[[#This Row],[Résultats SE]]="Gagné",Report[[#This Row],[FT]]=Report[[#This Row],[Score 4]]),Report[[#This Row],[FT]],"")</f>
        <v/>
      </c>
    </row>
    <row r="135" spans="1:33" ht="20.100000000000001" customHeight="1" x14ac:dyDescent="0.25">
      <c r="A135" s="11">
        <v>43428</v>
      </c>
      <c r="B135" s="7" t="s">
        <v>65</v>
      </c>
      <c r="C135" s="7" t="s">
        <v>98</v>
      </c>
      <c r="D135" s="10" t="s">
        <v>150</v>
      </c>
      <c r="E135" s="10" t="s">
        <v>142</v>
      </c>
      <c r="F135" s="7" t="s">
        <v>835</v>
      </c>
      <c r="G135" s="8" t="s">
        <v>827</v>
      </c>
      <c r="H135" s="9" t="s">
        <v>825</v>
      </c>
      <c r="I135" s="9" t="s">
        <v>828</v>
      </c>
      <c r="J135" s="9" t="s">
        <v>826</v>
      </c>
      <c r="K135" s="9" t="s">
        <v>142</v>
      </c>
      <c r="L135" s="16">
        <v>1.6</v>
      </c>
      <c r="M135" s="16" t="str">
        <f>IF(Report[[#This Row],[Résultat FT]]="","",IF(Report[[#This Row],[Résultats SE]]="Gagné","","-"))</f>
        <v>-</v>
      </c>
      <c r="N135" s="17" t="s">
        <v>839</v>
      </c>
      <c r="O135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Dortmund</v>
      </c>
      <c r="P135" s="18">
        <f>IF(Report[[#This Row],[FT]]="",,(LEFT(Report[[#This Row],[FT]],SEARCH("-",Report[[#This Row],[FT]])-1)*1))</f>
        <v>1</v>
      </c>
      <c r="Q135" s="22">
        <f>IF(Report[[#This Row],[FT]]="",,(RIGHT(Report[[#This Row],[FT]],SEARCH("-",Report[[#This Row],[FT]])-1)*1))</f>
        <v>2</v>
      </c>
      <c r="R135" s="18" t="str">
        <f>IF(Report[Résultat FT]="","",IF(Report[Résultat FT]=Report[Résultats],"Gagné","Perdu"))</f>
        <v>Gagné</v>
      </c>
      <c r="S135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35" s="53">
        <f>IF(Report[[#This Row],[FT]]="","",IF(Report[[#This Row],[FT]]=Report[[#This Row],[Score 1]],1,0))</f>
        <v>0</v>
      </c>
      <c r="U135" s="53">
        <f>IF(Report[[#This Row],[FT]]="","",IF(Report[ [#This Row],[FT] ]=Report[[#This Row],[Score 2]],1,0))</f>
        <v>0</v>
      </c>
      <c r="V135" s="53">
        <f>IF(Report[[#This Row],[FT]]="","",IF(Report[[#This Row],[FT]]=Report[[#This Row],[Score 3]],1,0))</f>
        <v>0</v>
      </c>
      <c r="W135" s="53">
        <f>IF(Report[[#This Row],[FT]]="","",IF(Report[[#This Row],[FT]]=Report[[#This Row],[Score 4]],1,0))</f>
        <v>0</v>
      </c>
      <c r="X135" s="66">
        <f>IF(Report[[#This Row],[Résultat FT]]="",,IF(Report[[#This Row],[Résultat FT]]=Report[[#This Row],[Résultats]],(Suivi_Gain!$B$1*Report[[#This Row],[Cote FT]])-Suivi_Gain!$B$1,-Suivi_Gain!$B$1))</f>
        <v>0.60000000000000009</v>
      </c>
      <c r="Y135" s="94">
        <f>IF(Report[[#This Row],[FT]]="",,IF(Report[[#This Row],[FT]]=Report[[#This Row],[Score 1]],(Suivi_Gain!$G$1*Report[[#This Row],[Cote SE]])-Suivi_Gain!$G$1,-Suivi_Gain!$G$1))</f>
        <v>-1</v>
      </c>
      <c r="Z135" s="65">
        <f>IF(Report[[#This Row],[FT]]="",,IF(Report[[#This Row],[FT]]=Report[[#This Row],[Score 2]],Suivi_Gain!$G$1*Report[[#This Row],[Cote SE]],-Suivi_Gain!$G$1))</f>
        <v>-1</v>
      </c>
      <c r="AA135" s="65">
        <f>IF(Report[[#This Row],[FT]]="",,IF(Report[[#This Row],[FT]]=Report[[#This Row],[Score 3]],Suivi_Gain!$G$1*Report[[#This Row],[Cote SE]],-Suivi_Gain!$G$1))</f>
        <v>-1</v>
      </c>
      <c r="AB135" s="65">
        <f>IF(Report[[#This Row],[FT]]="",,IF(Report[[#This Row],[FT]]=Report[[#This Row],[Score 4]],Suivi_Gain!$G$1*Report[[#This Row],[Cote SE]],-Suivi_Gain!$G$1))</f>
        <v>-1</v>
      </c>
      <c r="AC135" s="63" t="str">
        <f>IF(Report[[#This Row],[Résultats SE]]="Gagné",Report[[#This Row],[FT]],"")</f>
        <v/>
      </c>
      <c r="AD135" s="63" t="str">
        <f>IF(AND(Report[[#This Row],[Résultats SE]]="Gagné",Report[[#This Row],[FT]]=Report[[#This Row],[Score 1]]),Report[[#This Row],[FT]],"")</f>
        <v/>
      </c>
      <c r="AE135" s="63" t="str">
        <f>IF(AND(Report[[#This Row],[Résultats SE]]="Gagné",Report[[#This Row],[FT]]=Report[[#This Row],[Score 2]]),Report[[#This Row],[FT]],"")</f>
        <v/>
      </c>
      <c r="AF135" s="63" t="str">
        <f>IF(AND(Report[[#This Row],[Résultats SE]]="Gagné",Report[[#This Row],[FT]]=Report[[#This Row],[Score 3]]),Report[[#This Row],[FT]],"")</f>
        <v/>
      </c>
      <c r="AG135" s="63" t="str">
        <f>IF(AND(Report[[#This Row],[Résultats SE]]="Gagné",Report[[#This Row],[FT]]=Report[[#This Row],[Score 4]]),Report[[#This Row],[FT]],"")</f>
        <v/>
      </c>
    </row>
    <row r="136" spans="1:33" ht="20.100000000000001" customHeight="1" x14ac:dyDescent="0.25">
      <c r="A136" s="11">
        <v>43428</v>
      </c>
      <c r="B136" s="7" t="s">
        <v>65</v>
      </c>
      <c r="C136" s="7" t="s">
        <v>98</v>
      </c>
      <c r="D136" s="10" t="s">
        <v>156</v>
      </c>
      <c r="E136" s="10" t="s">
        <v>153</v>
      </c>
      <c r="F136" s="7" t="s">
        <v>835</v>
      </c>
      <c r="G136" s="8" t="s">
        <v>827</v>
      </c>
      <c r="H136" s="9" t="s">
        <v>825</v>
      </c>
      <c r="I136" s="9" t="s">
        <v>828</v>
      </c>
      <c r="J136" s="9" t="s">
        <v>826</v>
      </c>
      <c r="K136" s="9" t="s">
        <v>153</v>
      </c>
      <c r="L136" s="16" t="str">
        <f>IF(Report[Résultat FT]="","",IF(Report[Résultat FT]=Report[Résultats],"","-"))</f>
        <v>-</v>
      </c>
      <c r="M136" s="16" t="str">
        <f>IF(Report[[#This Row],[Résultat FT]]="","",IF(Report[[#This Row],[Résultats SE]]="Gagné","","-"))</f>
        <v>-</v>
      </c>
      <c r="N136" s="17" t="s">
        <v>830</v>
      </c>
      <c r="O136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Wolfsburg</v>
      </c>
      <c r="P136" s="18">
        <f>IF(Report[[#This Row],[FT]]="",,(LEFT(Report[[#This Row],[FT]],SEARCH("-",Report[[#This Row],[FT]])-1)*1))</f>
        <v>1</v>
      </c>
      <c r="Q136" s="22">
        <f>IF(Report[[#This Row],[FT]]="",,(RIGHT(Report[[#This Row],[FT]],SEARCH("-",Report[[#This Row],[FT]])-1)*1))</f>
        <v>0</v>
      </c>
      <c r="R136" s="18" t="str">
        <f>IF(Report[Résultat FT]="","",IF(Report[Résultat FT]=Report[Résultats],"Gagné","Perdu"))</f>
        <v>Perdu</v>
      </c>
      <c r="S136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36" s="53">
        <f>IF(Report[[#This Row],[FT]]="","",IF(Report[[#This Row],[FT]]=Report[[#This Row],[Score 1]],1,0))</f>
        <v>0</v>
      </c>
      <c r="U136" s="53">
        <f>IF(Report[[#This Row],[FT]]="","",IF(Report[ [#This Row],[FT] ]=Report[[#This Row],[Score 2]],1,0))</f>
        <v>0</v>
      </c>
      <c r="V136" s="53">
        <f>IF(Report[[#This Row],[FT]]="","",IF(Report[[#This Row],[FT]]=Report[[#This Row],[Score 3]],1,0))</f>
        <v>0</v>
      </c>
      <c r="W136" s="53">
        <f>IF(Report[[#This Row],[FT]]="","",IF(Report[[#This Row],[FT]]=Report[[#This Row],[Score 4]],1,0))</f>
        <v>0</v>
      </c>
      <c r="X136" s="66">
        <f>IF(Report[[#This Row],[Résultat FT]]="",,IF(Report[[#This Row],[Résultat FT]]=Report[[#This Row],[Résultats]],(Suivi_Gain!$B$1*Report[[#This Row],[Cote FT]])-Suivi_Gain!$B$1,-Suivi_Gain!$B$1))</f>
        <v>-1</v>
      </c>
      <c r="Y136" s="94">
        <f>IF(Report[[#This Row],[FT]]="",,IF(Report[[#This Row],[FT]]=Report[[#This Row],[Score 1]],(Suivi_Gain!$G$1*Report[[#This Row],[Cote SE]])-Suivi_Gain!$G$1,-Suivi_Gain!$G$1))</f>
        <v>-1</v>
      </c>
      <c r="Z136" s="65">
        <f>IF(Report[[#This Row],[FT]]="",,IF(Report[[#This Row],[FT]]=Report[[#This Row],[Score 2]],Suivi_Gain!$G$1*Report[[#This Row],[Cote SE]],-Suivi_Gain!$G$1))</f>
        <v>-1</v>
      </c>
      <c r="AA136" s="65">
        <f>IF(Report[[#This Row],[FT]]="",,IF(Report[[#This Row],[FT]]=Report[[#This Row],[Score 3]],Suivi_Gain!$G$1*Report[[#This Row],[Cote SE]],-Suivi_Gain!$G$1))</f>
        <v>-1</v>
      </c>
      <c r="AB136" s="65">
        <f>IF(Report[[#This Row],[FT]]="",,IF(Report[[#This Row],[FT]]=Report[[#This Row],[Score 4]],Suivi_Gain!$G$1*Report[[#This Row],[Cote SE]],-Suivi_Gain!$G$1))</f>
        <v>-1</v>
      </c>
      <c r="AC136" s="63" t="str">
        <f>IF(Report[[#This Row],[Résultats SE]]="Gagné",Report[[#This Row],[FT]],"")</f>
        <v/>
      </c>
      <c r="AD136" s="63" t="str">
        <f>IF(AND(Report[[#This Row],[Résultats SE]]="Gagné",Report[[#This Row],[FT]]=Report[[#This Row],[Score 1]]),Report[[#This Row],[FT]],"")</f>
        <v/>
      </c>
      <c r="AE136" s="63" t="str">
        <f>IF(AND(Report[[#This Row],[Résultats SE]]="Gagné",Report[[#This Row],[FT]]=Report[[#This Row],[Score 2]]),Report[[#This Row],[FT]],"")</f>
        <v/>
      </c>
      <c r="AF136" s="63" t="str">
        <f>IF(AND(Report[[#This Row],[Résultats SE]]="Gagné",Report[[#This Row],[FT]]=Report[[#This Row],[Score 3]]),Report[[#This Row],[FT]],"")</f>
        <v/>
      </c>
      <c r="AG136" s="63" t="str">
        <f>IF(AND(Report[[#This Row],[Résultats SE]]="Gagné",Report[[#This Row],[FT]]=Report[[#This Row],[Score 4]]),Report[[#This Row],[FT]],"")</f>
        <v/>
      </c>
    </row>
    <row r="137" spans="1:33" ht="20.100000000000001" customHeight="1" x14ac:dyDescent="0.25">
      <c r="A137" s="11">
        <v>43428</v>
      </c>
      <c r="B137" s="7" t="s">
        <v>65</v>
      </c>
      <c r="C137" s="7" t="s">
        <v>98</v>
      </c>
      <c r="D137" s="10" t="s">
        <v>154</v>
      </c>
      <c r="E137" s="10" t="s">
        <v>152</v>
      </c>
      <c r="F137" s="7" t="s">
        <v>833</v>
      </c>
      <c r="G137" s="8" t="s">
        <v>834</v>
      </c>
      <c r="H137" s="9" t="s">
        <v>830</v>
      </c>
      <c r="I137" s="9" t="s">
        <v>825</v>
      </c>
      <c r="J137" s="9" t="s">
        <v>826</v>
      </c>
      <c r="K137" s="9" t="s">
        <v>233</v>
      </c>
      <c r="L137" s="16" t="str">
        <f>IF(Report[Résultat FT]="","",IF(Report[Résultat FT]=Report[Résultats],"","-"))</f>
        <v>-</v>
      </c>
      <c r="M137" s="16" t="str">
        <f>IF(Report[[#This Row],[Résultat FT]]="","",IF(Report[[#This Row],[Résultats SE]]="Gagné","","-"))</f>
        <v>-</v>
      </c>
      <c r="N137" s="17" t="s">
        <v>918</v>
      </c>
      <c r="O137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Schalke 04</v>
      </c>
      <c r="P137" s="18">
        <f>IF(Report[[#This Row],[FT]]="",,(LEFT(Report[[#This Row],[FT]],SEARCH("-",Report[[#This Row],[FT]])-1)*1))</f>
        <v>5</v>
      </c>
      <c r="Q137" s="22">
        <f>IF(Report[[#This Row],[FT]]="",,(RIGHT(Report[[#This Row],[FT]],SEARCH("-",Report[[#This Row],[FT]])-1)*1))</f>
        <v>2</v>
      </c>
      <c r="R137" s="18" t="str">
        <f>IF(Report[Résultat FT]="","",IF(Report[Résultat FT]=Report[Résultats],"Gagné","Perdu"))</f>
        <v>Perdu</v>
      </c>
      <c r="S137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37" s="53">
        <f>IF(Report[[#This Row],[FT]]="","",IF(Report[[#This Row],[FT]]=Report[[#This Row],[Score 1]],1,0))</f>
        <v>0</v>
      </c>
      <c r="U137" s="53">
        <f>IF(Report[[#This Row],[FT]]="","",IF(Report[ [#This Row],[FT] ]=Report[[#This Row],[Score 2]],1,0))</f>
        <v>0</v>
      </c>
      <c r="V137" s="53">
        <f>IF(Report[[#This Row],[FT]]="","",IF(Report[[#This Row],[FT]]=Report[[#This Row],[Score 3]],1,0))</f>
        <v>0</v>
      </c>
      <c r="W137" s="53">
        <f>IF(Report[[#This Row],[FT]]="","",IF(Report[[#This Row],[FT]]=Report[[#This Row],[Score 4]],1,0))</f>
        <v>0</v>
      </c>
      <c r="X137" s="66">
        <f>IF(Report[[#This Row],[Résultat FT]]="",,IF(Report[[#This Row],[Résultat FT]]=Report[[#This Row],[Résultats]],(Suivi_Gain!$B$1*Report[[#This Row],[Cote FT]])-Suivi_Gain!$B$1,-Suivi_Gain!$B$1))</f>
        <v>-1</v>
      </c>
      <c r="Y137" s="94">
        <f>IF(Report[[#This Row],[FT]]="",,IF(Report[[#This Row],[FT]]=Report[[#This Row],[Score 1]],(Suivi_Gain!$G$1*Report[[#This Row],[Cote SE]])-Suivi_Gain!$G$1,-Suivi_Gain!$G$1))</f>
        <v>-1</v>
      </c>
      <c r="Z137" s="65">
        <f>IF(Report[[#This Row],[FT]]="",,IF(Report[[#This Row],[FT]]=Report[[#This Row],[Score 2]],Suivi_Gain!$G$1*Report[[#This Row],[Cote SE]],-Suivi_Gain!$G$1))</f>
        <v>-1</v>
      </c>
      <c r="AA137" s="65">
        <f>IF(Report[[#This Row],[FT]]="",,IF(Report[[#This Row],[FT]]=Report[[#This Row],[Score 3]],Suivi_Gain!$G$1*Report[[#This Row],[Cote SE]],-Suivi_Gain!$G$1))</f>
        <v>-1</v>
      </c>
      <c r="AB137" s="65">
        <f>IF(Report[[#This Row],[FT]]="",,IF(Report[[#This Row],[FT]]=Report[[#This Row],[Score 4]],Suivi_Gain!$G$1*Report[[#This Row],[Cote SE]],-Suivi_Gain!$G$1))</f>
        <v>-1</v>
      </c>
      <c r="AC137" s="63" t="str">
        <f>IF(Report[[#This Row],[Résultats SE]]="Gagné",Report[[#This Row],[FT]],"")</f>
        <v/>
      </c>
      <c r="AD137" s="63" t="str">
        <f>IF(AND(Report[[#This Row],[Résultats SE]]="Gagné",Report[[#This Row],[FT]]=Report[[#This Row],[Score 1]]),Report[[#This Row],[FT]],"")</f>
        <v/>
      </c>
      <c r="AE137" s="63" t="str">
        <f>IF(AND(Report[[#This Row],[Résultats SE]]="Gagné",Report[[#This Row],[FT]]=Report[[#This Row],[Score 2]]),Report[[#This Row],[FT]],"")</f>
        <v/>
      </c>
      <c r="AF137" s="63" t="str">
        <f>IF(AND(Report[[#This Row],[Résultats SE]]="Gagné",Report[[#This Row],[FT]]=Report[[#This Row],[Score 3]]),Report[[#This Row],[FT]],"")</f>
        <v/>
      </c>
      <c r="AG137" s="63" t="str">
        <f>IF(AND(Report[[#This Row],[Résultats SE]]="Gagné",Report[[#This Row],[FT]]=Report[[#This Row],[Score 4]]),Report[[#This Row],[FT]],"")</f>
        <v/>
      </c>
    </row>
    <row r="138" spans="1:33" ht="20.100000000000001" customHeight="1" x14ac:dyDescent="0.25">
      <c r="A138" s="11">
        <v>43428</v>
      </c>
      <c r="B138" s="7" t="s">
        <v>65</v>
      </c>
      <c r="C138" s="7" t="s">
        <v>99</v>
      </c>
      <c r="D138" s="10" t="s">
        <v>159</v>
      </c>
      <c r="E138" s="10" t="s">
        <v>157</v>
      </c>
      <c r="F138" s="7" t="s">
        <v>861</v>
      </c>
      <c r="G138" s="8" t="s">
        <v>831</v>
      </c>
      <c r="H138" s="9" t="s">
        <v>830</v>
      </c>
      <c r="I138" s="9" t="s">
        <v>832</v>
      </c>
      <c r="J138" s="9" t="s">
        <v>826</v>
      </c>
      <c r="K138" s="9" t="s">
        <v>159</v>
      </c>
      <c r="L138" s="16">
        <v>1.8</v>
      </c>
      <c r="M138" s="16" t="str">
        <f>IF(Report[[#This Row],[Résultat FT]]="","",IF(Report[[#This Row],[Résultats SE]]="Gagné","","-"))</f>
        <v>-</v>
      </c>
      <c r="N138" s="17" t="s">
        <v>838</v>
      </c>
      <c r="O138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Bochum</v>
      </c>
      <c r="P138" s="18">
        <f>IF(Report[[#This Row],[FT]]="",,(LEFT(Report[[#This Row],[FT]],SEARCH("-",Report[[#This Row],[FT]])-1)*1))</f>
        <v>2</v>
      </c>
      <c r="Q138" s="22">
        <f>IF(Report[[#This Row],[FT]]="",,(RIGHT(Report[[#This Row],[FT]],SEARCH("-",Report[[#This Row],[FT]])-1)*1))</f>
        <v>1</v>
      </c>
      <c r="R138" s="18" t="str">
        <f>IF(Report[Résultat FT]="","",IF(Report[Résultat FT]=Report[Résultats],"Gagné","Perdu"))</f>
        <v>Gagné</v>
      </c>
      <c r="S138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38" s="53">
        <f>IF(Report[[#This Row],[FT]]="","",IF(Report[[#This Row],[FT]]=Report[[#This Row],[Score 1]],1,0))</f>
        <v>0</v>
      </c>
      <c r="U138" s="53">
        <f>IF(Report[[#This Row],[FT]]="","",IF(Report[ [#This Row],[FT] ]=Report[[#This Row],[Score 2]],1,0))</f>
        <v>0</v>
      </c>
      <c r="V138" s="53">
        <f>IF(Report[[#This Row],[FT]]="","",IF(Report[[#This Row],[FT]]=Report[[#This Row],[Score 3]],1,0))</f>
        <v>0</v>
      </c>
      <c r="W138" s="53">
        <f>IF(Report[[#This Row],[FT]]="","",IF(Report[[#This Row],[FT]]=Report[[#This Row],[Score 4]],1,0))</f>
        <v>0</v>
      </c>
      <c r="X138" s="66">
        <f>IF(Report[[#This Row],[Résultat FT]]="",,IF(Report[[#This Row],[Résultat FT]]=Report[[#This Row],[Résultats]],(Suivi_Gain!$B$1*Report[[#This Row],[Cote FT]])-Suivi_Gain!$B$1,-Suivi_Gain!$B$1))</f>
        <v>0.8</v>
      </c>
      <c r="Y138" s="94">
        <f>IF(Report[[#This Row],[FT]]="",,IF(Report[[#This Row],[FT]]=Report[[#This Row],[Score 1]],(Suivi_Gain!$G$1*Report[[#This Row],[Cote SE]])-Suivi_Gain!$G$1,-Suivi_Gain!$G$1))</f>
        <v>-1</v>
      </c>
      <c r="Z138" s="65">
        <f>IF(Report[[#This Row],[FT]]="",,IF(Report[[#This Row],[FT]]=Report[[#This Row],[Score 2]],Suivi_Gain!$G$1*Report[[#This Row],[Cote SE]],-Suivi_Gain!$G$1))</f>
        <v>-1</v>
      </c>
      <c r="AA138" s="65">
        <f>IF(Report[[#This Row],[FT]]="",,IF(Report[[#This Row],[FT]]=Report[[#This Row],[Score 3]],Suivi_Gain!$G$1*Report[[#This Row],[Cote SE]],-Suivi_Gain!$G$1))</f>
        <v>-1</v>
      </c>
      <c r="AB138" s="65">
        <f>IF(Report[[#This Row],[FT]]="",,IF(Report[[#This Row],[FT]]=Report[[#This Row],[Score 4]],Suivi_Gain!$G$1*Report[[#This Row],[Cote SE]],-Suivi_Gain!$G$1))</f>
        <v>-1</v>
      </c>
      <c r="AC138" s="63" t="str">
        <f>IF(Report[[#This Row],[Résultats SE]]="Gagné",Report[[#This Row],[FT]],"")</f>
        <v/>
      </c>
      <c r="AD138" s="63" t="str">
        <f>IF(AND(Report[[#This Row],[Résultats SE]]="Gagné",Report[[#This Row],[FT]]=Report[[#This Row],[Score 1]]),Report[[#This Row],[FT]],"")</f>
        <v/>
      </c>
      <c r="AE138" s="63" t="str">
        <f>IF(AND(Report[[#This Row],[Résultats SE]]="Gagné",Report[[#This Row],[FT]]=Report[[#This Row],[Score 2]]),Report[[#This Row],[FT]],"")</f>
        <v/>
      </c>
      <c r="AF138" s="63" t="str">
        <f>IF(AND(Report[[#This Row],[Résultats SE]]="Gagné",Report[[#This Row],[FT]]=Report[[#This Row],[Score 3]]),Report[[#This Row],[FT]],"")</f>
        <v/>
      </c>
      <c r="AG138" s="63" t="str">
        <f>IF(AND(Report[[#This Row],[Résultats SE]]="Gagné",Report[[#This Row],[FT]]=Report[[#This Row],[Score 4]]),Report[[#This Row],[FT]],"")</f>
        <v/>
      </c>
    </row>
    <row r="139" spans="1:33" ht="20.100000000000001" customHeight="1" x14ac:dyDescent="0.25">
      <c r="A139" s="11">
        <v>43428</v>
      </c>
      <c r="B139" s="7" t="s">
        <v>65</v>
      </c>
      <c r="C139" s="7" t="s">
        <v>99</v>
      </c>
      <c r="D139" s="10" t="s">
        <v>160</v>
      </c>
      <c r="E139" s="10" t="s">
        <v>163</v>
      </c>
      <c r="F139" s="7" t="s">
        <v>843</v>
      </c>
      <c r="G139" s="8" t="s">
        <v>839</v>
      </c>
      <c r="H139" s="9" t="s">
        <v>834</v>
      </c>
      <c r="I139" s="9" t="s">
        <v>827</v>
      </c>
      <c r="J139" s="9" t="s">
        <v>825</v>
      </c>
      <c r="K139" s="9" t="s">
        <v>163</v>
      </c>
      <c r="L139" s="16">
        <v>1.75</v>
      </c>
      <c r="M139" s="16" t="str">
        <f>IF(Report[[#This Row],[Résultat FT]]="","",IF(Report[[#This Row],[Résultats SE]]="Gagné","","-"))</f>
        <v>-</v>
      </c>
      <c r="N139" s="17" t="s">
        <v>828</v>
      </c>
      <c r="O139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FC Koln</v>
      </c>
      <c r="P139" s="18">
        <f>IF(Report[[#This Row],[FT]]="",,(LEFT(Report[[#This Row],[FT]],SEARCH("-",Report[[#This Row],[FT]])-1)*1))</f>
        <v>0</v>
      </c>
      <c r="Q139" s="22">
        <f>IF(Report[[#This Row],[FT]]="",,(RIGHT(Report[[#This Row],[FT]],SEARCH("-",Report[[#This Row],[FT]])-1)*1))</f>
        <v>3</v>
      </c>
      <c r="R139" s="18" t="str">
        <f>IF(Report[Résultat FT]="","",IF(Report[Résultat FT]=Report[Résultats],"Gagné","Perdu"))</f>
        <v>Gagné</v>
      </c>
      <c r="S139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39" s="53">
        <f>IF(Report[[#This Row],[FT]]="","",IF(Report[[#This Row],[FT]]=Report[[#This Row],[Score 1]],1,0))</f>
        <v>0</v>
      </c>
      <c r="U139" s="53">
        <f>IF(Report[[#This Row],[FT]]="","",IF(Report[ [#This Row],[FT] ]=Report[[#This Row],[Score 2]],1,0))</f>
        <v>0</v>
      </c>
      <c r="V139" s="53">
        <f>IF(Report[[#This Row],[FT]]="","",IF(Report[[#This Row],[FT]]=Report[[#This Row],[Score 3]],1,0))</f>
        <v>0</v>
      </c>
      <c r="W139" s="53">
        <f>IF(Report[[#This Row],[FT]]="","",IF(Report[[#This Row],[FT]]=Report[[#This Row],[Score 4]],1,0))</f>
        <v>0</v>
      </c>
      <c r="X139" s="66">
        <f>IF(Report[[#This Row],[Résultat FT]]="",,IF(Report[[#This Row],[Résultat FT]]=Report[[#This Row],[Résultats]],(Suivi_Gain!$B$1*Report[[#This Row],[Cote FT]])-Suivi_Gain!$B$1,-Suivi_Gain!$B$1))</f>
        <v>0.75</v>
      </c>
      <c r="Y139" s="94">
        <f>IF(Report[[#This Row],[FT]]="",,IF(Report[[#This Row],[FT]]=Report[[#This Row],[Score 1]],(Suivi_Gain!$G$1*Report[[#This Row],[Cote SE]])-Suivi_Gain!$G$1,-Suivi_Gain!$G$1))</f>
        <v>-1</v>
      </c>
      <c r="Z139" s="65">
        <f>IF(Report[[#This Row],[FT]]="",,IF(Report[[#This Row],[FT]]=Report[[#This Row],[Score 2]],Suivi_Gain!$G$1*Report[[#This Row],[Cote SE]],-Suivi_Gain!$G$1))</f>
        <v>-1</v>
      </c>
      <c r="AA139" s="65">
        <f>IF(Report[[#This Row],[FT]]="",,IF(Report[[#This Row],[FT]]=Report[[#This Row],[Score 3]],Suivi_Gain!$G$1*Report[[#This Row],[Cote SE]],-Suivi_Gain!$G$1))</f>
        <v>-1</v>
      </c>
      <c r="AB139" s="65">
        <f>IF(Report[[#This Row],[FT]]="",,IF(Report[[#This Row],[FT]]=Report[[#This Row],[Score 4]],Suivi_Gain!$G$1*Report[[#This Row],[Cote SE]],-Suivi_Gain!$G$1))</f>
        <v>-1</v>
      </c>
      <c r="AC139" s="63" t="str">
        <f>IF(Report[[#This Row],[Résultats SE]]="Gagné",Report[[#This Row],[FT]],"")</f>
        <v/>
      </c>
      <c r="AD139" s="63" t="str">
        <f>IF(AND(Report[[#This Row],[Résultats SE]]="Gagné",Report[[#This Row],[FT]]=Report[[#This Row],[Score 1]]),Report[[#This Row],[FT]],"")</f>
        <v/>
      </c>
      <c r="AE139" s="63" t="str">
        <f>IF(AND(Report[[#This Row],[Résultats SE]]="Gagné",Report[[#This Row],[FT]]=Report[[#This Row],[Score 2]]),Report[[#This Row],[FT]],"")</f>
        <v/>
      </c>
      <c r="AF139" s="63" t="str">
        <f>IF(AND(Report[[#This Row],[Résultats SE]]="Gagné",Report[[#This Row],[FT]]=Report[[#This Row],[Score 3]]),Report[[#This Row],[FT]],"")</f>
        <v/>
      </c>
      <c r="AG139" s="63" t="str">
        <f>IF(AND(Report[[#This Row],[Résultats SE]]="Gagné",Report[[#This Row],[FT]]=Report[[#This Row],[Score 4]]),Report[[#This Row],[FT]],"")</f>
        <v/>
      </c>
    </row>
    <row r="140" spans="1:33" ht="20.100000000000001" customHeight="1" x14ac:dyDescent="0.25">
      <c r="A140" s="11">
        <v>43428</v>
      </c>
      <c r="B140" s="7" t="s">
        <v>65</v>
      </c>
      <c r="C140" s="7" t="s">
        <v>99</v>
      </c>
      <c r="D140" s="10" t="s">
        <v>168</v>
      </c>
      <c r="E140" s="10" t="s">
        <v>172</v>
      </c>
      <c r="F140" s="7" t="s">
        <v>842</v>
      </c>
      <c r="G140" s="8" t="s">
        <v>838</v>
      </c>
      <c r="H140" s="9" t="s">
        <v>831</v>
      </c>
      <c r="I140" s="9" t="s">
        <v>834</v>
      </c>
      <c r="J140" s="9" t="s">
        <v>830</v>
      </c>
      <c r="K140" s="9" t="s">
        <v>168</v>
      </c>
      <c r="L140" s="16">
        <v>2.0499999999999998</v>
      </c>
      <c r="M140" s="16">
        <v>8.5</v>
      </c>
      <c r="N140" s="17" t="s">
        <v>838</v>
      </c>
      <c r="O140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Kiel</v>
      </c>
      <c r="P140" s="18">
        <f>IF(Report[[#This Row],[FT]]="",,(LEFT(Report[[#This Row],[FT]],SEARCH("-",Report[[#This Row],[FT]])-1)*1))</f>
        <v>2</v>
      </c>
      <c r="Q140" s="22">
        <f>IF(Report[[#This Row],[FT]]="",,(RIGHT(Report[[#This Row],[FT]],SEARCH("-",Report[[#This Row],[FT]])-1)*1))</f>
        <v>1</v>
      </c>
      <c r="R140" s="18" t="str">
        <f>IF(Report[Résultat FT]="","",IF(Report[Résultat FT]=Report[Résultats],"Gagné","Perdu"))</f>
        <v>Gagné</v>
      </c>
      <c r="S140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140" s="53">
        <f>IF(Report[[#This Row],[FT]]="","",IF(Report[[#This Row],[FT]]=Report[[#This Row],[Score 1]],1,0))</f>
        <v>1</v>
      </c>
      <c r="U140" s="53">
        <f>IF(Report[[#This Row],[FT]]="","",IF(Report[ [#This Row],[FT] ]=Report[[#This Row],[Score 2]],1,0))</f>
        <v>0</v>
      </c>
      <c r="V140" s="53">
        <f>IF(Report[[#This Row],[FT]]="","",IF(Report[[#This Row],[FT]]=Report[[#This Row],[Score 3]],1,0))</f>
        <v>0</v>
      </c>
      <c r="W140" s="53">
        <f>IF(Report[[#This Row],[FT]]="","",IF(Report[[#This Row],[FT]]=Report[[#This Row],[Score 4]],1,0))</f>
        <v>0</v>
      </c>
      <c r="X140" s="66">
        <f>IF(Report[[#This Row],[Résultat FT]]="",,IF(Report[[#This Row],[Résultat FT]]=Report[[#This Row],[Résultats]],(Suivi_Gain!$B$1*Report[[#This Row],[Cote FT]])-Suivi_Gain!$B$1,-Suivi_Gain!$B$1))</f>
        <v>1.0499999999999998</v>
      </c>
      <c r="Y140" s="94">
        <f>IF(Report[[#This Row],[FT]]="",,IF(Report[[#This Row],[FT]]=Report[[#This Row],[Score 1]],(Suivi_Gain!$G$1*Report[[#This Row],[Cote SE]])-Suivi_Gain!$G$1,-Suivi_Gain!$G$1))</f>
        <v>7.5</v>
      </c>
      <c r="Z140" s="65">
        <f>IF(Report[[#This Row],[FT]]="",,IF(Report[[#This Row],[FT]]=Report[[#This Row],[Score 2]],Suivi_Gain!$G$1*Report[[#This Row],[Cote SE]],-Suivi_Gain!$G$1))</f>
        <v>-1</v>
      </c>
      <c r="AA140" s="65">
        <f>IF(Report[[#This Row],[FT]]="",,IF(Report[[#This Row],[FT]]=Report[[#This Row],[Score 3]],Suivi_Gain!$G$1*Report[[#This Row],[Cote SE]],-Suivi_Gain!$G$1))</f>
        <v>-1</v>
      </c>
      <c r="AB140" s="65">
        <f>IF(Report[[#This Row],[FT]]="",,IF(Report[[#This Row],[FT]]=Report[[#This Row],[Score 4]],Suivi_Gain!$G$1*Report[[#This Row],[Cote SE]],-Suivi_Gain!$G$1))</f>
        <v>-1</v>
      </c>
      <c r="AC140" s="63" t="str">
        <f>IF(Report[[#This Row],[Résultats SE]]="Gagné",Report[[#This Row],[FT]],"")</f>
        <v>2-1</v>
      </c>
      <c r="AD140" s="63" t="str">
        <f>IF(AND(Report[[#This Row],[Résultats SE]]="Gagné",Report[[#This Row],[FT]]=Report[[#This Row],[Score 1]]),Report[[#This Row],[FT]],"")</f>
        <v>2-1</v>
      </c>
      <c r="AE140" s="63" t="str">
        <f>IF(AND(Report[[#This Row],[Résultats SE]]="Gagné",Report[[#This Row],[FT]]=Report[[#This Row],[Score 2]]),Report[[#This Row],[FT]],"")</f>
        <v/>
      </c>
      <c r="AF140" s="63" t="str">
        <f>IF(AND(Report[[#This Row],[Résultats SE]]="Gagné",Report[[#This Row],[FT]]=Report[[#This Row],[Score 3]]),Report[[#This Row],[FT]],"")</f>
        <v/>
      </c>
      <c r="AG140" s="63" t="str">
        <f>IF(AND(Report[[#This Row],[Résultats SE]]="Gagné",Report[[#This Row],[FT]]=Report[[#This Row],[Score 4]]),Report[[#This Row],[FT]],"")</f>
        <v/>
      </c>
    </row>
    <row r="141" spans="1:33" ht="20.100000000000001" customHeight="1" x14ac:dyDescent="0.25">
      <c r="A141" s="11">
        <v>43428</v>
      </c>
      <c r="B141" s="7" t="s">
        <v>66</v>
      </c>
      <c r="C141" s="7" t="s">
        <v>101</v>
      </c>
      <c r="D141" s="10" t="s">
        <v>213</v>
      </c>
      <c r="E141" s="10" t="s">
        <v>214</v>
      </c>
      <c r="F141" s="7" t="s">
        <v>824</v>
      </c>
      <c r="G141" s="8" t="s">
        <v>825</v>
      </c>
      <c r="H141" s="9" t="s">
        <v>826</v>
      </c>
      <c r="I141" s="9" t="s">
        <v>827</v>
      </c>
      <c r="J141" s="9" t="s">
        <v>828</v>
      </c>
      <c r="K141" s="9" t="s">
        <v>214</v>
      </c>
      <c r="L141" s="16" t="str">
        <f>IF(Report[Résultat FT]="","",IF(Report[Résultat FT]=Report[Résultats],"","-"))</f>
        <v>-</v>
      </c>
      <c r="M141" s="16" t="str">
        <f>IF(Report[[#This Row],[Résultat FT]]="","",IF(Report[[#This Row],[Résultats SE]]="Gagné","","-"))</f>
        <v>-</v>
      </c>
      <c r="N141" s="17" t="s">
        <v>837</v>
      </c>
      <c r="O141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141" s="18">
        <f>IF(Report[[#This Row],[FT]]="",,(LEFT(Report[[#This Row],[FT]],SEARCH("-",Report[[#This Row],[FT]])-1)*1))</f>
        <v>2</v>
      </c>
      <c r="Q141" s="22">
        <f>IF(Report[[#This Row],[FT]]="",,(RIGHT(Report[[#This Row],[FT]],SEARCH("-",Report[[#This Row],[FT]])-1)*1))</f>
        <v>2</v>
      </c>
      <c r="R141" s="18" t="str">
        <f>IF(Report[Résultat FT]="","",IF(Report[Résultat FT]=Report[Résultats],"Gagné","Perdu"))</f>
        <v>Perdu</v>
      </c>
      <c r="S141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41" s="53">
        <f>IF(Report[[#This Row],[FT]]="","",IF(Report[[#This Row],[FT]]=Report[[#This Row],[Score 1]],1,0))</f>
        <v>0</v>
      </c>
      <c r="U141" s="53">
        <f>IF(Report[[#This Row],[FT]]="","",IF(Report[ [#This Row],[FT] ]=Report[[#This Row],[Score 2]],1,0))</f>
        <v>0</v>
      </c>
      <c r="V141" s="53">
        <f>IF(Report[[#This Row],[FT]]="","",IF(Report[[#This Row],[FT]]=Report[[#This Row],[Score 3]],1,0))</f>
        <v>0</v>
      </c>
      <c r="W141" s="53">
        <f>IF(Report[[#This Row],[FT]]="","",IF(Report[[#This Row],[FT]]=Report[[#This Row],[Score 4]],1,0))</f>
        <v>0</v>
      </c>
      <c r="X141" s="66">
        <f>IF(Report[[#This Row],[Résultat FT]]="",,IF(Report[[#This Row],[Résultat FT]]=Report[[#This Row],[Résultats]],(Suivi_Gain!$B$1*Report[[#This Row],[Cote FT]])-Suivi_Gain!$B$1,-Suivi_Gain!$B$1))</f>
        <v>-1</v>
      </c>
      <c r="Y141" s="94">
        <f>IF(Report[[#This Row],[FT]]="",,IF(Report[[#This Row],[FT]]=Report[[#This Row],[Score 1]],(Suivi_Gain!$G$1*Report[[#This Row],[Cote SE]])-Suivi_Gain!$G$1,-Suivi_Gain!$G$1))</f>
        <v>-1</v>
      </c>
      <c r="Z141" s="65">
        <f>IF(Report[[#This Row],[FT]]="",,IF(Report[[#This Row],[FT]]=Report[[#This Row],[Score 2]],Suivi_Gain!$G$1*Report[[#This Row],[Cote SE]],-Suivi_Gain!$G$1))</f>
        <v>-1</v>
      </c>
      <c r="AA141" s="65">
        <f>IF(Report[[#This Row],[FT]]="",,IF(Report[[#This Row],[FT]]=Report[[#This Row],[Score 3]],Suivi_Gain!$G$1*Report[[#This Row],[Cote SE]],-Suivi_Gain!$G$1))</f>
        <v>-1</v>
      </c>
      <c r="AB141" s="65">
        <f>IF(Report[[#This Row],[FT]]="",,IF(Report[[#This Row],[FT]]=Report[[#This Row],[Score 4]],Suivi_Gain!$G$1*Report[[#This Row],[Cote SE]],-Suivi_Gain!$G$1))</f>
        <v>-1</v>
      </c>
      <c r="AC141" s="63" t="str">
        <f>IF(Report[[#This Row],[Résultats SE]]="Gagné",Report[[#This Row],[FT]],"")</f>
        <v/>
      </c>
      <c r="AD141" s="63" t="str">
        <f>IF(AND(Report[[#This Row],[Résultats SE]]="Gagné",Report[[#This Row],[FT]]=Report[[#This Row],[Score 1]]),Report[[#This Row],[FT]],"")</f>
        <v/>
      </c>
      <c r="AE141" s="63" t="str">
        <f>IF(AND(Report[[#This Row],[Résultats SE]]="Gagné",Report[[#This Row],[FT]]=Report[[#This Row],[Score 2]]),Report[[#This Row],[FT]],"")</f>
        <v/>
      </c>
      <c r="AF141" s="63" t="str">
        <f>IF(AND(Report[[#This Row],[Résultats SE]]="Gagné",Report[[#This Row],[FT]]=Report[[#This Row],[Score 3]]),Report[[#This Row],[FT]],"")</f>
        <v/>
      </c>
      <c r="AG141" s="63" t="str">
        <f>IF(AND(Report[[#This Row],[Résultats SE]]="Gagné",Report[[#This Row],[FT]]=Report[[#This Row],[Score 4]]),Report[[#This Row],[FT]],"")</f>
        <v/>
      </c>
    </row>
    <row r="142" spans="1:33" ht="20.100000000000001" customHeight="1" x14ac:dyDescent="0.25">
      <c r="A142" s="11">
        <v>43428</v>
      </c>
      <c r="B142" s="7" t="s">
        <v>66</v>
      </c>
      <c r="C142" s="7" t="s">
        <v>101</v>
      </c>
      <c r="D142" s="10" t="s">
        <v>203</v>
      </c>
      <c r="E142" s="10" t="s">
        <v>209</v>
      </c>
      <c r="F142" s="7" t="s">
        <v>824</v>
      </c>
      <c r="G142" s="8" t="s">
        <v>825</v>
      </c>
      <c r="H142" s="9" t="s">
        <v>826</v>
      </c>
      <c r="I142" s="9" t="s">
        <v>827</v>
      </c>
      <c r="J142" s="9" t="s">
        <v>828</v>
      </c>
      <c r="K142" s="9" t="s">
        <v>209</v>
      </c>
      <c r="L142" s="16">
        <v>2.9</v>
      </c>
      <c r="M142" s="16">
        <v>14</v>
      </c>
      <c r="N142" s="17" t="s">
        <v>827</v>
      </c>
      <c r="O142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Nottingham</v>
      </c>
      <c r="P142" s="18">
        <f>IF(Report[[#This Row],[FT]]="",,(LEFT(Report[[#This Row],[FT]],SEARCH("-",Report[[#This Row],[FT]])-1)*1))</f>
        <v>0</v>
      </c>
      <c r="Q142" s="22">
        <f>IF(Report[[#This Row],[FT]]="",,(RIGHT(Report[[#This Row],[FT]],SEARCH("-",Report[[#This Row],[FT]])-1)*1))</f>
        <v>2</v>
      </c>
      <c r="R142" s="18" t="str">
        <f>IF(Report[Résultat FT]="","",IF(Report[Résultat FT]=Report[Résultats],"Gagné","Perdu"))</f>
        <v>Gagné</v>
      </c>
      <c r="S142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142" s="53">
        <f>IF(Report[[#This Row],[FT]]="","",IF(Report[[#This Row],[FT]]=Report[[#This Row],[Score 1]],1,0))</f>
        <v>0</v>
      </c>
      <c r="U142" s="53">
        <f>IF(Report[[#This Row],[FT]]="","",IF(Report[ [#This Row],[FT] ]=Report[[#This Row],[Score 2]],1,0))</f>
        <v>0</v>
      </c>
      <c r="V142" s="53">
        <f>IF(Report[[#This Row],[FT]]="","",IF(Report[[#This Row],[FT]]=Report[[#This Row],[Score 3]],1,0))</f>
        <v>1</v>
      </c>
      <c r="W142" s="53">
        <f>IF(Report[[#This Row],[FT]]="","",IF(Report[[#This Row],[FT]]=Report[[#This Row],[Score 4]],1,0))</f>
        <v>0</v>
      </c>
      <c r="X142" s="66">
        <f>IF(Report[[#This Row],[Résultat FT]]="",,IF(Report[[#This Row],[Résultat FT]]=Report[[#This Row],[Résultats]],(Suivi_Gain!$B$1*Report[[#This Row],[Cote FT]])-Suivi_Gain!$B$1,-Suivi_Gain!$B$1))</f>
        <v>1.9</v>
      </c>
      <c r="Y142" s="94">
        <f>IF(Report[[#This Row],[FT]]="",,IF(Report[[#This Row],[FT]]=Report[[#This Row],[Score 1]],(Suivi_Gain!$G$1*Report[[#This Row],[Cote SE]])-Suivi_Gain!$G$1,-Suivi_Gain!$G$1))</f>
        <v>-1</v>
      </c>
      <c r="Z142" s="65">
        <f>IF(Report[[#This Row],[FT]]="",,IF(Report[[#This Row],[FT]]=Report[[#This Row],[Score 2]],Suivi_Gain!$G$1*Report[[#This Row],[Cote SE]],-Suivi_Gain!$G$1))</f>
        <v>-1</v>
      </c>
      <c r="AA142" s="65">
        <f>IF(Report[[#This Row],[FT]]="",,IF(Report[[#This Row],[FT]]=Report[[#This Row],[Score 3]],Suivi_Gain!$G$1*Report[[#This Row],[Cote SE]],-Suivi_Gain!$G$1))</f>
        <v>14</v>
      </c>
      <c r="AB142" s="65">
        <f>IF(Report[[#This Row],[FT]]="",,IF(Report[[#This Row],[FT]]=Report[[#This Row],[Score 4]],Suivi_Gain!$G$1*Report[[#This Row],[Cote SE]],-Suivi_Gain!$G$1))</f>
        <v>-1</v>
      </c>
      <c r="AC142" s="63" t="str">
        <f>IF(Report[[#This Row],[Résultats SE]]="Gagné",Report[[#This Row],[FT]],"")</f>
        <v>0-2</v>
      </c>
      <c r="AD142" s="63" t="str">
        <f>IF(AND(Report[[#This Row],[Résultats SE]]="Gagné",Report[[#This Row],[FT]]=Report[[#This Row],[Score 1]]),Report[[#This Row],[FT]],"")</f>
        <v/>
      </c>
      <c r="AE142" s="63" t="str">
        <f>IF(AND(Report[[#This Row],[Résultats SE]]="Gagné",Report[[#This Row],[FT]]=Report[[#This Row],[Score 2]]),Report[[#This Row],[FT]],"")</f>
        <v/>
      </c>
      <c r="AF142" s="63" t="str">
        <f>IF(AND(Report[[#This Row],[Résultats SE]]="Gagné",Report[[#This Row],[FT]]=Report[[#This Row],[Score 3]]),Report[[#This Row],[FT]],"")</f>
        <v>0-2</v>
      </c>
      <c r="AG142" s="63" t="str">
        <f>IF(AND(Report[[#This Row],[Résultats SE]]="Gagné",Report[[#This Row],[FT]]=Report[[#This Row],[Score 4]]),Report[[#This Row],[FT]],"")</f>
        <v/>
      </c>
    </row>
    <row r="143" spans="1:33" ht="20.100000000000001" customHeight="1" x14ac:dyDescent="0.25">
      <c r="A143" s="11">
        <v>43428</v>
      </c>
      <c r="B143" s="7" t="s">
        <v>66</v>
      </c>
      <c r="C143" s="7" t="s">
        <v>101</v>
      </c>
      <c r="D143" s="10" t="s">
        <v>205</v>
      </c>
      <c r="E143" s="10" t="s">
        <v>201</v>
      </c>
      <c r="F143" s="7" t="s">
        <v>833</v>
      </c>
      <c r="G143" s="8" t="s">
        <v>834</v>
      </c>
      <c r="H143" s="9" t="s">
        <v>830</v>
      </c>
      <c r="I143" s="9" t="s">
        <v>825</v>
      </c>
      <c r="J143" s="9" t="s">
        <v>826</v>
      </c>
      <c r="K143" s="9" t="s">
        <v>233</v>
      </c>
      <c r="L143" s="16" t="str">
        <f>IF(Report[Résultat FT]="","",IF(Report[Résultat FT]=Report[Résultats],"","-"))</f>
        <v>-</v>
      </c>
      <c r="M143" s="16" t="str">
        <f>IF(Report[[#This Row],[Résultat FT]]="","",IF(Report[[#This Row],[Résultats SE]]="Gagné","","-"))</f>
        <v>-</v>
      </c>
      <c r="N143" s="17" t="s">
        <v>831</v>
      </c>
      <c r="O143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Leeds</v>
      </c>
      <c r="P143" s="18">
        <f>IF(Report[[#This Row],[FT]]="",,(LEFT(Report[[#This Row],[FT]],SEARCH("-",Report[[#This Row],[FT]])-1)*1))</f>
        <v>2</v>
      </c>
      <c r="Q143" s="22">
        <f>IF(Report[[#This Row],[FT]]="",,(RIGHT(Report[[#This Row],[FT]],SEARCH("-",Report[[#This Row],[FT]])-1)*1))</f>
        <v>0</v>
      </c>
      <c r="R143" s="18" t="str">
        <f>IF(Report[Résultat FT]="","",IF(Report[Résultat FT]=Report[Résultats],"Gagné","Perdu"))</f>
        <v>Perdu</v>
      </c>
      <c r="S143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43" s="53">
        <f>IF(Report[[#This Row],[FT]]="","",IF(Report[[#This Row],[FT]]=Report[[#This Row],[Score 1]],1,0))</f>
        <v>0</v>
      </c>
      <c r="U143" s="53">
        <f>IF(Report[[#This Row],[FT]]="","",IF(Report[ [#This Row],[FT] ]=Report[[#This Row],[Score 2]],1,0))</f>
        <v>0</v>
      </c>
      <c r="V143" s="53">
        <f>IF(Report[[#This Row],[FT]]="","",IF(Report[[#This Row],[FT]]=Report[[#This Row],[Score 3]],1,0))</f>
        <v>0</v>
      </c>
      <c r="W143" s="53">
        <f>IF(Report[[#This Row],[FT]]="","",IF(Report[[#This Row],[FT]]=Report[[#This Row],[Score 4]],1,0))</f>
        <v>0</v>
      </c>
      <c r="X143" s="66">
        <f>IF(Report[[#This Row],[Résultat FT]]="",,IF(Report[[#This Row],[Résultat FT]]=Report[[#This Row],[Résultats]],(Suivi_Gain!$B$1*Report[[#This Row],[Cote FT]])-Suivi_Gain!$B$1,-Suivi_Gain!$B$1))</f>
        <v>-1</v>
      </c>
      <c r="Y143" s="94">
        <f>IF(Report[[#This Row],[FT]]="",,IF(Report[[#This Row],[FT]]=Report[[#This Row],[Score 1]],(Suivi_Gain!$G$1*Report[[#This Row],[Cote SE]])-Suivi_Gain!$G$1,-Suivi_Gain!$G$1))</f>
        <v>-1</v>
      </c>
      <c r="Z143" s="65">
        <f>IF(Report[[#This Row],[FT]]="",,IF(Report[[#This Row],[FT]]=Report[[#This Row],[Score 2]],Suivi_Gain!$G$1*Report[[#This Row],[Cote SE]],-Suivi_Gain!$G$1))</f>
        <v>-1</v>
      </c>
      <c r="AA143" s="65">
        <f>IF(Report[[#This Row],[FT]]="",,IF(Report[[#This Row],[FT]]=Report[[#This Row],[Score 3]],Suivi_Gain!$G$1*Report[[#This Row],[Cote SE]],-Suivi_Gain!$G$1))</f>
        <v>-1</v>
      </c>
      <c r="AB143" s="65">
        <f>IF(Report[[#This Row],[FT]]="",,IF(Report[[#This Row],[FT]]=Report[[#This Row],[Score 4]],Suivi_Gain!$G$1*Report[[#This Row],[Cote SE]],-Suivi_Gain!$G$1))</f>
        <v>-1</v>
      </c>
      <c r="AC143" s="63" t="str">
        <f>IF(Report[[#This Row],[Résultats SE]]="Gagné",Report[[#This Row],[FT]],"")</f>
        <v/>
      </c>
      <c r="AD143" s="63" t="str">
        <f>IF(AND(Report[[#This Row],[Résultats SE]]="Gagné",Report[[#This Row],[FT]]=Report[[#This Row],[Score 1]]),Report[[#This Row],[FT]],"")</f>
        <v/>
      </c>
      <c r="AE143" s="63" t="str">
        <f>IF(AND(Report[[#This Row],[Résultats SE]]="Gagné",Report[[#This Row],[FT]]=Report[[#This Row],[Score 2]]),Report[[#This Row],[FT]],"")</f>
        <v/>
      </c>
      <c r="AF143" s="63" t="str">
        <f>IF(AND(Report[[#This Row],[Résultats SE]]="Gagné",Report[[#This Row],[FT]]=Report[[#This Row],[Score 3]]),Report[[#This Row],[FT]],"")</f>
        <v/>
      </c>
      <c r="AG143" s="63" t="str">
        <f>IF(AND(Report[[#This Row],[Résultats SE]]="Gagné",Report[[#This Row],[FT]]=Report[[#This Row],[Score 4]]),Report[[#This Row],[FT]],"")</f>
        <v/>
      </c>
    </row>
    <row r="144" spans="1:33" ht="20.100000000000001" customHeight="1" x14ac:dyDescent="0.25">
      <c r="A144" s="11">
        <v>43428</v>
      </c>
      <c r="B144" s="7" t="s">
        <v>66</v>
      </c>
      <c r="C144" s="7" t="s">
        <v>101</v>
      </c>
      <c r="D144" s="10" t="s">
        <v>207</v>
      </c>
      <c r="E144" s="10" t="s">
        <v>199</v>
      </c>
      <c r="F144" s="7" t="s">
        <v>829</v>
      </c>
      <c r="G144" s="8" t="s">
        <v>830</v>
      </c>
      <c r="H144" s="9" t="s">
        <v>826</v>
      </c>
      <c r="I144" s="9" t="s">
        <v>831</v>
      </c>
      <c r="J144" s="9" t="s">
        <v>832</v>
      </c>
      <c r="K144" s="9" t="s">
        <v>207</v>
      </c>
      <c r="L144" s="16" t="str">
        <f>IF(Report[Résultat FT]="","",IF(Report[Résultat FT]=Report[Résultats],"","-"))</f>
        <v>-</v>
      </c>
      <c r="M144" s="16" t="str">
        <f>IF(Report[[#This Row],[Résultat FT]]="","",IF(Report[[#This Row],[Résultats SE]]="Gagné","","-"))</f>
        <v>-</v>
      </c>
      <c r="N144" s="17" t="s">
        <v>834</v>
      </c>
      <c r="O144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144" s="18">
        <f>IF(Report[[#This Row],[FT]]="",,(LEFT(Report[[#This Row],[FT]],SEARCH("-",Report[[#This Row],[FT]])-1)*1))</f>
        <v>1</v>
      </c>
      <c r="Q144" s="22">
        <f>IF(Report[[#This Row],[FT]]="",,(RIGHT(Report[[#This Row],[FT]],SEARCH("-",Report[[#This Row],[FT]])-1)*1))</f>
        <v>1</v>
      </c>
      <c r="R144" s="18" t="str">
        <f>IF(Report[Résultat FT]="","",IF(Report[Résultat FT]=Report[Résultats],"Gagné","Perdu"))</f>
        <v>Perdu</v>
      </c>
      <c r="S144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44" s="53">
        <f>IF(Report[[#This Row],[FT]]="","",IF(Report[[#This Row],[FT]]=Report[[#This Row],[Score 1]],1,0))</f>
        <v>0</v>
      </c>
      <c r="U144" s="53">
        <f>IF(Report[[#This Row],[FT]]="","",IF(Report[ [#This Row],[FT] ]=Report[[#This Row],[Score 2]],1,0))</f>
        <v>0</v>
      </c>
      <c r="V144" s="53">
        <f>IF(Report[[#This Row],[FT]]="","",IF(Report[[#This Row],[FT]]=Report[[#This Row],[Score 3]],1,0))</f>
        <v>0</v>
      </c>
      <c r="W144" s="53">
        <f>IF(Report[[#This Row],[FT]]="","",IF(Report[[#This Row],[FT]]=Report[[#This Row],[Score 4]],1,0))</f>
        <v>0</v>
      </c>
      <c r="X144" s="66">
        <f>IF(Report[[#This Row],[Résultat FT]]="",,IF(Report[[#This Row],[Résultat FT]]=Report[[#This Row],[Résultats]],(Suivi_Gain!$B$1*Report[[#This Row],[Cote FT]])-Suivi_Gain!$B$1,-Suivi_Gain!$B$1))</f>
        <v>-1</v>
      </c>
      <c r="Y144" s="94">
        <f>IF(Report[[#This Row],[FT]]="",,IF(Report[[#This Row],[FT]]=Report[[#This Row],[Score 1]],(Suivi_Gain!$G$1*Report[[#This Row],[Cote SE]])-Suivi_Gain!$G$1,-Suivi_Gain!$G$1))</f>
        <v>-1</v>
      </c>
      <c r="Z144" s="65">
        <f>IF(Report[[#This Row],[FT]]="",,IF(Report[[#This Row],[FT]]=Report[[#This Row],[Score 2]],Suivi_Gain!$G$1*Report[[#This Row],[Cote SE]],-Suivi_Gain!$G$1))</f>
        <v>-1</v>
      </c>
      <c r="AA144" s="65">
        <f>IF(Report[[#This Row],[FT]]="",,IF(Report[[#This Row],[FT]]=Report[[#This Row],[Score 3]],Suivi_Gain!$G$1*Report[[#This Row],[Cote SE]],-Suivi_Gain!$G$1))</f>
        <v>-1</v>
      </c>
      <c r="AB144" s="65">
        <f>IF(Report[[#This Row],[FT]]="",,IF(Report[[#This Row],[FT]]=Report[[#This Row],[Score 4]],Suivi_Gain!$G$1*Report[[#This Row],[Cote SE]],-Suivi_Gain!$G$1))</f>
        <v>-1</v>
      </c>
      <c r="AC144" s="63" t="str">
        <f>IF(Report[[#This Row],[Résultats SE]]="Gagné",Report[[#This Row],[FT]],"")</f>
        <v/>
      </c>
      <c r="AD144" s="63" t="str">
        <f>IF(AND(Report[[#This Row],[Résultats SE]]="Gagné",Report[[#This Row],[FT]]=Report[[#This Row],[Score 1]]),Report[[#This Row],[FT]],"")</f>
        <v/>
      </c>
      <c r="AE144" s="63" t="str">
        <f>IF(AND(Report[[#This Row],[Résultats SE]]="Gagné",Report[[#This Row],[FT]]=Report[[#This Row],[Score 2]]),Report[[#This Row],[FT]],"")</f>
        <v/>
      </c>
      <c r="AF144" s="63" t="str">
        <f>IF(AND(Report[[#This Row],[Résultats SE]]="Gagné",Report[[#This Row],[FT]]=Report[[#This Row],[Score 3]]),Report[[#This Row],[FT]],"")</f>
        <v/>
      </c>
      <c r="AG144" s="63" t="str">
        <f>IF(AND(Report[[#This Row],[Résultats SE]]="Gagné",Report[[#This Row],[FT]]=Report[[#This Row],[Score 4]]),Report[[#This Row],[FT]],"")</f>
        <v/>
      </c>
    </row>
    <row r="145" spans="1:33" ht="20.100000000000001" customHeight="1" x14ac:dyDescent="0.25">
      <c r="A145" s="11">
        <v>43428</v>
      </c>
      <c r="B145" s="7" t="s">
        <v>66</v>
      </c>
      <c r="C145" s="7" t="s">
        <v>101</v>
      </c>
      <c r="D145" s="10" t="s">
        <v>210</v>
      </c>
      <c r="E145" s="10" t="s">
        <v>198</v>
      </c>
      <c r="F145" s="7" t="s">
        <v>833</v>
      </c>
      <c r="G145" s="8" t="s">
        <v>834</v>
      </c>
      <c r="H145" s="9" t="s">
        <v>830</v>
      </c>
      <c r="I145" s="9" t="s">
        <v>825</v>
      </c>
      <c r="J145" s="9" t="s">
        <v>826</v>
      </c>
      <c r="K145" s="9" t="s">
        <v>233</v>
      </c>
      <c r="L145" s="16" t="str">
        <f>IF(Report[Résultat FT]="","",IF(Report[Résultat FT]=Report[Résultats],"","-"))</f>
        <v>-</v>
      </c>
      <c r="M145" s="16" t="str">
        <f>IF(Report[[#This Row],[Résultat FT]]="","",IF(Report[[#This Row],[Résultats SE]]="Gagné","","-"))</f>
        <v>-</v>
      </c>
      <c r="N145" s="17" t="s">
        <v>858</v>
      </c>
      <c r="O145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Preston</v>
      </c>
      <c r="P145" s="18">
        <f>IF(Report[[#This Row],[FT]]="",,(LEFT(Report[[#This Row],[FT]],SEARCH("-",Report[[#This Row],[FT]])-1)*1))</f>
        <v>4</v>
      </c>
      <c r="Q145" s="22">
        <f>IF(Report[[#This Row],[FT]]="",,(RIGHT(Report[[#This Row],[FT]],SEARCH("-",Report[[#This Row],[FT]])-1)*1))</f>
        <v>1</v>
      </c>
      <c r="R145" s="18" t="str">
        <f>IF(Report[Résultat FT]="","",IF(Report[Résultat FT]=Report[Résultats],"Gagné","Perdu"))</f>
        <v>Perdu</v>
      </c>
      <c r="S145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45" s="53">
        <f>IF(Report[[#This Row],[FT]]="","",IF(Report[[#This Row],[FT]]=Report[[#This Row],[Score 1]],1,0))</f>
        <v>0</v>
      </c>
      <c r="U145" s="53">
        <f>IF(Report[[#This Row],[FT]]="","",IF(Report[ [#This Row],[FT] ]=Report[[#This Row],[Score 2]],1,0))</f>
        <v>0</v>
      </c>
      <c r="V145" s="53">
        <f>IF(Report[[#This Row],[FT]]="","",IF(Report[[#This Row],[FT]]=Report[[#This Row],[Score 3]],1,0))</f>
        <v>0</v>
      </c>
      <c r="W145" s="53">
        <f>IF(Report[[#This Row],[FT]]="","",IF(Report[[#This Row],[FT]]=Report[[#This Row],[Score 4]],1,0))</f>
        <v>0</v>
      </c>
      <c r="X145" s="66">
        <f>IF(Report[[#This Row],[Résultat FT]]="",,IF(Report[[#This Row],[Résultat FT]]=Report[[#This Row],[Résultats]],(Suivi_Gain!$B$1*Report[[#This Row],[Cote FT]])-Suivi_Gain!$B$1,-Suivi_Gain!$B$1))</f>
        <v>-1</v>
      </c>
      <c r="Y145" s="94">
        <f>IF(Report[[#This Row],[FT]]="",,IF(Report[[#This Row],[FT]]=Report[[#This Row],[Score 1]],(Suivi_Gain!$G$1*Report[[#This Row],[Cote SE]])-Suivi_Gain!$G$1,-Suivi_Gain!$G$1))</f>
        <v>-1</v>
      </c>
      <c r="Z145" s="65">
        <f>IF(Report[[#This Row],[FT]]="",,IF(Report[[#This Row],[FT]]=Report[[#This Row],[Score 2]],Suivi_Gain!$G$1*Report[[#This Row],[Cote SE]],-Suivi_Gain!$G$1))</f>
        <v>-1</v>
      </c>
      <c r="AA145" s="65">
        <f>IF(Report[[#This Row],[FT]]="",,IF(Report[[#This Row],[FT]]=Report[[#This Row],[Score 3]],Suivi_Gain!$G$1*Report[[#This Row],[Cote SE]],-Suivi_Gain!$G$1))</f>
        <v>-1</v>
      </c>
      <c r="AB145" s="65">
        <f>IF(Report[[#This Row],[FT]]="",,IF(Report[[#This Row],[FT]]=Report[[#This Row],[Score 4]],Suivi_Gain!$G$1*Report[[#This Row],[Cote SE]],-Suivi_Gain!$G$1))</f>
        <v>-1</v>
      </c>
      <c r="AC145" s="63" t="str">
        <f>IF(Report[[#This Row],[Résultats SE]]="Gagné",Report[[#This Row],[FT]],"")</f>
        <v/>
      </c>
      <c r="AD145" s="63" t="str">
        <f>IF(AND(Report[[#This Row],[Résultats SE]]="Gagné",Report[[#This Row],[FT]]=Report[[#This Row],[Score 1]]),Report[[#This Row],[FT]],"")</f>
        <v/>
      </c>
      <c r="AE145" s="63" t="str">
        <f>IF(AND(Report[[#This Row],[Résultats SE]]="Gagné",Report[[#This Row],[FT]]=Report[[#This Row],[Score 2]]),Report[[#This Row],[FT]],"")</f>
        <v/>
      </c>
      <c r="AF145" s="63" t="str">
        <f>IF(AND(Report[[#This Row],[Résultats SE]]="Gagné",Report[[#This Row],[FT]]=Report[[#This Row],[Score 3]]),Report[[#This Row],[FT]],"")</f>
        <v/>
      </c>
      <c r="AG145" s="63" t="str">
        <f>IF(AND(Report[[#This Row],[Résultats SE]]="Gagné",Report[[#This Row],[FT]]=Report[[#This Row],[Score 4]]),Report[[#This Row],[FT]],"")</f>
        <v/>
      </c>
    </row>
    <row r="146" spans="1:33" ht="20.100000000000001" customHeight="1" x14ac:dyDescent="0.25">
      <c r="A146" s="11">
        <v>43428</v>
      </c>
      <c r="B146" s="7" t="s">
        <v>66</v>
      </c>
      <c r="C146" s="7" t="s">
        <v>101</v>
      </c>
      <c r="D146" s="10" t="s">
        <v>215</v>
      </c>
      <c r="E146" s="10" t="s">
        <v>202</v>
      </c>
      <c r="F146" s="7" t="s">
        <v>843</v>
      </c>
      <c r="G146" s="8" t="s">
        <v>839</v>
      </c>
      <c r="H146" s="9" t="s">
        <v>834</v>
      </c>
      <c r="I146" s="9" t="s">
        <v>827</v>
      </c>
      <c r="J146" s="9" t="s">
        <v>825</v>
      </c>
      <c r="K146" s="9" t="s">
        <v>202</v>
      </c>
      <c r="L146" s="16">
        <v>2.0499999999999998</v>
      </c>
      <c r="M146" s="16">
        <v>8.5</v>
      </c>
      <c r="N146" s="17" t="s">
        <v>839</v>
      </c>
      <c r="O146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Derby</v>
      </c>
      <c r="P146" s="18">
        <f>IF(Report[[#This Row],[FT]]="",,(LEFT(Report[[#This Row],[FT]],SEARCH("-",Report[[#This Row],[FT]])-1)*1))</f>
        <v>1</v>
      </c>
      <c r="Q146" s="22">
        <f>IF(Report[[#This Row],[FT]]="",,(RIGHT(Report[[#This Row],[FT]],SEARCH("-",Report[[#This Row],[FT]])-1)*1))</f>
        <v>2</v>
      </c>
      <c r="R146" s="18" t="str">
        <f>IF(Report[Résultat FT]="","",IF(Report[Résultat FT]=Report[Résultats],"Gagné","Perdu"))</f>
        <v>Gagné</v>
      </c>
      <c r="S146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146" s="53">
        <f>IF(Report[[#This Row],[FT]]="","",IF(Report[[#This Row],[FT]]=Report[[#This Row],[Score 1]],1,0))</f>
        <v>1</v>
      </c>
      <c r="U146" s="53">
        <f>IF(Report[[#This Row],[FT]]="","",IF(Report[ [#This Row],[FT] ]=Report[[#This Row],[Score 2]],1,0))</f>
        <v>0</v>
      </c>
      <c r="V146" s="53">
        <f>IF(Report[[#This Row],[FT]]="","",IF(Report[[#This Row],[FT]]=Report[[#This Row],[Score 3]],1,0))</f>
        <v>0</v>
      </c>
      <c r="W146" s="53">
        <f>IF(Report[[#This Row],[FT]]="","",IF(Report[[#This Row],[FT]]=Report[[#This Row],[Score 4]],1,0))</f>
        <v>0</v>
      </c>
      <c r="X146" s="66">
        <f>IF(Report[[#This Row],[Résultat FT]]="",,IF(Report[[#This Row],[Résultat FT]]=Report[[#This Row],[Résultats]],(Suivi_Gain!$B$1*Report[[#This Row],[Cote FT]])-Suivi_Gain!$B$1,-Suivi_Gain!$B$1))</f>
        <v>1.0499999999999998</v>
      </c>
      <c r="Y146" s="94">
        <f>IF(Report[[#This Row],[FT]]="",,IF(Report[[#This Row],[FT]]=Report[[#This Row],[Score 1]],(Suivi_Gain!$G$1*Report[[#This Row],[Cote SE]])-Suivi_Gain!$G$1,-Suivi_Gain!$G$1))</f>
        <v>7.5</v>
      </c>
      <c r="Z146" s="65">
        <f>IF(Report[[#This Row],[FT]]="",,IF(Report[[#This Row],[FT]]=Report[[#This Row],[Score 2]],Suivi_Gain!$G$1*Report[[#This Row],[Cote SE]],-Suivi_Gain!$G$1))</f>
        <v>-1</v>
      </c>
      <c r="AA146" s="65">
        <f>IF(Report[[#This Row],[FT]]="",,IF(Report[[#This Row],[FT]]=Report[[#This Row],[Score 3]],Suivi_Gain!$G$1*Report[[#This Row],[Cote SE]],-Suivi_Gain!$G$1))</f>
        <v>-1</v>
      </c>
      <c r="AB146" s="65">
        <f>IF(Report[[#This Row],[FT]]="",,IF(Report[[#This Row],[FT]]=Report[[#This Row],[Score 4]],Suivi_Gain!$G$1*Report[[#This Row],[Cote SE]],-Suivi_Gain!$G$1))</f>
        <v>-1</v>
      </c>
      <c r="AC146" s="63" t="str">
        <f>IF(Report[[#This Row],[Résultats SE]]="Gagné",Report[[#This Row],[FT]],"")</f>
        <v>1-2</v>
      </c>
      <c r="AD146" s="63" t="str">
        <f>IF(AND(Report[[#This Row],[Résultats SE]]="Gagné",Report[[#This Row],[FT]]=Report[[#This Row],[Score 1]]),Report[[#This Row],[FT]],"")</f>
        <v>1-2</v>
      </c>
      <c r="AE146" s="63" t="str">
        <f>IF(AND(Report[[#This Row],[Résultats SE]]="Gagné",Report[[#This Row],[FT]]=Report[[#This Row],[Score 2]]),Report[[#This Row],[FT]],"")</f>
        <v/>
      </c>
      <c r="AF146" s="63" t="str">
        <f>IF(AND(Report[[#This Row],[Résultats SE]]="Gagné",Report[[#This Row],[FT]]=Report[[#This Row],[Score 3]]),Report[[#This Row],[FT]],"")</f>
        <v/>
      </c>
      <c r="AG146" s="63" t="str">
        <f>IF(AND(Report[[#This Row],[Résultats SE]]="Gagné",Report[[#This Row],[FT]]=Report[[#This Row],[Score 4]]),Report[[#This Row],[FT]],"")</f>
        <v/>
      </c>
    </row>
    <row r="147" spans="1:33" ht="20.100000000000001" customHeight="1" x14ac:dyDescent="0.25">
      <c r="A147" s="11">
        <v>43428</v>
      </c>
      <c r="B147" s="7" t="s">
        <v>66</v>
      </c>
      <c r="C147" s="7" t="s">
        <v>101</v>
      </c>
      <c r="D147" s="10" t="s">
        <v>216</v>
      </c>
      <c r="E147" s="10" t="s">
        <v>211</v>
      </c>
      <c r="F147" s="7" t="s">
        <v>833</v>
      </c>
      <c r="G147" s="8" t="s">
        <v>834</v>
      </c>
      <c r="H147" s="9" t="s">
        <v>830</v>
      </c>
      <c r="I147" s="9" t="s">
        <v>825</v>
      </c>
      <c r="J147" s="9" t="s">
        <v>826</v>
      </c>
      <c r="K147" s="9" t="s">
        <v>233</v>
      </c>
      <c r="L147" s="16">
        <v>3.3</v>
      </c>
      <c r="M147" s="16" t="str">
        <f>IF(Report[[#This Row],[Résultat FT]]="","",IF(Report[[#This Row],[Résultats SE]]="Gagné","","-"))</f>
        <v>-</v>
      </c>
      <c r="N147" s="17" t="s">
        <v>837</v>
      </c>
      <c r="O147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147" s="18">
        <f>IF(Report[[#This Row],[FT]]="",,(LEFT(Report[[#This Row],[FT]],SEARCH("-",Report[[#This Row],[FT]])-1)*1))</f>
        <v>2</v>
      </c>
      <c r="Q147" s="22">
        <f>IF(Report[[#This Row],[FT]]="",,(RIGHT(Report[[#This Row],[FT]],SEARCH("-",Report[[#This Row],[FT]])-1)*1))</f>
        <v>2</v>
      </c>
      <c r="R147" s="18" t="str">
        <f>IF(Report[Résultat FT]="","",IF(Report[Résultat FT]=Report[Résultats],"Gagné","Perdu"))</f>
        <v>Gagné</v>
      </c>
      <c r="S147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47" s="53">
        <f>IF(Report[[#This Row],[FT]]="","",IF(Report[[#This Row],[FT]]=Report[[#This Row],[Score 1]],1,0))</f>
        <v>0</v>
      </c>
      <c r="U147" s="53">
        <f>IF(Report[[#This Row],[FT]]="","",IF(Report[ [#This Row],[FT] ]=Report[[#This Row],[Score 2]],1,0))</f>
        <v>0</v>
      </c>
      <c r="V147" s="53">
        <f>IF(Report[[#This Row],[FT]]="","",IF(Report[[#This Row],[FT]]=Report[[#This Row],[Score 3]],1,0))</f>
        <v>0</v>
      </c>
      <c r="W147" s="53">
        <f>IF(Report[[#This Row],[FT]]="","",IF(Report[[#This Row],[FT]]=Report[[#This Row],[Score 4]],1,0))</f>
        <v>0</v>
      </c>
      <c r="X147" s="66">
        <f>IF(Report[[#This Row],[Résultat FT]]="",,IF(Report[[#This Row],[Résultat FT]]=Report[[#This Row],[Résultats]],(Suivi_Gain!$B$1*Report[[#This Row],[Cote FT]])-Suivi_Gain!$B$1,-Suivi_Gain!$B$1))</f>
        <v>2.2999999999999998</v>
      </c>
      <c r="Y147" s="94">
        <f>IF(Report[[#This Row],[FT]]="",,IF(Report[[#This Row],[FT]]=Report[[#This Row],[Score 1]],(Suivi_Gain!$G$1*Report[[#This Row],[Cote SE]])-Suivi_Gain!$G$1,-Suivi_Gain!$G$1))</f>
        <v>-1</v>
      </c>
      <c r="Z147" s="65">
        <f>IF(Report[[#This Row],[FT]]="",,IF(Report[[#This Row],[FT]]=Report[[#This Row],[Score 2]],Suivi_Gain!$G$1*Report[[#This Row],[Cote SE]],-Suivi_Gain!$G$1))</f>
        <v>-1</v>
      </c>
      <c r="AA147" s="65">
        <f>IF(Report[[#This Row],[FT]]="",,IF(Report[[#This Row],[FT]]=Report[[#This Row],[Score 3]],Suivi_Gain!$G$1*Report[[#This Row],[Cote SE]],-Suivi_Gain!$G$1))</f>
        <v>-1</v>
      </c>
      <c r="AB147" s="65">
        <f>IF(Report[[#This Row],[FT]]="",,IF(Report[[#This Row],[FT]]=Report[[#This Row],[Score 4]],Suivi_Gain!$G$1*Report[[#This Row],[Cote SE]],-Suivi_Gain!$G$1))</f>
        <v>-1</v>
      </c>
      <c r="AC147" s="63" t="str">
        <f>IF(Report[[#This Row],[Résultats SE]]="Gagné",Report[[#This Row],[FT]],"")</f>
        <v/>
      </c>
      <c r="AD147" s="63" t="str">
        <f>IF(AND(Report[[#This Row],[Résultats SE]]="Gagné",Report[[#This Row],[FT]]=Report[[#This Row],[Score 1]]),Report[[#This Row],[FT]],"")</f>
        <v/>
      </c>
      <c r="AE147" s="63" t="str">
        <f>IF(AND(Report[[#This Row],[Résultats SE]]="Gagné",Report[[#This Row],[FT]]=Report[[#This Row],[Score 2]]),Report[[#This Row],[FT]],"")</f>
        <v/>
      </c>
      <c r="AF147" s="63" t="str">
        <f>IF(AND(Report[[#This Row],[Résultats SE]]="Gagné",Report[[#This Row],[FT]]=Report[[#This Row],[Score 3]]),Report[[#This Row],[FT]],"")</f>
        <v/>
      </c>
      <c r="AG147" s="63" t="str">
        <f>IF(AND(Report[[#This Row],[Résultats SE]]="Gagné",Report[[#This Row],[FT]]=Report[[#This Row],[Score 4]]),Report[[#This Row],[FT]],"")</f>
        <v/>
      </c>
    </row>
    <row r="148" spans="1:33" ht="20.100000000000001" customHeight="1" x14ac:dyDescent="0.25">
      <c r="A148" s="11">
        <v>43428</v>
      </c>
      <c r="B148" s="7" t="s">
        <v>66</v>
      </c>
      <c r="C148" s="7" t="s">
        <v>101</v>
      </c>
      <c r="D148" s="10" t="s">
        <v>217</v>
      </c>
      <c r="E148" s="10" t="s">
        <v>208</v>
      </c>
      <c r="F148" s="7" t="s">
        <v>833</v>
      </c>
      <c r="G148" s="8" t="s">
        <v>834</v>
      </c>
      <c r="H148" s="9" t="s">
        <v>830</v>
      </c>
      <c r="I148" s="9" t="s">
        <v>825</v>
      </c>
      <c r="J148" s="9" t="s">
        <v>826</v>
      </c>
      <c r="K148" s="9" t="s">
        <v>233</v>
      </c>
      <c r="L148" s="16" t="str">
        <f>IF(Report[Résultat FT]="","",IF(Report[Résultat FT]=Report[Résultats],"","-"))</f>
        <v>-</v>
      </c>
      <c r="M148" s="16" t="str">
        <f>IF(Report[[#This Row],[Résultat FT]]="","",IF(Report[[#This Row],[Résultats SE]]="Gagné","","-"))</f>
        <v>-</v>
      </c>
      <c r="N148" s="17" t="s">
        <v>852</v>
      </c>
      <c r="O148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Norwich</v>
      </c>
      <c r="P148" s="18">
        <f>IF(Report[[#This Row],[FT]]="",,(LEFT(Report[[#This Row],[FT]],SEARCH("-",Report[[#This Row],[FT]])-1)*1))</f>
        <v>1</v>
      </c>
      <c r="Q148" s="22">
        <f>IF(Report[[#This Row],[FT]]="",,(RIGHT(Report[[#This Row],[FT]],SEARCH("-",Report[[#This Row],[FT]])-1)*1))</f>
        <v>4</v>
      </c>
      <c r="R148" s="18" t="str">
        <f>IF(Report[Résultat FT]="","",IF(Report[Résultat FT]=Report[Résultats],"Gagné","Perdu"))</f>
        <v>Perdu</v>
      </c>
      <c r="S148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48" s="53">
        <f>IF(Report[[#This Row],[FT]]="","",IF(Report[[#This Row],[FT]]=Report[[#This Row],[Score 1]],1,0))</f>
        <v>0</v>
      </c>
      <c r="U148" s="53">
        <f>IF(Report[[#This Row],[FT]]="","",IF(Report[ [#This Row],[FT] ]=Report[[#This Row],[Score 2]],1,0))</f>
        <v>0</v>
      </c>
      <c r="V148" s="53">
        <f>IF(Report[[#This Row],[FT]]="","",IF(Report[[#This Row],[FT]]=Report[[#This Row],[Score 3]],1,0))</f>
        <v>0</v>
      </c>
      <c r="W148" s="53">
        <f>IF(Report[[#This Row],[FT]]="","",IF(Report[[#This Row],[FT]]=Report[[#This Row],[Score 4]],1,0))</f>
        <v>0</v>
      </c>
      <c r="X148" s="66">
        <f>IF(Report[[#This Row],[Résultat FT]]="",,IF(Report[[#This Row],[Résultat FT]]=Report[[#This Row],[Résultats]],(Suivi_Gain!$B$1*Report[[#This Row],[Cote FT]])-Suivi_Gain!$B$1,-Suivi_Gain!$B$1))</f>
        <v>-1</v>
      </c>
      <c r="Y148" s="94">
        <f>IF(Report[[#This Row],[FT]]="",,IF(Report[[#This Row],[FT]]=Report[[#This Row],[Score 1]],(Suivi_Gain!$G$1*Report[[#This Row],[Cote SE]])-Suivi_Gain!$G$1,-Suivi_Gain!$G$1))</f>
        <v>-1</v>
      </c>
      <c r="Z148" s="65">
        <f>IF(Report[[#This Row],[FT]]="",,IF(Report[[#This Row],[FT]]=Report[[#This Row],[Score 2]],Suivi_Gain!$G$1*Report[[#This Row],[Cote SE]],-Suivi_Gain!$G$1))</f>
        <v>-1</v>
      </c>
      <c r="AA148" s="65">
        <f>IF(Report[[#This Row],[FT]]="",,IF(Report[[#This Row],[FT]]=Report[[#This Row],[Score 3]],Suivi_Gain!$G$1*Report[[#This Row],[Cote SE]],-Suivi_Gain!$G$1))</f>
        <v>-1</v>
      </c>
      <c r="AB148" s="65">
        <f>IF(Report[[#This Row],[FT]]="",,IF(Report[[#This Row],[FT]]=Report[[#This Row],[Score 4]],Suivi_Gain!$G$1*Report[[#This Row],[Cote SE]],-Suivi_Gain!$G$1))</f>
        <v>-1</v>
      </c>
      <c r="AC148" s="63" t="str">
        <f>IF(Report[[#This Row],[Résultats SE]]="Gagné",Report[[#This Row],[FT]],"")</f>
        <v/>
      </c>
      <c r="AD148" s="63" t="str">
        <f>IF(AND(Report[[#This Row],[Résultats SE]]="Gagné",Report[[#This Row],[FT]]=Report[[#This Row],[Score 1]]),Report[[#This Row],[FT]],"")</f>
        <v/>
      </c>
      <c r="AE148" s="63" t="str">
        <f>IF(AND(Report[[#This Row],[Résultats SE]]="Gagné",Report[[#This Row],[FT]]=Report[[#This Row],[Score 2]]),Report[[#This Row],[FT]],"")</f>
        <v/>
      </c>
      <c r="AF148" s="63" t="str">
        <f>IF(AND(Report[[#This Row],[Résultats SE]]="Gagné",Report[[#This Row],[FT]]=Report[[#This Row],[Score 3]]),Report[[#This Row],[FT]],"")</f>
        <v/>
      </c>
      <c r="AG148" s="63" t="str">
        <f>IF(AND(Report[[#This Row],[Résultats SE]]="Gagné",Report[[#This Row],[FT]]=Report[[#This Row],[Score 4]]),Report[[#This Row],[FT]],"")</f>
        <v/>
      </c>
    </row>
    <row r="149" spans="1:33" ht="20.100000000000001" customHeight="1" x14ac:dyDescent="0.25">
      <c r="A149" s="11">
        <v>43428</v>
      </c>
      <c r="B149" s="7" t="s">
        <v>66</v>
      </c>
      <c r="C149" s="7" t="s">
        <v>101</v>
      </c>
      <c r="D149" s="10" t="s">
        <v>219</v>
      </c>
      <c r="E149" s="10" t="s">
        <v>212</v>
      </c>
      <c r="F149" s="7" t="s">
        <v>833</v>
      </c>
      <c r="G149" s="8" t="s">
        <v>834</v>
      </c>
      <c r="H149" s="9" t="s">
        <v>830</v>
      </c>
      <c r="I149" s="9" t="s">
        <v>825</v>
      </c>
      <c r="J149" s="9" t="s">
        <v>826</v>
      </c>
      <c r="K149" s="9" t="s">
        <v>233</v>
      </c>
      <c r="L149" s="16">
        <v>3.75</v>
      </c>
      <c r="M149" s="16">
        <v>11</v>
      </c>
      <c r="N149" s="17" t="s">
        <v>826</v>
      </c>
      <c r="O149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149" s="18">
        <f>IF(Report[[#This Row],[FT]]="",,(LEFT(Report[[#This Row],[FT]],SEARCH("-",Report[[#This Row],[FT]])-1)*1))</f>
        <v>0</v>
      </c>
      <c r="Q149" s="22">
        <f>IF(Report[[#This Row],[FT]]="",,(RIGHT(Report[[#This Row],[FT]],SEARCH("-",Report[[#This Row],[FT]])-1)*1))</f>
        <v>0</v>
      </c>
      <c r="R149" s="18" t="str">
        <f>IF(Report[Résultat FT]="","",IF(Report[Résultat FT]=Report[Résultats],"Gagné","Perdu"))</f>
        <v>Gagné</v>
      </c>
      <c r="S149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149" s="53">
        <f>IF(Report[[#This Row],[FT]]="","",IF(Report[[#This Row],[FT]]=Report[[#This Row],[Score 1]],1,0))</f>
        <v>0</v>
      </c>
      <c r="U149" s="53">
        <f>IF(Report[[#This Row],[FT]]="","",IF(Report[ [#This Row],[FT] ]=Report[[#This Row],[Score 2]],1,0))</f>
        <v>0</v>
      </c>
      <c r="V149" s="53">
        <f>IF(Report[[#This Row],[FT]]="","",IF(Report[[#This Row],[FT]]=Report[[#This Row],[Score 3]],1,0))</f>
        <v>0</v>
      </c>
      <c r="W149" s="53">
        <f>IF(Report[[#This Row],[FT]]="","",IF(Report[[#This Row],[FT]]=Report[[#This Row],[Score 4]],1,0))</f>
        <v>1</v>
      </c>
      <c r="X149" s="66">
        <f>IF(Report[[#This Row],[Résultat FT]]="",,IF(Report[[#This Row],[Résultat FT]]=Report[[#This Row],[Résultats]],(Suivi_Gain!$B$1*Report[[#This Row],[Cote FT]])-Suivi_Gain!$B$1,-Suivi_Gain!$B$1))</f>
        <v>2.75</v>
      </c>
      <c r="Y149" s="94">
        <f>IF(Report[[#This Row],[FT]]="",,IF(Report[[#This Row],[FT]]=Report[[#This Row],[Score 1]],(Suivi_Gain!$G$1*Report[[#This Row],[Cote SE]])-Suivi_Gain!$G$1,-Suivi_Gain!$G$1))</f>
        <v>-1</v>
      </c>
      <c r="Z149" s="65">
        <f>IF(Report[[#This Row],[FT]]="",,IF(Report[[#This Row],[FT]]=Report[[#This Row],[Score 2]],Suivi_Gain!$G$1*Report[[#This Row],[Cote SE]],-Suivi_Gain!$G$1))</f>
        <v>-1</v>
      </c>
      <c r="AA149" s="65">
        <f>IF(Report[[#This Row],[FT]]="",,IF(Report[[#This Row],[FT]]=Report[[#This Row],[Score 3]],Suivi_Gain!$G$1*Report[[#This Row],[Cote SE]],-Suivi_Gain!$G$1))</f>
        <v>-1</v>
      </c>
      <c r="AB149" s="65">
        <f>IF(Report[[#This Row],[FT]]="",,IF(Report[[#This Row],[FT]]=Report[[#This Row],[Score 4]],Suivi_Gain!$G$1*Report[[#This Row],[Cote SE]],-Suivi_Gain!$G$1))</f>
        <v>11</v>
      </c>
      <c r="AC149" s="63" t="str">
        <f>IF(Report[[#This Row],[Résultats SE]]="Gagné",Report[[#This Row],[FT]],"")</f>
        <v>0-0</v>
      </c>
      <c r="AD149" s="63" t="str">
        <f>IF(AND(Report[[#This Row],[Résultats SE]]="Gagné",Report[[#This Row],[FT]]=Report[[#This Row],[Score 1]]),Report[[#This Row],[FT]],"")</f>
        <v/>
      </c>
      <c r="AE149" s="63" t="str">
        <f>IF(AND(Report[[#This Row],[Résultats SE]]="Gagné",Report[[#This Row],[FT]]=Report[[#This Row],[Score 2]]),Report[[#This Row],[FT]],"")</f>
        <v/>
      </c>
      <c r="AF149" s="63" t="str">
        <f>IF(AND(Report[[#This Row],[Résultats SE]]="Gagné",Report[[#This Row],[FT]]=Report[[#This Row],[Score 3]]),Report[[#This Row],[FT]],"")</f>
        <v/>
      </c>
      <c r="AG149" s="63" t="str">
        <f>IF(AND(Report[[#This Row],[Résultats SE]]="Gagné",Report[[#This Row],[FT]]=Report[[#This Row],[Score 4]]),Report[[#This Row],[FT]],"")</f>
        <v>0-0</v>
      </c>
    </row>
    <row r="150" spans="1:33" ht="20.100000000000001" customHeight="1" x14ac:dyDescent="0.25">
      <c r="A150" s="11">
        <v>43428</v>
      </c>
      <c r="B150" s="7" t="s">
        <v>66</v>
      </c>
      <c r="C150" s="7" t="s">
        <v>101</v>
      </c>
      <c r="D150" s="10" t="s">
        <v>200</v>
      </c>
      <c r="E150" s="10" t="s">
        <v>206</v>
      </c>
      <c r="F150" s="7" t="s">
        <v>824</v>
      </c>
      <c r="G150" s="8" t="s">
        <v>825</v>
      </c>
      <c r="H150" s="9" t="s">
        <v>826</v>
      </c>
      <c r="I150" s="9" t="s">
        <v>827</v>
      </c>
      <c r="J150" s="9" t="s">
        <v>828</v>
      </c>
      <c r="K150" s="9" t="s">
        <v>206</v>
      </c>
      <c r="L150" s="16">
        <v>3.2</v>
      </c>
      <c r="M150" s="16" t="str">
        <f>IF(Report[[#This Row],[Résultat FT]]="","",IF(Report[[#This Row],[Résultats SE]]="Gagné","","-"))</f>
        <v>-</v>
      </c>
      <c r="N150" s="17" t="s">
        <v>839</v>
      </c>
      <c r="O150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Middlesbrough</v>
      </c>
      <c r="P150" s="18">
        <f>IF(Report[[#This Row],[FT]]="",,(LEFT(Report[[#This Row],[FT]],SEARCH("-",Report[[#This Row],[FT]])-1)*1))</f>
        <v>1</v>
      </c>
      <c r="Q150" s="22">
        <f>IF(Report[[#This Row],[FT]]="",,(RIGHT(Report[[#This Row],[FT]],SEARCH("-",Report[[#This Row],[FT]])-1)*1))</f>
        <v>2</v>
      </c>
      <c r="R150" s="18" t="str">
        <f>IF(Report[Résultat FT]="","",IF(Report[Résultat FT]=Report[Résultats],"Gagné","Perdu"))</f>
        <v>Gagné</v>
      </c>
      <c r="S150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50" s="53">
        <f>IF(Report[[#This Row],[FT]]="","",IF(Report[[#This Row],[FT]]=Report[[#This Row],[Score 1]],1,0))</f>
        <v>0</v>
      </c>
      <c r="U150" s="53">
        <f>IF(Report[[#This Row],[FT]]="","",IF(Report[ [#This Row],[FT] ]=Report[[#This Row],[Score 2]],1,0))</f>
        <v>0</v>
      </c>
      <c r="V150" s="53">
        <f>IF(Report[[#This Row],[FT]]="","",IF(Report[[#This Row],[FT]]=Report[[#This Row],[Score 3]],1,0))</f>
        <v>0</v>
      </c>
      <c r="W150" s="53">
        <f>IF(Report[[#This Row],[FT]]="","",IF(Report[[#This Row],[FT]]=Report[[#This Row],[Score 4]],1,0))</f>
        <v>0</v>
      </c>
      <c r="X150" s="66">
        <f>IF(Report[[#This Row],[Résultat FT]]="",,IF(Report[[#This Row],[Résultat FT]]=Report[[#This Row],[Résultats]],(Suivi_Gain!$B$1*Report[[#This Row],[Cote FT]])-Suivi_Gain!$B$1,-Suivi_Gain!$B$1))</f>
        <v>2.2000000000000002</v>
      </c>
      <c r="Y150" s="94">
        <f>IF(Report[[#This Row],[FT]]="",,IF(Report[[#This Row],[FT]]=Report[[#This Row],[Score 1]],(Suivi_Gain!$G$1*Report[[#This Row],[Cote SE]])-Suivi_Gain!$G$1,-Suivi_Gain!$G$1))</f>
        <v>-1</v>
      </c>
      <c r="Z150" s="65">
        <f>IF(Report[[#This Row],[FT]]="",,IF(Report[[#This Row],[FT]]=Report[[#This Row],[Score 2]],Suivi_Gain!$G$1*Report[[#This Row],[Cote SE]],-Suivi_Gain!$G$1))</f>
        <v>-1</v>
      </c>
      <c r="AA150" s="65">
        <f>IF(Report[[#This Row],[FT]]="",,IF(Report[[#This Row],[FT]]=Report[[#This Row],[Score 3]],Suivi_Gain!$G$1*Report[[#This Row],[Cote SE]],-Suivi_Gain!$G$1))</f>
        <v>-1</v>
      </c>
      <c r="AB150" s="65">
        <f>IF(Report[[#This Row],[FT]]="",,IF(Report[[#This Row],[FT]]=Report[[#This Row],[Score 4]],Suivi_Gain!$G$1*Report[[#This Row],[Cote SE]],-Suivi_Gain!$G$1))</f>
        <v>-1</v>
      </c>
      <c r="AC150" s="63" t="str">
        <f>IF(Report[[#This Row],[Résultats SE]]="Gagné",Report[[#This Row],[FT]],"")</f>
        <v/>
      </c>
      <c r="AD150" s="63" t="str">
        <f>IF(AND(Report[[#This Row],[Résultats SE]]="Gagné",Report[[#This Row],[FT]]=Report[[#This Row],[Score 1]]),Report[[#This Row],[FT]],"")</f>
        <v/>
      </c>
      <c r="AE150" s="63" t="str">
        <f>IF(AND(Report[[#This Row],[Résultats SE]]="Gagné",Report[[#This Row],[FT]]=Report[[#This Row],[Score 2]]),Report[[#This Row],[FT]],"")</f>
        <v/>
      </c>
      <c r="AF150" s="63" t="str">
        <f>IF(AND(Report[[#This Row],[Résultats SE]]="Gagné",Report[[#This Row],[FT]]=Report[[#This Row],[Score 3]]),Report[[#This Row],[FT]],"")</f>
        <v/>
      </c>
      <c r="AG150" s="63" t="str">
        <f>IF(AND(Report[[#This Row],[Résultats SE]]="Gagné",Report[[#This Row],[FT]]=Report[[#This Row],[Score 4]]),Report[[#This Row],[FT]],"")</f>
        <v/>
      </c>
    </row>
    <row r="151" spans="1:33" ht="20.100000000000001" customHeight="1" x14ac:dyDescent="0.25">
      <c r="A151" s="11">
        <v>43428</v>
      </c>
      <c r="B151" s="7" t="s">
        <v>66</v>
      </c>
      <c r="C151" s="7" t="s">
        <v>100</v>
      </c>
      <c r="D151" s="10" t="s">
        <v>177</v>
      </c>
      <c r="E151" s="10" t="s">
        <v>185</v>
      </c>
      <c r="F151" s="7" t="s">
        <v>833</v>
      </c>
      <c r="G151" s="8" t="s">
        <v>834</v>
      </c>
      <c r="H151" s="9" t="s">
        <v>830</v>
      </c>
      <c r="I151" s="9" t="s">
        <v>825</v>
      </c>
      <c r="J151" s="9" t="s">
        <v>826</v>
      </c>
      <c r="K151" s="9" t="s">
        <v>233</v>
      </c>
      <c r="L151" s="16">
        <v>3.2</v>
      </c>
      <c r="M151" s="16">
        <v>6.1</v>
      </c>
      <c r="N151" s="17" t="s">
        <v>834</v>
      </c>
      <c r="O151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151" s="18">
        <f>IF(Report[[#This Row],[FT]]="",,(LEFT(Report[[#This Row],[FT]],SEARCH("-",Report[[#This Row],[FT]])-1)*1))</f>
        <v>1</v>
      </c>
      <c r="Q151" s="22">
        <f>IF(Report[[#This Row],[FT]]="",,(RIGHT(Report[[#This Row],[FT]],SEARCH("-",Report[[#This Row],[FT]])-1)*1))</f>
        <v>1</v>
      </c>
      <c r="R151" s="18" t="str">
        <f>IF(Report[Résultat FT]="","",IF(Report[Résultat FT]=Report[Résultats],"Gagné","Perdu"))</f>
        <v>Gagné</v>
      </c>
      <c r="S151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151" s="53">
        <f>IF(Report[[#This Row],[FT]]="","",IF(Report[[#This Row],[FT]]=Report[[#This Row],[Score 1]],1,0))</f>
        <v>1</v>
      </c>
      <c r="U151" s="53">
        <f>IF(Report[[#This Row],[FT]]="","",IF(Report[ [#This Row],[FT] ]=Report[[#This Row],[Score 2]],1,0))</f>
        <v>0</v>
      </c>
      <c r="V151" s="53">
        <f>IF(Report[[#This Row],[FT]]="","",IF(Report[[#This Row],[FT]]=Report[[#This Row],[Score 3]],1,0))</f>
        <v>0</v>
      </c>
      <c r="W151" s="53">
        <f>IF(Report[[#This Row],[FT]]="","",IF(Report[[#This Row],[FT]]=Report[[#This Row],[Score 4]],1,0))</f>
        <v>0</v>
      </c>
      <c r="X151" s="66">
        <f>IF(Report[[#This Row],[Résultat FT]]="",,IF(Report[[#This Row],[Résultat FT]]=Report[[#This Row],[Résultats]],(Suivi_Gain!$B$1*Report[[#This Row],[Cote FT]])-Suivi_Gain!$B$1,-Suivi_Gain!$B$1))</f>
        <v>2.2000000000000002</v>
      </c>
      <c r="Y151" s="94">
        <f>IF(Report[[#This Row],[FT]]="",,IF(Report[[#This Row],[FT]]=Report[[#This Row],[Score 1]],(Suivi_Gain!$G$1*Report[[#This Row],[Cote SE]])-Suivi_Gain!$G$1,-Suivi_Gain!$G$1))</f>
        <v>5.0999999999999996</v>
      </c>
      <c r="Z151" s="65">
        <f>IF(Report[[#This Row],[FT]]="",,IF(Report[[#This Row],[FT]]=Report[[#This Row],[Score 2]],Suivi_Gain!$G$1*Report[[#This Row],[Cote SE]],-Suivi_Gain!$G$1))</f>
        <v>-1</v>
      </c>
      <c r="AA151" s="65">
        <f>IF(Report[[#This Row],[FT]]="",,IF(Report[[#This Row],[FT]]=Report[[#This Row],[Score 3]],Suivi_Gain!$G$1*Report[[#This Row],[Cote SE]],-Suivi_Gain!$G$1))</f>
        <v>-1</v>
      </c>
      <c r="AB151" s="65">
        <f>IF(Report[[#This Row],[FT]]="",,IF(Report[[#This Row],[FT]]=Report[[#This Row],[Score 4]],Suivi_Gain!$G$1*Report[[#This Row],[Cote SE]],-Suivi_Gain!$G$1))</f>
        <v>-1</v>
      </c>
      <c r="AC151" s="63" t="str">
        <f>IF(Report[[#This Row],[Résultats SE]]="Gagné",Report[[#This Row],[FT]],"")</f>
        <v>1-1</v>
      </c>
      <c r="AD151" s="63" t="str">
        <f>IF(AND(Report[[#This Row],[Résultats SE]]="Gagné",Report[[#This Row],[FT]]=Report[[#This Row],[Score 1]]),Report[[#This Row],[FT]],"")</f>
        <v>1-1</v>
      </c>
      <c r="AE151" s="63" t="str">
        <f>IF(AND(Report[[#This Row],[Résultats SE]]="Gagné",Report[[#This Row],[FT]]=Report[[#This Row],[Score 2]]),Report[[#This Row],[FT]],"")</f>
        <v/>
      </c>
      <c r="AF151" s="63" t="str">
        <f>IF(AND(Report[[#This Row],[Résultats SE]]="Gagné",Report[[#This Row],[FT]]=Report[[#This Row],[Score 3]]),Report[[#This Row],[FT]],"")</f>
        <v/>
      </c>
      <c r="AG151" s="63" t="str">
        <f>IF(AND(Report[[#This Row],[Résultats SE]]="Gagné",Report[[#This Row],[FT]]=Report[[#This Row],[Score 4]]),Report[[#This Row],[FT]],"")</f>
        <v/>
      </c>
    </row>
    <row r="152" spans="1:33" ht="20.100000000000001" customHeight="1" x14ac:dyDescent="0.25">
      <c r="A152" s="11">
        <v>43428</v>
      </c>
      <c r="B152" s="7" t="s">
        <v>66</v>
      </c>
      <c r="C152" s="7" t="s">
        <v>100</v>
      </c>
      <c r="D152" s="10" t="s">
        <v>182</v>
      </c>
      <c r="E152" s="10" t="s">
        <v>179</v>
      </c>
      <c r="F152" s="7" t="s">
        <v>861</v>
      </c>
      <c r="G152" s="8" t="s">
        <v>831</v>
      </c>
      <c r="H152" s="9" t="s">
        <v>830</v>
      </c>
      <c r="I152" s="9" t="s">
        <v>832</v>
      </c>
      <c r="J152" s="9" t="s">
        <v>826</v>
      </c>
      <c r="K152" s="9" t="s">
        <v>182</v>
      </c>
      <c r="L152" s="16">
        <v>1.46</v>
      </c>
      <c r="M152" s="16">
        <v>6.75</v>
      </c>
      <c r="N152" s="17" t="s">
        <v>830</v>
      </c>
      <c r="O152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Everton</v>
      </c>
      <c r="P152" s="18">
        <f>IF(Report[[#This Row],[FT]]="",,(LEFT(Report[[#This Row],[FT]],SEARCH("-",Report[[#This Row],[FT]])-1)*1))</f>
        <v>1</v>
      </c>
      <c r="Q152" s="22">
        <f>IF(Report[[#This Row],[FT]]="",,(RIGHT(Report[[#This Row],[FT]],SEARCH("-",Report[[#This Row],[FT]])-1)*1))</f>
        <v>0</v>
      </c>
      <c r="R152" s="18" t="str">
        <f>IF(Report[Résultat FT]="","",IF(Report[Résultat FT]=Report[Résultats],"Gagné","Perdu"))</f>
        <v>Gagné</v>
      </c>
      <c r="S152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152" s="53">
        <f>IF(Report[[#This Row],[FT]]="","",IF(Report[[#This Row],[FT]]=Report[[#This Row],[Score 1]],1,0))</f>
        <v>0</v>
      </c>
      <c r="U152" s="53">
        <f>IF(Report[[#This Row],[FT]]="","",IF(Report[ [#This Row],[FT] ]=Report[[#This Row],[Score 2]],1,0))</f>
        <v>1</v>
      </c>
      <c r="V152" s="53">
        <f>IF(Report[[#This Row],[FT]]="","",IF(Report[[#This Row],[FT]]=Report[[#This Row],[Score 3]],1,0))</f>
        <v>0</v>
      </c>
      <c r="W152" s="53">
        <f>IF(Report[[#This Row],[FT]]="","",IF(Report[[#This Row],[FT]]=Report[[#This Row],[Score 4]],1,0))</f>
        <v>0</v>
      </c>
      <c r="X152" s="66">
        <f>IF(Report[[#This Row],[Résultat FT]]="",,IF(Report[[#This Row],[Résultat FT]]=Report[[#This Row],[Résultats]],(Suivi_Gain!$B$1*Report[[#This Row],[Cote FT]])-Suivi_Gain!$B$1,-Suivi_Gain!$B$1))</f>
        <v>0.45999999999999996</v>
      </c>
      <c r="Y152" s="94">
        <f>IF(Report[[#This Row],[FT]]="",,IF(Report[[#This Row],[FT]]=Report[[#This Row],[Score 1]],(Suivi_Gain!$G$1*Report[[#This Row],[Cote SE]])-Suivi_Gain!$G$1,-Suivi_Gain!$G$1))</f>
        <v>-1</v>
      </c>
      <c r="Z152" s="65">
        <f>IF(Report[[#This Row],[FT]]="",,IF(Report[[#This Row],[FT]]=Report[[#This Row],[Score 2]],Suivi_Gain!$G$1*Report[[#This Row],[Cote SE]],-Suivi_Gain!$G$1))</f>
        <v>6.75</v>
      </c>
      <c r="AA152" s="65">
        <f>IF(Report[[#This Row],[FT]]="",,IF(Report[[#This Row],[FT]]=Report[[#This Row],[Score 3]],Suivi_Gain!$G$1*Report[[#This Row],[Cote SE]],-Suivi_Gain!$G$1))</f>
        <v>-1</v>
      </c>
      <c r="AB152" s="65">
        <f>IF(Report[[#This Row],[FT]]="",,IF(Report[[#This Row],[FT]]=Report[[#This Row],[Score 4]],Suivi_Gain!$G$1*Report[[#This Row],[Cote SE]],-Suivi_Gain!$G$1))</f>
        <v>-1</v>
      </c>
      <c r="AC152" s="63" t="str">
        <f>IF(Report[[#This Row],[Résultats SE]]="Gagné",Report[[#This Row],[FT]],"")</f>
        <v>1-0</v>
      </c>
      <c r="AD152" s="63" t="str">
        <f>IF(AND(Report[[#This Row],[Résultats SE]]="Gagné",Report[[#This Row],[FT]]=Report[[#This Row],[Score 1]]),Report[[#This Row],[FT]],"")</f>
        <v/>
      </c>
      <c r="AE152" s="63" t="str">
        <f>IF(AND(Report[[#This Row],[Résultats SE]]="Gagné",Report[[#This Row],[FT]]=Report[[#This Row],[Score 2]]),Report[[#This Row],[FT]],"")</f>
        <v>1-0</v>
      </c>
      <c r="AF152" s="63" t="str">
        <f>IF(AND(Report[[#This Row],[Résultats SE]]="Gagné",Report[[#This Row],[FT]]=Report[[#This Row],[Score 3]]),Report[[#This Row],[FT]],"")</f>
        <v/>
      </c>
      <c r="AG152" s="63" t="str">
        <f>IF(AND(Report[[#This Row],[Résultats SE]]="Gagné",Report[[#This Row],[FT]]=Report[[#This Row],[Score 4]]),Report[[#This Row],[FT]],"")</f>
        <v/>
      </c>
    </row>
    <row r="153" spans="1:33" ht="20.100000000000001" customHeight="1" x14ac:dyDescent="0.25">
      <c r="A153" s="11">
        <v>43428</v>
      </c>
      <c r="B153" s="7" t="s">
        <v>66</v>
      </c>
      <c r="C153" s="7" t="s">
        <v>100</v>
      </c>
      <c r="D153" s="10" t="s">
        <v>183</v>
      </c>
      <c r="E153" s="10" t="s">
        <v>190</v>
      </c>
      <c r="F153" s="7" t="s">
        <v>833</v>
      </c>
      <c r="G153" s="8" t="s">
        <v>834</v>
      </c>
      <c r="H153" s="9" t="s">
        <v>830</v>
      </c>
      <c r="I153" s="9" t="s">
        <v>825</v>
      </c>
      <c r="J153" s="9" t="s">
        <v>826</v>
      </c>
      <c r="K153" s="9" t="s">
        <v>233</v>
      </c>
      <c r="L153" s="16" t="str">
        <f>IF(Report[Résultat FT]="","",IF(Report[Résultat FT]=Report[Résultats],"","-"))</f>
        <v>-</v>
      </c>
      <c r="M153" s="16" t="str">
        <f>IF(Report[[#This Row],[Résultat FT]]="","",IF(Report[[#This Row],[Résultats SE]]="Gagné","","-"))</f>
        <v>-</v>
      </c>
      <c r="N153" s="17" t="s">
        <v>891</v>
      </c>
      <c r="O153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Fulham</v>
      </c>
      <c r="P153" s="18">
        <f>IF(Report[[#This Row],[FT]]="",,(LEFT(Report[[#This Row],[FT]],SEARCH("-",Report[[#This Row],[FT]])-1)*1))</f>
        <v>3</v>
      </c>
      <c r="Q153" s="22">
        <f>IF(Report[[#This Row],[FT]]="",,(RIGHT(Report[[#This Row],[FT]],SEARCH("-",Report[[#This Row],[FT]])-1)*1))</f>
        <v>2</v>
      </c>
      <c r="R153" s="18" t="str">
        <f>IF(Report[Résultat FT]="","",IF(Report[Résultat FT]=Report[Résultats],"Gagné","Perdu"))</f>
        <v>Perdu</v>
      </c>
      <c r="S153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53" s="53">
        <f>IF(Report[[#This Row],[FT]]="","",IF(Report[[#This Row],[FT]]=Report[[#This Row],[Score 1]],1,0))</f>
        <v>0</v>
      </c>
      <c r="U153" s="53">
        <f>IF(Report[[#This Row],[FT]]="","",IF(Report[ [#This Row],[FT] ]=Report[[#This Row],[Score 2]],1,0))</f>
        <v>0</v>
      </c>
      <c r="V153" s="53">
        <f>IF(Report[[#This Row],[FT]]="","",IF(Report[[#This Row],[FT]]=Report[[#This Row],[Score 3]],1,0))</f>
        <v>0</v>
      </c>
      <c r="W153" s="53">
        <f>IF(Report[[#This Row],[FT]]="","",IF(Report[[#This Row],[FT]]=Report[[#This Row],[Score 4]],1,0))</f>
        <v>0</v>
      </c>
      <c r="X153" s="66">
        <f>IF(Report[[#This Row],[Résultat FT]]="",,IF(Report[[#This Row],[Résultat FT]]=Report[[#This Row],[Résultats]],(Suivi_Gain!$B$1*Report[[#This Row],[Cote FT]])-Suivi_Gain!$B$1,-Suivi_Gain!$B$1))</f>
        <v>-1</v>
      </c>
      <c r="Y153" s="94">
        <f>IF(Report[[#This Row],[FT]]="",,IF(Report[[#This Row],[FT]]=Report[[#This Row],[Score 1]],(Suivi_Gain!$G$1*Report[[#This Row],[Cote SE]])-Suivi_Gain!$G$1,-Suivi_Gain!$G$1))</f>
        <v>-1</v>
      </c>
      <c r="Z153" s="65">
        <f>IF(Report[[#This Row],[FT]]="",,IF(Report[[#This Row],[FT]]=Report[[#This Row],[Score 2]],Suivi_Gain!$G$1*Report[[#This Row],[Cote SE]],-Suivi_Gain!$G$1))</f>
        <v>-1</v>
      </c>
      <c r="AA153" s="65">
        <f>IF(Report[[#This Row],[FT]]="",,IF(Report[[#This Row],[FT]]=Report[[#This Row],[Score 3]],Suivi_Gain!$G$1*Report[[#This Row],[Cote SE]],-Suivi_Gain!$G$1))</f>
        <v>-1</v>
      </c>
      <c r="AB153" s="65">
        <f>IF(Report[[#This Row],[FT]]="",,IF(Report[[#This Row],[FT]]=Report[[#This Row],[Score 4]],Suivi_Gain!$G$1*Report[[#This Row],[Cote SE]],-Suivi_Gain!$G$1))</f>
        <v>-1</v>
      </c>
      <c r="AC153" s="63" t="str">
        <f>IF(Report[[#This Row],[Résultats SE]]="Gagné",Report[[#This Row],[FT]],"")</f>
        <v/>
      </c>
      <c r="AD153" s="63" t="str">
        <f>IF(AND(Report[[#This Row],[Résultats SE]]="Gagné",Report[[#This Row],[FT]]=Report[[#This Row],[Score 1]]),Report[[#This Row],[FT]],"")</f>
        <v/>
      </c>
      <c r="AE153" s="63" t="str">
        <f>IF(AND(Report[[#This Row],[Résultats SE]]="Gagné",Report[[#This Row],[FT]]=Report[[#This Row],[Score 2]]),Report[[#This Row],[FT]],"")</f>
        <v/>
      </c>
      <c r="AF153" s="63" t="str">
        <f>IF(AND(Report[[#This Row],[Résultats SE]]="Gagné",Report[[#This Row],[FT]]=Report[[#This Row],[Score 3]]),Report[[#This Row],[FT]],"")</f>
        <v/>
      </c>
      <c r="AG153" s="63" t="str">
        <f>IF(AND(Report[[#This Row],[Résultats SE]]="Gagné",Report[[#This Row],[FT]]=Report[[#This Row],[Score 4]]),Report[[#This Row],[FT]],"")</f>
        <v/>
      </c>
    </row>
    <row r="154" spans="1:33" ht="20.100000000000001" customHeight="1" x14ac:dyDescent="0.25">
      <c r="A154" s="11">
        <v>43428</v>
      </c>
      <c r="B154" s="7" t="s">
        <v>66</v>
      </c>
      <c r="C154" s="7" t="s">
        <v>100</v>
      </c>
      <c r="D154" s="10" t="s">
        <v>188</v>
      </c>
      <c r="E154" s="10" t="s">
        <v>181</v>
      </c>
      <c r="F154" s="7" t="s">
        <v>861</v>
      </c>
      <c r="G154" s="8" t="s">
        <v>831</v>
      </c>
      <c r="H154" s="9" t="s">
        <v>830</v>
      </c>
      <c r="I154" s="9" t="s">
        <v>832</v>
      </c>
      <c r="J154" s="9" t="s">
        <v>826</v>
      </c>
      <c r="K154" s="9" t="s">
        <v>188</v>
      </c>
      <c r="L154" s="16" t="str">
        <f>IF(Report[Résultat FT]="","",IF(Report[Résultat FT]=Report[Résultats],"","-"))</f>
        <v>-</v>
      </c>
      <c r="M154" s="16">
        <v>12.5</v>
      </c>
      <c r="N154" s="17" t="s">
        <v>826</v>
      </c>
      <c r="O154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154" s="18">
        <f>IF(Report[[#This Row],[FT]]="",,(LEFT(Report[[#This Row],[FT]],SEARCH("-",Report[[#This Row],[FT]])-1)*1))</f>
        <v>0</v>
      </c>
      <c r="Q154" s="22">
        <f>IF(Report[[#This Row],[FT]]="",,(RIGHT(Report[[#This Row],[FT]],SEARCH("-",Report[[#This Row],[FT]])-1)*1))</f>
        <v>0</v>
      </c>
      <c r="R154" s="18" t="str">
        <f>IF(Report[Résultat FT]="","",IF(Report[Résultat FT]=Report[Résultats],"Gagné","Perdu"))</f>
        <v>Perdu</v>
      </c>
      <c r="S154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154" s="53">
        <f>IF(Report[[#This Row],[FT]]="","",IF(Report[[#This Row],[FT]]=Report[[#This Row],[Score 1]],1,0))</f>
        <v>0</v>
      </c>
      <c r="U154" s="53">
        <f>IF(Report[[#This Row],[FT]]="","",IF(Report[ [#This Row],[FT] ]=Report[[#This Row],[Score 2]],1,0))</f>
        <v>0</v>
      </c>
      <c r="V154" s="53">
        <f>IF(Report[[#This Row],[FT]]="","",IF(Report[[#This Row],[FT]]=Report[[#This Row],[Score 3]],1,0))</f>
        <v>0</v>
      </c>
      <c r="W154" s="53">
        <f>IF(Report[[#This Row],[FT]]="","",IF(Report[[#This Row],[FT]]=Report[[#This Row],[Score 4]],1,0))</f>
        <v>1</v>
      </c>
      <c r="X154" s="66">
        <f>IF(Report[[#This Row],[Résultat FT]]="",,IF(Report[[#This Row],[Résultat FT]]=Report[[#This Row],[Résultats]],(Suivi_Gain!$B$1*Report[[#This Row],[Cote FT]])-Suivi_Gain!$B$1,-Suivi_Gain!$B$1))</f>
        <v>-1</v>
      </c>
      <c r="Y154" s="94">
        <f>IF(Report[[#This Row],[FT]]="",,IF(Report[[#This Row],[FT]]=Report[[#This Row],[Score 1]],(Suivi_Gain!$G$1*Report[[#This Row],[Cote SE]])-Suivi_Gain!$G$1,-Suivi_Gain!$G$1))</f>
        <v>-1</v>
      </c>
      <c r="Z154" s="65">
        <f>IF(Report[[#This Row],[FT]]="",,IF(Report[[#This Row],[FT]]=Report[[#This Row],[Score 2]],Suivi_Gain!$G$1*Report[[#This Row],[Cote SE]],-Suivi_Gain!$G$1))</f>
        <v>-1</v>
      </c>
      <c r="AA154" s="65">
        <f>IF(Report[[#This Row],[FT]]="",,IF(Report[[#This Row],[FT]]=Report[[#This Row],[Score 3]],Suivi_Gain!$G$1*Report[[#This Row],[Cote SE]],-Suivi_Gain!$G$1))</f>
        <v>-1</v>
      </c>
      <c r="AB154" s="65">
        <f>IF(Report[[#This Row],[FT]]="",,IF(Report[[#This Row],[FT]]=Report[[#This Row],[Score 4]],Suivi_Gain!$G$1*Report[[#This Row],[Cote SE]],-Suivi_Gain!$G$1))</f>
        <v>12.5</v>
      </c>
      <c r="AC154" s="63" t="str">
        <f>IF(Report[[#This Row],[Résultats SE]]="Gagné",Report[[#This Row],[FT]],"")</f>
        <v>0-0</v>
      </c>
      <c r="AD154" s="63" t="str">
        <f>IF(AND(Report[[#This Row],[Résultats SE]]="Gagné",Report[[#This Row],[FT]]=Report[[#This Row],[Score 1]]),Report[[#This Row],[FT]],"")</f>
        <v/>
      </c>
      <c r="AE154" s="63" t="str">
        <f>IF(AND(Report[[#This Row],[Résultats SE]]="Gagné",Report[[#This Row],[FT]]=Report[[#This Row],[Score 2]]),Report[[#This Row],[FT]],"")</f>
        <v/>
      </c>
      <c r="AF154" s="63" t="str">
        <f>IF(AND(Report[[#This Row],[Résultats SE]]="Gagné",Report[[#This Row],[FT]]=Report[[#This Row],[Score 3]]),Report[[#This Row],[FT]],"")</f>
        <v/>
      </c>
      <c r="AG154" s="63" t="str">
        <f>IF(AND(Report[[#This Row],[Résultats SE]]="Gagné",Report[[#This Row],[FT]]=Report[[#This Row],[Score 4]]),Report[[#This Row],[FT]],"")</f>
        <v>0-0</v>
      </c>
    </row>
    <row r="155" spans="1:33" ht="20.100000000000001" customHeight="1" x14ac:dyDescent="0.25">
      <c r="A155" s="11">
        <v>43428</v>
      </c>
      <c r="B155" s="7" t="s">
        <v>66</v>
      </c>
      <c r="C155" s="7" t="s">
        <v>100</v>
      </c>
      <c r="D155" s="10" t="s">
        <v>192</v>
      </c>
      <c r="E155" s="10" t="s">
        <v>186</v>
      </c>
      <c r="F155" s="7" t="s">
        <v>824</v>
      </c>
      <c r="G155" s="8" t="s">
        <v>825</v>
      </c>
      <c r="H155" s="9" t="s">
        <v>826</v>
      </c>
      <c r="I155" s="9" t="s">
        <v>827</v>
      </c>
      <c r="J155" s="9" t="s">
        <v>828</v>
      </c>
      <c r="K155" s="9" t="s">
        <v>186</v>
      </c>
      <c r="L155" s="16">
        <v>1.59</v>
      </c>
      <c r="M155" s="16">
        <v>11</v>
      </c>
      <c r="N155" s="17" t="s">
        <v>828</v>
      </c>
      <c r="O155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Liverpool</v>
      </c>
      <c r="P155" s="18">
        <f>IF(Report[[#This Row],[FT]]="",,(LEFT(Report[[#This Row],[FT]],SEARCH("-",Report[[#This Row],[FT]])-1)*1))</f>
        <v>0</v>
      </c>
      <c r="Q155" s="22">
        <f>IF(Report[[#This Row],[FT]]="",,(RIGHT(Report[[#This Row],[FT]],SEARCH("-",Report[[#This Row],[FT]])-1)*1))</f>
        <v>3</v>
      </c>
      <c r="R155" s="18" t="str">
        <f>IF(Report[Résultat FT]="","",IF(Report[Résultat FT]=Report[Résultats],"Gagné","Perdu"))</f>
        <v>Gagné</v>
      </c>
      <c r="S155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155" s="53">
        <f>IF(Report[[#This Row],[FT]]="","",IF(Report[[#This Row],[FT]]=Report[[#This Row],[Score 1]],1,0))</f>
        <v>0</v>
      </c>
      <c r="U155" s="53">
        <f>IF(Report[[#This Row],[FT]]="","",IF(Report[ [#This Row],[FT] ]=Report[[#This Row],[Score 2]],1,0))</f>
        <v>0</v>
      </c>
      <c r="V155" s="53">
        <f>IF(Report[[#This Row],[FT]]="","",IF(Report[[#This Row],[FT]]=Report[[#This Row],[Score 3]],1,0))</f>
        <v>0</v>
      </c>
      <c r="W155" s="53">
        <f>IF(Report[[#This Row],[FT]]="","",IF(Report[[#This Row],[FT]]=Report[[#This Row],[Score 4]],1,0))</f>
        <v>1</v>
      </c>
      <c r="X155" s="66">
        <f>IF(Report[[#This Row],[Résultat FT]]="",,IF(Report[[#This Row],[Résultat FT]]=Report[[#This Row],[Résultats]],(Suivi_Gain!$B$1*Report[[#This Row],[Cote FT]])-Suivi_Gain!$B$1,-Suivi_Gain!$B$1))</f>
        <v>0.59000000000000008</v>
      </c>
      <c r="Y155" s="94">
        <f>IF(Report[[#This Row],[FT]]="",,IF(Report[[#This Row],[FT]]=Report[[#This Row],[Score 1]],(Suivi_Gain!$G$1*Report[[#This Row],[Cote SE]])-Suivi_Gain!$G$1,-Suivi_Gain!$G$1))</f>
        <v>-1</v>
      </c>
      <c r="Z155" s="65">
        <f>IF(Report[[#This Row],[FT]]="",,IF(Report[[#This Row],[FT]]=Report[[#This Row],[Score 2]],Suivi_Gain!$G$1*Report[[#This Row],[Cote SE]],-Suivi_Gain!$G$1))</f>
        <v>-1</v>
      </c>
      <c r="AA155" s="65">
        <f>IF(Report[[#This Row],[FT]]="",,IF(Report[[#This Row],[FT]]=Report[[#This Row],[Score 3]],Suivi_Gain!$G$1*Report[[#This Row],[Cote SE]],-Suivi_Gain!$G$1))</f>
        <v>-1</v>
      </c>
      <c r="AB155" s="65">
        <f>IF(Report[[#This Row],[FT]]="",,IF(Report[[#This Row],[FT]]=Report[[#This Row],[Score 4]],Suivi_Gain!$G$1*Report[[#This Row],[Cote SE]],-Suivi_Gain!$G$1))</f>
        <v>11</v>
      </c>
      <c r="AC155" s="63" t="str">
        <f>IF(Report[[#This Row],[Résultats SE]]="Gagné",Report[[#This Row],[FT]],"")</f>
        <v>0-3</v>
      </c>
      <c r="AD155" s="63" t="str">
        <f>IF(AND(Report[[#This Row],[Résultats SE]]="Gagné",Report[[#This Row],[FT]]=Report[[#This Row],[Score 1]]),Report[[#This Row],[FT]],"")</f>
        <v/>
      </c>
      <c r="AE155" s="63" t="str">
        <f>IF(AND(Report[[#This Row],[Résultats SE]]="Gagné",Report[[#This Row],[FT]]=Report[[#This Row],[Score 2]]),Report[[#This Row],[FT]],"")</f>
        <v/>
      </c>
      <c r="AF155" s="63" t="str">
        <f>IF(AND(Report[[#This Row],[Résultats SE]]="Gagné",Report[[#This Row],[FT]]=Report[[#This Row],[Score 3]]),Report[[#This Row],[FT]],"")</f>
        <v/>
      </c>
      <c r="AG155" s="63" t="str">
        <f>IF(AND(Report[[#This Row],[Résultats SE]]="Gagné",Report[[#This Row],[FT]]=Report[[#This Row],[Score 4]]),Report[[#This Row],[FT]],"")</f>
        <v>0-3</v>
      </c>
    </row>
    <row r="156" spans="1:33" ht="20.100000000000001" customHeight="1" x14ac:dyDescent="0.25">
      <c r="A156" s="11">
        <v>43428</v>
      </c>
      <c r="B156" s="7" t="s">
        <v>66</v>
      </c>
      <c r="C156" s="7" t="s">
        <v>100</v>
      </c>
      <c r="D156" s="10" t="s">
        <v>193</v>
      </c>
      <c r="E156" s="10" t="s">
        <v>187</v>
      </c>
      <c r="F156" s="7" t="s">
        <v>877</v>
      </c>
      <c r="G156" s="8" t="s">
        <v>828</v>
      </c>
      <c r="H156" s="9" t="s">
        <v>827</v>
      </c>
      <c r="I156" s="9" t="s">
        <v>878</v>
      </c>
      <c r="J156" s="9" t="s">
        <v>825</v>
      </c>
      <c r="K156" s="9" t="s">
        <v>187</v>
      </c>
      <c r="L156" s="16">
        <v>1.25</v>
      </c>
      <c r="M156" s="16">
        <v>11.5</v>
      </c>
      <c r="N156" s="17" t="s">
        <v>878</v>
      </c>
      <c r="O156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Manchester City</v>
      </c>
      <c r="P156" s="18">
        <f>IF(Report[[#This Row],[FT]]="",,(LEFT(Report[[#This Row],[FT]],SEARCH("-",Report[[#This Row],[FT]])-1)*1))</f>
        <v>0</v>
      </c>
      <c r="Q156" s="22">
        <f>IF(Report[[#This Row],[FT]]="",,(RIGHT(Report[[#This Row],[FT]],SEARCH("-",Report[[#This Row],[FT]])-1)*1))</f>
        <v>4</v>
      </c>
      <c r="R156" s="18" t="str">
        <f>IF(Report[Résultat FT]="","",IF(Report[Résultat FT]=Report[Résultats],"Gagné","Perdu"))</f>
        <v>Gagné</v>
      </c>
      <c r="S156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156" s="53">
        <f>IF(Report[[#This Row],[FT]]="","",IF(Report[[#This Row],[FT]]=Report[[#This Row],[Score 1]],1,0))</f>
        <v>0</v>
      </c>
      <c r="U156" s="53">
        <f>IF(Report[[#This Row],[FT]]="","",IF(Report[ [#This Row],[FT] ]=Report[[#This Row],[Score 2]],1,0))</f>
        <v>0</v>
      </c>
      <c r="V156" s="53">
        <f>IF(Report[[#This Row],[FT]]="","",IF(Report[[#This Row],[FT]]=Report[[#This Row],[Score 3]],1,0))</f>
        <v>1</v>
      </c>
      <c r="W156" s="53">
        <f>IF(Report[[#This Row],[FT]]="","",IF(Report[[#This Row],[FT]]=Report[[#This Row],[Score 4]],1,0))</f>
        <v>0</v>
      </c>
      <c r="X156" s="66">
        <f>IF(Report[[#This Row],[Résultat FT]]="",,IF(Report[[#This Row],[Résultat FT]]=Report[[#This Row],[Résultats]],(Suivi_Gain!$B$1*Report[[#This Row],[Cote FT]])-Suivi_Gain!$B$1,-Suivi_Gain!$B$1))</f>
        <v>0.25</v>
      </c>
      <c r="Y156" s="94">
        <f>IF(Report[[#This Row],[FT]]="",,IF(Report[[#This Row],[FT]]=Report[[#This Row],[Score 1]],(Suivi_Gain!$G$1*Report[[#This Row],[Cote SE]])-Suivi_Gain!$G$1,-Suivi_Gain!$G$1))</f>
        <v>-1</v>
      </c>
      <c r="Z156" s="65">
        <f>IF(Report[[#This Row],[FT]]="",,IF(Report[[#This Row],[FT]]=Report[[#This Row],[Score 2]],Suivi_Gain!$G$1*Report[[#This Row],[Cote SE]],-Suivi_Gain!$G$1))</f>
        <v>-1</v>
      </c>
      <c r="AA156" s="65">
        <f>IF(Report[[#This Row],[FT]]="",,IF(Report[[#This Row],[FT]]=Report[[#This Row],[Score 3]],Suivi_Gain!$G$1*Report[[#This Row],[Cote SE]],-Suivi_Gain!$G$1))</f>
        <v>11.5</v>
      </c>
      <c r="AB156" s="65">
        <f>IF(Report[[#This Row],[FT]]="",,IF(Report[[#This Row],[FT]]=Report[[#This Row],[Score 4]],Suivi_Gain!$G$1*Report[[#This Row],[Cote SE]],-Suivi_Gain!$G$1))</f>
        <v>-1</v>
      </c>
      <c r="AC156" s="63" t="str">
        <f>IF(Report[[#This Row],[Résultats SE]]="Gagné",Report[[#This Row],[FT]],"")</f>
        <v>0-4</v>
      </c>
      <c r="AD156" s="63" t="str">
        <f>IF(AND(Report[[#This Row],[Résultats SE]]="Gagné",Report[[#This Row],[FT]]=Report[[#This Row],[Score 1]]),Report[[#This Row],[FT]],"")</f>
        <v/>
      </c>
      <c r="AE156" s="63" t="str">
        <f>IF(AND(Report[[#This Row],[Résultats SE]]="Gagné",Report[[#This Row],[FT]]=Report[[#This Row],[Score 2]]),Report[[#This Row],[FT]],"")</f>
        <v/>
      </c>
      <c r="AF156" s="63" t="str">
        <f>IF(AND(Report[[#This Row],[Résultats SE]]="Gagné",Report[[#This Row],[FT]]=Report[[#This Row],[Score 3]]),Report[[#This Row],[FT]],"")</f>
        <v>0-4</v>
      </c>
      <c r="AG156" s="63" t="str">
        <f>IF(AND(Report[[#This Row],[Résultats SE]]="Gagné",Report[[#This Row],[FT]]=Report[[#This Row],[Score 4]]),Report[[#This Row],[FT]],"")</f>
        <v/>
      </c>
    </row>
    <row r="157" spans="1:33" ht="20.100000000000001" customHeight="1" x14ac:dyDescent="0.25">
      <c r="A157" s="11">
        <v>43428</v>
      </c>
      <c r="B157" s="7" t="s">
        <v>66</v>
      </c>
      <c r="C157" s="7" t="s">
        <v>100</v>
      </c>
      <c r="D157" s="10" t="s">
        <v>191</v>
      </c>
      <c r="E157" s="10" t="s">
        <v>180</v>
      </c>
      <c r="F157" s="7" t="s">
        <v>824</v>
      </c>
      <c r="G157" s="8" t="s">
        <v>825</v>
      </c>
      <c r="H157" s="9" t="s">
        <v>826</v>
      </c>
      <c r="I157" s="9" t="s">
        <v>827</v>
      </c>
      <c r="J157" s="9" t="s">
        <v>828</v>
      </c>
      <c r="K157" s="9" t="s">
        <v>180</v>
      </c>
      <c r="L157" s="16" t="str">
        <f>IF(Report[Résultat FT]="","",IF(Report[Résultat FT]=Report[Résultats],"","-"))</f>
        <v>-</v>
      </c>
      <c r="M157" s="16" t="str">
        <f>IF(Report[[#This Row],[Résultat FT]]="","",IF(Report[[#This Row],[Résultats SE]]="Gagné","","-"))</f>
        <v>-</v>
      </c>
      <c r="N157" s="17" t="s">
        <v>832</v>
      </c>
      <c r="O157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Tottenham</v>
      </c>
      <c r="P157" s="18">
        <f>IF(Report[[#This Row],[FT]]="",,(LEFT(Report[[#This Row],[FT]],SEARCH("-",Report[[#This Row],[FT]])-1)*1))</f>
        <v>3</v>
      </c>
      <c r="Q157" s="22">
        <f>IF(Report[[#This Row],[FT]]="",,(RIGHT(Report[[#This Row],[FT]],SEARCH("-",Report[[#This Row],[FT]])-1)*1))</f>
        <v>0</v>
      </c>
      <c r="R157" s="18" t="str">
        <f>IF(Report[Résultat FT]="","",IF(Report[Résultat FT]=Report[Résultats],"Gagné","Perdu"))</f>
        <v>Perdu</v>
      </c>
      <c r="S157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57" s="53">
        <f>IF(Report[[#This Row],[FT]]="","",IF(Report[[#This Row],[FT]]=Report[[#This Row],[Score 1]],1,0))</f>
        <v>0</v>
      </c>
      <c r="U157" s="53">
        <f>IF(Report[[#This Row],[FT]]="","",IF(Report[ [#This Row],[FT] ]=Report[[#This Row],[Score 2]],1,0))</f>
        <v>0</v>
      </c>
      <c r="V157" s="53">
        <f>IF(Report[[#This Row],[FT]]="","",IF(Report[[#This Row],[FT]]=Report[[#This Row],[Score 3]],1,0))</f>
        <v>0</v>
      </c>
      <c r="W157" s="53">
        <f>IF(Report[[#This Row],[FT]]="","",IF(Report[[#This Row],[FT]]=Report[[#This Row],[Score 4]],1,0))</f>
        <v>0</v>
      </c>
      <c r="X157" s="66">
        <f>IF(Report[[#This Row],[Résultat FT]]="",,IF(Report[[#This Row],[Résultat FT]]=Report[[#This Row],[Résultats]],(Suivi_Gain!$B$1*Report[[#This Row],[Cote FT]])-Suivi_Gain!$B$1,-Suivi_Gain!$B$1))</f>
        <v>-1</v>
      </c>
      <c r="Y157" s="94">
        <f>IF(Report[[#This Row],[FT]]="",,IF(Report[[#This Row],[FT]]=Report[[#This Row],[Score 1]],(Suivi_Gain!$G$1*Report[[#This Row],[Cote SE]])-Suivi_Gain!$G$1,-Suivi_Gain!$G$1))</f>
        <v>-1</v>
      </c>
      <c r="Z157" s="65">
        <f>IF(Report[[#This Row],[FT]]="",,IF(Report[[#This Row],[FT]]=Report[[#This Row],[Score 2]],Suivi_Gain!$G$1*Report[[#This Row],[Cote SE]],-Suivi_Gain!$G$1))</f>
        <v>-1</v>
      </c>
      <c r="AA157" s="65">
        <f>IF(Report[[#This Row],[FT]]="",,IF(Report[[#This Row],[FT]]=Report[[#This Row],[Score 3]],Suivi_Gain!$G$1*Report[[#This Row],[Cote SE]],-Suivi_Gain!$G$1))</f>
        <v>-1</v>
      </c>
      <c r="AB157" s="65">
        <f>IF(Report[[#This Row],[FT]]="",,IF(Report[[#This Row],[FT]]=Report[[#This Row],[Score 4]],Suivi_Gain!$G$1*Report[[#This Row],[Cote SE]],-Suivi_Gain!$G$1))</f>
        <v>-1</v>
      </c>
      <c r="AC157" s="63" t="str">
        <f>IF(Report[[#This Row],[Résultats SE]]="Gagné",Report[[#This Row],[FT]],"")</f>
        <v/>
      </c>
      <c r="AD157" s="63" t="str">
        <f>IF(AND(Report[[#This Row],[Résultats SE]]="Gagné",Report[[#This Row],[FT]]=Report[[#This Row],[Score 1]]),Report[[#This Row],[FT]],"")</f>
        <v/>
      </c>
      <c r="AE157" s="63" t="str">
        <f>IF(AND(Report[[#This Row],[Résultats SE]]="Gagné",Report[[#This Row],[FT]]=Report[[#This Row],[Score 2]]),Report[[#This Row],[FT]],"")</f>
        <v/>
      </c>
      <c r="AF157" s="63" t="str">
        <f>IF(AND(Report[[#This Row],[Résultats SE]]="Gagné",Report[[#This Row],[FT]]=Report[[#This Row],[Score 3]]),Report[[#This Row],[FT]],"")</f>
        <v/>
      </c>
      <c r="AG157" s="63" t="str">
        <f>IF(AND(Report[[#This Row],[Résultats SE]]="Gagné",Report[[#This Row],[FT]]=Report[[#This Row],[Score 4]]),Report[[#This Row],[FT]],"")</f>
        <v/>
      </c>
    </row>
    <row r="158" spans="1:33" ht="20.100000000000001" customHeight="1" x14ac:dyDescent="0.25">
      <c r="A158" s="11">
        <v>43428</v>
      </c>
      <c r="B158" s="7" t="s">
        <v>223</v>
      </c>
      <c r="C158" s="7" t="s">
        <v>133</v>
      </c>
      <c r="D158" s="10" t="s">
        <v>252</v>
      </c>
      <c r="E158" s="10" t="s">
        <v>256</v>
      </c>
      <c r="F158" s="7" t="s">
        <v>829</v>
      </c>
      <c r="G158" s="8" t="s">
        <v>830</v>
      </c>
      <c r="H158" s="9" t="s">
        <v>826</v>
      </c>
      <c r="I158" s="9" t="s">
        <v>831</v>
      </c>
      <c r="J158" s="9" t="s">
        <v>832</v>
      </c>
      <c r="K158" s="9" t="s">
        <v>252</v>
      </c>
      <c r="L158" s="16">
        <v>1.65</v>
      </c>
      <c r="M158" s="16">
        <v>6.1</v>
      </c>
      <c r="N158" s="17" t="s">
        <v>830</v>
      </c>
      <c r="O158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Alashkert</v>
      </c>
      <c r="P158" s="18">
        <f>IF(Report[[#This Row],[FT]]="",,(LEFT(Report[[#This Row],[FT]],SEARCH("-",Report[[#This Row],[FT]])-1)*1))</f>
        <v>1</v>
      </c>
      <c r="Q158" s="22">
        <f>IF(Report[[#This Row],[FT]]="",,(RIGHT(Report[[#This Row],[FT]],SEARCH("-",Report[[#This Row],[FT]])-1)*1))</f>
        <v>0</v>
      </c>
      <c r="R158" s="18" t="str">
        <f>IF(Report[Résultat FT]="","",IF(Report[Résultat FT]=Report[Résultats],"Gagné","Perdu"))</f>
        <v>Gagné</v>
      </c>
      <c r="S158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158" s="53">
        <f>IF(Report[[#This Row],[FT]]="","",IF(Report[[#This Row],[FT]]=Report[[#This Row],[Score 1]],1,0))</f>
        <v>1</v>
      </c>
      <c r="U158" s="53">
        <f>IF(Report[[#This Row],[FT]]="","",IF(Report[ [#This Row],[FT] ]=Report[[#This Row],[Score 2]],1,0))</f>
        <v>0</v>
      </c>
      <c r="V158" s="53">
        <f>IF(Report[[#This Row],[FT]]="","",IF(Report[[#This Row],[FT]]=Report[[#This Row],[Score 3]],1,0))</f>
        <v>0</v>
      </c>
      <c r="W158" s="53">
        <f>IF(Report[[#This Row],[FT]]="","",IF(Report[[#This Row],[FT]]=Report[[#This Row],[Score 4]],1,0))</f>
        <v>0</v>
      </c>
      <c r="X158" s="66">
        <f>IF(Report[[#This Row],[Résultat FT]]="",,IF(Report[[#This Row],[Résultat FT]]=Report[[#This Row],[Résultats]],(Suivi_Gain!$B$1*Report[[#This Row],[Cote FT]])-Suivi_Gain!$B$1,-Suivi_Gain!$B$1))</f>
        <v>0.64999999999999991</v>
      </c>
      <c r="Y158" s="94">
        <f>IF(Report[[#This Row],[FT]]="",,IF(Report[[#This Row],[FT]]=Report[[#This Row],[Score 1]],(Suivi_Gain!$G$1*Report[[#This Row],[Cote SE]])-Suivi_Gain!$G$1,-Suivi_Gain!$G$1))</f>
        <v>5.0999999999999996</v>
      </c>
      <c r="Z158" s="65">
        <f>IF(Report[[#This Row],[FT]]="",,IF(Report[[#This Row],[FT]]=Report[[#This Row],[Score 2]],Suivi_Gain!$G$1*Report[[#This Row],[Cote SE]],-Suivi_Gain!$G$1))</f>
        <v>-1</v>
      </c>
      <c r="AA158" s="65">
        <f>IF(Report[[#This Row],[FT]]="",,IF(Report[[#This Row],[FT]]=Report[[#This Row],[Score 3]],Suivi_Gain!$G$1*Report[[#This Row],[Cote SE]],-Suivi_Gain!$G$1))</f>
        <v>-1</v>
      </c>
      <c r="AB158" s="65">
        <f>IF(Report[[#This Row],[FT]]="",,IF(Report[[#This Row],[FT]]=Report[[#This Row],[Score 4]],Suivi_Gain!$G$1*Report[[#This Row],[Cote SE]],-Suivi_Gain!$G$1))</f>
        <v>-1</v>
      </c>
      <c r="AC158" s="63" t="str">
        <f>IF(Report[[#This Row],[Résultats SE]]="Gagné",Report[[#This Row],[FT]],"")</f>
        <v>1-0</v>
      </c>
      <c r="AD158" s="63" t="str">
        <f>IF(AND(Report[[#This Row],[Résultats SE]]="Gagné",Report[[#This Row],[FT]]=Report[[#This Row],[Score 1]]),Report[[#This Row],[FT]],"")</f>
        <v>1-0</v>
      </c>
      <c r="AE158" s="63" t="str">
        <f>IF(AND(Report[[#This Row],[Résultats SE]]="Gagné",Report[[#This Row],[FT]]=Report[[#This Row],[Score 2]]),Report[[#This Row],[FT]],"")</f>
        <v/>
      </c>
      <c r="AF158" s="63" t="str">
        <f>IF(AND(Report[[#This Row],[Résultats SE]]="Gagné",Report[[#This Row],[FT]]=Report[[#This Row],[Score 3]]),Report[[#This Row],[FT]],"")</f>
        <v/>
      </c>
      <c r="AG158" s="63" t="str">
        <f>IF(AND(Report[[#This Row],[Résultats SE]]="Gagné",Report[[#This Row],[FT]]=Report[[#This Row],[Score 4]]),Report[[#This Row],[FT]],"")</f>
        <v/>
      </c>
    </row>
    <row r="159" spans="1:33" ht="20.100000000000001" customHeight="1" x14ac:dyDescent="0.25">
      <c r="A159" s="11">
        <v>43428</v>
      </c>
      <c r="B159" s="7" t="s">
        <v>223</v>
      </c>
      <c r="C159" s="7" t="s">
        <v>133</v>
      </c>
      <c r="D159" s="10" t="s">
        <v>254</v>
      </c>
      <c r="E159" s="10" t="s">
        <v>255</v>
      </c>
      <c r="F159" s="7" t="s">
        <v>829</v>
      </c>
      <c r="G159" s="8" t="s">
        <v>830</v>
      </c>
      <c r="H159" s="9" t="s">
        <v>826</v>
      </c>
      <c r="I159" s="9" t="s">
        <v>831</v>
      </c>
      <c r="J159" s="9" t="s">
        <v>832</v>
      </c>
      <c r="K159" s="9" t="s">
        <v>254</v>
      </c>
      <c r="L159" s="16">
        <v>1.45</v>
      </c>
      <c r="M159" s="16" t="str">
        <f>IF(Report[[#This Row],[Résultat FT]]="","",IF(Report[[#This Row],[Résultats SE]]="Gagné","","-"))</f>
        <v>-</v>
      </c>
      <c r="N159" s="17" t="s">
        <v>853</v>
      </c>
      <c r="O159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Ararat-Armenia</v>
      </c>
      <c r="P159" s="18">
        <f>IF(Report[[#This Row],[FT]]="",,(LEFT(Report[[#This Row],[FT]],SEARCH("-",Report[[#This Row],[FT]])-1)*1))</f>
        <v>3</v>
      </c>
      <c r="Q159" s="22">
        <f>IF(Report[[#This Row],[FT]]="",,(RIGHT(Report[[#This Row],[FT]],SEARCH("-",Report[[#This Row],[FT]])-1)*1))</f>
        <v>1</v>
      </c>
      <c r="R159" s="18" t="str">
        <f>IF(Report[Résultat FT]="","",IF(Report[Résultat FT]=Report[Résultats],"Gagné","Perdu"))</f>
        <v>Gagné</v>
      </c>
      <c r="S159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59" s="53">
        <f>IF(Report[[#This Row],[FT]]="","",IF(Report[[#This Row],[FT]]=Report[[#This Row],[Score 1]],1,0))</f>
        <v>0</v>
      </c>
      <c r="U159" s="53">
        <f>IF(Report[[#This Row],[FT]]="","",IF(Report[ [#This Row],[FT] ]=Report[[#This Row],[Score 2]],1,0))</f>
        <v>0</v>
      </c>
      <c r="V159" s="53">
        <f>IF(Report[[#This Row],[FT]]="","",IF(Report[[#This Row],[FT]]=Report[[#This Row],[Score 3]],1,0))</f>
        <v>0</v>
      </c>
      <c r="W159" s="53">
        <f>IF(Report[[#This Row],[FT]]="","",IF(Report[[#This Row],[FT]]=Report[[#This Row],[Score 4]],1,0))</f>
        <v>0</v>
      </c>
      <c r="X159" s="66">
        <f>IF(Report[[#This Row],[Résultat FT]]="",,IF(Report[[#This Row],[Résultat FT]]=Report[[#This Row],[Résultats]],(Suivi_Gain!$B$1*Report[[#This Row],[Cote FT]])-Suivi_Gain!$B$1,-Suivi_Gain!$B$1))</f>
        <v>0.44999999999999996</v>
      </c>
      <c r="Y159" s="94">
        <f>IF(Report[[#This Row],[FT]]="",,IF(Report[[#This Row],[FT]]=Report[[#This Row],[Score 1]],(Suivi_Gain!$G$1*Report[[#This Row],[Cote SE]])-Suivi_Gain!$G$1,-Suivi_Gain!$G$1))</f>
        <v>-1</v>
      </c>
      <c r="Z159" s="65">
        <f>IF(Report[[#This Row],[FT]]="",,IF(Report[[#This Row],[FT]]=Report[[#This Row],[Score 2]],Suivi_Gain!$G$1*Report[[#This Row],[Cote SE]],-Suivi_Gain!$G$1))</f>
        <v>-1</v>
      </c>
      <c r="AA159" s="65">
        <f>IF(Report[[#This Row],[FT]]="",,IF(Report[[#This Row],[FT]]=Report[[#This Row],[Score 3]],Suivi_Gain!$G$1*Report[[#This Row],[Cote SE]],-Suivi_Gain!$G$1))</f>
        <v>-1</v>
      </c>
      <c r="AB159" s="65">
        <f>IF(Report[[#This Row],[FT]]="",,IF(Report[[#This Row],[FT]]=Report[[#This Row],[Score 4]],Suivi_Gain!$G$1*Report[[#This Row],[Cote SE]],-Suivi_Gain!$G$1))</f>
        <v>-1</v>
      </c>
      <c r="AC159" s="63" t="str">
        <f>IF(Report[[#This Row],[Résultats SE]]="Gagné",Report[[#This Row],[FT]],"")</f>
        <v/>
      </c>
      <c r="AD159" s="63" t="str">
        <f>IF(AND(Report[[#This Row],[Résultats SE]]="Gagné",Report[[#This Row],[FT]]=Report[[#This Row],[Score 1]]),Report[[#This Row],[FT]],"")</f>
        <v/>
      </c>
      <c r="AE159" s="63" t="str">
        <f>IF(AND(Report[[#This Row],[Résultats SE]]="Gagné",Report[[#This Row],[FT]]=Report[[#This Row],[Score 2]]),Report[[#This Row],[FT]],"")</f>
        <v/>
      </c>
      <c r="AF159" s="63" t="str">
        <f>IF(AND(Report[[#This Row],[Résultats SE]]="Gagné",Report[[#This Row],[FT]]=Report[[#This Row],[Score 3]]),Report[[#This Row],[FT]],"")</f>
        <v/>
      </c>
      <c r="AG159" s="63" t="str">
        <f>IF(AND(Report[[#This Row],[Résultats SE]]="Gagné",Report[[#This Row],[FT]]=Report[[#This Row],[Score 4]]),Report[[#This Row],[FT]],"")</f>
        <v/>
      </c>
    </row>
    <row r="160" spans="1:33" ht="20.100000000000001" customHeight="1" x14ac:dyDescent="0.25">
      <c r="A160" s="11">
        <v>43428</v>
      </c>
      <c r="B160" s="7" t="s">
        <v>70</v>
      </c>
      <c r="C160" s="7" t="s">
        <v>106</v>
      </c>
      <c r="D160" s="10" t="s">
        <v>446</v>
      </c>
      <c r="E160" s="10" t="s">
        <v>453</v>
      </c>
      <c r="F160" s="7" t="s">
        <v>880</v>
      </c>
      <c r="G160" s="8" t="s">
        <v>853</v>
      </c>
      <c r="H160" s="9" t="s">
        <v>832</v>
      </c>
      <c r="I160" s="9" t="s">
        <v>838</v>
      </c>
      <c r="J160" s="9" t="s">
        <v>831</v>
      </c>
      <c r="K160" s="9" t="s">
        <v>446</v>
      </c>
      <c r="L160" s="16" t="str">
        <f>IF(Report[Résultat FT]="","",IF(Report[Résultat FT]=Report[Résultats],"","-"))</f>
        <v>-</v>
      </c>
      <c r="M160" s="16" t="str">
        <f>IF(Report[[#This Row],[Résultat FT]]="","",IF(Report[[#This Row],[Résultats SE]]="Gagné","","-"))</f>
        <v>-</v>
      </c>
      <c r="N160" s="17" t="s">
        <v>837</v>
      </c>
      <c r="O160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160" s="18">
        <f>IF(Report[[#This Row],[FT]]="",,(LEFT(Report[[#This Row],[FT]],SEARCH("-",Report[[#This Row],[FT]])-1)*1))</f>
        <v>2</v>
      </c>
      <c r="Q160" s="22">
        <f>IF(Report[[#This Row],[FT]]="",,(RIGHT(Report[[#This Row],[FT]],SEARCH("-",Report[[#This Row],[FT]])-1)*1))</f>
        <v>2</v>
      </c>
      <c r="R160" s="18" t="str">
        <f>IF(Report[Résultat FT]="","",IF(Report[Résultat FT]=Report[Résultats],"Gagné","Perdu"))</f>
        <v>Perdu</v>
      </c>
      <c r="S160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60" s="53">
        <f>IF(Report[[#This Row],[FT]]="","",IF(Report[[#This Row],[FT]]=Report[[#This Row],[Score 1]],1,0))</f>
        <v>0</v>
      </c>
      <c r="U160" s="53">
        <f>IF(Report[[#This Row],[FT]]="","",IF(Report[ [#This Row],[FT] ]=Report[[#This Row],[Score 2]],1,0))</f>
        <v>0</v>
      </c>
      <c r="V160" s="53">
        <f>IF(Report[[#This Row],[FT]]="","",IF(Report[[#This Row],[FT]]=Report[[#This Row],[Score 3]],1,0))</f>
        <v>0</v>
      </c>
      <c r="W160" s="53">
        <f>IF(Report[[#This Row],[FT]]="","",IF(Report[[#This Row],[FT]]=Report[[#This Row],[Score 4]],1,0))</f>
        <v>0</v>
      </c>
      <c r="X160" s="66">
        <f>IF(Report[[#This Row],[Résultat FT]]="",,IF(Report[[#This Row],[Résultat FT]]=Report[[#This Row],[Résultats]],(Suivi_Gain!$B$1*Report[[#This Row],[Cote FT]])-Suivi_Gain!$B$1,-Suivi_Gain!$B$1))</f>
        <v>-1</v>
      </c>
      <c r="Y160" s="94">
        <f>IF(Report[[#This Row],[FT]]="",,IF(Report[[#This Row],[FT]]=Report[[#This Row],[Score 1]],(Suivi_Gain!$G$1*Report[[#This Row],[Cote SE]])-Suivi_Gain!$G$1,-Suivi_Gain!$G$1))</f>
        <v>-1</v>
      </c>
      <c r="Z160" s="65">
        <f>IF(Report[[#This Row],[FT]]="",,IF(Report[[#This Row],[FT]]=Report[[#This Row],[Score 2]],Suivi_Gain!$G$1*Report[[#This Row],[Cote SE]],-Suivi_Gain!$G$1))</f>
        <v>-1</v>
      </c>
      <c r="AA160" s="65">
        <f>IF(Report[[#This Row],[FT]]="",,IF(Report[[#This Row],[FT]]=Report[[#This Row],[Score 3]],Suivi_Gain!$G$1*Report[[#This Row],[Cote SE]],-Suivi_Gain!$G$1))</f>
        <v>-1</v>
      </c>
      <c r="AB160" s="65">
        <f>IF(Report[[#This Row],[FT]]="",,IF(Report[[#This Row],[FT]]=Report[[#This Row],[Score 4]],Suivi_Gain!$G$1*Report[[#This Row],[Cote SE]],-Suivi_Gain!$G$1))</f>
        <v>-1</v>
      </c>
      <c r="AC160" s="63" t="str">
        <f>IF(Report[[#This Row],[Résultats SE]]="Gagné",Report[[#This Row],[FT]],"")</f>
        <v/>
      </c>
      <c r="AD160" s="63" t="str">
        <f>IF(AND(Report[[#This Row],[Résultats SE]]="Gagné",Report[[#This Row],[FT]]=Report[[#This Row],[Score 1]]),Report[[#This Row],[FT]],"")</f>
        <v/>
      </c>
      <c r="AE160" s="63" t="str">
        <f>IF(AND(Report[[#This Row],[Résultats SE]]="Gagné",Report[[#This Row],[FT]]=Report[[#This Row],[Score 2]]),Report[[#This Row],[FT]],"")</f>
        <v/>
      </c>
      <c r="AF160" s="63" t="str">
        <f>IF(AND(Report[[#This Row],[Résultats SE]]="Gagné",Report[[#This Row],[FT]]=Report[[#This Row],[Score 3]]),Report[[#This Row],[FT]],"")</f>
        <v/>
      </c>
      <c r="AG160" s="63" t="str">
        <f>IF(AND(Report[[#This Row],[Résultats SE]]="Gagné",Report[[#This Row],[FT]]=Report[[#This Row],[Score 4]]),Report[[#This Row],[FT]],"")</f>
        <v/>
      </c>
    </row>
    <row r="161" spans="1:33" ht="20.100000000000001" customHeight="1" x14ac:dyDescent="0.25">
      <c r="A161" s="11">
        <v>43428</v>
      </c>
      <c r="B161" s="7" t="s">
        <v>70</v>
      </c>
      <c r="C161" s="7" t="s">
        <v>106</v>
      </c>
      <c r="D161" s="10" t="s">
        <v>447</v>
      </c>
      <c r="E161" s="10" t="s">
        <v>449</v>
      </c>
      <c r="F161" s="7" t="s">
        <v>824</v>
      </c>
      <c r="G161" s="8" t="s">
        <v>825</v>
      </c>
      <c r="H161" s="9" t="s">
        <v>826</v>
      </c>
      <c r="I161" s="9" t="s">
        <v>827</v>
      </c>
      <c r="J161" s="9" t="s">
        <v>828</v>
      </c>
      <c r="K161" s="9" t="s">
        <v>449</v>
      </c>
      <c r="L161" s="16">
        <v>1.8</v>
      </c>
      <c r="M161" s="16" t="str">
        <f>IF(Report[[#This Row],[Résultat FT]]="","",IF(Report[[#This Row],[Résultats SE]]="Gagné","","-"))</f>
        <v>-</v>
      </c>
      <c r="N161" s="17" t="s">
        <v>839</v>
      </c>
      <c r="O161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Austria Vienne</v>
      </c>
      <c r="P161" s="18">
        <f>IF(Report[[#This Row],[FT]]="",,(LEFT(Report[[#This Row],[FT]],SEARCH("-",Report[[#This Row],[FT]])-1)*1))</f>
        <v>1</v>
      </c>
      <c r="Q161" s="22">
        <f>IF(Report[[#This Row],[FT]]="",,(RIGHT(Report[[#This Row],[FT]],SEARCH("-",Report[[#This Row],[FT]])-1)*1))</f>
        <v>2</v>
      </c>
      <c r="R161" s="18" t="str">
        <f>IF(Report[Résultat FT]="","",IF(Report[Résultat FT]=Report[Résultats],"Gagné","Perdu"))</f>
        <v>Gagné</v>
      </c>
      <c r="S161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61" s="53">
        <f>IF(Report[[#This Row],[FT]]="","",IF(Report[[#This Row],[FT]]=Report[[#This Row],[Score 1]],1,0))</f>
        <v>0</v>
      </c>
      <c r="U161" s="53">
        <f>IF(Report[[#This Row],[FT]]="","",IF(Report[ [#This Row],[FT] ]=Report[[#This Row],[Score 2]],1,0))</f>
        <v>0</v>
      </c>
      <c r="V161" s="53">
        <f>IF(Report[[#This Row],[FT]]="","",IF(Report[[#This Row],[FT]]=Report[[#This Row],[Score 3]],1,0))</f>
        <v>0</v>
      </c>
      <c r="W161" s="53">
        <f>IF(Report[[#This Row],[FT]]="","",IF(Report[[#This Row],[FT]]=Report[[#This Row],[Score 4]],1,0))</f>
        <v>0</v>
      </c>
      <c r="X161" s="66">
        <f>IF(Report[[#This Row],[Résultat FT]]="",,IF(Report[[#This Row],[Résultat FT]]=Report[[#This Row],[Résultats]],(Suivi_Gain!$B$1*Report[[#This Row],[Cote FT]])-Suivi_Gain!$B$1,-Suivi_Gain!$B$1))</f>
        <v>0.8</v>
      </c>
      <c r="Y161" s="94">
        <f>IF(Report[[#This Row],[FT]]="",,IF(Report[[#This Row],[FT]]=Report[[#This Row],[Score 1]],(Suivi_Gain!$G$1*Report[[#This Row],[Cote SE]])-Suivi_Gain!$G$1,-Suivi_Gain!$G$1))</f>
        <v>-1</v>
      </c>
      <c r="Z161" s="65">
        <f>IF(Report[[#This Row],[FT]]="",,IF(Report[[#This Row],[FT]]=Report[[#This Row],[Score 2]],Suivi_Gain!$G$1*Report[[#This Row],[Cote SE]],-Suivi_Gain!$G$1))</f>
        <v>-1</v>
      </c>
      <c r="AA161" s="65">
        <f>IF(Report[[#This Row],[FT]]="",,IF(Report[[#This Row],[FT]]=Report[[#This Row],[Score 3]],Suivi_Gain!$G$1*Report[[#This Row],[Cote SE]],-Suivi_Gain!$G$1))</f>
        <v>-1</v>
      </c>
      <c r="AB161" s="65">
        <f>IF(Report[[#This Row],[FT]]="",,IF(Report[[#This Row],[FT]]=Report[[#This Row],[Score 4]],Suivi_Gain!$G$1*Report[[#This Row],[Cote SE]],-Suivi_Gain!$G$1))</f>
        <v>-1</v>
      </c>
      <c r="AC161" s="63" t="str">
        <f>IF(Report[[#This Row],[Résultats SE]]="Gagné",Report[[#This Row],[FT]],"")</f>
        <v/>
      </c>
      <c r="AD161" s="63" t="str">
        <f>IF(AND(Report[[#This Row],[Résultats SE]]="Gagné",Report[[#This Row],[FT]]=Report[[#This Row],[Score 1]]),Report[[#This Row],[FT]],"")</f>
        <v/>
      </c>
      <c r="AE161" s="63" t="str">
        <f>IF(AND(Report[[#This Row],[Résultats SE]]="Gagné",Report[[#This Row],[FT]]=Report[[#This Row],[Score 2]]),Report[[#This Row],[FT]],"")</f>
        <v/>
      </c>
      <c r="AF161" s="63" t="str">
        <f>IF(AND(Report[[#This Row],[Résultats SE]]="Gagné",Report[[#This Row],[FT]]=Report[[#This Row],[Score 3]]),Report[[#This Row],[FT]],"")</f>
        <v/>
      </c>
      <c r="AG161" s="63" t="str">
        <f>IF(AND(Report[[#This Row],[Résultats SE]]="Gagné",Report[[#This Row],[FT]]=Report[[#This Row],[Score 4]]),Report[[#This Row],[FT]],"")</f>
        <v/>
      </c>
    </row>
    <row r="162" spans="1:33" ht="20.100000000000001" customHeight="1" x14ac:dyDescent="0.25">
      <c r="A162" s="11">
        <v>43428</v>
      </c>
      <c r="B162" s="7" t="s">
        <v>70</v>
      </c>
      <c r="C162" s="7" t="s">
        <v>106</v>
      </c>
      <c r="D162" s="10" t="s">
        <v>450</v>
      </c>
      <c r="E162" s="10" t="s">
        <v>455</v>
      </c>
      <c r="F162" s="7" t="s">
        <v>840</v>
      </c>
      <c r="G162" s="8" t="s">
        <v>841</v>
      </c>
      <c r="H162" s="9" t="s">
        <v>839</v>
      </c>
      <c r="I162" s="9" t="s">
        <v>828</v>
      </c>
      <c r="J162" s="9" t="s">
        <v>827</v>
      </c>
      <c r="K162" s="9" t="s">
        <v>455</v>
      </c>
      <c r="L162" s="16">
        <v>1.28</v>
      </c>
      <c r="M162" s="16" t="str">
        <f>IF(Report[[#This Row],[Résultat FT]]="","",IF(Report[[#This Row],[Résultats SE]]="Gagné","","-"))</f>
        <v>-</v>
      </c>
      <c r="N162" s="17" t="s">
        <v>878</v>
      </c>
      <c r="O162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Red Bull Salzbourg</v>
      </c>
      <c r="P162" s="18">
        <f>IF(Report[[#This Row],[FT]]="",,(LEFT(Report[[#This Row],[FT]],SEARCH("-",Report[[#This Row],[FT]])-1)*1))</f>
        <v>0</v>
      </c>
      <c r="Q162" s="22">
        <f>IF(Report[[#This Row],[FT]]="",,(RIGHT(Report[[#This Row],[FT]],SEARCH("-",Report[[#This Row],[FT]])-1)*1))</f>
        <v>4</v>
      </c>
      <c r="R162" s="18" t="str">
        <f>IF(Report[Résultat FT]="","",IF(Report[Résultat FT]=Report[Résultats],"Gagné","Perdu"))</f>
        <v>Gagné</v>
      </c>
      <c r="S162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62" s="53">
        <f>IF(Report[[#This Row],[FT]]="","",IF(Report[[#This Row],[FT]]=Report[[#This Row],[Score 1]],1,0))</f>
        <v>0</v>
      </c>
      <c r="U162" s="53">
        <f>IF(Report[[#This Row],[FT]]="","",IF(Report[ [#This Row],[FT] ]=Report[[#This Row],[Score 2]],1,0))</f>
        <v>0</v>
      </c>
      <c r="V162" s="53">
        <f>IF(Report[[#This Row],[FT]]="","",IF(Report[[#This Row],[FT]]=Report[[#This Row],[Score 3]],1,0))</f>
        <v>0</v>
      </c>
      <c r="W162" s="53">
        <f>IF(Report[[#This Row],[FT]]="","",IF(Report[[#This Row],[FT]]=Report[[#This Row],[Score 4]],1,0))</f>
        <v>0</v>
      </c>
      <c r="X162" s="66">
        <f>IF(Report[[#This Row],[Résultat FT]]="",,IF(Report[[#This Row],[Résultat FT]]=Report[[#This Row],[Résultats]],(Suivi_Gain!$B$1*Report[[#This Row],[Cote FT]])-Suivi_Gain!$B$1,-Suivi_Gain!$B$1))</f>
        <v>0.28000000000000003</v>
      </c>
      <c r="Y162" s="94">
        <f>IF(Report[[#This Row],[FT]]="",,IF(Report[[#This Row],[FT]]=Report[[#This Row],[Score 1]],(Suivi_Gain!$G$1*Report[[#This Row],[Cote SE]])-Suivi_Gain!$G$1,-Suivi_Gain!$G$1))</f>
        <v>-1</v>
      </c>
      <c r="Z162" s="65">
        <f>IF(Report[[#This Row],[FT]]="",,IF(Report[[#This Row],[FT]]=Report[[#This Row],[Score 2]],Suivi_Gain!$G$1*Report[[#This Row],[Cote SE]],-Suivi_Gain!$G$1))</f>
        <v>-1</v>
      </c>
      <c r="AA162" s="65">
        <f>IF(Report[[#This Row],[FT]]="",,IF(Report[[#This Row],[FT]]=Report[[#This Row],[Score 3]],Suivi_Gain!$G$1*Report[[#This Row],[Cote SE]],-Suivi_Gain!$G$1))</f>
        <v>-1</v>
      </c>
      <c r="AB162" s="65">
        <f>IF(Report[[#This Row],[FT]]="",,IF(Report[[#This Row],[FT]]=Report[[#This Row],[Score 4]],Suivi_Gain!$G$1*Report[[#This Row],[Cote SE]],-Suivi_Gain!$G$1))</f>
        <v>-1</v>
      </c>
      <c r="AC162" s="63" t="str">
        <f>IF(Report[[#This Row],[Résultats SE]]="Gagné",Report[[#This Row],[FT]],"")</f>
        <v/>
      </c>
      <c r="AD162" s="63" t="str">
        <f>IF(AND(Report[[#This Row],[Résultats SE]]="Gagné",Report[[#This Row],[FT]]=Report[[#This Row],[Score 1]]),Report[[#This Row],[FT]],"")</f>
        <v/>
      </c>
      <c r="AE162" s="63" t="str">
        <f>IF(AND(Report[[#This Row],[Résultats SE]]="Gagné",Report[[#This Row],[FT]]=Report[[#This Row],[Score 2]]),Report[[#This Row],[FT]],"")</f>
        <v/>
      </c>
      <c r="AF162" s="63" t="str">
        <f>IF(AND(Report[[#This Row],[Résultats SE]]="Gagné",Report[[#This Row],[FT]]=Report[[#This Row],[Score 3]]),Report[[#This Row],[FT]],"")</f>
        <v/>
      </c>
      <c r="AG162" s="63" t="str">
        <f>IF(AND(Report[[#This Row],[Résultats SE]]="Gagné",Report[[#This Row],[FT]]=Report[[#This Row],[Score 4]]),Report[[#This Row],[FT]],"")</f>
        <v/>
      </c>
    </row>
    <row r="163" spans="1:33" ht="20.100000000000001" customHeight="1" x14ac:dyDescent="0.25">
      <c r="A163" s="11">
        <v>43428</v>
      </c>
      <c r="B163" s="7" t="s">
        <v>72</v>
      </c>
      <c r="C163" s="7" t="s">
        <v>107</v>
      </c>
      <c r="D163" s="10" t="s">
        <v>471</v>
      </c>
      <c r="E163" s="10" t="s">
        <v>464</v>
      </c>
      <c r="F163" s="7" t="s">
        <v>842</v>
      </c>
      <c r="G163" s="8" t="s">
        <v>838</v>
      </c>
      <c r="H163" s="9" t="s">
        <v>831</v>
      </c>
      <c r="I163" s="9" t="s">
        <v>834</v>
      </c>
      <c r="J163" s="9" t="s">
        <v>830</v>
      </c>
      <c r="K163" s="9" t="s">
        <v>471</v>
      </c>
      <c r="L163" s="16">
        <v>1.54</v>
      </c>
      <c r="M163" s="16" t="str">
        <f>IF(Report[[#This Row],[Résultat FT]]="","",IF(Report[[#This Row],[Résultats SE]]="Gagné","","-"))</f>
        <v>-</v>
      </c>
      <c r="N163" s="17" t="s">
        <v>832</v>
      </c>
      <c r="O163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Standard Liège</v>
      </c>
      <c r="P163" s="18">
        <f>IF(Report[[#This Row],[FT]]="",,(LEFT(Report[[#This Row],[FT]],SEARCH("-",Report[[#This Row],[FT]])-1)*1))</f>
        <v>3</v>
      </c>
      <c r="Q163" s="22">
        <f>IF(Report[[#This Row],[FT]]="",,(RIGHT(Report[[#This Row],[FT]],SEARCH("-",Report[[#This Row],[FT]])-1)*1))</f>
        <v>0</v>
      </c>
      <c r="R163" s="18" t="str">
        <f>IF(Report[Résultat FT]="","",IF(Report[Résultat FT]=Report[Résultats],"Gagné","Perdu"))</f>
        <v>Gagné</v>
      </c>
      <c r="S163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63" s="53">
        <f>IF(Report[[#This Row],[FT]]="","",IF(Report[[#This Row],[FT]]=Report[[#This Row],[Score 1]],1,0))</f>
        <v>0</v>
      </c>
      <c r="U163" s="53">
        <f>IF(Report[[#This Row],[FT]]="","",IF(Report[ [#This Row],[FT] ]=Report[[#This Row],[Score 2]],1,0))</f>
        <v>0</v>
      </c>
      <c r="V163" s="53">
        <f>IF(Report[[#This Row],[FT]]="","",IF(Report[[#This Row],[FT]]=Report[[#This Row],[Score 3]],1,0))</f>
        <v>0</v>
      </c>
      <c r="W163" s="53">
        <f>IF(Report[[#This Row],[FT]]="","",IF(Report[[#This Row],[FT]]=Report[[#This Row],[Score 4]],1,0))</f>
        <v>0</v>
      </c>
      <c r="X163" s="66">
        <f>IF(Report[[#This Row],[Résultat FT]]="",,IF(Report[[#This Row],[Résultat FT]]=Report[[#This Row],[Résultats]],(Suivi_Gain!$B$1*Report[[#This Row],[Cote FT]])-Suivi_Gain!$B$1,-Suivi_Gain!$B$1))</f>
        <v>0.54</v>
      </c>
      <c r="Y163" s="94">
        <f>IF(Report[[#This Row],[FT]]="",,IF(Report[[#This Row],[FT]]=Report[[#This Row],[Score 1]],(Suivi_Gain!$G$1*Report[[#This Row],[Cote SE]])-Suivi_Gain!$G$1,-Suivi_Gain!$G$1))</f>
        <v>-1</v>
      </c>
      <c r="Z163" s="65">
        <f>IF(Report[[#This Row],[FT]]="",,IF(Report[[#This Row],[FT]]=Report[[#This Row],[Score 2]],Suivi_Gain!$G$1*Report[[#This Row],[Cote SE]],-Suivi_Gain!$G$1))</f>
        <v>-1</v>
      </c>
      <c r="AA163" s="65">
        <f>IF(Report[[#This Row],[FT]]="",,IF(Report[[#This Row],[FT]]=Report[[#This Row],[Score 3]],Suivi_Gain!$G$1*Report[[#This Row],[Cote SE]],-Suivi_Gain!$G$1))</f>
        <v>-1</v>
      </c>
      <c r="AB163" s="65">
        <f>IF(Report[[#This Row],[FT]]="",,IF(Report[[#This Row],[FT]]=Report[[#This Row],[Score 4]],Suivi_Gain!$G$1*Report[[#This Row],[Cote SE]],-Suivi_Gain!$G$1))</f>
        <v>-1</v>
      </c>
      <c r="AC163" s="63" t="str">
        <f>IF(Report[[#This Row],[Résultats SE]]="Gagné",Report[[#This Row],[FT]],"")</f>
        <v/>
      </c>
      <c r="AD163" s="63" t="str">
        <f>IF(AND(Report[[#This Row],[Résultats SE]]="Gagné",Report[[#This Row],[FT]]=Report[[#This Row],[Score 1]]),Report[[#This Row],[FT]],"")</f>
        <v/>
      </c>
      <c r="AE163" s="63" t="str">
        <f>IF(AND(Report[[#This Row],[Résultats SE]]="Gagné",Report[[#This Row],[FT]]=Report[[#This Row],[Score 2]]),Report[[#This Row],[FT]],"")</f>
        <v/>
      </c>
      <c r="AF163" s="63" t="str">
        <f>IF(AND(Report[[#This Row],[Résultats SE]]="Gagné",Report[[#This Row],[FT]]=Report[[#This Row],[Score 3]]),Report[[#This Row],[FT]],"")</f>
        <v/>
      </c>
      <c r="AG163" s="63" t="str">
        <f>IF(AND(Report[[#This Row],[Résultats SE]]="Gagné",Report[[#This Row],[FT]]=Report[[#This Row],[Score 4]]),Report[[#This Row],[FT]],"")</f>
        <v/>
      </c>
    </row>
    <row r="164" spans="1:33" ht="20.100000000000001" customHeight="1" x14ac:dyDescent="0.25">
      <c r="A164" s="11">
        <v>43428</v>
      </c>
      <c r="B164" s="7" t="s">
        <v>72</v>
      </c>
      <c r="C164" s="7" t="s">
        <v>107</v>
      </c>
      <c r="D164" s="10" t="s">
        <v>469</v>
      </c>
      <c r="E164" s="10" t="s">
        <v>463</v>
      </c>
      <c r="F164" s="7" t="s">
        <v>843</v>
      </c>
      <c r="G164" s="8" t="s">
        <v>839</v>
      </c>
      <c r="H164" s="9" t="s">
        <v>834</v>
      </c>
      <c r="I164" s="9" t="s">
        <v>827</v>
      </c>
      <c r="J164" s="9" t="s">
        <v>825</v>
      </c>
      <c r="K164" s="9" t="s">
        <v>463</v>
      </c>
      <c r="L164" s="16">
        <v>2.65</v>
      </c>
      <c r="M164" s="16">
        <v>10</v>
      </c>
      <c r="N164" s="17" t="s">
        <v>839</v>
      </c>
      <c r="O164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Courtrai</v>
      </c>
      <c r="P164" s="18">
        <f>IF(Report[[#This Row],[FT]]="",,(LEFT(Report[[#This Row],[FT]],SEARCH("-",Report[[#This Row],[FT]])-1)*1))</f>
        <v>1</v>
      </c>
      <c r="Q164" s="22">
        <f>IF(Report[[#This Row],[FT]]="",,(RIGHT(Report[[#This Row],[FT]],SEARCH("-",Report[[#This Row],[FT]])-1)*1))</f>
        <v>2</v>
      </c>
      <c r="R164" s="18" t="str">
        <f>IF(Report[Résultat FT]="","",IF(Report[Résultat FT]=Report[Résultats],"Gagné","Perdu"))</f>
        <v>Gagné</v>
      </c>
      <c r="S164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164" s="53">
        <f>IF(Report[[#This Row],[FT]]="","",IF(Report[[#This Row],[FT]]=Report[[#This Row],[Score 1]],1,0))</f>
        <v>1</v>
      </c>
      <c r="U164" s="53">
        <f>IF(Report[[#This Row],[FT]]="","",IF(Report[ [#This Row],[FT] ]=Report[[#This Row],[Score 2]],1,0))</f>
        <v>0</v>
      </c>
      <c r="V164" s="53">
        <f>IF(Report[[#This Row],[FT]]="","",IF(Report[[#This Row],[FT]]=Report[[#This Row],[Score 3]],1,0))</f>
        <v>0</v>
      </c>
      <c r="W164" s="53">
        <f>IF(Report[[#This Row],[FT]]="","",IF(Report[[#This Row],[FT]]=Report[[#This Row],[Score 4]],1,0))</f>
        <v>0</v>
      </c>
      <c r="X164" s="66">
        <f>IF(Report[[#This Row],[Résultat FT]]="",,IF(Report[[#This Row],[Résultat FT]]=Report[[#This Row],[Résultats]],(Suivi_Gain!$B$1*Report[[#This Row],[Cote FT]])-Suivi_Gain!$B$1,-Suivi_Gain!$B$1))</f>
        <v>1.65</v>
      </c>
      <c r="Y164" s="94">
        <f>IF(Report[[#This Row],[FT]]="",,IF(Report[[#This Row],[FT]]=Report[[#This Row],[Score 1]],(Suivi_Gain!$G$1*Report[[#This Row],[Cote SE]])-Suivi_Gain!$G$1,-Suivi_Gain!$G$1))</f>
        <v>9</v>
      </c>
      <c r="Z164" s="65">
        <f>IF(Report[[#This Row],[FT]]="",,IF(Report[[#This Row],[FT]]=Report[[#This Row],[Score 2]],Suivi_Gain!$G$1*Report[[#This Row],[Cote SE]],-Suivi_Gain!$G$1))</f>
        <v>-1</v>
      </c>
      <c r="AA164" s="65">
        <f>IF(Report[[#This Row],[FT]]="",,IF(Report[[#This Row],[FT]]=Report[[#This Row],[Score 3]],Suivi_Gain!$G$1*Report[[#This Row],[Cote SE]],-Suivi_Gain!$G$1))</f>
        <v>-1</v>
      </c>
      <c r="AB164" s="65">
        <f>IF(Report[[#This Row],[FT]]="",,IF(Report[[#This Row],[FT]]=Report[[#This Row],[Score 4]],Suivi_Gain!$G$1*Report[[#This Row],[Cote SE]],-Suivi_Gain!$G$1))</f>
        <v>-1</v>
      </c>
      <c r="AC164" s="63" t="str">
        <f>IF(Report[[#This Row],[Résultats SE]]="Gagné",Report[[#This Row],[FT]],"")</f>
        <v>1-2</v>
      </c>
      <c r="AD164" s="63" t="str">
        <f>IF(AND(Report[[#This Row],[Résultats SE]]="Gagné",Report[[#This Row],[FT]]=Report[[#This Row],[Score 1]]),Report[[#This Row],[FT]],"")</f>
        <v>1-2</v>
      </c>
      <c r="AE164" s="63" t="str">
        <f>IF(AND(Report[[#This Row],[Résultats SE]]="Gagné",Report[[#This Row],[FT]]=Report[[#This Row],[Score 2]]),Report[[#This Row],[FT]],"")</f>
        <v/>
      </c>
      <c r="AF164" s="63" t="str">
        <f>IF(AND(Report[[#This Row],[Résultats SE]]="Gagné",Report[[#This Row],[FT]]=Report[[#This Row],[Score 3]]),Report[[#This Row],[FT]],"")</f>
        <v/>
      </c>
      <c r="AG164" s="63" t="str">
        <f>IF(AND(Report[[#This Row],[Résultats SE]]="Gagné",Report[[#This Row],[FT]]=Report[[#This Row],[Score 4]]),Report[[#This Row],[FT]],"")</f>
        <v/>
      </c>
    </row>
    <row r="165" spans="1:33" ht="20.100000000000001" customHeight="1" x14ac:dyDescent="0.25">
      <c r="A165" s="11">
        <v>43428</v>
      </c>
      <c r="B165" s="7" t="s">
        <v>72</v>
      </c>
      <c r="C165" s="7" t="s">
        <v>107</v>
      </c>
      <c r="D165" s="10" t="s">
        <v>472</v>
      </c>
      <c r="E165" s="10" t="s">
        <v>468</v>
      </c>
      <c r="F165" s="7" t="s">
        <v>829</v>
      </c>
      <c r="G165" s="8" t="s">
        <v>830</v>
      </c>
      <c r="H165" s="9" t="s">
        <v>826</v>
      </c>
      <c r="I165" s="9" t="s">
        <v>831</v>
      </c>
      <c r="J165" s="9" t="s">
        <v>832</v>
      </c>
      <c r="K165" s="9" t="s">
        <v>472</v>
      </c>
      <c r="L165" s="16" t="str">
        <f>IF(Report[Résultat FT]="","",IF(Report[Résultat FT]=Report[Résultats],"","-"))</f>
        <v>-</v>
      </c>
      <c r="M165" s="16" t="str">
        <f>IF(Report[[#This Row],[Résultat FT]]="","",IF(Report[[#This Row],[Résultats SE]]="Gagné","","-"))</f>
        <v>-</v>
      </c>
      <c r="N165" s="17" t="s">
        <v>839</v>
      </c>
      <c r="O165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Mouscron</v>
      </c>
      <c r="P165" s="18">
        <f>IF(Report[[#This Row],[FT]]="",,(LEFT(Report[[#This Row],[FT]],SEARCH("-",Report[[#This Row],[FT]])-1)*1))</f>
        <v>1</v>
      </c>
      <c r="Q165" s="22">
        <f>IF(Report[[#This Row],[FT]]="",,(RIGHT(Report[[#This Row],[FT]],SEARCH("-",Report[[#This Row],[FT]])-1)*1))</f>
        <v>2</v>
      </c>
      <c r="R165" s="18" t="str">
        <f>IF(Report[Résultat FT]="","",IF(Report[Résultat FT]=Report[Résultats],"Gagné","Perdu"))</f>
        <v>Perdu</v>
      </c>
      <c r="S165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65" s="53">
        <f>IF(Report[[#This Row],[FT]]="","",IF(Report[[#This Row],[FT]]=Report[[#This Row],[Score 1]],1,0))</f>
        <v>0</v>
      </c>
      <c r="U165" s="53">
        <f>IF(Report[[#This Row],[FT]]="","",IF(Report[ [#This Row],[FT] ]=Report[[#This Row],[Score 2]],1,0))</f>
        <v>0</v>
      </c>
      <c r="V165" s="53">
        <f>IF(Report[[#This Row],[FT]]="","",IF(Report[[#This Row],[FT]]=Report[[#This Row],[Score 3]],1,0))</f>
        <v>0</v>
      </c>
      <c r="W165" s="53">
        <f>IF(Report[[#This Row],[FT]]="","",IF(Report[[#This Row],[FT]]=Report[[#This Row],[Score 4]],1,0))</f>
        <v>0</v>
      </c>
      <c r="X165" s="66">
        <f>IF(Report[[#This Row],[Résultat FT]]="",,IF(Report[[#This Row],[Résultat FT]]=Report[[#This Row],[Résultats]],(Suivi_Gain!$B$1*Report[[#This Row],[Cote FT]])-Suivi_Gain!$B$1,-Suivi_Gain!$B$1))</f>
        <v>-1</v>
      </c>
      <c r="Y165" s="94">
        <f>IF(Report[[#This Row],[FT]]="",,IF(Report[[#This Row],[FT]]=Report[[#This Row],[Score 1]],(Suivi_Gain!$G$1*Report[[#This Row],[Cote SE]])-Suivi_Gain!$G$1,-Suivi_Gain!$G$1))</f>
        <v>-1</v>
      </c>
      <c r="Z165" s="65">
        <f>IF(Report[[#This Row],[FT]]="",,IF(Report[[#This Row],[FT]]=Report[[#This Row],[Score 2]],Suivi_Gain!$G$1*Report[[#This Row],[Cote SE]],-Suivi_Gain!$G$1))</f>
        <v>-1</v>
      </c>
      <c r="AA165" s="65">
        <f>IF(Report[[#This Row],[FT]]="",,IF(Report[[#This Row],[FT]]=Report[[#This Row],[Score 3]],Suivi_Gain!$G$1*Report[[#This Row],[Cote SE]],-Suivi_Gain!$G$1))</f>
        <v>-1</v>
      </c>
      <c r="AB165" s="65">
        <f>IF(Report[[#This Row],[FT]]="",,IF(Report[[#This Row],[FT]]=Report[[#This Row],[Score 4]],Suivi_Gain!$G$1*Report[[#This Row],[Cote SE]],-Suivi_Gain!$G$1))</f>
        <v>-1</v>
      </c>
      <c r="AC165" s="63" t="str">
        <f>IF(Report[[#This Row],[Résultats SE]]="Gagné",Report[[#This Row],[FT]],"")</f>
        <v/>
      </c>
      <c r="AD165" s="63" t="str">
        <f>IF(AND(Report[[#This Row],[Résultats SE]]="Gagné",Report[[#This Row],[FT]]=Report[[#This Row],[Score 1]]),Report[[#This Row],[FT]],"")</f>
        <v/>
      </c>
      <c r="AE165" s="63" t="str">
        <f>IF(AND(Report[[#This Row],[Résultats SE]]="Gagné",Report[[#This Row],[FT]]=Report[[#This Row],[Score 2]]),Report[[#This Row],[FT]],"")</f>
        <v/>
      </c>
      <c r="AF165" s="63" t="str">
        <f>IF(AND(Report[[#This Row],[Résultats SE]]="Gagné",Report[[#This Row],[FT]]=Report[[#This Row],[Score 3]]),Report[[#This Row],[FT]],"")</f>
        <v/>
      </c>
      <c r="AG165" s="63" t="str">
        <f>IF(AND(Report[[#This Row],[Résultats SE]]="Gagné",Report[[#This Row],[FT]]=Report[[#This Row],[Score 4]]),Report[[#This Row],[FT]],"")</f>
        <v/>
      </c>
    </row>
    <row r="166" spans="1:33" ht="20.100000000000001" customHeight="1" x14ac:dyDescent="0.25">
      <c r="A166" s="11">
        <v>43428</v>
      </c>
      <c r="B166" s="7" t="s">
        <v>72</v>
      </c>
      <c r="C166" s="7" t="s">
        <v>107</v>
      </c>
      <c r="D166" s="10" t="s">
        <v>465</v>
      </c>
      <c r="E166" s="10" t="s">
        <v>460</v>
      </c>
      <c r="F166" s="7" t="s">
        <v>880</v>
      </c>
      <c r="G166" s="8" t="s">
        <v>853</v>
      </c>
      <c r="H166" s="9" t="s">
        <v>832</v>
      </c>
      <c r="I166" s="9" t="s">
        <v>838</v>
      </c>
      <c r="J166" s="9" t="s">
        <v>831</v>
      </c>
      <c r="K166" s="9" t="s">
        <v>465</v>
      </c>
      <c r="L166" s="16" t="str">
        <f>IF(Report[Résultat FT]="","",IF(Report[Résultat FT]=Report[Résultats],"","-"))</f>
        <v>-</v>
      </c>
      <c r="M166" s="16" t="str">
        <f>IF(Report[[#This Row],[Résultat FT]]="","",IF(Report[[#This Row],[Résultats SE]]="Gagné","","-"))</f>
        <v>-</v>
      </c>
      <c r="N166" s="17" t="s">
        <v>839</v>
      </c>
      <c r="O166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Cercle Bruges</v>
      </c>
      <c r="P166" s="18">
        <f>IF(Report[[#This Row],[FT]]="",,(LEFT(Report[[#This Row],[FT]],SEARCH("-",Report[[#This Row],[FT]])-1)*1))</f>
        <v>1</v>
      </c>
      <c r="Q166" s="22">
        <f>IF(Report[[#This Row],[FT]]="",,(RIGHT(Report[[#This Row],[FT]],SEARCH("-",Report[[#This Row],[FT]])-1)*1))</f>
        <v>2</v>
      </c>
      <c r="R166" s="18" t="str">
        <f>IF(Report[Résultat FT]="","",IF(Report[Résultat FT]=Report[Résultats],"Gagné","Perdu"))</f>
        <v>Perdu</v>
      </c>
      <c r="S166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66" s="53">
        <f>IF(Report[[#This Row],[FT]]="","",IF(Report[[#This Row],[FT]]=Report[[#This Row],[Score 1]],1,0))</f>
        <v>0</v>
      </c>
      <c r="U166" s="53">
        <f>IF(Report[[#This Row],[FT]]="","",IF(Report[ [#This Row],[FT] ]=Report[[#This Row],[Score 2]],1,0))</f>
        <v>0</v>
      </c>
      <c r="V166" s="53">
        <f>IF(Report[[#This Row],[FT]]="","",IF(Report[[#This Row],[FT]]=Report[[#This Row],[Score 3]],1,0))</f>
        <v>0</v>
      </c>
      <c r="W166" s="53">
        <f>IF(Report[[#This Row],[FT]]="","",IF(Report[[#This Row],[FT]]=Report[[#This Row],[Score 4]],1,0))</f>
        <v>0</v>
      </c>
      <c r="X166" s="66">
        <f>IF(Report[[#This Row],[Résultat FT]]="",,IF(Report[[#This Row],[Résultat FT]]=Report[[#This Row],[Résultats]],(Suivi_Gain!$B$1*Report[[#This Row],[Cote FT]])-Suivi_Gain!$B$1,-Suivi_Gain!$B$1))</f>
        <v>-1</v>
      </c>
      <c r="Y166" s="94">
        <f>IF(Report[[#This Row],[FT]]="",,IF(Report[[#This Row],[FT]]=Report[[#This Row],[Score 1]],(Suivi_Gain!$G$1*Report[[#This Row],[Cote SE]])-Suivi_Gain!$G$1,-Suivi_Gain!$G$1))</f>
        <v>-1</v>
      </c>
      <c r="Z166" s="65">
        <f>IF(Report[[#This Row],[FT]]="",,IF(Report[[#This Row],[FT]]=Report[[#This Row],[Score 2]],Suivi_Gain!$G$1*Report[[#This Row],[Cote SE]],-Suivi_Gain!$G$1))</f>
        <v>-1</v>
      </c>
      <c r="AA166" s="65">
        <f>IF(Report[[#This Row],[FT]]="",,IF(Report[[#This Row],[FT]]=Report[[#This Row],[Score 3]],Suivi_Gain!$G$1*Report[[#This Row],[Cote SE]],-Suivi_Gain!$G$1))</f>
        <v>-1</v>
      </c>
      <c r="AB166" s="65">
        <f>IF(Report[[#This Row],[FT]]="",,IF(Report[[#This Row],[FT]]=Report[[#This Row],[Score 4]],Suivi_Gain!$G$1*Report[[#This Row],[Cote SE]],-Suivi_Gain!$G$1))</f>
        <v>-1</v>
      </c>
      <c r="AC166" s="63" t="str">
        <f>IF(Report[[#This Row],[Résultats SE]]="Gagné",Report[[#This Row],[FT]],"")</f>
        <v/>
      </c>
      <c r="AD166" s="63" t="str">
        <f>IF(AND(Report[[#This Row],[Résultats SE]]="Gagné",Report[[#This Row],[FT]]=Report[[#This Row],[Score 1]]),Report[[#This Row],[FT]],"")</f>
        <v/>
      </c>
      <c r="AE166" s="63" t="str">
        <f>IF(AND(Report[[#This Row],[Résultats SE]]="Gagné",Report[[#This Row],[FT]]=Report[[#This Row],[Score 2]]),Report[[#This Row],[FT]],"")</f>
        <v/>
      </c>
      <c r="AF166" s="63" t="str">
        <f>IF(AND(Report[[#This Row],[Résultats SE]]="Gagné",Report[[#This Row],[FT]]=Report[[#This Row],[Score 3]]),Report[[#This Row],[FT]],"")</f>
        <v/>
      </c>
      <c r="AG166" s="63" t="str">
        <f>IF(AND(Report[[#This Row],[Résultats SE]]="Gagné",Report[[#This Row],[FT]]=Report[[#This Row],[Score 4]]),Report[[#This Row],[FT]],"")</f>
        <v/>
      </c>
    </row>
    <row r="167" spans="1:33" ht="20.100000000000001" customHeight="1" x14ac:dyDescent="0.25">
      <c r="A167" s="11">
        <v>43428</v>
      </c>
      <c r="B167" s="7" t="s">
        <v>220</v>
      </c>
      <c r="C167" s="7" t="s">
        <v>110</v>
      </c>
      <c r="D167" s="10" t="s">
        <v>393</v>
      </c>
      <c r="E167" s="10" t="s">
        <v>400</v>
      </c>
      <c r="F167" s="7" t="s">
        <v>861</v>
      </c>
      <c r="G167" s="8" t="s">
        <v>831</v>
      </c>
      <c r="H167" s="9" t="s">
        <v>830</v>
      </c>
      <c r="I167" s="9" t="s">
        <v>832</v>
      </c>
      <c r="J167" s="9" t="s">
        <v>826</v>
      </c>
      <c r="K167" s="9" t="s">
        <v>393</v>
      </c>
      <c r="L167" s="16">
        <v>1.48</v>
      </c>
      <c r="M167" s="16" t="str">
        <f>IF(Report[[#This Row],[Résultat FT]]="","",IF(Report[[#This Row],[Résultats SE]]="Gagné","","-"))</f>
        <v>-</v>
      </c>
      <c r="N167" s="17" t="s">
        <v>858</v>
      </c>
      <c r="O167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BATE </v>
      </c>
      <c r="P167" s="18">
        <f>IF(Report[[#This Row],[FT]]="",,(LEFT(Report[[#This Row],[FT]],SEARCH("-",Report[[#This Row],[FT]])-1)*1))</f>
        <v>4</v>
      </c>
      <c r="Q167" s="22">
        <f>IF(Report[[#This Row],[FT]]="",,(RIGHT(Report[[#This Row],[FT]],SEARCH("-",Report[[#This Row],[FT]])-1)*1))</f>
        <v>1</v>
      </c>
      <c r="R167" s="18" t="str">
        <f>IF(Report[Résultat FT]="","",IF(Report[Résultat FT]=Report[Résultats],"Gagné","Perdu"))</f>
        <v>Gagné</v>
      </c>
      <c r="S167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67" s="53">
        <f>IF(Report[[#This Row],[FT]]="","",IF(Report[[#This Row],[FT]]=Report[[#This Row],[Score 1]],1,0))</f>
        <v>0</v>
      </c>
      <c r="U167" s="53">
        <f>IF(Report[[#This Row],[FT]]="","",IF(Report[ [#This Row],[FT] ]=Report[[#This Row],[Score 2]],1,0))</f>
        <v>0</v>
      </c>
      <c r="V167" s="53">
        <f>IF(Report[[#This Row],[FT]]="","",IF(Report[[#This Row],[FT]]=Report[[#This Row],[Score 3]],1,0))</f>
        <v>0</v>
      </c>
      <c r="W167" s="53">
        <f>IF(Report[[#This Row],[FT]]="","",IF(Report[[#This Row],[FT]]=Report[[#This Row],[Score 4]],1,0))</f>
        <v>0</v>
      </c>
      <c r="X167" s="94">
        <f>IF(Report[[#This Row],[Résultat FT]]="",,IF(Report[[#This Row],[Résultat FT]]=Report[[#This Row],[Résultats]],(Suivi_Gain!$B$1*Report[[#This Row],[Cote FT]])-Suivi_Gain!$B$1,-Suivi_Gain!$B$1))</f>
        <v>0.48</v>
      </c>
      <c r="Y167" s="94">
        <f>IF(Report[[#This Row],[FT]]="",,IF(Report[[#This Row],[FT]]=Report[[#This Row],[Score 1]],(Suivi_Gain!$G$1*Report[[#This Row],[Cote SE]])-Suivi_Gain!$G$1,-Suivi_Gain!$G$1))</f>
        <v>-1</v>
      </c>
      <c r="Z167" s="65">
        <f>IF(Report[[#This Row],[FT]]="",,IF(Report[[#This Row],[FT]]=Report[[#This Row],[Score 2]],Suivi_Gain!$G$1*Report[[#This Row],[Cote SE]],-Suivi_Gain!$G$1))</f>
        <v>-1</v>
      </c>
      <c r="AA167" s="65">
        <f>IF(Report[[#This Row],[FT]]="",,IF(Report[[#This Row],[FT]]=Report[[#This Row],[Score 3]],Suivi_Gain!$G$1*Report[[#This Row],[Cote SE]],-Suivi_Gain!$G$1))</f>
        <v>-1</v>
      </c>
      <c r="AB167" s="65">
        <f>IF(Report[[#This Row],[FT]]="",,IF(Report[[#This Row],[FT]]=Report[[#This Row],[Score 4]],Suivi_Gain!$G$1*Report[[#This Row],[Cote SE]],-Suivi_Gain!$G$1))</f>
        <v>-1</v>
      </c>
      <c r="AC167" s="18" t="str">
        <f>IF(Report[[#This Row],[Résultats SE]]="Gagné",Report[[#This Row],[FT]],"")</f>
        <v/>
      </c>
      <c r="AD167" s="18" t="str">
        <f>IF(AND(Report[[#This Row],[Résultats SE]]="Gagné",Report[[#This Row],[FT]]=Report[[#This Row],[Score 1]]),Report[[#This Row],[FT]],"")</f>
        <v/>
      </c>
      <c r="AE167" s="18" t="str">
        <f>IF(AND(Report[[#This Row],[Résultats SE]]="Gagné",Report[[#This Row],[FT]]=Report[[#This Row],[Score 2]]),Report[[#This Row],[FT]],"")</f>
        <v/>
      </c>
      <c r="AF167" s="18" t="str">
        <f>IF(AND(Report[[#This Row],[Résultats SE]]="Gagné",Report[[#This Row],[FT]]=Report[[#This Row],[Score 3]]),Report[[#This Row],[FT]],"")</f>
        <v/>
      </c>
      <c r="AG167" s="18" t="str">
        <f>IF(AND(Report[[#This Row],[Résultats SE]]="Gagné",Report[[#This Row],[FT]]=Report[[#This Row],[Score 4]]),Report[[#This Row],[FT]],"")</f>
        <v/>
      </c>
    </row>
    <row r="168" spans="1:33" ht="20.100000000000001" customHeight="1" x14ac:dyDescent="0.25">
      <c r="A168" s="11">
        <v>43428</v>
      </c>
      <c r="B168" s="7" t="s">
        <v>220</v>
      </c>
      <c r="C168" s="7" t="s">
        <v>110</v>
      </c>
      <c r="D168" s="10" t="s">
        <v>403</v>
      </c>
      <c r="E168" s="10" t="s">
        <v>404</v>
      </c>
      <c r="F168" s="7" t="s">
        <v>824</v>
      </c>
      <c r="G168" s="8" t="s">
        <v>825</v>
      </c>
      <c r="H168" s="9" t="s">
        <v>826</v>
      </c>
      <c r="I168" s="9" t="s">
        <v>827</v>
      </c>
      <c r="J168" s="9" t="s">
        <v>828</v>
      </c>
      <c r="K168" s="9" t="s">
        <v>404</v>
      </c>
      <c r="L168" s="16">
        <v>1.27</v>
      </c>
      <c r="M168" s="16">
        <v>4.9000000000000004</v>
      </c>
      <c r="N168" s="17" t="s">
        <v>827</v>
      </c>
      <c r="O168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Soligorsk</v>
      </c>
      <c r="P168" s="18">
        <f>IF(Report[[#This Row],[FT]]="",,(LEFT(Report[[#This Row],[FT]],SEARCH("-",Report[[#This Row],[FT]])-1)*1))</f>
        <v>0</v>
      </c>
      <c r="Q168" s="22">
        <f>IF(Report[[#This Row],[FT]]="",,(RIGHT(Report[[#This Row],[FT]],SEARCH("-",Report[[#This Row],[FT]])-1)*1))</f>
        <v>2</v>
      </c>
      <c r="R168" s="18" t="str">
        <f>IF(Report[Résultat FT]="","",IF(Report[Résultat FT]=Report[Résultats],"Gagné","Perdu"))</f>
        <v>Gagné</v>
      </c>
      <c r="S168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168" s="53">
        <f>IF(Report[[#This Row],[FT]]="","",IF(Report[[#This Row],[FT]]=Report[[#This Row],[Score 1]],1,0))</f>
        <v>0</v>
      </c>
      <c r="U168" s="53">
        <f>IF(Report[[#This Row],[FT]]="","",IF(Report[ [#This Row],[FT] ]=Report[[#This Row],[Score 2]],1,0))</f>
        <v>0</v>
      </c>
      <c r="V168" s="53">
        <f>IF(Report[[#This Row],[FT]]="","",IF(Report[[#This Row],[FT]]=Report[[#This Row],[Score 3]],1,0))</f>
        <v>1</v>
      </c>
      <c r="W168" s="53">
        <f>IF(Report[[#This Row],[FT]]="","",IF(Report[[#This Row],[FT]]=Report[[#This Row],[Score 4]],1,0))</f>
        <v>0</v>
      </c>
      <c r="X168" s="94">
        <f>IF(Report[[#This Row],[Résultat FT]]="",,IF(Report[[#This Row],[Résultat FT]]=Report[[#This Row],[Résultats]],(Suivi_Gain!$B$1*Report[[#This Row],[Cote FT]])-Suivi_Gain!$B$1,-Suivi_Gain!$B$1))</f>
        <v>0.27</v>
      </c>
      <c r="Y168" s="94">
        <f>IF(Report[[#This Row],[FT]]="",,IF(Report[[#This Row],[FT]]=Report[[#This Row],[Score 1]],(Suivi_Gain!$G$1*Report[[#This Row],[Cote SE]])-Suivi_Gain!$G$1,-Suivi_Gain!$G$1))</f>
        <v>-1</v>
      </c>
      <c r="Z168" s="65">
        <f>IF(Report[[#This Row],[FT]]="",,IF(Report[[#This Row],[FT]]=Report[[#This Row],[Score 2]],Suivi_Gain!$G$1*Report[[#This Row],[Cote SE]],-Suivi_Gain!$G$1))</f>
        <v>-1</v>
      </c>
      <c r="AA168" s="65">
        <f>IF(Report[[#This Row],[FT]]="",,IF(Report[[#This Row],[FT]]=Report[[#This Row],[Score 3]],Suivi_Gain!$G$1*Report[[#This Row],[Cote SE]],-Suivi_Gain!$G$1))</f>
        <v>4.9000000000000004</v>
      </c>
      <c r="AB168" s="65">
        <f>IF(Report[[#This Row],[FT]]="",,IF(Report[[#This Row],[FT]]=Report[[#This Row],[Score 4]],Suivi_Gain!$G$1*Report[[#This Row],[Cote SE]],-Suivi_Gain!$G$1))</f>
        <v>-1</v>
      </c>
      <c r="AC168" s="18" t="str">
        <f>IF(Report[[#This Row],[Résultats SE]]="Gagné",Report[[#This Row],[FT]],"")</f>
        <v>0-2</v>
      </c>
      <c r="AD168" s="18" t="str">
        <f>IF(AND(Report[[#This Row],[Résultats SE]]="Gagné",Report[[#This Row],[FT]]=Report[[#This Row],[Score 1]]),Report[[#This Row],[FT]],"")</f>
        <v/>
      </c>
      <c r="AE168" s="18" t="str">
        <f>IF(AND(Report[[#This Row],[Résultats SE]]="Gagné",Report[[#This Row],[FT]]=Report[[#This Row],[Score 2]]),Report[[#This Row],[FT]],"")</f>
        <v/>
      </c>
      <c r="AF168" s="18" t="str">
        <f>IF(AND(Report[[#This Row],[Résultats SE]]="Gagné",Report[[#This Row],[FT]]=Report[[#This Row],[Score 3]]),Report[[#This Row],[FT]],"")</f>
        <v>0-2</v>
      </c>
      <c r="AG168" s="18" t="str">
        <f>IF(AND(Report[[#This Row],[Résultats SE]]="Gagné",Report[[#This Row],[FT]]=Report[[#This Row],[Score 4]]),Report[[#This Row],[FT]],"")</f>
        <v/>
      </c>
    </row>
    <row r="169" spans="1:33" ht="20.100000000000001" customHeight="1" x14ac:dyDescent="0.25">
      <c r="A169" s="11">
        <v>43428</v>
      </c>
      <c r="B169" s="7" t="s">
        <v>220</v>
      </c>
      <c r="C169" s="7" t="s">
        <v>110</v>
      </c>
      <c r="D169" s="10" t="s">
        <v>48</v>
      </c>
      <c r="E169" s="10" t="s">
        <v>397</v>
      </c>
      <c r="F169" s="7" t="s">
        <v>829</v>
      </c>
      <c r="G169" s="8" t="s">
        <v>830</v>
      </c>
      <c r="H169" s="9" t="s">
        <v>826</v>
      </c>
      <c r="I169" s="9" t="s">
        <v>831</v>
      </c>
      <c r="J169" s="9" t="s">
        <v>832</v>
      </c>
      <c r="K169" s="9" t="s">
        <v>48</v>
      </c>
      <c r="L169" s="16" t="str">
        <f>IF(Report[Résultat FT]="","",IF(Report[Résultat FT]=Report[Résultats],"","-"))</f>
        <v>-</v>
      </c>
      <c r="M169" s="16">
        <v>11</v>
      </c>
      <c r="N169" s="17" t="s">
        <v>826</v>
      </c>
      <c r="O169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169" s="18">
        <f>IF(Report[[#This Row],[FT]]="",,(LEFT(Report[[#This Row],[FT]],SEARCH("-",Report[[#This Row],[FT]])-1)*1))</f>
        <v>0</v>
      </c>
      <c r="Q169" s="22">
        <f>IF(Report[[#This Row],[FT]]="",,(RIGHT(Report[[#This Row],[FT]],SEARCH("-",Report[[#This Row],[FT]])-1)*1))</f>
        <v>0</v>
      </c>
      <c r="R169" s="18" t="str">
        <f>IF(Report[Résultat FT]="","",IF(Report[Résultat FT]=Report[Résultats],"Gagné","Perdu"))</f>
        <v>Perdu</v>
      </c>
      <c r="S169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169" s="53">
        <f>IF(Report[[#This Row],[FT]]="","",IF(Report[[#This Row],[FT]]=Report[[#This Row],[Score 1]],1,0))</f>
        <v>0</v>
      </c>
      <c r="U169" s="53">
        <f>IF(Report[[#This Row],[FT]]="","",IF(Report[ [#This Row],[FT] ]=Report[[#This Row],[Score 2]],1,0))</f>
        <v>1</v>
      </c>
      <c r="V169" s="53">
        <f>IF(Report[[#This Row],[FT]]="","",IF(Report[[#This Row],[FT]]=Report[[#This Row],[Score 3]],1,0))</f>
        <v>0</v>
      </c>
      <c r="W169" s="53">
        <f>IF(Report[[#This Row],[FT]]="","",IF(Report[[#This Row],[FT]]=Report[[#This Row],[Score 4]],1,0))</f>
        <v>0</v>
      </c>
      <c r="X169" s="66">
        <f>IF(Report[[#This Row],[Résultat FT]]="",,IF(Report[[#This Row],[Résultat FT]]=Report[[#This Row],[Résultats]],(Suivi_Gain!$B$1*Report[[#This Row],[Cote FT]])-Suivi_Gain!$B$1,-Suivi_Gain!$B$1))</f>
        <v>-1</v>
      </c>
      <c r="Y169" s="94">
        <f>IF(Report[[#This Row],[FT]]="",,IF(Report[[#This Row],[FT]]=Report[[#This Row],[Score 1]],(Suivi_Gain!$G$1*Report[[#This Row],[Cote SE]])-Suivi_Gain!$G$1,-Suivi_Gain!$G$1))</f>
        <v>-1</v>
      </c>
      <c r="Z169" s="65">
        <f>IF(Report[[#This Row],[FT]]="",,IF(Report[[#This Row],[FT]]=Report[[#This Row],[Score 2]],Suivi_Gain!$G$1*Report[[#This Row],[Cote SE]],-Suivi_Gain!$G$1))</f>
        <v>11</v>
      </c>
      <c r="AA169" s="65">
        <f>IF(Report[[#This Row],[FT]]="",,IF(Report[[#This Row],[FT]]=Report[[#This Row],[Score 3]],Suivi_Gain!$G$1*Report[[#This Row],[Cote SE]],-Suivi_Gain!$G$1))</f>
        <v>-1</v>
      </c>
      <c r="AB169" s="65">
        <f>IF(Report[[#This Row],[FT]]="",,IF(Report[[#This Row],[FT]]=Report[[#This Row],[Score 4]],Suivi_Gain!$G$1*Report[[#This Row],[Cote SE]],-Suivi_Gain!$G$1))</f>
        <v>-1</v>
      </c>
      <c r="AC169" s="63" t="str">
        <f>IF(Report[[#This Row],[Résultats SE]]="Gagné",Report[[#This Row],[FT]],"")</f>
        <v>0-0</v>
      </c>
      <c r="AD169" s="63" t="str">
        <f>IF(AND(Report[[#This Row],[Résultats SE]]="Gagné",Report[[#This Row],[FT]]=Report[[#This Row],[Score 1]]),Report[[#This Row],[FT]],"")</f>
        <v/>
      </c>
      <c r="AE169" s="63" t="str">
        <f>IF(AND(Report[[#This Row],[Résultats SE]]="Gagné",Report[[#This Row],[FT]]=Report[[#This Row],[Score 2]]),Report[[#This Row],[FT]],"")</f>
        <v>0-0</v>
      </c>
      <c r="AF169" s="63" t="str">
        <f>IF(AND(Report[[#This Row],[Résultats SE]]="Gagné",Report[[#This Row],[FT]]=Report[[#This Row],[Score 3]]),Report[[#This Row],[FT]],"")</f>
        <v/>
      </c>
      <c r="AG169" s="63" t="str">
        <f>IF(AND(Report[[#This Row],[Résultats SE]]="Gagné",Report[[#This Row],[FT]]=Report[[#This Row],[Score 4]]),Report[[#This Row],[FT]],"")</f>
        <v/>
      </c>
    </row>
    <row r="170" spans="1:33" ht="20.100000000000001" customHeight="1" x14ac:dyDescent="0.25">
      <c r="A170" s="11">
        <v>43428</v>
      </c>
      <c r="B170" s="7" t="s">
        <v>220</v>
      </c>
      <c r="C170" s="7" t="s">
        <v>110</v>
      </c>
      <c r="D170" s="10" t="s">
        <v>395</v>
      </c>
      <c r="E170" s="10" t="s">
        <v>394</v>
      </c>
      <c r="F170" s="7" t="s">
        <v>824</v>
      </c>
      <c r="G170" s="8" t="s">
        <v>825</v>
      </c>
      <c r="H170" s="9" t="s">
        <v>826</v>
      </c>
      <c r="I170" s="9" t="s">
        <v>827</v>
      </c>
      <c r="J170" s="9" t="s">
        <v>828</v>
      </c>
      <c r="K170" s="9" t="s">
        <v>394</v>
      </c>
      <c r="L170" s="16">
        <v>1.1200000000000001</v>
      </c>
      <c r="M170" s="16">
        <v>5.6</v>
      </c>
      <c r="N170" s="17" t="s">
        <v>828</v>
      </c>
      <c r="O170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Din. Minsk</v>
      </c>
      <c r="P170" s="18">
        <f>IF(Report[[#This Row],[FT]]="",,(LEFT(Report[[#This Row],[FT]],SEARCH("-",Report[[#This Row],[FT]])-1)*1))</f>
        <v>0</v>
      </c>
      <c r="Q170" s="22">
        <f>IF(Report[[#This Row],[FT]]="",,(RIGHT(Report[[#This Row],[FT]],SEARCH("-",Report[[#This Row],[FT]])-1)*1))</f>
        <v>3</v>
      </c>
      <c r="R170" s="18" t="str">
        <f>IF(Report[Résultat FT]="","",IF(Report[Résultat FT]=Report[Résultats],"Gagné","Perdu"))</f>
        <v>Gagné</v>
      </c>
      <c r="S170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170" s="53">
        <f>IF(Report[[#This Row],[FT]]="","",IF(Report[[#This Row],[FT]]=Report[[#This Row],[Score 1]],1,0))</f>
        <v>0</v>
      </c>
      <c r="U170" s="53">
        <f>IF(Report[[#This Row],[FT]]="","",IF(Report[ [#This Row],[FT] ]=Report[[#This Row],[Score 2]],1,0))</f>
        <v>0</v>
      </c>
      <c r="V170" s="53">
        <f>IF(Report[[#This Row],[FT]]="","",IF(Report[[#This Row],[FT]]=Report[[#This Row],[Score 3]],1,0))</f>
        <v>0</v>
      </c>
      <c r="W170" s="53">
        <f>IF(Report[[#This Row],[FT]]="","",IF(Report[[#This Row],[FT]]=Report[[#This Row],[Score 4]],1,0))</f>
        <v>1</v>
      </c>
      <c r="X170" s="66">
        <f>IF(Report[[#This Row],[Résultat FT]]="",,IF(Report[[#This Row],[Résultat FT]]=Report[[#This Row],[Résultats]],(Suivi_Gain!$B$1*Report[[#This Row],[Cote FT]])-Suivi_Gain!$B$1,-Suivi_Gain!$B$1))</f>
        <v>0.12000000000000011</v>
      </c>
      <c r="Y170" s="94">
        <f>IF(Report[[#This Row],[FT]]="",,IF(Report[[#This Row],[FT]]=Report[[#This Row],[Score 1]],(Suivi_Gain!$G$1*Report[[#This Row],[Cote SE]])-Suivi_Gain!$G$1,-Suivi_Gain!$G$1))</f>
        <v>-1</v>
      </c>
      <c r="Z170" s="65">
        <f>IF(Report[[#This Row],[FT]]="",,IF(Report[[#This Row],[FT]]=Report[[#This Row],[Score 2]],Suivi_Gain!$G$1*Report[[#This Row],[Cote SE]],-Suivi_Gain!$G$1))</f>
        <v>-1</v>
      </c>
      <c r="AA170" s="65">
        <f>IF(Report[[#This Row],[FT]]="",,IF(Report[[#This Row],[FT]]=Report[[#This Row],[Score 3]],Suivi_Gain!$G$1*Report[[#This Row],[Cote SE]],-Suivi_Gain!$G$1))</f>
        <v>-1</v>
      </c>
      <c r="AB170" s="65">
        <f>IF(Report[[#This Row],[FT]]="",,IF(Report[[#This Row],[FT]]=Report[[#This Row],[Score 4]],Suivi_Gain!$G$1*Report[[#This Row],[Cote SE]],-Suivi_Gain!$G$1))</f>
        <v>5.6</v>
      </c>
      <c r="AC170" s="63" t="str">
        <f>IF(Report[[#This Row],[Résultats SE]]="Gagné",Report[[#This Row],[FT]],"")</f>
        <v>0-3</v>
      </c>
      <c r="AD170" s="63" t="str">
        <f>IF(AND(Report[[#This Row],[Résultats SE]]="Gagné",Report[[#This Row],[FT]]=Report[[#This Row],[Score 1]]),Report[[#This Row],[FT]],"")</f>
        <v/>
      </c>
      <c r="AE170" s="63" t="str">
        <f>IF(AND(Report[[#This Row],[Résultats SE]]="Gagné",Report[[#This Row],[FT]]=Report[[#This Row],[Score 2]]),Report[[#This Row],[FT]],"")</f>
        <v/>
      </c>
      <c r="AF170" s="63" t="str">
        <f>IF(AND(Report[[#This Row],[Résultats SE]]="Gagné",Report[[#This Row],[FT]]=Report[[#This Row],[Score 3]]),Report[[#This Row],[FT]],"")</f>
        <v/>
      </c>
      <c r="AG170" s="63" t="str">
        <f>IF(AND(Report[[#This Row],[Résultats SE]]="Gagné",Report[[#This Row],[FT]]=Report[[#This Row],[Score 4]]),Report[[#This Row],[FT]],"")</f>
        <v>0-3</v>
      </c>
    </row>
    <row r="171" spans="1:33" ht="20.100000000000001" customHeight="1" x14ac:dyDescent="0.25">
      <c r="A171" s="11">
        <v>43428</v>
      </c>
      <c r="B171" s="7" t="s">
        <v>220</v>
      </c>
      <c r="C171" s="7" t="s">
        <v>110</v>
      </c>
      <c r="D171" s="10" t="s">
        <v>396</v>
      </c>
      <c r="E171" s="10" t="s">
        <v>401</v>
      </c>
      <c r="F171" s="7" t="s">
        <v>833</v>
      </c>
      <c r="G171" s="8" t="s">
        <v>834</v>
      </c>
      <c r="H171" s="9" t="s">
        <v>830</v>
      </c>
      <c r="I171" s="9" t="s">
        <v>825</v>
      </c>
      <c r="J171" s="9" t="s">
        <v>826</v>
      </c>
      <c r="K171" s="9" t="s">
        <v>233</v>
      </c>
      <c r="L171" s="16" t="str">
        <f>IF(Report[Résultat FT]="","",IF(Report[Résultat FT]=Report[Résultats],"","-"))</f>
        <v>-</v>
      </c>
      <c r="M171" s="16" t="str">
        <f>IF(Report[[#This Row],[Résultat FT]]="","",IF(Report[[#This Row],[Résultats SE]]="Gagné","","-"))</f>
        <v>-</v>
      </c>
      <c r="N171" s="17" t="s">
        <v>839</v>
      </c>
      <c r="O171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Neman</v>
      </c>
      <c r="P171" s="18">
        <f>IF(Report[[#This Row],[FT]]="",,(LEFT(Report[[#This Row],[FT]],SEARCH("-",Report[[#This Row],[FT]])-1)*1))</f>
        <v>1</v>
      </c>
      <c r="Q171" s="22">
        <f>IF(Report[[#This Row],[FT]]="",,(RIGHT(Report[[#This Row],[FT]],SEARCH("-",Report[[#This Row],[FT]])-1)*1))</f>
        <v>2</v>
      </c>
      <c r="R171" s="18" t="str">
        <f>IF(Report[Résultat FT]="","",IF(Report[Résultat FT]=Report[Résultats],"Gagné","Perdu"))</f>
        <v>Perdu</v>
      </c>
      <c r="S171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71" s="53">
        <f>IF(Report[[#This Row],[FT]]="","",IF(Report[[#This Row],[FT]]=Report[[#This Row],[Score 1]],1,0))</f>
        <v>0</v>
      </c>
      <c r="U171" s="53">
        <f>IF(Report[[#This Row],[FT]]="","",IF(Report[ [#This Row],[FT] ]=Report[[#This Row],[Score 2]],1,0))</f>
        <v>0</v>
      </c>
      <c r="V171" s="53">
        <f>IF(Report[[#This Row],[FT]]="","",IF(Report[[#This Row],[FT]]=Report[[#This Row],[Score 3]],1,0))</f>
        <v>0</v>
      </c>
      <c r="W171" s="53">
        <f>IF(Report[[#This Row],[FT]]="","",IF(Report[[#This Row],[FT]]=Report[[#This Row],[Score 4]],1,0))</f>
        <v>0</v>
      </c>
      <c r="X171" s="66">
        <f>IF(Report[[#This Row],[Résultat FT]]="",,IF(Report[[#This Row],[Résultat FT]]=Report[[#This Row],[Résultats]],(Suivi_Gain!$B$1*Report[[#This Row],[Cote FT]])-Suivi_Gain!$B$1,-Suivi_Gain!$B$1))</f>
        <v>-1</v>
      </c>
      <c r="Y171" s="94">
        <f>IF(Report[[#This Row],[FT]]="",,IF(Report[[#This Row],[FT]]=Report[[#This Row],[Score 1]],(Suivi_Gain!$G$1*Report[[#This Row],[Cote SE]])-Suivi_Gain!$G$1,-Suivi_Gain!$G$1))</f>
        <v>-1</v>
      </c>
      <c r="Z171" s="65">
        <f>IF(Report[[#This Row],[FT]]="",,IF(Report[[#This Row],[FT]]=Report[[#This Row],[Score 2]],Suivi_Gain!$G$1*Report[[#This Row],[Cote SE]],-Suivi_Gain!$G$1))</f>
        <v>-1</v>
      </c>
      <c r="AA171" s="65">
        <f>IF(Report[[#This Row],[FT]]="",,IF(Report[[#This Row],[FT]]=Report[[#This Row],[Score 3]],Suivi_Gain!$G$1*Report[[#This Row],[Cote SE]],-Suivi_Gain!$G$1))</f>
        <v>-1</v>
      </c>
      <c r="AB171" s="65">
        <f>IF(Report[[#This Row],[FT]]="",,IF(Report[[#This Row],[FT]]=Report[[#This Row],[Score 4]],Suivi_Gain!$G$1*Report[[#This Row],[Cote SE]],-Suivi_Gain!$G$1))</f>
        <v>-1</v>
      </c>
      <c r="AC171" s="63" t="str">
        <f>IF(Report[[#This Row],[Résultats SE]]="Gagné",Report[[#This Row],[FT]],"")</f>
        <v/>
      </c>
      <c r="AD171" s="63" t="str">
        <f>IF(AND(Report[[#This Row],[Résultats SE]]="Gagné",Report[[#This Row],[FT]]=Report[[#This Row],[Score 1]]),Report[[#This Row],[FT]],"")</f>
        <v/>
      </c>
      <c r="AE171" s="63" t="str">
        <f>IF(AND(Report[[#This Row],[Résultats SE]]="Gagné",Report[[#This Row],[FT]]=Report[[#This Row],[Score 2]]),Report[[#This Row],[FT]],"")</f>
        <v/>
      </c>
      <c r="AF171" s="63" t="str">
        <f>IF(AND(Report[[#This Row],[Résultats SE]]="Gagné",Report[[#This Row],[FT]]=Report[[#This Row],[Score 3]]),Report[[#This Row],[FT]],"")</f>
        <v/>
      </c>
      <c r="AG171" s="63" t="str">
        <f>IF(AND(Report[[#This Row],[Résultats SE]]="Gagné",Report[[#This Row],[FT]]=Report[[#This Row],[Score 4]]),Report[[#This Row],[FT]],"")</f>
        <v/>
      </c>
    </row>
    <row r="172" spans="1:33" ht="20.100000000000001" customHeight="1" x14ac:dyDescent="0.25">
      <c r="A172" s="11">
        <v>43428</v>
      </c>
      <c r="B172" s="7" t="s">
        <v>220</v>
      </c>
      <c r="C172" s="7" t="s">
        <v>110</v>
      </c>
      <c r="D172" s="10" t="s">
        <v>402</v>
      </c>
      <c r="E172" s="10" t="s">
        <v>399</v>
      </c>
      <c r="F172" s="7" t="s">
        <v>829</v>
      </c>
      <c r="G172" s="8" t="s">
        <v>830</v>
      </c>
      <c r="H172" s="9" t="s">
        <v>826</v>
      </c>
      <c r="I172" s="9" t="s">
        <v>831</v>
      </c>
      <c r="J172" s="9" t="s">
        <v>832</v>
      </c>
      <c r="K172" s="9" t="s">
        <v>402</v>
      </c>
      <c r="L172" s="16" t="str">
        <f>IF(Report[Résultat FT]="","",IF(Report[Résultat FT]=Report[Résultats],"","-"))</f>
        <v>-</v>
      </c>
      <c r="M172" s="16" t="str">
        <f>IF(Report[[#This Row],[Résultat FT]]="","",IF(Report[[#This Row],[Résultats SE]]="Gagné","","-"))</f>
        <v>-</v>
      </c>
      <c r="N172" s="17" t="s">
        <v>825</v>
      </c>
      <c r="O172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Isloch Minsk</v>
      </c>
      <c r="P172" s="18">
        <f>IF(Report[[#This Row],[FT]]="",,(LEFT(Report[[#This Row],[FT]],SEARCH("-",Report[[#This Row],[FT]])-1)*1))</f>
        <v>0</v>
      </c>
      <c r="Q172" s="22">
        <f>IF(Report[[#This Row],[FT]]="",,(RIGHT(Report[[#This Row],[FT]],SEARCH("-",Report[[#This Row],[FT]])-1)*1))</f>
        <v>1</v>
      </c>
      <c r="R172" s="18" t="str">
        <f>IF(Report[Résultat FT]="","",IF(Report[Résultat FT]=Report[Résultats],"Gagné","Perdu"))</f>
        <v>Perdu</v>
      </c>
      <c r="S172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72" s="53">
        <f>IF(Report[[#This Row],[FT]]="","",IF(Report[[#This Row],[FT]]=Report[[#This Row],[Score 1]],1,0))</f>
        <v>0</v>
      </c>
      <c r="U172" s="53">
        <f>IF(Report[[#This Row],[FT]]="","",IF(Report[ [#This Row],[FT] ]=Report[[#This Row],[Score 2]],1,0))</f>
        <v>0</v>
      </c>
      <c r="V172" s="53">
        <f>IF(Report[[#This Row],[FT]]="","",IF(Report[[#This Row],[FT]]=Report[[#This Row],[Score 3]],1,0))</f>
        <v>0</v>
      </c>
      <c r="W172" s="53">
        <f>IF(Report[[#This Row],[FT]]="","",IF(Report[[#This Row],[FT]]=Report[[#This Row],[Score 4]],1,0))</f>
        <v>0</v>
      </c>
      <c r="X172" s="66">
        <f>IF(Report[[#This Row],[Résultat FT]]="",,IF(Report[[#This Row],[Résultat FT]]=Report[[#This Row],[Résultats]],(Suivi_Gain!$B$1*Report[[#This Row],[Cote FT]])-Suivi_Gain!$B$1,-Suivi_Gain!$B$1))</f>
        <v>-1</v>
      </c>
      <c r="Y172" s="94">
        <f>IF(Report[[#This Row],[FT]]="",,IF(Report[[#This Row],[FT]]=Report[[#This Row],[Score 1]],(Suivi_Gain!$G$1*Report[[#This Row],[Cote SE]])-Suivi_Gain!$G$1,-Suivi_Gain!$G$1))</f>
        <v>-1</v>
      </c>
      <c r="Z172" s="65">
        <f>IF(Report[[#This Row],[FT]]="",,IF(Report[[#This Row],[FT]]=Report[[#This Row],[Score 2]],Suivi_Gain!$G$1*Report[[#This Row],[Cote SE]],-Suivi_Gain!$G$1))</f>
        <v>-1</v>
      </c>
      <c r="AA172" s="65">
        <f>IF(Report[[#This Row],[FT]]="",,IF(Report[[#This Row],[FT]]=Report[[#This Row],[Score 3]],Suivi_Gain!$G$1*Report[[#This Row],[Cote SE]],-Suivi_Gain!$G$1))</f>
        <v>-1</v>
      </c>
      <c r="AB172" s="65">
        <f>IF(Report[[#This Row],[FT]]="",,IF(Report[[#This Row],[FT]]=Report[[#This Row],[Score 4]],Suivi_Gain!$G$1*Report[[#This Row],[Cote SE]],-Suivi_Gain!$G$1))</f>
        <v>-1</v>
      </c>
      <c r="AC172" s="63" t="str">
        <f>IF(Report[[#This Row],[Résultats SE]]="Gagné",Report[[#This Row],[FT]],"")</f>
        <v/>
      </c>
      <c r="AD172" s="63" t="str">
        <f>IF(AND(Report[[#This Row],[Résultats SE]]="Gagné",Report[[#This Row],[FT]]=Report[[#This Row],[Score 1]]),Report[[#This Row],[FT]],"")</f>
        <v/>
      </c>
      <c r="AE172" s="63" t="str">
        <f>IF(AND(Report[[#This Row],[Résultats SE]]="Gagné",Report[[#This Row],[FT]]=Report[[#This Row],[Score 2]]),Report[[#This Row],[FT]],"")</f>
        <v/>
      </c>
      <c r="AF172" s="63" t="str">
        <f>IF(AND(Report[[#This Row],[Résultats SE]]="Gagné",Report[[#This Row],[FT]]=Report[[#This Row],[Score 3]]),Report[[#This Row],[FT]],"")</f>
        <v/>
      </c>
      <c r="AG172" s="63" t="str">
        <f>IF(AND(Report[[#This Row],[Résultats SE]]="Gagné",Report[[#This Row],[FT]]=Report[[#This Row],[Score 4]]),Report[[#This Row],[FT]],"")</f>
        <v/>
      </c>
    </row>
    <row r="173" spans="1:33" ht="20.100000000000001" customHeight="1" x14ac:dyDescent="0.25">
      <c r="A173" s="11">
        <v>43428</v>
      </c>
      <c r="B173" s="7" t="s">
        <v>220</v>
      </c>
      <c r="C173" s="7" t="s">
        <v>110</v>
      </c>
      <c r="D173" s="10" t="s">
        <v>405</v>
      </c>
      <c r="E173" s="10" t="s">
        <v>407</v>
      </c>
      <c r="F173" s="7" t="s">
        <v>824</v>
      </c>
      <c r="G173" s="8" t="s">
        <v>825</v>
      </c>
      <c r="H173" s="9" t="s">
        <v>826</v>
      </c>
      <c r="I173" s="9" t="s">
        <v>827</v>
      </c>
      <c r="J173" s="9" t="s">
        <v>828</v>
      </c>
      <c r="K173" s="9" t="s">
        <v>407</v>
      </c>
      <c r="L173" s="16">
        <v>2.1</v>
      </c>
      <c r="M173" s="16">
        <v>9</v>
      </c>
      <c r="N173" s="17" t="s">
        <v>827</v>
      </c>
      <c r="O173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Zhodino</v>
      </c>
      <c r="P173" s="18">
        <f>IF(Report[[#This Row],[FT]]="",,(LEFT(Report[[#This Row],[FT]],SEARCH("-",Report[[#This Row],[FT]])-1)*1))</f>
        <v>0</v>
      </c>
      <c r="Q173" s="22">
        <f>IF(Report[[#This Row],[FT]]="",,(RIGHT(Report[[#This Row],[FT]],SEARCH("-",Report[[#This Row],[FT]])-1)*1))</f>
        <v>2</v>
      </c>
      <c r="R173" s="18" t="str">
        <f>IF(Report[Résultat FT]="","",IF(Report[Résultat FT]=Report[Résultats],"Gagné","Perdu"))</f>
        <v>Gagné</v>
      </c>
      <c r="S173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173" s="53">
        <f>IF(Report[[#This Row],[FT]]="","",IF(Report[[#This Row],[FT]]=Report[[#This Row],[Score 1]],1,0))</f>
        <v>0</v>
      </c>
      <c r="U173" s="53">
        <f>IF(Report[[#This Row],[FT]]="","",IF(Report[ [#This Row],[FT] ]=Report[[#This Row],[Score 2]],1,0))</f>
        <v>0</v>
      </c>
      <c r="V173" s="53">
        <f>IF(Report[[#This Row],[FT]]="","",IF(Report[[#This Row],[FT]]=Report[[#This Row],[Score 3]],1,0))</f>
        <v>1</v>
      </c>
      <c r="W173" s="53">
        <f>IF(Report[[#This Row],[FT]]="","",IF(Report[[#This Row],[FT]]=Report[[#This Row],[Score 4]],1,0))</f>
        <v>0</v>
      </c>
      <c r="X173" s="66">
        <f>IF(Report[[#This Row],[Résultat FT]]="",,IF(Report[[#This Row],[Résultat FT]]=Report[[#This Row],[Résultats]],(Suivi_Gain!$B$1*Report[[#This Row],[Cote FT]])-Suivi_Gain!$B$1,-Suivi_Gain!$B$1))</f>
        <v>1.1000000000000001</v>
      </c>
      <c r="Y173" s="94">
        <f>IF(Report[[#This Row],[FT]]="",,IF(Report[[#This Row],[FT]]=Report[[#This Row],[Score 1]],(Suivi_Gain!$G$1*Report[[#This Row],[Cote SE]])-Suivi_Gain!$G$1,-Suivi_Gain!$G$1))</f>
        <v>-1</v>
      </c>
      <c r="Z173" s="65">
        <f>IF(Report[[#This Row],[FT]]="",,IF(Report[[#This Row],[FT]]=Report[[#This Row],[Score 2]],Suivi_Gain!$G$1*Report[[#This Row],[Cote SE]],-Suivi_Gain!$G$1))</f>
        <v>-1</v>
      </c>
      <c r="AA173" s="65">
        <f>IF(Report[[#This Row],[FT]]="",,IF(Report[[#This Row],[FT]]=Report[[#This Row],[Score 3]],Suivi_Gain!$G$1*Report[[#This Row],[Cote SE]],-Suivi_Gain!$G$1))</f>
        <v>9</v>
      </c>
      <c r="AB173" s="65">
        <f>IF(Report[[#This Row],[FT]]="",,IF(Report[[#This Row],[FT]]=Report[[#This Row],[Score 4]],Suivi_Gain!$G$1*Report[[#This Row],[Cote SE]],-Suivi_Gain!$G$1))</f>
        <v>-1</v>
      </c>
      <c r="AC173" s="63" t="str">
        <f>IF(Report[[#This Row],[Résultats SE]]="Gagné",Report[[#This Row],[FT]],"")</f>
        <v>0-2</v>
      </c>
      <c r="AD173" s="63" t="str">
        <f>IF(AND(Report[[#This Row],[Résultats SE]]="Gagné",Report[[#This Row],[FT]]=Report[[#This Row],[Score 1]]),Report[[#This Row],[FT]],"")</f>
        <v/>
      </c>
      <c r="AE173" s="63" t="str">
        <f>IF(AND(Report[[#This Row],[Résultats SE]]="Gagné",Report[[#This Row],[FT]]=Report[[#This Row],[Score 2]]),Report[[#This Row],[FT]],"")</f>
        <v/>
      </c>
      <c r="AF173" s="63" t="str">
        <f>IF(AND(Report[[#This Row],[Résultats SE]]="Gagné",Report[[#This Row],[FT]]=Report[[#This Row],[Score 3]]),Report[[#This Row],[FT]],"")</f>
        <v>0-2</v>
      </c>
      <c r="AG173" s="63" t="str">
        <f>IF(AND(Report[[#This Row],[Résultats SE]]="Gagné",Report[[#This Row],[FT]]=Report[[#This Row],[Score 4]]),Report[[#This Row],[FT]],"")</f>
        <v/>
      </c>
    </row>
    <row r="174" spans="1:33" ht="20.100000000000001" customHeight="1" x14ac:dyDescent="0.25">
      <c r="A174" s="11">
        <v>43428</v>
      </c>
      <c r="B174" s="7" t="s">
        <v>220</v>
      </c>
      <c r="C174" s="7" t="s">
        <v>110</v>
      </c>
      <c r="D174" s="10" t="s">
        <v>406</v>
      </c>
      <c r="E174" s="10" t="s">
        <v>398</v>
      </c>
      <c r="F174" s="7" t="s">
        <v>829</v>
      </c>
      <c r="G174" s="8" t="s">
        <v>830</v>
      </c>
      <c r="H174" s="9" t="s">
        <v>826</v>
      </c>
      <c r="I174" s="9" t="s">
        <v>831</v>
      </c>
      <c r="J174" s="9" t="s">
        <v>832</v>
      </c>
      <c r="K174" s="9" t="s">
        <v>406</v>
      </c>
      <c r="L174" s="16">
        <v>1.47</v>
      </c>
      <c r="M174" s="16">
        <v>5</v>
      </c>
      <c r="N174" s="17" t="s">
        <v>830</v>
      </c>
      <c r="O174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Vitebsk</v>
      </c>
      <c r="P174" s="18">
        <f>IF(Report[[#This Row],[FT]]="",,(LEFT(Report[[#This Row],[FT]],SEARCH("-",Report[[#This Row],[FT]])-1)*1))</f>
        <v>1</v>
      </c>
      <c r="Q174" s="22">
        <f>IF(Report[[#This Row],[FT]]="",,(RIGHT(Report[[#This Row],[FT]],SEARCH("-",Report[[#This Row],[FT]])-1)*1))</f>
        <v>0</v>
      </c>
      <c r="R174" s="18" t="str">
        <f>IF(Report[Résultat FT]="","",IF(Report[Résultat FT]=Report[Résultats],"Gagné","Perdu"))</f>
        <v>Gagné</v>
      </c>
      <c r="S174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174" s="53">
        <f>IF(Report[[#This Row],[FT]]="","",IF(Report[[#This Row],[FT]]=Report[[#This Row],[Score 1]],1,0))</f>
        <v>1</v>
      </c>
      <c r="U174" s="53">
        <f>IF(Report[[#This Row],[FT]]="","",IF(Report[ [#This Row],[FT] ]=Report[[#This Row],[Score 2]],1,0))</f>
        <v>0</v>
      </c>
      <c r="V174" s="53">
        <f>IF(Report[[#This Row],[FT]]="","",IF(Report[[#This Row],[FT]]=Report[[#This Row],[Score 3]],1,0))</f>
        <v>0</v>
      </c>
      <c r="W174" s="53">
        <f>IF(Report[[#This Row],[FT]]="","",IF(Report[[#This Row],[FT]]=Report[[#This Row],[Score 4]],1,0))</f>
        <v>0</v>
      </c>
      <c r="X174" s="66">
        <f>IF(Report[[#This Row],[Résultat FT]]="",,IF(Report[[#This Row],[Résultat FT]]=Report[[#This Row],[Résultats]],(Suivi_Gain!$B$1*Report[[#This Row],[Cote FT]])-Suivi_Gain!$B$1,-Suivi_Gain!$B$1))</f>
        <v>0.47</v>
      </c>
      <c r="Y174" s="94">
        <f>IF(Report[[#This Row],[FT]]="",,IF(Report[[#This Row],[FT]]=Report[[#This Row],[Score 1]],(Suivi_Gain!$G$1*Report[[#This Row],[Cote SE]])-Suivi_Gain!$G$1,-Suivi_Gain!$G$1))</f>
        <v>4</v>
      </c>
      <c r="Z174" s="65">
        <f>IF(Report[[#This Row],[FT]]="",,IF(Report[[#This Row],[FT]]=Report[[#This Row],[Score 2]],Suivi_Gain!$G$1*Report[[#This Row],[Cote SE]],-Suivi_Gain!$G$1))</f>
        <v>-1</v>
      </c>
      <c r="AA174" s="65">
        <f>IF(Report[[#This Row],[FT]]="",,IF(Report[[#This Row],[FT]]=Report[[#This Row],[Score 3]],Suivi_Gain!$G$1*Report[[#This Row],[Cote SE]],-Suivi_Gain!$G$1))</f>
        <v>-1</v>
      </c>
      <c r="AB174" s="65">
        <f>IF(Report[[#This Row],[FT]]="",,IF(Report[[#This Row],[FT]]=Report[[#This Row],[Score 4]],Suivi_Gain!$G$1*Report[[#This Row],[Cote SE]],-Suivi_Gain!$G$1))</f>
        <v>-1</v>
      </c>
      <c r="AC174" s="63" t="str">
        <f>IF(Report[[#This Row],[Résultats SE]]="Gagné",Report[[#This Row],[FT]],"")</f>
        <v>1-0</v>
      </c>
      <c r="AD174" s="63" t="str">
        <f>IF(AND(Report[[#This Row],[Résultats SE]]="Gagné",Report[[#This Row],[FT]]=Report[[#This Row],[Score 1]]),Report[[#This Row],[FT]],"")</f>
        <v>1-0</v>
      </c>
      <c r="AE174" s="63" t="str">
        <f>IF(AND(Report[[#This Row],[Résultats SE]]="Gagné",Report[[#This Row],[FT]]=Report[[#This Row],[Score 2]]),Report[[#This Row],[FT]],"")</f>
        <v/>
      </c>
      <c r="AF174" s="63" t="str">
        <f>IF(AND(Report[[#This Row],[Résultats SE]]="Gagné",Report[[#This Row],[FT]]=Report[[#This Row],[Score 3]]),Report[[#This Row],[FT]],"")</f>
        <v/>
      </c>
      <c r="AG174" s="63" t="str">
        <f>IF(AND(Report[[#This Row],[Résultats SE]]="Gagné",Report[[#This Row],[FT]]=Report[[#This Row],[Score 4]]),Report[[#This Row],[FT]],"")</f>
        <v/>
      </c>
    </row>
    <row r="175" spans="1:33" ht="20.100000000000001" customHeight="1" x14ac:dyDescent="0.25">
      <c r="A175" s="11">
        <v>43428</v>
      </c>
      <c r="B175" s="7" t="s">
        <v>73</v>
      </c>
      <c r="C175" s="7" t="s">
        <v>111</v>
      </c>
      <c r="D175" s="10" t="s">
        <v>263</v>
      </c>
      <c r="E175" s="10" t="s">
        <v>270</v>
      </c>
      <c r="F175" s="7" t="s">
        <v>835</v>
      </c>
      <c r="G175" s="8" t="s">
        <v>827</v>
      </c>
      <c r="H175" s="9" t="s">
        <v>825</v>
      </c>
      <c r="I175" s="9" t="s">
        <v>828</v>
      </c>
      <c r="J175" s="9" t="s">
        <v>826</v>
      </c>
      <c r="K175" s="9" t="s">
        <v>270</v>
      </c>
      <c r="L175" s="16" t="str">
        <f>IF(Report[Résultat FT]="","",IF(Report[Résultat FT]=Report[Résultats],"","-"))</f>
        <v>-</v>
      </c>
      <c r="M175" s="16" t="str">
        <f>IF(Report[[#This Row],[Résultat FT]]="","",IF(Report[[#This Row],[Résultats SE]]="Gagné","","-"))</f>
        <v>-</v>
      </c>
      <c r="N175" s="17" t="s">
        <v>838</v>
      </c>
      <c r="O175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Krupa</v>
      </c>
      <c r="P175" s="18">
        <f>IF(Report[[#This Row],[FT]]="",,(LEFT(Report[[#This Row],[FT]],SEARCH("-",Report[[#This Row],[FT]])-1)*1))</f>
        <v>2</v>
      </c>
      <c r="Q175" s="22">
        <f>IF(Report[[#This Row],[FT]]="",,(RIGHT(Report[[#This Row],[FT]],SEARCH("-",Report[[#This Row],[FT]])-1)*1))</f>
        <v>1</v>
      </c>
      <c r="R175" s="18" t="str">
        <f>IF(Report[Résultat FT]="","",IF(Report[Résultat FT]=Report[Résultats],"Gagné","Perdu"))</f>
        <v>Perdu</v>
      </c>
      <c r="S175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75" s="53">
        <f>IF(Report[[#This Row],[FT]]="","",IF(Report[[#This Row],[FT]]=Report[[#This Row],[Score 1]],1,0))</f>
        <v>0</v>
      </c>
      <c r="U175" s="53">
        <f>IF(Report[[#This Row],[FT]]="","",IF(Report[ [#This Row],[FT] ]=Report[[#This Row],[Score 2]],1,0))</f>
        <v>0</v>
      </c>
      <c r="V175" s="53">
        <f>IF(Report[[#This Row],[FT]]="","",IF(Report[[#This Row],[FT]]=Report[[#This Row],[Score 3]],1,0))</f>
        <v>0</v>
      </c>
      <c r="W175" s="53">
        <f>IF(Report[[#This Row],[FT]]="","",IF(Report[[#This Row],[FT]]=Report[[#This Row],[Score 4]],1,0))</f>
        <v>0</v>
      </c>
      <c r="X175" s="66">
        <f>IF(Report[[#This Row],[Résultat FT]]="",,IF(Report[[#This Row],[Résultat FT]]=Report[[#This Row],[Résultats]],(Suivi_Gain!$B$1*Report[[#This Row],[Cote FT]])-Suivi_Gain!$B$1,-Suivi_Gain!$B$1))</f>
        <v>-1</v>
      </c>
      <c r="Y175" s="94">
        <f>IF(Report[[#This Row],[FT]]="",,IF(Report[[#This Row],[FT]]=Report[[#This Row],[Score 1]],(Suivi_Gain!$G$1*Report[[#This Row],[Cote SE]])-Suivi_Gain!$G$1,-Suivi_Gain!$G$1))</f>
        <v>-1</v>
      </c>
      <c r="Z175" s="65">
        <f>IF(Report[[#This Row],[FT]]="",,IF(Report[[#This Row],[FT]]=Report[[#This Row],[Score 2]],Suivi_Gain!$G$1*Report[[#This Row],[Cote SE]],-Suivi_Gain!$G$1))</f>
        <v>-1</v>
      </c>
      <c r="AA175" s="65">
        <f>IF(Report[[#This Row],[FT]]="",,IF(Report[[#This Row],[FT]]=Report[[#This Row],[Score 3]],Suivi_Gain!$G$1*Report[[#This Row],[Cote SE]],-Suivi_Gain!$G$1))</f>
        <v>-1</v>
      </c>
      <c r="AB175" s="65">
        <f>IF(Report[[#This Row],[FT]]="",,IF(Report[[#This Row],[FT]]=Report[[#This Row],[Score 4]],Suivi_Gain!$G$1*Report[[#This Row],[Cote SE]],-Suivi_Gain!$G$1))</f>
        <v>-1</v>
      </c>
      <c r="AC175" s="63" t="str">
        <f>IF(Report[[#This Row],[Résultats SE]]="Gagné",Report[[#This Row],[FT]],"")</f>
        <v/>
      </c>
      <c r="AD175" s="63" t="str">
        <f>IF(AND(Report[[#This Row],[Résultats SE]]="Gagné",Report[[#This Row],[FT]]=Report[[#This Row],[Score 1]]),Report[[#This Row],[FT]],"")</f>
        <v/>
      </c>
      <c r="AE175" s="63" t="str">
        <f>IF(AND(Report[[#This Row],[Résultats SE]]="Gagné",Report[[#This Row],[FT]]=Report[[#This Row],[Score 2]]),Report[[#This Row],[FT]],"")</f>
        <v/>
      </c>
      <c r="AF175" s="63" t="str">
        <f>IF(AND(Report[[#This Row],[Résultats SE]]="Gagné",Report[[#This Row],[FT]]=Report[[#This Row],[Score 3]]),Report[[#This Row],[FT]],"")</f>
        <v/>
      </c>
      <c r="AG175" s="63" t="str">
        <f>IF(AND(Report[[#This Row],[Résultats SE]]="Gagné",Report[[#This Row],[FT]]=Report[[#This Row],[Score 4]]),Report[[#This Row],[FT]],"")</f>
        <v/>
      </c>
    </row>
    <row r="176" spans="1:33" ht="20.100000000000001" customHeight="1" x14ac:dyDescent="0.25">
      <c r="A176" s="11">
        <v>43428</v>
      </c>
      <c r="B176" s="7" t="s">
        <v>73</v>
      </c>
      <c r="C176" s="7" t="s">
        <v>111</v>
      </c>
      <c r="D176" s="10" t="s">
        <v>269</v>
      </c>
      <c r="E176" s="10" t="s">
        <v>271</v>
      </c>
      <c r="F176" s="7" t="s">
        <v>824</v>
      </c>
      <c r="G176" s="8" t="s">
        <v>825</v>
      </c>
      <c r="H176" s="9" t="s">
        <v>826</v>
      </c>
      <c r="I176" s="9" t="s">
        <v>827</v>
      </c>
      <c r="J176" s="9" t="s">
        <v>828</v>
      </c>
      <c r="K176" s="9" t="s">
        <v>271</v>
      </c>
      <c r="L176" s="16">
        <v>1.7</v>
      </c>
      <c r="M176" s="16" t="str">
        <f>IF(Report[[#This Row],[Résultat FT]]="","",IF(Report[[#This Row],[Résultats SE]]="Gagné","","-"))</f>
        <v>-</v>
      </c>
      <c r="N176" s="17" t="s">
        <v>839</v>
      </c>
      <c r="O176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Zrinjski</v>
      </c>
      <c r="P176" s="18">
        <f>IF(Report[[#This Row],[FT]]="",,(LEFT(Report[[#This Row],[FT]],SEARCH("-",Report[[#This Row],[FT]])-1)*1))</f>
        <v>1</v>
      </c>
      <c r="Q176" s="22">
        <f>IF(Report[[#This Row],[FT]]="",,(RIGHT(Report[[#This Row],[FT]],SEARCH("-",Report[[#This Row],[FT]])-1)*1))</f>
        <v>2</v>
      </c>
      <c r="R176" s="18" t="str">
        <f>IF(Report[Résultat FT]="","",IF(Report[Résultat FT]=Report[Résultats],"Gagné","Perdu"))</f>
        <v>Gagné</v>
      </c>
      <c r="S176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76" s="53">
        <f>IF(Report[[#This Row],[FT]]="","",IF(Report[[#This Row],[FT]]=Report[[#This Row],[Score 1]],1,0))</f>
        <v>0</v>
      </c>
      <c r="U176" s="53">
        <f>IF(Report[[#This Row],[FT]]="","",IF(Report[ [#This Row],[FT] ]=Report[[#This Row],[Score 2]],1,0))</f>
        <v>0</v>
      </c>
      <c r="V176" s="53">
        <f>IF(Report[[#This Row],[FT]]="","",IF(Report[[#This Row],[FT]]=Report[[#This Row],[Score 3]],1,0))</f>
        <v>0</v>
      </c>
      <c r="W176" s="53">
        <f>IF(Report[[#This Row],[FT]]="","",IF(Report[[#This Row],[FT]]=Report[[#This Row],[Score 4]],1,0))</f>
        <v>0</v>
      </c>
      <c r="X176" s="66">
        <f>IF(Report[[#This Row],[Résultat FT]]="",,IF(Report[[#This Row],[Résultat FT]]=Report[[#This Row],[Résultats]],(Suivi_Gain!$B$1*Report[[#This Row],[Cote FT]])-Suivi_Gain!$B$1,-Suivi_Gain!$B$1))</f>
        <v>0.7</v>
      </c>
      <c r="Y176" s="94">
        <f>IF(Report[[#This Row],[FT]]="",,IF(Report[[#This Row],[FT]]=Report[[#This Row],[Score 1]],(Suivi_Gain!$G$1*Report[[#This Row],[Cote SE]])-Suivi_Gain!$G$1,-Suivi_Gain!$G$1))</f>
        <v>-1</v>
      </c>
      <c r="Z176" s="65">
        <f>IF(Report[[#This Row],[FT]]="",,IF(Report[[#This Row],[FT]]=Report[[#This Row],[Score 2]],Suivi_Gain!$G$1*Report[[#This Row],[Cote SE]],-Suivi_Gain!$G$1))</f>
        <v>-1</v>
      </c>
      <c r="AA176" s="65">
        <f>IF(Report[[#This Row],[FT]]="",,IF(Report[[#This Row],[FT]]=Report[[#This Row],[Score 3]],Suivi_Gain!$G$1*Report[[#This Row],[Cote SE]],-Suivi_Gain!$G$1))</f>
        <v>-1</v>
      </c>
      <c r="AB176" s="65">
        <f>IF(Report[[#This Row],[FT]]="",,IF(Report[[#This Row],[FT]]=Report[[#This Row],[Score 4]],Suivi_Gain!$G$1*Report[[#This Row],[Cote SE]],-Suivi_Gain!$G$1))</f>
        <v>-1</v>
      </c>
      <c r="AC176" s="63" t="str">
        <f>IF(Report[[#This Row],[Résultats SE]]="Gagné",Report[[#This Row],[FT]],"")</f>
        <v/>
      </c>
      <c r="AD176" s="63" t="str">
        <f>IF(AND(Report[[#This Row],[Résultats SE]]="Gagné",Report[[#This Row],[FT]]=Report[[#This Row],[Score 1]]),Report[[#This Row],[FT]],"")</f>
        <v/>
      </c>
      <c r="AE176" s="63" t="str">
        <f>IF(AND(Report[[#This Row],[Résultats SE]]="Gagné",Report[[#This Row],[FT]]=Report[[#This Row],[Score 2]]),Report[[#This Row],[FT]],"")</f>
        <v/>
      </c>
      <c r="AF176" s="63" t="str">
        <f>IF(AND(Report[[#This Row],[Résultats SE]]="Gagné",Report[[#This Row],[FT]]=Report[[#This Row],[Score 3]]),Report[[#This Row],[FT]],"")</f>
        <v/>
      </c>
      <c r="AG176" s="63" t="str">
        <f>IF(AND(Report[[#This Row],[Résultats SE]]="Gagné",Report[[#This Row],[FT]]=Report[[#This Row],[Score 4]]),Report[[#This Row],[FT]],"")</f>
        <v/>
      </c>
    </row>
    <row r="177" spans="1:33" ht="20.100000000000001" customHeight="1" x14ac:dyDescent="0.25">
      <c r="A177" s="11">
        <v>43428</v>
      </c>
      <c r="B177" s="7" t="s">
        <v>73</v>
      </c>
      <c r="C177" s="7" t="s">
        <v>111</v>
      </c>
      <c r="D177" s="10" t="s">
        <v>261</v>
      </c>
      <c r="E177" s="10" t="s">
        <v>264</v>
      </c>
      <c r="F177" s="7" t="s">
        <v>833</v>
      </c>
      <c r="G177" s="8" t="s">
        <v>834</v>
      </c>
      <c r="H177" s="9" t="s">
        <v>830</v>
      </c>
      <c r="I177" s="9" t="s">
        <v>825</v>
      </c>
      <c r="J177" s="9" t="s">
        <v>826</v>
      </c>
      <c r="K177" s="9" t="s">
        <v>233</v>
      </c>
      <c r="L177" s="16" t="str">
        <f>IF(Report[Résultat FT]="","",IF(Report[Résultat FT]=Report[Résultats],"","-"))</f>
        <v>-</v>
      </c>
      <c r="M177" s="16" t="str">
        <f>IF(Report[[#This Row],[Résultat FT]]="","",IF(Report[[#This Row],[Résultats SE]]="Gagné","","-"))</f>
        <v>-</v>
      </c>
      <c r="N177" s="17" t="s">
        <v>828</v>
      </c>
      <c r="O177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Mladost DK</v>
      </c>
      <c r="P177" s="18">
        <f>IF(Report[[#This Row],[FT]]="",,(LEFT(Report[[#This Row],[FT]],SEARCH("-",Report[[#This Row],[FT]])-1)*1))</f>
        <v>0</v>
      </c>
      <c r="Q177" s="22">
        <f>IF(Report[[#This Row],[FT]]="",,(RIGHT(Report[[#This Row],[FT]],SEARCH("-",Report[[#This Row],[FT]])-1)*1))</f>
        <v>3</v>
      </c>
      <c r="R177" s="18" t="str">
        <f>IF(Report[Résultat FT]="","",IF(Report[Résultat FT]=Report[Résultats],"Gagné","Perdu"))</f>
        <v>Perdu</v>
      </c>
      <c r="S177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77" s="53">
        <f>IF(Report[[#This Row],[FT]]="","",IF(Report[[#This Row],[FT]]=Report[[#This Row],[Score 1]],1,0))</f>
        <v>0</v>
      </c>
      <c r="U177" s="53">
        <f>IF(Report[[#This Row],[FT]]="","",IF(Report[ [#This Row],[FT] ]=Report[[#This Row],[Score 2]],1,0))</f>
        <v>0</v>
      </c>
      <c r="V177" s="53">
        <f>IF(Report[[#This Row],[FT]]="","",IF(Report[[#This Row],[FT]]=Report[[#This Row],[Score 3]],1,0))</f>
        <v>0</v>
      </c>
      <c r="W177" s="53">
        <f>IF(Report[[#This Row],[FT]]="","",IF(Report[[#This Row],[FT]]=Report[[#This Row],[Score 4]],1,0))</f>
        <v>0</v>
      </c>
      <c r="X177" s="66">
        <f>IF(Report[[#This Row],[Résultat FT]]="",,IF(Report[[#This Row],[Résultat FT]]=Report[[#This Row],[Résultats]],(Suivi_Gain!$B$1*Report[[#This Row],[Cote FT]])-Suivi_Gain!$B$1,-Suivi_Gain!$B$1))</f>
        <v>-1</v>
      </c>
      <c r="Y177" s="94">
        <f>IF(Report[[#This Row],[FT]]="",,IF(Report[[#This Row],[FT]]=Report[[#This Row],[Score 1]],(Suivi_Gain!$G$1*Report[[#This Row],[Cote SE]])-Suivi_Gain!$G$1,-Suivi_Gain!$G$1))</f>
        <v>-1</v>
      </c>
      <c r="Z177" s="65">
        <f>IF(Report[[#This Row],[FT]]="",,IF(Report[[#This Row],[FT]]=Report[[#This Row],[Score 2]],Suivi_Gain!$G$1*Report[[#This Row],[Cote SE]],-Suivi_Gain!$G$1))</f>
        <v>-1</v>
      </c>
      <c r="AA177" s="65">
        <f>IF(Report[[#This Row],[FT]]="",,IF(Report[[#This Row],[FT]]=Report[[#This Row],[Score 3]],Suivi_Gain!$G$1*Report[[#This Row],[Cote SE]],-Suivi_Gain!$G$1))</f>
        <v>-1</v>
      </c>
      <c r="AB177" s="65">
        <f>IF(Report[[#This Row],[FT]]="",,IF(Report[[#This Row],[FT]]=Report[[#This Row],[Score 4]],Suivi_Gain!$G$1*Report[[#This Row],[Cote SE]],-Suivi_Gain!$G$1))</f>
        <v>-1</v>
      </c>
      <c r="AC177" s="63" t="str">
        <f>IF(Report[[#This Row],[Résultats SE]]="Gagné",Report[[#This Row],[FT]],"")</f>
        <v/>
      </c>
      <c r="AD177" s="63" t="str">
        <f>IF(AND(Report[[#This Row],[Résultats SE]]="Gagné",Report[[#This Row],[FT]]=Report[[#This Row],[Score 1]]),Report[[#This Row],[FT]],"")</f>
        <v/>
      </c>
      <c r="AE177" s="63" t="str">
        <f>IF(AND(Report[[#This Row],[Résultats SE]]="Gagné",Report[[#This Row],[FT]]=Report[[#This Row],[Score 2]]),Report[[#This Row],[FT]],"")</f>
        <v/>
      </c>
      <c r="AF177" s="63" t="str">
        <f>IF(AND(Report[[#This Row],[Résultats SE]]="Gagné",Report[[#This Row],[FT]]=Report[[#This Row],[Score 3]]),Report[[#This Row],[FT]],"")</f>
        <v/>
      </c>
      <c r="AG177" s="63" t="str">
        <f>IF(AND(Report[[#This Row],[Résultats SE]]="Gagné",Report[[#This Row],[FT]]=Report[[#This Row],[Score 4]]),Report[[#This Row],[FT]],"")</f>
        <v/>
      </c>
    </row>
    <row r="178" spans="1:33" ht="20.100000000000001" customHeight="1" x14ac:dyDescent="0.25">
      <c r="A178" s="11">
        <v>43428</v>
      </c>
      <c r="B178" s="7" t="s">
        <v>221</v>
      </c>
      <c r="C178" s="7" t="s">
        <v>104</v>
      </c>
      <c r="D178" s="10" t="s">
        <v>522</v>
      </c>
      <c r="E178" s="10" t="s">
        <v>519</v>
      </c>
      <c r="F178" s="7" t="s">
        <v>833</v>
      </c>
      <c r="G178" s="8" t="s">
        <v>834</v>
      </c>
      <c r="H178" s="9" t="s">
        <v>830</v>
      </c>
      <c r="I178" s="9" t="s">
        <v>825</v>
      </c>
      <c r="J178" s="9" t="s">
        <v>826</v>
      </c>
      <c r="K178" s="9" t="s">
        <v>233</v>
      </c>
      <c r="L178" s="16" t="str">
        <f>IF(Report[Résultat FT]="","",IF(Report[Résultat FT]=Report[Résultats],"","-"))</f>
        <v>-</v>
      </c>
      <c r="M178" s="16" t="str">
        <f>IF(Report[[#This Row],[Résultat FT]]="","",IF(Report[[#This Row],[Résultats SE]]="Gagné","","-"))</f>
        <v>-</v>
      </c>
      <c r="N178" s="17" t="s">
        <v>891</v>
      </c>
      <c r="O178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Santos</v>
      </c>
      <c r="P178" s="18">
        <f>IF(Report[[#This Row],[FT]]="",,(LEFT(Report[[#This Row],[FT]],SEARCH("-",Report[[#This Row],[FT]])-1)*1))</f>
        <v>3</v>
      </c>
      <c r="Q178" s="22">
        <f>IF(Report[[#This Row],[FT]]="",,(RIGHT(Report[[#This Row],[FT]],SEARCH("-",Report[[#This Row],[FT]])-1)*1))</f>
        <v>2</v>
      </c>
      <c r="R178" s="18" t="str">
        <f>IF(Report[Résultat FT]="","",IF(Report[Résultat FT]=Report[Résultats],"Gagné","Perdu"))</f>
        <v>Perdu</v>
      </c>
      <c r="S178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78" s="53">
        <f>IF(Report[[#This Row],[FT]]="","",IF(Report[[#This Row],[FT]]=Report[[#This Row],[Score 1]],1,0))</f>
        <v>0</v>
      </c>
      <c r="U178" s="53">
        <f>IF(Report[[#This Row],[FT]]="","",IF(Report[ [#This Row],[FT] ]=Report[[#This Row],[Score 2]],1,0))</f>
        <v>0</v>
      </c>
      <c r="V178" s="53">
        <f>IF(Report[[#This Row],[FT]]="","",IF(Report[[#This Row],[FT]]=Report[[#This Row],[Score 3]],1,0))</f>
        <v>0</v>
      </c>
      <c r="W178" s="53">
        <f>IF(Report[[#This Row],[FT]]="","",IF(Report[[#This Row],[FT]]=Report[[#This Row],[Score 4]],1,0))</f>
        <v>0</v>
      </c>
      <c r="X178" s="94">
        <f>IF(Report[[#This Row],[Résultat FT]]="",,IF(Report[[#This Row],[Résultat FT]]=Report[[#This Row],[Résultats]],(Suivi_Gain!$B$1*Report[[#This Row],[Cote FT]])-Suivi_Gain!$B$1,-Suivi_Gain!$B$1))</f>
        <v>-1</v>
      </c>
      <c r="Y178" s="94">
        <f>IF(Report[[#This Row],[FT]]="",,IF(Report[[#This Row],[FT]]=Report[[#This Row],[Score 1]],(Suivi_Gain!$G$1*Report[[#This Row],[Cote SE]])-Suivi_Gain!$G$1,-Suivi_Gain!$G$1))</f>
        <v>-1</v>
      </c>
      <c r="Z178" s="65">
        <f>IF(Report[[#This Row],[FT]]="",,IF(Report[[#This Row],[FT]]=Report[[#This Row],[Score 2]],Suivi_Gain!$G$1*Report[[#This Row],[Cote SE]],-Suivi_Gain!$G$1))</f>
        <v>-1</v>
      </c>
      <c r="AA178" s="65">
        <f>IF(Report[[#This Row],[FT]]="",,IF(Report[[#This Row],[FT]]=Report[[#This Row],[Score 3]],Suivi_Gain!$G$1*Report[[#This Row],[Cote SE]],-Suivi_Gain!$G$1))</f>
        <v>-1</v>
      </c>
      <c r="AB178" s="65">
        <f>IF(Report[[#This Row],[FT]]="",,IF(Report[[#This Row],[FT]]=Report[[#This Row],[Score 4]],Suivi_Gain!$G$1*Report[[#This Row],[Cote SE]],-Suivi_Gain!$G$1))</f>
        <v>-1</v>
      </c>
      <c r="AC178" s="18" t="str">
        <f>IF(Report[[#This Row],[Résultats SE]]="Gagné",Report[[#This Row],[FT]],"")</f>
        <v/>
      </c>
      <c r="AD178" s="18" t="str">
        <f>IF(AND(Report[[#This Row],[Résultats SE]]="Gagné",Report[[#This Row],[FT]]=Report[[#This Row],[Score 1]]),Report[[#This Row],[FT]],"")</f>
        <v/>
      </c>
      <c r="AE178" s="18" t="str">
        <f>IF(AND(Report[[#This Row],[Résultats SE]]="Gagné",Report[[#This Row],[FT]]=Report[[#This Row],[Score 2]]),Report[[#This Row],[FT]],"")</f>
        <v/>
      </c>
      <c r="AF178" s="18" t="str">
        <f>IF(AND(Report[[#This Row],[Résultats SE]]="Gagné",Report[[#This Row],[FT]]=Report[[#This Row],[Score 3]]),Report[[#This Row],[FT]],"")</f>
        <v/>
      </c>
      <c r="AG178" s="18" t="str">
        <f>IF(AND(Report[[#This Row],[Résultats SE]]="Gagné",Report[[#This Row],[FT]]=Report[[#This Row],[Score 4]]),Report[[#This Row],[FT]],"")</f>
        <v/>
      </c>
    </row>
    <row r="179" spans="1:33" ht="20.100000000000001" customHeight="1" x14ac:dyDescent="0.25">
      <c r="A179" s="11">
        <v>43428</v>
      </c>
      <c r="B179" s="7" t="s">
        <v>75</v>
      </c>
      <c r="C179" s="7" t="s">
        <v>112</v>
      </c>
      <c r="D179" s="10" t="s">
        <v>390</v>
      </c>
      <c r="E179" s="10" t="s">
        <v>383</v>
      </c>
      <c r="F179" s="7" t="s">
        <v>843</v>
      </c>
      <c r="G179" s="8" t="s">
        <v>839</v>
      </c>
      <c r="H179" s="9" t="s">
        <v>834</v>
      </c>
      <c r="I179" s="9" t="s">
        <v>827</v>
      </c>
      <c r="J179" s="9" t="s">
        <v>825</v>
      </c>
      <c r="K179" s="9" t="s">
        <v>383</v>
      </c>
      <c r="L179" s="16" t="str">
        <f>IF(Report[Résultat FT]="","",IF(Report[Résultat FT]=Report[Résultats],"","-"))</f>
        <v>-</v>
      </c>
      <c r="M179" s="16" t="str">
        <f>IF(Report[[#This Row],[Résultat FT]]="","",IF(Report[[#This Row],[Résultats SE]]="Gagné","","-"))</f>
        <v>-</v>
      </c>
      <c r="N179" s="17" t="s">
        <v>838</v>
      </c>
      <c r="O179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Septemvri Sofia</v>
      </c>
      <c r="P179" s="18">
        <f>IF(Report[[#This Row],[FT]]="",,(LEFT(Report[[#This Row],[FT]],SEARCH("-",Report[[#This Row],[FT]])-1)*1))</f>
        <v>2</v>
      </c>
      <c r="Q179" s="22">
        <f>IF(Report[[#This Row],[FT]]="",,(RIGHT(Report[[#This Row],[FT]],SEARCH("-",Report[[#This Row],[FT]])-1)*1))</f>
        <v>1</v>
      </c>
      <c r="R179" s="18" t="str">
        <f>IF(Report[Résultat FT]="","",IF(Report[Résultat FT]=Report[Résultats],"Gagné","Perdu"))</f>
        <v>Perdu</v>
      </c>
      <c r="S179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79" s="53">
        <f>IF(Report[[#This Row],[FT]]="","",IF(Report[[#This Row],[FT]]=Report[[#This Row],[Score 1]],1,0))</f>
        <v>0</v>
      </c>
      <c r="U179" s="53">
        <f>IF(Report[[#This Row],[FT]]="","",IF(Report[ [#This Row],[FT] ]=Report[[#This Row],[Score 2]],1,0))</f>
        <v>0</v>
      </c>
      <c r="V179" s="53">
        <f>IF(Report[[#This Row],[FT]]="","",IF(Report[[#This Row],[FT]]=Report[[#This Row],[Score 3]],1,0))</f>
        <v>0</v>
      </c>
      <c r="W179" s="53">
        <f>IF(Report[[#This Row],[FT]]="","",IF(Report[[#This Row],[FT]]=Report[[#This Row],[Score 4]],1,0))</f>
        <v>0</v>
      </c>
      <c r="X179" s="66">
        <f>IF(Report[[#This Row],[Résultat FT]]="",,IF(Report[[#This Row],[Résultat FT]]=Report[[#This Row],[Résultats]],(Suivi_Gain!$B$1*Report[[#This Row],[Cote FT]])-Suivi_Gain!$B$1,-Suivi_Gain!$B$1))</f>
        <v>-1</v>
      </c>
      <c r="Y179" s="94">
        <f>IF(Report[[#This Row],[FT]]="",,IF(Report[[#This Row],[FT]]=Report[[#This Row],[Score 1]],(Suivi_Gain!$G$1*Report[[#This Row],[Cote SE]])-Suivi_Gain!$G$1,-Suivi_Gain!$G$1))</f>
        <v>-1</v>
      </c>
      <c r="Z179" s="65">
        <f>IF(Report[[#This Row],[FT]]="",,IF(Report[[#This Row],[FT]]=Report[[#This Row],[Score 2]],Suivi_Gain!$G$1*Report[[#This Row],[Cote SE]],-Suivi_Gain!$G$1))</f>
        <v>-1</v>
      </c>
      <c r="AA179" s="65">
        <f>IF(Report[[#This Row],[FT]]="",,IF(Report[[#This Row],[FT]]=Report[[#This Row],[Score 3]],Suivi_Gain!$G$1*Report[[#This Row],[Cote SE]],-Suivi_Gain!$G$1))</f>
        <v>-1</v>
      </c>
      <c r="AB179" s="65">
        <f>IF(Report[[#This Row],[FT]]="",,IF(Report[[#This Row],[FT]]=Report[[#This Row],[Score 4]],Suivi_Gain!$G$1*Report[[#This Row],[Cote SE]],-Suivi_Gain!$G$1))</f>
        <v>-1</v>
      </c>
      <c r="AC179" s="63" t="str">
        <f>IF(Report[[#This Row],[Résultats SE]]="Gagné",Report[[#This Row],[FT]],"")</f>
        <v/>
      </c>
      <c r="AD179" s="63" t="str">
        <f>IF(AND(Report[[#This Row],[Résultats SE]]="Gagné",Report[[#This Row],[FT]]=Report[[#This Row],[Score 1]]),Report[[#This Row],[FT]],"")</f>
        <v/>
      </c>
      <c r="AE179" s="63" t="str">
        <f>IF(AND(Report[[#This Row],[Résultats SE]]="Gagné",Report[[#This Row],[FT]]=Report[[#This Row],[Score 2]]),Report[[#This Row],[FT]],"")</f>
        <v/>
      </c>
      <c r="AF179" s="63" t="str">
        <f>IF(AND(Report[[#This Row],[Résultats SE]]="Gagné",Report[[#This Row],[FT]]=Report[[#This Row],[Score 3]]),Report[[#This Row],[FT]],"")</f>
        <v/>
      </c>
      <c r="AG179" s="63" t="str">
        <f>IF(AND(Report[[#This Row],[Résultats SE]]="Gagné",Report[[#This Row],[FT]]=Report[[#This Row],[Score 4]]),Report[[#This Row],[FT]],"")</f>
        <v/>
      </c>
    </row>
    <row r="180" spans="1:33" ht="20.100000000000001" customHeight="1" x14ac:dyDescent="0.25">
      <c r="A180" s="11">
        <v>43428</v>
      </c>
      <c r="B180" s="7" t="s">
        <v>75</v>
      </c>
      <c r="C180" s="7" t="s">
        <v>112</v>
      </c>
      <c r="D180" s="10" t="s">
        <v>385</v>
      </c>
      <c r="E180" s="10" t="s">
        <v>384</v>
      </c>
      <c r="F180" s="7" t="s">
        <v>877</v>
      </c>
      <c r="G180" s="8" t="s">
        <v>828</v>
      </c>
      <c r="H180" s="9" t="s">
        <v>827</v>
      </c>
      <c r="I180" s="9" t="s">
        <v>878</v>
      </c>
      <c r="J180" s="9" t="s">
        <v>825</v>
      </c>
      <c r="K180" s="9" t="s">
        <v>384</v>
      </c>
      <c r="L180" s="16">
        <v>1.38</v>
      </c>
      <c r="M180" s="16">
        <v>6.4</v>
      </c>
      <c r="N180" s="17" t="s">
        <v>827</v>
      </c>
      <c r="O180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CSKA Sofia</v>
      </c>
      <c r="P180" s="18">
        <f>IF(Report[[#This Row],[FT]]="",,(LEFT(Report[[#This Row],[FT]],SEARCH("-",Report[[#This Row],[FT]])-1)*1))</f>
        <v>0</v>
      </c>
      <c r="Q180" s="22">
        <f>IF(Report[[#This Row],[FT]]="",,(RIGHT(Report[[#This Row],[FT]],SEARCH("-",Report[[#This Row],[FT]])-1)*1))</f>
        <v>2</v>
      </c>
      <c r="R180" s="18" t="str">
        <f>IF(Report[Résultat FT]="","",IF(Report[Résultat FT]=Report[Résultats],"Gagné","Perdu"))</f>
        <v>Gagné</v>
      </c>
      <c r="S180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180" s="53">
        <f>IF(Report[[#This Row],[FT]]="","",IF(Report[[#This Row],[FT]]=Report[[#This Row],[Score 1]],1,0))</f>
        <v>0</v>
      </c>
      <c r="U180" s="53">
        <f>IF(Report[[#This Row],[FT]]="","",IF(Report[ [#This Row],[FT] ]=Report[[#This Row],[Score 2]],1,0))</f>
        <v>1</v>
      </c>
      <c r="V180" s="53">
        <f>IF(Report[[#This Row],[FT]]="","",IF(Report[[#This Row],[FT]]=Report[[#This Row],[Score 3]],1,0))</f>
        <v>0</v>
      </c>
      <c r="W180" s="53">
        <f>IF(Report[[#This Row],[FT]]="","",IF(Report[[#This Row],[FT]]=Report[[#This Row],[Score 4]],1,0))</f>
        <v>0</v>
      </c>
      <c r="X180" s="66">
        <f>IF(Report[[#This Row],[Résultat FT]]="",,IF(Report[[#This Row],[Résultat FT]]=Report[[#This Row],[Résultats]],(Suivi_Gain!$B$1*Report[[#This Row],[Cote FT]])-Suivi_Gain!$B$1,-Suivi_Gain!$B$1))</f>
        <v>0.37999999999999989</v>
      </c>
      <c r="Y180" s="94">
        <f>IF(Report[[#This Row],[FT]]="",,IF(Report[[#This Row],[FT]]=Report[[#This Row],[Score 1]],(Suivi_Gain!$G$1*Report[[#This Row],[Cote SE]])-Suivi_Gain!$G$1,-Suivi_Gain!$G$1))</f>
        <v>-1</v>
      </c>
      <c r="Z180" s="65">
        <f>IF(Report[[#This Row],[FT]]="",,IF(Report[[#This Row],[FT]]=Report[[#This Row],[Score 2]],Suivi_Gain!$G$1*Report[[#This Row],[Cote SE]],-Suivi_Gain!$G$1))</f>
        <v>6.4</v>
      </c>
      <c r="AA180" s="65">
        <f>IF(Report[[#This Row],[FT]]="",,IF(Report[[#This Row],[FT]]=Report[[#This Row],[Score 3]],Suivi_Gain!$G$1*Report[[#This Row],[Cote SE]],-Suivi_Gain!$G$1))</f>
        <v>-1</v>
      </c>
      <c r="AB180" s="65">
        <f>IF(Report[[#This Row],[FT]]="",,IF(Report[[#This Row],[FT]]=Report[[#This Row],[Score 4]],Suivi_Gain!$G$1*Report[[#This Row],[Cote SE]],-Suivi_Gain!$G$1))</f>
        <v>-1</v>
      </c>
      <c r="AC180" s="63" t="str">
        <f>IF(Report[[#This Row],[Résultats SE]]="Gagné",Report[[#This Row],[FT]],"")</f>
        <v>0-2</v>
      </c>
      <c r="AD180" s="63" t="str">
        <f>IF(AND(Report[[#This Row],[Résultats SE]]="Gagné",Report[[#This Row],[FT]]=Report[[#This Row],[Score 1]]),Report[[#This Row],[FT]],"")</f>
        <v/>
      </c>
      <c r="AE180" s="63" t="str">
        <f>IF(AND(Report[[#This Row],[Résultats SE]]="Gagné",Report[[#This Row],[FT]]=Report[[#This Row],[Score 2]]),Report[[#This Row],[FT]],"")</f>
        <v>0-2</v>
      </c>
      <c r="AF180" s="63" t="str">
        <f>IF(AND(Report[[#This Row],[Résultats SE]]="Gagné",Report[[#This Row],[FT]]=Report[[#This Row],[Score 3]]),Report[[#This Row],[FT]],"")</f>
        <v/>
      </c>
      <c r="AG180" s="63" t="str">
        <f>IF(AND(Report[[#This Row],[Résultats SE]]="Gagné",Report[[#This Row],[FT]]=Report[[#This Row],[Score 4]]),Report[[#This Row],[FT]],"")</f>
        <v/>
      </c>
    </row>
    <row r="181" spans="1:33" ht="20.100000000000001" customHeight="1" x14ac:dyDescent="0.25">
      <c r="A181" s="11">
        <v>43428</v>
      </c>
      <c r="B181" s="7" t="s">
        <v>75</v>
      </c>
      <c r="C181" s="7" t="s">
        <v>112</v>
      </c>
      <c r="D181" s="19" t="s">
        <v>388</v>
      </c>
      <c r="E181" s="19" t="s">
        <v>389</v>
      </c>
      <c r="F181" s="7" t="s">
        <v>824</v>
      </c>
      <c r="G181" s="20" t="s">
        <v>825</v>
      </c>
      <c r="H181" s="20" t="s">
        <v>826</v>
      </c>
      <c r="I181" s="20" t="s">
        <v>827</v>
      </c>
      <c r="J181" s="20" t="s">
        <v>828</v>
      </c>
      <c r="K181" s="21" t="s">
        <v>389</v>
      </c>
      <c r="L181" s="16">
        <v>1.26</v>
      </c>
      <c r="M181" s="16">
        <v>6.75</v>
      </c>
      <c r="N181" s="17" t="s">
        <v>825</v>
      </c>
      <c r="O181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Ludogorets</v>
      </c>
      <c r="P181" s="18">
        <f>IF(Report[[#This Row],[FT]]="",,(LEFT(Report[[#This Row],[FT]],SEARCH("-",Report[[#This Row],[FT]])-1)*1))</f>
        <v>0</v>
      </c>
      <c r="Q181" s="22">
        <f>IF(Report[[#This Row],[FT]]="",,(RIGHT(Report[[#This Row],[FT]],SEARCH("-",Report[[#This Row],[FT]])-1)*1))</f>
        <v>1</v>
      </c>
      <c r="R181" s="18" t="str">
        <f>IF(Report[Résultat FT]="","",IF(Report[Résultat FT]=Report[Résultats],"Gagné","Perdu"))</f>
        <v>Gagné</v>
      </c>
      <c r="S181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181" s="53">
        <f>IF(Report[[#This Row],[FT]]="","",IF(Report[[#This Row],[FT]]=Report[[#This Row],[Score 1]],1,0))</f>
        <v>1</v>
      </c>
      <c r="U181" s="53">
        <f>IF(Report[[#This Row],[FT]]="","",IF(Report[ [#This Row],[FT] ]=Report[[#This Row],[Score 2]],1,0))</f>
        <v>0</v>
      </c>
      <c r="V181" s="53">
        <f>IF(Report[[#This Row],[FT]]="","",IF(Report[[#This Row],[FT]]=Report[[#This Row],[Score 3]],1,0))</f>
        <v>0</v>
      </c>
      <c r="W181" s="53">
        <f>IF(Report[[#This Row],[FT]]="","",IF(Report[[#This Row],[FT]]=Report[[#This Row],[Score 4]],1,0))</f>
        <v>0</v>
      </c>
      <c r="X181" s="66">
        <f>IF(Report[[#This Row],[Résultat FT]]="",,IF(Report[[#This Row],[Résultat FT]]=Report[[#This Row],[Résultats]],(Suivi_Gain!$B$1*Report[[#This Row],[Cote FT]])-Suivi_Gain!$B$1,-Suivi_Gain!$B$1))</f>
        <v>0.26</v>
      </c>
      <c r="Y181" s="94">
        <f>IF(Report[[#This Row],[FT]]="",,IF(Report[[#This Row],[FT]]=Report[[#This Row],[Score 1]],(Suivi_Gain!$G$1*Report[[#This Row],[Cote SE]])-Suivi_Gain!$G$1,-Suivi_Gain!$G$1))</f>
        <v>5.75</v>
      </c>
      <c r="Z181" s="65">
        <f>IF(Report[[#This Row],[FT]]="",,IF(Report[[#This Row],[FT]]=Report[[#This Row],[Score 2]],Suivi_Gain!$G$1*Report[[#This Row],[Cote SE]],-Suivi_Gain!$G$1))</f>
        <v>-1</v>
      </c>
      <c r="AA181" s="65">
        <f>IF(Report[[#This Row],[FT]]="",,IF(Report[[#This Row],[FT]]=Report[[#This Row],[Score 3]],Suivi_Gain!$G$1*Report[[#This Row],[Cote SE]],-Suivi_Gain!$G$1))</f>
        <v>-1</v>
      </c>
      <c r="AB181" s="65">
        <f>IF(Report[[#This Row],[FT]]="",,IF(Report[[#This Row],[FT]]=Report[[#This Row],[Score 4]],Suivi_Gain!$G$1*Report[[#This Row],[Cote SE]],-Suivi_Gain!$G$1))</f>
        <v>-1</v>
      </c>
      <c r="AC181" s="63" t="str">
        <f>IF(Report[[#This Row],[Résultats SE]]="Gagné",Report[[#This Row],[FT]],"")</f>
        <v>0-1</v>
      </c>
      <c r="AD181" s="63" t="str">
        <f>IF(AND(Report[[#This Row],[Résultats SE]]="Gagné",Report[[#This Row],[FT]]=Report[[#This Row],[Score 1]]),Report[[#This Row],[FT]],"")</f>
        <v>0-1</v>
      </c>
      <c r="AE181" s="63" t="str">
        <f>IF(AND(Report[[#This Row],[Résultats SE]]="Gagné",Report[[#This Row],[FT]]=Report[[#This Row],[Score 2]]),Report[[#This Row],[FT]],"")</f>
        <v/>
      </c>
      <c r="AF181" s="63" t="str">
        <f>IF(AND(Report[[#This Row],[Résultats SE]]="Gagné",Report[[#This Row],[FT]]=Report[[#This Row],[Score 3]]),Report[[#This Row],[FT]],"")</f>
        <v/>
      </c>
      <c r="AG181" s="63" t="str">
        <f>IF(AND(Report[[#This Row],[Résultats SE]]="Gagné",Report[[#This Row],[FT]]=Report[[#This Row],[Score 4]]),Report[[#This Row],[FT]],"")</f>
        <v/>
      </c>
    </row>
    <row r="182" spans="1:33" ht="20.100000000000001" customHeight="1" x14ac:dyDescent="0.25">
      <c r="A182" s="11">
        <v>43428</v>
      </c>
      <c r="B182" s="7" t="s">
        <v>76</v>
      </c>
      <c r="C182" s="7" t="s">
        <v>113</v>
      </c>
      <c r="D182" s="10" t="s">
        <v>534</v>
      </c>
      <c r="E182" s="10" t="s">
        <v>538</v>
      </c>
      <c r="F182" s="7" t="s">
        <v>829</v>
      </c>
      <c r="G182" s="8" t="s">
        <v>830</v>
      </c>
      <c r="H182" s="9" t="s">
        <v>826</v>
      </c>
      <c r="I182" s="9" t="s">
        <v>831</v>
      </c>
      <c r="J182" s="9" t="s">
        <v>832</v>
      </c>
      <c r="K182" s="9" t="s">
        <v>534</v>
      </c>
      <c r="L182" s="16">
        <v>2.4500000000000002</v>
      </c>
      <c r="M182" s="16">
        <v>8</v>
      </c>
      <c r="N182" s="17" t="s">
        <v>830</v>
      </c>
      <c r="O182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AEK Larnaca</v>
      </c>
      <c r="P182" s="18">
        <f>IF(Report[[#This Row],[FT]]="",,(LEFT(Report[[#This Row],[FT]],SEARCH("-",Report[[#This Row],[FT]])-1)*1))</f>
        <v>1</v>
      </c>
      <c r="Q182" s="22">
        <f>IF(Report[[#This Row],[FT]]="",,(RIGHT(Report[[#This Row],[FT]],SEARCH("-",Report[[#This Row],[FT]])-1)*1))</f>
        <v>0</v>
      </c>
      <c r="R182" s="18" t="str">
        <f>IF(Report[Résultat FT]="","",IF(Report[Résultat FT]=Report[Résultats],"Gagné","Perdu"))</f>
        <v>Gagné</v>
      </c>
      <c r="S182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182" s="53">
        <f>IF(Report[[#This Row],[FT]]="","",IF(Report[[#This Row],[FT]]=Report[[#This Row],[Score 1]],1,0))</f>
        <v>1</v>
      </c>
      <c r="U182" s="53">
        <f>IF(Report[[#This Row],[FT]]="","",IF(Report[ [#This Row],[FT] ]=Report[[#This Row],[Score 2]],1,0))</f>
        <v>0</v>
      </c>
      <c r="V182" s="53">
        <f>IF(Report[[#This Row],[FT]]="","",IF(Report[[#This Row],[FT]]=Report[[#This Row],[Score 3]],1,0))</f>
        <v>0</v>
      </c>
      <c r="W182" s="53">
        <f>IF(Report[[#This Row],[FT]]="","",IF(Report[[#This Row],[FT]]=Report[[#This Row],[Score 4]],1,0))</f>
        <v>0</v>
      </c>
      <c r="X182" s="66">
        <f>IF(Report[[#This Row],[Résultat FT]]="",,IF(Report[[#This Row],[Résultat FT]]=Report[[#This Row],[Résultats]],(Suivi_Gain!$B$1*Report[[#This Row],[Cote FT]])-Suivi_Gain!$B$1,-Suivi_Gain!$B$1))</f>
        <v>1.4500000000000002</v>
      </c>
      <c r="Y182" s="94">
        <f>IF(Report[[#This Row],[FT]]="",,IF(Report[[#This Row],[FT]]=Report[[#This Row],[Score 1]],(Suivi_Gain!$G$1*Report[[#This Row],[Cote SE]])-Suivi_Gain!$G$1,-Suivi_Gain!$G$1))</f>
        <v>7</v>
      </c>
      <c r="Z182" s="65">
        <f>IF(Report[[#This Row],[FT]]="",,IF(Report[[#This Row],[FT]]=Report[[#This Row],[Score 2]],Suivi_Gain!$G$1*Report[[#This Row],[Cote SE]],-Suivi_Gain!$G$1))</f>
        <v>-1</v>
      </c>
      <c r="AA182" s="65">
        <f>IF(Report[[#This Row],[FT]]="",,IF(Report[[#This Row],[FT]]=Report[[#This Row],[Score 3]],Suivi_Gain!$G$1*Report[[#This Row],[Cote SE]],-Suivi_Gain!$G$1))</f>
        <v>-1</v>
      </c>
      <c r="AB182" s="65">
        <f>IF(Report[[#This Row],[FT]]="",,IF(Report[[#This Row],[FT]]=Report[[#This Row],[Score 4]],Suivi_Gain!$G$1*Report[[#This Row],[Cote SE]],-Suivi_Gain!$G$1))</f>
        <v>-1</v>
      </c>
      <c r="AC182" s="63" t="str">
        <f>IF(Report[[#This Row],[Résultats SE]]="Gagné",Report[[#This Row],[FT]],"")</f>
        <v>1-0</v>
      </c>
      <c r="AD182" s="63" t="str">
        <f>IF(AND(Report[[#This Row],[Résultats SE]]="Gagné",Report[[#This Row],[FT]]=Report[[#This Row],[Score 1]]),Report[[#This Row],[FT]],"")</f>
        <v>1-0</v>
      </c>
      <c r="AE182" s="63" t="str">
        <f>IF(AND(Report[[#This Row],[Résultats SE]]="Gagné",Report[[#This Row],[FT]]=Report[[#This Row],[Score 2]]),Report[[#This Row],[FT]],"")</f>
        <v/>
      </c>
      <c r="AF182" s="63" t="str">
        <f>IF(AND(Report[[#This Row],[Résultats SE]]="Gagné",Report[[#This Row],[FT]]=Report[[#This Row],[Score 3]]),Report[[#This Row],[FT]],"")</f>
        <v/>
      </c>
      <c r="AG182" s="63" t="str">
        <f>IF(AND(Report[[#This Row],[Résultats SE]]="Gagné",Report[[#This Row],[FT]]=Report[[#This Row],[Score 4]]),Report[[#This Row],[FT]],"")</f>
        <v/>
      </c>
    </row>
    <row r="183" spans="1:33" ht="20.100000000000001" customHeight="1" x14ac:dyDescent="0.25">
      <c r="A183" s="11">
        <v>43428</v>
      </c>
      <c r="B183" s="7" t="s">
        <v>76</v>
      </c>
      <c r="C183" s="7" t="s">
        <v>113</v>
      </c>
      <c r="D183" s="10" t="s">
        <v>539</v>
      </c>
      <c r="E183" s="10" t="s">
        <v>536</v>
      </c>
      <c r="F183" s="7" t="s">
        <v>881</v>
      </c>
      <c r="G183" s="8" t="s">
        <v>857</v>
      </c>
      <c r="H183" s="9" t="s">
        <v>859</v>
      </c>
      <c r="I183" s="9" t="s">
        <v>882</v>
      </c>
      <c r="J183" s="9" t="s">
        <v>832</v>
      </c>
      <c r="K183" s="9" t="s">
        <v>539</v>
      </c>
      <c r="L183" s="16">
        <v>1.05</v>
      </c>
      <c r="M183" s="16">
        <v>6</v>
      </c>
      <c r="N183" s="17" t="s">
        <v>832</v>
      </c>
      <c r="O183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Apollon</v>
      </c>
      <c r="P183" s="18">
        <f>IF(Report[[#This Row],[FT]]="",,(LEFT(Report[[#This Row],[FT]],SEARCH("-",Report[[#This Row],[FT]])-1)*1))</f>
        <v>3</v>
      </c>
      <c r="Q183" s="22">
        <f>IF(Report[[#This Row],[FT]]="",,(RIGHT(Report[[#This Row],[FT]],SEARCH("-",Report[[#This Row],[FT]])-1)*1))</f>
        <v>0</v>
      </c>
      <c r="R183" s="18" t="str">
        <f>IF(Report[Résultat FT]="","",IF(Report[Résultat FT]=Report[Résultats],"Gagné","Perdu"))</f>
        <v>Gagné</v>
      </c>
      <c r="S183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183" s="53">
        <f>IF(Report[[#This Row],[FT]]="","",IF(Report[[#This Row],[FT]]=Report[[#This Row],[Score 1]],1,0))</f>
        <v>0</v>
      </c>
      <c r="U183" s="53">
        <f>IF(Report[[#This Row],[FT]]="","",IF(Report[ [#This Row],[FT] ]=Report[[#This Row],[Score 2]],1,0))</f>
        <v>0</v>
      </c>
      <c r="V183" s="53">
        <f>IF(Report[[#This Row],[FT]]="","",IF(Report[[#This Row],[FT]]=Report[[#This Row],[Score 3]],1,0))</f>
        <v>0</v>
      </c>
      <c r="W183" s="53">
        <f>IF(Report[[#This Row],[FT]]="","",IF(Report[[#This Row],[FT]]=Report[[#This Row],[Score 4]],1,0))</f>
        <v>1</v>
      </c>
      <c r="X183" s="66">
        <f>IF(Report[[#This Row],[Résultat FT]]="",,IF(Report[[#This Row],[Résultat FT]]=Report[[#This Row],[Résultats]],(Suivi_Gain!$B$1*Report[[#This Row],[Cote FT]])-Suivi_Gain!$B$1,-Suivi_Gain!$B$1))</f>
        <v>5.0000000000000044E-2</v>
      </c>
      <c r="Y183" s="94">
        <f>IF(Report[[#This Row],[FT]]="",,IF(Report[[#This Row],[FT]]=Report[[#This Row],[Score 1]],(Suivi_Gain!$G$1*Report[[#This Row],[Cote SE]])-Suivi_Gain!$G$1,-Suivi_Gain!$G$1))</f>
        <v>-1</v>
      </c>
      <c r="Z183" s="65">
        <f>IF(Report[[#This Row],[FT]]="",,IF(Report[[#This Row],[FT]]=Report[[#This Row],[Score 2]],Suivi_Gain!$G$1*Report[[#This Row],[Cote SE]],-Suivi_Gain!$G$1))</f>
        <v>-1</v>
      </c>
      <c r="AA183" s="65">
        <f>IF(Report[[#This Row],[FT]]="",,IF(Report[[#This Row],[FT]]=Report[[#This Row],[Score 3]],Suivi_Gain!$G$1*Report[[#This Row],[Cote SE]],-Suivi_Gain!$G$1))</f>
        <v>-1</v>
      </c>
      <c r="AB183" s="65">
        <f>IF(Report[[#This Row],[FT]]="",,IF(Report[[#This Row],[FT]]=Report[[#This Row],[Score 4]],Suivi_Gain!$G$1*Report[[#This Row],[Cote SE]],-Suivi_Gain!$G$1))</f>
        <v>6</v>
      </c>
      <c r="AC183" s="63" t="str">
        <f>IF(Report[[#This Row],[Résultats SE]]="Gagné",Report[[#This Row],[FT]],"")</f>
        <v>3-0</v>
      </c>
      <c r="AD183" s="63" t="str">
        <f>IF(AND(Report[[#This Row],[Résultats SE]]="Gagné",Report[[#This Row],[FT]]=Report[[#This Row],[Score 1]]),Report[[#This Row],[FT]],"")</f>
        <v/>
      </c>
      <c r="AE183" s="63" t="str">
        <f>IF(AND(Report[[#This Row],[Résultats SE]]="Gagné",Report[[#This Row],[FT]]=Report[[#This Row],[Score 2]]),Report[[#This Row],[FT]],"")</f>
        <v/>
      </c>
      <c r="AF183" s="63" t="str">
        <f>IF(AND(Report[[#This Row],[Résultats SE]]="Gagné",Report[[#This Row],[FT]]=Report[[#This Row],[Score 3]]),Report[[#This Row],[FT]],"")</f>
        <v/>
      </c>
      <c r="AG183" s="63" t="str">
        <f>IF(AND(Report[[#This Row],[Résultats SE]]="Gagné",Report[[#This Row],[FT]]=Report[[#This Row],[Score 4]]),Report[[#This Row],[FT]],"")</f>
        <v>3-0</v>
      </c>
    </row>
    <row r="184" spans="1:33" ht="20.100000000000001" customHeight="1" x14ac:dyDescent="0.25">
      <c r="A184" s="11">
        <v>43428</v>
      </c>
      <c r="B184" s="7" t="s">
        <v>77</v>
      </c>
      <c r="C184" s="7" t="s">
        <v>854</v>
      </c>
      <c r="D184" s="10" t="s">
        <v>561</v>
      </c>
      <c r="E184" s="10" t="s">
        <v>556</v>
      </c>
      <c r="F184" s="7" t="s">
        <v>824</v>
      </c>
      <c r="G184" s="8" t="s">
        <v>825</v>
      </c>
      <c r="H184" s="9" t="s">
        <v>826</v>
      </c>
      <c r="I184" s="9" t="s">
        <v>827</v>
      </c>
      <c r="J184" s="9" t="s">
        <v>828</v>
      </c>
      <c r="K184" s="9" t="s">
        <v>556</v>
      </c>
      <c r="L184" s="16" t="str">
        <f>IF(Report[Résultat FT]="","",IF(Report[Résultat FT]=Report[Résultats],"","-"))</f>
        <v>-</v>
      </c>
      <c r="M184" s="16" t="str">
        <f>IF(Report[[#This Row],[Résultat FT]]="","",IF(Report[[#This Row],[Résultats SE]]="Gagné","","-"))</f>
        <v>-</v>
      </c>
      <c r="N184" s="17" t="s">
        <v>830</v>
      </c>
      <c r="O184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Rijeka</v>
      </c>
      <c r="P184" s="18">
        <f>IF(Report[[#This Row],[FT]]="",,(LEFT(Report[[#This Row],[FT]],SEARCH("-",Report[[#This Row],[FT]])-1)*1))</f>
        <v>1</v>
      </c>
      <c r="Q184" s="22">
        <f>IF(Report[[#This Row],[FT]]="",,(RIGHT(Report[[#This Row],[FT]],SEARCH("-",Report[[#This Row],[FT]])-1)*1))</f>
        <v>0</v>
      </c>
      <c r="R184" s="18" t="str">
        <f>IF(Report[Résultat FT]="","",IF(Report[Résultat FT]=Report[Résultats],"Gagné","Perdu"))</f>
        <v>Perdu</v>
      </c>
      <c r="S184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84" s="53">
        <f>IF(Report[[#This Row],[FT]]="","",IF(Report[[#This Row],[FT]]=Report[[#This Row],[Score 1]],1,0))</f>
        <v>0</v>
      </c>
      <c r="U184" s="53">
        <f>IF(Report[[#This Row],[FT]]="","",IF(Report[ [#This Row],[FT] ]=Report[[#This Row],[Score 2]],1,0))</f>
        <v>0</v>
      </c>
      <c r="V184" s="53">
        <f>IF(Report[[#This Row],[FT]]="","",IF(Report[[#This Row],[FT]]=Report[[#This Row],[Score 3]],1,0))</f>
        <v>0</v>
      </c>
      <c r="W184" s="53">
        <f>IF(Report[[#This Row],[FT]]="","",IF(Report[[#This Row],[FT]]=Report[[#This Row],[Score 4]],1,0))</f>
        <v>0</v>
      </c>
      <c r="X184" s="66">
        <f>IF(Report[[#This Row],[Résultat FT]]="",,IF(Report[[#This Row],[Résultat FT]]=Report[[#This Row],[Résultats]],(Suivi_Gain!$B$1*Report[[#This Row],[Cote FT]])-Suivi_Gain!$B$1,-Suivi_Gain!$B$1))</f>
        <v>-1</v>
      </c>
      <c r="Y184" s="94">
        <f>IF(Report[[#This Row],[FT]]="",,IF(Report[[#This Row],[FT]]=Report[[#This Row],[Score 1]],(Suivi_Gain!$G$1*Report[[#This Row],[Cote SE]])-Suivi_Gain!$G$1,-Suivi_Gain!$G$1))</f>
        <v>-1</v>
      </c>
      <c r="Z184" s="65">
        <f>IF(Report[[#This Row],[FT]]="",,IF(Report[[#This Row],[FT]]=Report[[#This Row],[Score 2]],Suivi_Gain!$G$1*Report[[#This Row],[Cote SE]],-Suivi_Gain!$G$1))</f>
        <v>-1</v>
      </c>
      <c r="AA184" s="65">
        <f>IF(Report[[#This Row],[FT]]="",,IF(Report[[#This Row],[FT]]=Report[[#This Row],[Score 3]],Suivi_Gain!$G$1*Report[[#This Row],[Cote SE]],-Suivi_Gain!$G$1))</f>
        <v>-1</v>
      </c>
      <c r="AB184" s="65">
        <f>IF(Report[[#This Row],[FT]]="",,IF(Report[[#This Row],[FT]]=Report[[#This Row],[Score 4]],Suivi_Gain!$G$1*Report[[#This Row],[Cote SE]],-Suivi_Gain!$G$1))</f>
        <v>-1</v>
      </c>
      <c r="AC184" s="63" t="str">
        <f>IF(Report[[#This Row],[Résultats SE]]="Gagné",Report[[#This Row],[FT]],"")</f>
        <v/>
      </c>
      <c r="AD184" s="63" t="str">
        <f>IF(AND(Report[[#This Row],[Résultats SE]]="Gagné",Report[[#This Row],[FT]]=Report[[#This Row],[Score 1]]),Report[[#This Row],[FT]],"")</f>
        <v/>
      </c>
      <c r="AE184" s="63" t="str">
        <f>IF(AND(Report[[#This Row],[Résultats SE]]="Gagné",Report[[#This Row],[FT]]=Report[[#This Row],[Score 2]]),Report[[#This Row],[FT]],"")</f>
        <v/>
      </c>
      <c r="AF184" s="63" t="str">
        <f>IF(AND(Report[[#This Row],[Résultats SE]]="Gagné",Report[[#This Row],[FT]]=Report[[#This Row],[Score 3]]),Report[[#This Row],[FT]],"")</f>
        <v/>
      </c>
      <c r="AG184" s="63" t="str">
        <f>IF(AND(Report[[#This Row],[Résultats SE]]="Gagné",Report[[#This Row],[FT]]=Report[[#This Row],[Score 4]]),Report[[#This Row],[FT]],"")</f>
        <v/>
      </c>
    </row>
    <row r="185" spans="1:33" ht="20.100000000000001" customHeight="1" x14ac:dyDescent="0.25">
      <c r="A185" s="11">
        <v>43428</v>
      </c>
      <c r="B185" s="7" t="s">
        <v>77</v>
      </c>
      <c r="C185" s="7" t="s">
        <v>854</v>
      </c>
      <c r="D185" s="10" t="s">
        <v>439</v>
      </c>
      <c r="E185" s="10" t="s">
        <v>558</v>
      </c>
      <c r="F185" s="7" t="s">
        <v>842</v>
      </c>
      <c r="G185" s="8" t="s">
        <v>838</v>
      </c>
      <c r="H185" s="9" t="s">
        <v>831</v>
      </c>
      <c r="I185" s="9" t="s">
        <v>834</v>
      </c>
      <c r="J185" s="9" t="s">
        <v>830</v>
      </c>
      <c r="K185" s="9" t="s">
        <v>439</v>
      </c>
      <c r="L185" s="16" t="str">
        <f>IF(Report[Résultat FT]="","",IF(Report[Résultat FT]=Report[Résultats],"","-"))</f>
        <v>-</v>
      </c>
      <c r="M185" s="16" t="str">
        <f>IF(Report[[#This Row],[Résultat FT]]="","",IF(Report[[#This Row],[Résultats SE]]="Gagné","","-"))</f>
        <v>-</v>
      </c>
      <c r="N185" s="17" t="s">
        <v>827</v>
      </c>
      <c r="O185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Istra 1961</v>
      </c>
      <c r="P185" s="18">
        <f>IF(Report[[#This Row],[FT]]="",,(LEFT(Report[[#This Row],[FT]],SEARCH("-",Report[[#This Row],[FT]])-1)*1))</f>
        <v>0</v>
      </c>
      <c r="Q185" s="22">
        <f>IF(Report[[#This Row],[FT]]="",,(RIGHT(Report[[#This Row],[FT]],SEARCH("-",Report[[#This Row],[FT]])-1)*1))</f>
        <v>2</v>
      </c>
      <c r="R185" s="18" t="str">
        <f>IF(Report[Résultat FT]="","",IF(Report[Résultat FT]=Report[Résultats],"Gagné","Perdu"))</f>
        <v>Perdu</v>
      </c>
      <c r="S185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85" s="53">
        <f>IF(Report[[#This Row],[FT]]="","",IF(Report[[#This Row],[FT]]=Report[[#This Row],[Score 1]],1,0))</f>
        <v>0</v>
      </c>
      <c r="U185" s="53">
        <f>IF(Report[[#This Row],[FT]]="","",IF(Report[ [#This Row],[FT] ]=Report[[#This Row],[Score 2]],1,0))</f>
        <v>0</v>
      </c>
      <c r="V185" s="53">
        <f>IF(Report[[#This Row],[FT]]="","",IF(Report[[#This Row],[FT]]=Report[[#This Row],[Score 3]],1,0))</f>
        <v>0</v>
      </c>
      <c r="W185" s="53">
        <f>IF(Report[[#This Row],[FT]]="","",IF(Report[[#This Row],[FT]]=Report[[#This Row],[Score 4]],1,0))</f>
        <v>0</v>
      </c>
      <c r="X185" s="66">
        <f>IF(Report[[#This Row],[Résultat FT]]="",,IF(Report[[#This Row],[Résultat FT]]=Report[[#This Row],[Résultats]],(Suivi_Gain!$B$1*Report[[#This Row],[Cote FT]])-Suivi_Gain!$B$1,-Suivi_Gain!$B$1))</f>
        <v>-1</v>
      </c>
      <c r="Y185" s="94">
        <f>IF(Report[[#This Row],[FT]]="",,IF(Report[[#This Row],[FT]]=Report[[#This Row],[Score 1]],(Suivi_Gain!$G$1*Report[[#This Row],[Cote SE]])-Suivi_Gain!$G$1,-Suivi_Gain!$G$1))</f>
        <v>-1</v>
      </c>
      <c r="Z185" s="65">
        <f>IF(Report[[#This Row],[FT]]="",,IF(Report[[#This Row],[FT]]=Report[[#This Row],[Score 2]],Suivi_Gain!$G$1*Report[[#This Row],[Cote SE]],-Suivi_Gain!$G$1))</f>
        <v>-1</v>
      </c>
      <c r="AA185" s="65">
        <f>IF(Report[[#This Row],[FT]]="",,IF(Report[[#This Row],[FT]]=Report[[#This Row],[Score 3]],Suivi_Gain!$G$1*Report[[#This Row],[Cote SE]],-Suivi_Gain!$G$1))</f>
        <v>-1</v>
      </c>
      <c r="AB185" s="65">
        <f>IF(Report[[#This Row],[FT]]="",,IF(Report[[#This Row],[FT]]=Report[[#This Row],[Score 4]],Suivi_Gain!$G$1*Report[[#This Row],[Cote SE]],-Suivi_Gain!$G$1))</f>
        <v>-1</v>
      </c>
      <c r="AC185" s="63" t="str">
        <f>IF(Report[[#This Row],[Résultats SE]]="Gagné",Report[[#This Row],[FT]],"")</f>
        <v/>
      </c>
      <c r="AD185" s="63" t="str">
        <f>IF(AND(Report[[#This Row],[Résultats SE]]="Gagné",Report[[#This Row],[FT]]=Report[[#This Row],[Score 1]]),Report[[#This Row],[FT]],"")</f>
        <v/>
      </c>
      <c r="AE185" s="63" t="str">
        <f>IF(AND(Report[[#This Row],[Résultats SE]]="Gagné",Report[[#This Row],[FT]]=Report[[#This Row],[Score 2]]),Report[[#This Row],[FT]],"")</f>
        <v/>
      </c>
      <c r="AF185" s="63" t="str">
        <f>IF(AND(Report[[#This Row],[Résultats SE]]="Gagné",Report[[#This Row],[FT]]=Report[[#This Row],[Score 3]]),Report[[#This Row],[FT]],"")</f>
        <v/>
      </c>
      <c r="AG185" s="63" t="str">
        <f>IF(AND(Report[[#This Row],[Résultats SE]]="Gagné",Report[[#This Row],[FT]]=Report[[#This Row],[Score 4]]),Report[[#This Row],[FT]],"")</f>
        <v/>
      </c>
    </row>
    <row r="186" spans="1:33" ht="20.100000000000001" customHeight="1" x14ac:dyDescent="0.25">
      <c r="A186" s="11">
        <v>43428</v>
      </c>
      <c r="B186" s="7" t="s">
        <v>78</v>
      </c>
      <c r="C186" s="7" t="s">
        <v>114</v>
      </c>
      <c r="D186" s="10" t="s">
        <v>570</v>
      </c>
      <c r="E186" s="10" t="s">
        <v>575</v>
      </c>
      <c r="F186" s="7" t="s">
        <v>843</v>
      </c>
      <c r="G186" s="8" t="s">
        <v>839</v>
      </c>
      <c r="H186" s="9" t="s">
        <v>834</v>
      </c>
      <c r="I186" s="9" t="s">
        <v>827</v>
      </c>
      <c r="J186" s="9" t="s">
        <v>825</v>
      </c>
      <c r="K186" s="9" t="s">
        <v>575</v>
      </c>
      <c r="L186" s="16">
        <v>2.2000000000000002</v>
      </c>
      <c r="M186" s="16">
        <v>7.5</v>
      </c>
      <c r="N186" s="17" t="s">
        <v>825</v>
      </c>
      <c r="O186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Randers</v>
      </c>
      <c r="P186" s="18">
        <f>IF(Report[[#This Row],[FT]]="",,(LEFT(Report[[#This Row],[FT]],SEARCH("-",Report[[#This Row],[FT]])-1)*1))</f>
        <v>0</v>
      </c>
      <c r="Q186" s="22">
        <f>IF(Report[[#This Row],[FT]]="",,(RIGHT(Report[[#This Row],[FT]],SEARCH("-",Report[[#This Row],[FT]])-1)*1))</f>
        <v>1</v>
      </c>
      <c r="R186" s="18" t="str">
        <f>IF(Report[Résultat FT]="","",IF(Report[Résultat FT]=Report[Résultats],"Gagné","Perdu"))</f>
        <v>Gagné</v>
      </c>
      <c r="S186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186" s="53">
        <f>IF(Report[[#This Row],[FT]]="","",IF(Report[[#This Row],[FT]]=Report[[#This Row],[Score 1]],1,0))</f>
        <v>0</v>
      </c>
      <c r="U186" s="53">
        <f>IF(Report[[#This Row],[FT]]="","",IF(Report[ [#This Row],[FT] ]=Report[[#This Row],[Score 2]],1,0))</f>
        <v>0</v>
      </c>
      <c r="V186" s="53">
        <f>IF(Report[[#This Row],[FT]]="","",IF(Report[[#This Row],[FT]]=Report[[#This Row],[Score 3]],1,0))</f>
        <v>0</v>
      </c>
      <c r="W186" s="53">
        <f>IF(Report[[#This Row],[FT]]="","",IF(Report[[#This Row],[FT]]=Report[[#This Row],[Score 4]],1,0))</f>
        <v>1</v>
      </c>
      <c r="X186" s="66">
        <f>IF(Report[[#This Row],[Résultat FT]]="",,IF(Report[[#This Row],[Résultat FT]]=Report[[#This Row],[Résultats]],(Suivi_Gain!$B$1*Report[[#This Row],[Cote FT]])-Suivi_Gain!$B$1,-Suivi_Gain!$B$1))</f>
        <v>1.2000000000000002</v>
      </c>
      <c r="Y186" s="94">
        <f>IF(Report[[#This Row],[FT]]="",,IF(Report[[#This Row],[FT]]=Report[[#This Row],[Score 1]],(Suivi_Gain!$G$1*Report[[#This Row],[Cote SE]])-Suivi_Gain!$G$1,-Suivi_Gain!$G$1))</f>
        <v>-1</v>
      </c>
      <c r="Z186" s="65">
        <f>IF(Report[[#This Row],[FT]]="",,IF(Report[[#This Row],[FT]]=Report[[#This Row],[Score 2]],Suivi_Gain!$G$1*Report[[#This Row],[Cote SE]],-Suivi_Gain!$G$1))</f>
        <v>-1</v>
      </c>
      <c r="AA186" s="65">
        <f>IF(Report[[#This Row],[FT]]="",,IF(Report[[#This Row],[FT]]=Report[[#This Row],[Score 3]],Suivi_Gain!$G$1*Report[[#This Row],[Cote SE]],-Suivi_Gain!$G$1))</f>
        <v>-1</v>
      </c>
      <c r="AB186" s="65">
        <f>IF(Report[[#This Row],[FT]]="",,IF(Report[[#This Row],[FT]]=Report[[#This Row],[Score 4]],Suivi_Gain!$G$1*Report[[#This Row],[Cote SE]],-Suivi_Gain!$G$1))</f>
        <v>7.5</v>
      </c>
      <c r="AC186" s="63" t="str">
        <f>IF(Report[[#This Row],[Résultats SE]]="Gagné",Report[[#This Row],[FT]],"")</f>
        <v>0-1</v>
      </c>
      <c r="AD186" s="63" t="str">
        <f>IF(AND(Report[[#This Row],[Résultats SE]]="Gagné",Report[[#This Row],[FT]]=Report[[#This Row],[Score 1]]),Report[[#This Row],[FT]],"")</f>
        <v/>
      </c>
      <c r="AE186" s="63" t="str">
        <f>IF(AND(Report[[#This Row],[Résultats SE]]="Gagné",Report[[#This Row],[FT]]=Report[[#This Row],[Score 2]]),Report[[#This Row],[FT]],"")</f>
        <v/>
      </c>
      <c r="AF186" s="63" t="str">
        <f>IF(AND(Report[[#This Row],[Résultats SE]]="Gagné",Report[[#This Row],[FT]]=Report[[#This Row],[Score 3]]),Report[[#This Row],[FT]],"")</f>
        <v/>
      </c>
      <c r="AG186" s="63" t="str">
        <f>IF(AND(Report[[#This Row],[Résultats SE]]="Gagné",Report[[#This Row],[FT]]=Report[[#This Row],[Score 4]]),Report[[#This Row],[FT]],"")</f>
        <v>0-1</v>
      </c>
    </row>
    <row r="187" spans="1:33" ht="20.100000000000001" customHeight="1" x14ac:dyDescent="0.25">
      <c r="A187" s="11">
        <v>43428</v>
      </c>
      <c r="B187" s="7" t="s">
        <v>79</v>
      </c>
      <c r="C187" s="7" t="s">
        <v>109</v>
      </c>
      <c r="D187" s="10" t="s">
        <v>582</v>
      </c>
      <c r="E187" s="10" t="s">
        <v>580</v>
      </c>
      <c r="F187" s="7" t="s">
        <v>883</v>
      </c>
      <c r="G187" s="8" t="s">
        <v>878</v>
      </c>
      <c r="H187" s="9" t="s">
        <v>828</v>
      </c>
      <c r="I187" s="9" t="s">
        <v>884</v>
      </c>
      <c r="J187" s="9" t="s">
        <v>827</v>
      </c>
      <c r="K187" s="9" t="s">
        <v>580</v>
      </c>
      <c r="L187" s="16">
        <v>1.1599999999999999</v>
      </c>
      <c r="M187" s="16">
        <v>6.75</v>
      </c>
      <c r="N187" s="17" t="s">
        <v>828</v>
      </c>
      <c r="O187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Celtic</v>
      </c>
      <c r="P187" s="18">
        <f>IF(Report[[#This Row],[FT]]="",,(LEFT(Report[[#This Row],[FT]],SEARCH("-",Report[[#This Row],[FT]])-1)*1))</f>
        <v>0</v>
      </c>
      <c r="Q187" s="22">
        <f>IF(Report[[#This Row],[FT]]="",,(RIGHT(Report[[#This Row],[FT]],SEARCH("-",Report[[#This Row],[FT]])-1)*1))</f>
        <v>3</v>
      </c>
      <c r="R187" s="18" t="str">
        <f>IF(Report[Résultat FT]="","",IF(Report[Résultat FT]=Report[Résultats],"Gagné","Perdu"))</f>
        <v>Gagné</v>
      </c>
      <c r="S187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187" s="53">
        <f>IF(Report[[#This Row],[FT]]="","",IF(Report[[#This Row],[FT]]=Report[[#This Row],[Score 1]],1,0))</f>
        <v>0</v>
      </c>
      <c r="U187" s="53">
        <f>IF(Report[[#This Row],[FT]]="","",IF(Report[ [#This Row],[FT] ]=Report[[#This Row],[Score 2]],1,0))</f>
        <v>1</v>
      </c>
      <c r="V187" s="53">
        <f>IF(Report[[#This Row],[FT]]="","",IF(Report[[#This Row],[FT]]=Report[[#This Row],[Score 3]],1,0))</f>
        <v>0</v>
      </c>
      <c r="W187" s="53">
        <f>IF(Report[[#This Row],[FT]]="","",IF(Report[[#This Row],[FT]]=Report[[#This Row],[Score 4]],1,0))</f>
        <v>0</v>
      </c>
      <c r="X187" s="66">
        <f>IF(Report[[#This Row],[Résultat FT]]="",,IF(Report[[#This Row],[Résultat FT]]=Report[[#This Row],[Résultats]],(Suivi_Gain!$B$1*Report[[#This Row],[Cote FT]])-Suivi_Gain!$B$1,-Suivi_Gain!$B$1))</f>
        <v>0.15999999999999992</v>
      </c>
      <c r="Y187" s="94">
        <f>IF(Report[[#This Row],[FT]]="",,IF(Report[[#This Row],[FT]]=Report[[#This Row],[Score 1]],(Suivi_Gain!$G$1*Report[[#This Row],[Cote SE]])-Suivi_Gain!$G$1,-Suivi_Gain!$G$1))</f>
        <v>-1</v>
      </c>
      <c r="Z187" s="65">
        <f>IF(Report[[#This Row],[FT]]="",,IF(Report[[#This Row],[FT]]=Report[[#This Row],[Score 2]],Suivi_Gain!$G$1*Report[[#This Row],[Cote SE]],-Suivi_Gain!$G$1))</f>
        <v>6.75</v>
      </c>
      <c r="AA187" s="65">
        <f>IF(Report[[#This Row],[FT]]="",,IF(Report[[#This Row],[FT]]=Report[[#This Row],[Score 3]],Suivi_Gain!$G$1*Report[[#This Row],[Cote SE]],-Suivi_Gain!$G$1))</f>
        <v>-1</v>
      </c>
      <c r="AB187" s="65">
        <f>IF(Report[[#This Row],[FT]]="",,IF(Report[[#This Row],[FT]]=Report[[#This Row],[Score 4]],Suivi_Gain!$G$1*Report[[#This Row],[Cote SE]],-Suivi_Gain!$G$1))</f>
        <v>-1</v>
      </c>
      <c r="AC187" s="63" t="str">
        <f>IF(Report[[#This Row],[Résultats SE]]="Gagné",Report[[#This Row],[FT]],"")</f>
        <v>0-3</v>
      </c>
      <c r="AD187" s="63" t="str">
        <f>IF(AND(Report[[#This Row],[Résultats SE]]="Gagné",Report[[#This Row],[FT]]=Report[[#This Row],[Score 1]]),Report[[#This Row],[FT]],"")</f>
        <v/>
      </c>
      <c r="AE187" s="63" t="str">
        <f>IF(AND(Report[[#This Row],[Résultats SE]]="Gagné",Report[[#This Row],[FT]]=Report[[#This Row],[Score 2]]),Report[[#This Row],[FT]],"")</f>
        <v>0-3</v>
      </c>
      <c r="AF187" s="63" t="str">
        <f>IF(AND(Report[[#This Row],[Résultats SE]]="Gagné",Report[[#This Row],[FT]]=Report[[#This Row],[Score 3]]),Report[[#This Row],[FT]],"")</f>
        <v/>
      </c>
      <c r="AG187" s="63" t="str">
        <f>IF(AND(Report[[#This Row],[Résultats SE]]="Gagné",Report[[#This Row],[FT]]=Report[[#This Row],[Score 4]]),Report[[#This Row],[FT]],"")</f>
        <v/>
      </c>
    </row>
    <row r="188" spans="1:33" ht="20.100000000000001" customHeight="1" x14ac:dyDescent="0.25">
      <c r="A188" s="11">
        <v>43428</v>
      </c>
      <c r="B188" s="7" t="s">
        <v>79</v>
      </c>
      <c r="C188" s="7" t="s">
        <v>109</v>
      </c>
      <c r="D188" s="10" t="s">
        <v>584</v>
      </c>
      <c r="E188" s="10" t="s">
        <v>581</v>
      </c>
      <c r="F188" s="7" t="s">
        <v>876</v>
      </c>
      <c r="G188" s="8" t="s">
        <v>832</v>
      </c>
      <c r="H188" s="9" t="s">
        <v>831</v>
      </c>
      <c r="I188" s="9" t="s">
        <v>859</v>
      </c>
      <c r="J188" s="9" t="s">
        <v>830</v>
      </c>
      <c r="K188" s="9" t="s">
        <v>584</v>
      </c>
      <c r="L188" s="16" t="str">
        <f>IF(Report[Résultat FT]="","",IF(Report[Résultat FT]=Report[Résultats],"","-"))</f>
        <v>-</v>
      </c>
      <c r="M188" s="16" t="str">
        <f>IF(Report[[#This Row],[Résultat FT]]="","",IF(Report[[#This Row],[Résultats SE]]="Gagné","","-"))</f>
        <v>-</v>
      </c>
      <c r="N188" s="17" t="s">
        <v>837</v>
      </c>
      <c r="O188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188" s="18">
        <f>IF(Report[[#This Row],[FT]]="",,(LEFT(Report[[#This Row],[FT]],SEARCH("-",Report[[#This Row],[FT]])-1)*1))</f>
        <v>2</v>
      </c>
      <c r="Q188" s="22">
        <f>IF(Report[[#This Row],[FT]]="",,(RIGHT(Report[[#This Row],[FT]],SEARCH("-",Report[[#This Row],[FT]])-1)*1))</f>
        <v>2</v>
      </c>
      <c r="R188" s="18" t="str">
        <f>IF(Report[Résultat FT]="","",IF(Report[Résultat FT]=Report[Résultats],"Gagné","Perdu"))</f>
        <v>Perdu</v>
      </c>
      <c r="S188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88" s="53">
        <f>IF(Report[[#This Row],[FT]]="","",IF(Report[[#This Row],[FT]]=Report[[#This Row],[Score 1]],1,0))</f>
        <v>0</v>
      </c>
      <c r="U188" s="53">
        <f>IF(Report[[#This Row],[FT]]="","",IF(Report[ [#This Row],[FT] ]=Report[[#This Row],[Score 2]],1,0))</f>
        <v>0</v>
      </c>
      <c r="V188" s="53">
        <f>IF(Report[[#This Row],[FT]]="","",IF(Report[[#This Row],[FT]]=Report[[#This Row],[Score 3]],1,0))</f>
        <v>0</v>
      </c>
      <c r="W188" s="53">
        <f>IF(Report[[#This Row],[FT]]="","",IF(Report[[#This Row],[FT]]=Report[[#This Row],[Score 4]],1,0))</f>
        <v>0</v>
      </c>
      <c r="X188" s="66">
        <f>IF(Report[[#This Row],[Résultat FT]]="",,IF(Report[[#This Row],[Résultat FT]]=Report[[#This Row],[Résultats]],(Suivi_Gain!$B$1*Report[[#This Row],[Cote FT]])-Suivi_Gain!$B$1,-Suivi_Gain!$B$1))</f>
        <v>-1</v>
      </c>
      <c r="Y188" s="94">
        <f>IF(Report[[#This Row],[FT]]="",,IF(Report[[#This Row],[FT]]=Report[[#This Row],[Score 1]],(Suivi_Gain!$G$1*Report[[#This Row],[Cote SE]])-Suivi_Gain!$G$1,-Suivi_Gain!$G$1))</f>
        <v>-1</v>
      </c>
      <c r="Z188" s="65">
        <f>IF(Report[[#This Row],[FT]]="",,IF(Report[[#This Row],[FT]]=Report[[#This Row],[Score 2]],Suivi_Gain!$G$1*Report[[#This Row],[Cote SE]],-Suivi_Gain!$G$1))</f>
        <v>-1</v>
      </c>
      <c r="AA188" s="65">
        <f>IF(Report[[#This Row],[FT]]="",,IF(Report[[#This Row],[FT]]=Report[[#This Row],[Score 3]],Suivi_Gain!$G$1*Report[[#This Row],[Cote SE]],-Suivi_Gain!$G$1))</f>
        <v>-1</v>
      </c>
      <c r="AB188" s="65">
        <f>IF(Report[[#This Row],[FT]]="",,IF(Report[[#This Row],[FT]]=Report[[#This Row],[Score 4]],Suivi_Gain!$G$1*Report[[#This Row],[Cote SE]],-Suivi_Gain!$G$1))</f>
        <v>-1</v>
      </c>
      <c r="AC188" s="63" t="str">
        <f>IF(Report[[#This Row],[Résultats SE]]="Gagné",Report[[#This Row],[FT]],"")</f>
        <v/>
      </c>
      <c r="AD188" s="63" t="str">
        <f>IF(AND(Report[[#This Row],[Résultats SE]]="Gagné",Report[[#This Row],[FT]]=Report[[#This Row],[Score 1]]),Report[[#This Row],[FT]],"")</f>
        <v/>
      </c>
      <c r="AE188" s="63" t="str">
        <f>IF(AND(Report[[#This Row],[Résultats SE]]="Gagné",Report[[#This Row],[FT]]=Report[[#This Row],[Score 2]]),Report[[#This Row],[FT]],"")</f>
        <v/>
      </c>
      <c r="AF188" s="63" t="str">
        <f>IF(AND(Report[[#This Row],[Résultats SE]]="Gagné",Report[[#This Row],[FT]]=Report[[#This Row],[Score 3]]),Report[[#This Row],[FT]],"")</f>
        <v/>
      </c>
      <c r="AG188" s="63" t="str">
        <f>IF(AND(Report[[#This Row],[Résultats SE]]="Gagné",Report[[#This Row],[FT]]=Report[[#This Row],[Score 4]]),Report[[#This Row],[FT]],"")</f>
        <v/>
      </c>
    </row>
    <row r="189" spans="1:33" ht="20.100000000000001" customHeight="1" x14ac:dyDescent="0.25">
      <c r="A189" s="11">
        <v>43428</v>
      </c>
      <c r="B189" s="7" t="s">
        <v>79</v>
      </c>
      <c r="C189" s="7" t="s">
        <v>109</v>
      </c>
      <c r="D189" s="10" t="s">
        <v>587</v>
      </c>
      <c r="E189" s="10" t="s">
        <v>579</v>
      </c>
      <c r="F189" s="7" t="s">
        <v>835</v>
      </c>
      <c r="G189" s="8" t="s">
        <v>827</v>
      </c>
      <c r="H189" s="9" t="s">
        <v>825</v>
      </c>
      <c r="I189" s="9" t="s">
        <v>828</v>
      </c>
      <c r="J189" s="9" t="s">
        <v>826</v>
      </c>
      <c r="K189" s="9" t="s">
        <v>579</v>
      </c>
      <c r="L189" s="16" t="str">
        <f>IF(Report[Résultat FT]="","",IF(Report[Résultat FT]=Report[Résultats],"","-"))</f>
        <v>-</v>
      </c>
      <c r="M189" s="16" t="str">
        <f>IF(Report[[#This Row],[Résultat FT]]="","",IF(Report[[#This Row],[Résultats SE]]="Gagné","","-"))</f>
        <v>-</v>
      </c>
      <c r="N189" s="17" t="s">
        <v>832</v>
      </c>
      <c r="O189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Motherwell</v>
      </c>
      <c r="P189" s="18">
        <f>IF(Report[[#This Row],[FT]]="",,(LEFT(Report[[#This Row],[FT]],SEARCH("-",Report[[#This Row],[FT]])-1)*1))</f>
        <v>3</v>
      </c>
      <c r="Q189" s="22">
        <f>IF(Report[[#This Row],[FT]]="",,(RIGHT(Report[[#This Row],[FT]],SEARCH("-",Report[[#This Row],[FT]])-1)*1))</f>
        <v>0</v>
      </c>
      <c r="R189" s="18" t="str">
        <f>IF(Report[Résultat FT]="","",IF(Report[Résultat FT]=Report[Résultats],"Gagné","Perdu"))</f>
        <v>Perdu</v>
      </c>
      <c r="S189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89" s="53">
        <f>IF(Report[[#This Row],[FT]]="","",IF(Report[[#This Row],[FT]]=Report[[#This Row],[Score 1]],1,0))</f>
        <v>0</v>
      </c>
      <c r="U189" s="53">
        <f>IF(Report[[#This Row],[FT]]="","",IF(Report[ [#This Row],[FT] ]=Report[[#This Row],[Score 2]],1,0))</f>
        <v>0</v>
      </c>
      <c r="V189" s="53">
        <f>IF(Report[[#This Row],[FT]]="","",IF(Report[[#This Row],[FT]]=Report[[#This Row],[Score 3]],1,0))</f>
        <v>0</v>
      </c>
      <c r="W189" s="53">
        <f>IF(Report[[#This Row],[FT]]="","",IF(Report[[#This Row],[FT]]=Report[[#This Row],[Score 4]],1,0))</f>
        <v>0</v>
      </c>
      <c r="X189" s="66">
        <f>IF(Report[[#This Row],[Résultat FT]]="",,IF(Report[[#This Row],[Résultat FT]]=Report[[#This Row],[Résultats]],(Suivi_Gain!$B$1*Report[[#This Row],[Cote FT]])-Suivi_Gain!$B$1,-Suivi_Gain!$B$1))</f>
        <v>-1</v>
      </c>
      <c r="Y189" s="94">
        <f>IF(Report[[#This Row],[FT]]="",,IF(Report[[#This Row],[FT]]=Report[[#This Row],[Score 1]],(Suivi_Gain!$G$1*Report[[#This Row],[Cote SE]])-Suivi_Gain!$G$1,-Suivi_Gain!$G$1))</f>
        <v>-1</v>
      </c>
      <c r="Z189" s="65">
        <f>IF(Report[[#This Row],[FT]]="",,IF(Report[[#This Row],[FT]]=Report[[#This Row],[Score 2]],Suivi_Gain!$G$1*Report[[#This Row],[Cote SE]],-Suivi_Gain!$G$1))</f>
        <v>-1</v>
      </c>
      <c r="AA189" s="65">
        <f>IF(Report[[#This Row],[FT]]="",,IF(Report[[#This Row],[FT]]=Report[[#This Row],[Score 3]],Suivi_Gain!$G$1*Report[[#This Row],[Cote SE]],-Suivi_Gain!$G$1))</f>
        <v>-1</v>
      </c>
      <c r="AB189" s="65">
        <f>IF(Report[[#This Row],[FT]]="",,IF(Report[[#This Row],[FT]]=Report[[#This Row],[Score 4]],Suivi_Gain!$G$1*Report[[#This Row],[Cote SE]],-Suivi_Gain!$G$1))</f>
        <v>-1</v>
      </c>
      <c r="AC189" s="63" t="str">
        <f>IF(Report[[#This Row],[Résultats SE]]="Gagné",Report[[#This Row],[FT]],"")</f>
        <v/>
      </c>
      <c r="AD189" s="63" t="str">
        <f>IF(AND(Report[[#This Row],[Résultats SE]]="Gagné",Report[[#This Row],[FT]]=Report[[#This Row],[Score 1]]),Report[[#This Row],[FT]],"")</f>
        <v/>
      </c>
      <c r="AE189" s="63" t="str">
        <f>IF(AND(Report[[#This Row],[Résultats SE]]="Gagné",Report[[#This Row],[FT]]=Report[[#This Row],[Score 2]]),Report[[#This Row],[FT]],"")</f>
        <v/>
      </c>
      <c r="AF189" s="63" t="str">
        <f>IF(AND(Report[[#This Row],[Résultats SE]]="Gagné",Report[[#This Row],[FT]]=Report[[#This Row],[Score 3]]),Report[[#This Row],[FT]],"")</f>
        <v/>
      </c>
      <c r="AG189" s="63" t="str">
        <f>IF(AND(Report[[#This Row],[Résultats SE]]="Gagné",Report[[#This Row],[FT]]=Report[[#This Row],[Score 4]]),Report[[#This Row],[FT]],"")</f>
        <v/>
      </c>
    </row>
    <row r="190" spans="1:33" ht="20.100000000000001" customHeight="1" x14ac:dyDescent="0.25">
      <c r="A190" s="11">
        <v>43428</v>
      </c>
      <c r="B190" s="7" t="s">
        <v>79</v>
      </c>
      <c r="C190" s="7" t="s">
        <v>109</v>
      </c>
      <c r="D190" s="10" t="s">
        <v>588</v>
      </c>
      <c r="E190" s="10" t="s">
        <v>586</v>
      </c>
      <c r="F190" s="7" t="s">
        <v>829</v>
      </c>
      <c r="G190" s="8" t="s">
        <v>830</v>
      </c>
      <c r="H190" s="9" t="s">
        <v>826</v>
      </c>
      <c r="I190" s="9" t="s">
        <v>831</v>
      </c>
      <c r="J190" s="9" t="s">
        <v>832</v>
      </c>
      <c r="K190" s="9" t="s">
        <v>588</v>
      </c>
      <c r="L190" s="16">
        <v>1.33</v>
      </c>
      <c r="M190" s="16">
        <v>8.5</v>
      </c>
      <c r="N190" s="17" t="s">
        <v>832</v>
      </c>
      <c r="O190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Rangers</v>
      </c>
      <c r="P190" s="18">
        <f>IF(Report[[#This Row],[FT]]="",,(LEFT(Report[[#This Row],[FT]],SEARCH("-",Report[[#This Row],[FT]])-1)*1))</f>
        <v>3</v>
      </c>
      <c r="Q190" s="22">
        <f>IF(Report[[#This Row],[FT]]="",,(RIGHT(Report[[#This Row],[FT]],SEARCH("-",Report[[#This Row],[FT]])-1)*1))</f>
        <v>0</v>
      </c>
      <c r="R190" s="18" t="str">
        <f>IF(Report[Résultat FT]="","",IF(Report[Résultat FT]=Report[Résultats],"Gagné","Perdu"))</f>
        <v>Gagné</v>
      </c>
      <c r="S190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190" s="53">
        <f>IF(Report[[#This Row],[FT]]="","",IF(Report[[#This Row],[FT]]=Report[[#This Row],[Score 1]],1,0))</f>
        <v>0</v>
      </c>
      <c r="U190" s="53">
        <f>IF(Report[[#This Row],[FT]]="","",IF(Report[ [#This Row],[FT] ]=Report[[#This Row],[Score 2]],1,0))</f>
        <v>0</v>
      </c>
      <c r="V190" s="53">
        <f>IF(Report[[#This Row],[FT]]="","",IF(Report[[#This Row],[FT]]=Report[[#This Row],[Score 3]],1,0))</f>
        <v>0</v>
      </c>
      <c r="W190" s="53">
        <f>IF(Report[[#This Row],[FT]]="","",IF(Report[[#This Row],[FT]]=Report[[#This Row],[Score 4]],1,0))</f>
        <v>1</v>
      </c>
      <c r="X190" s="66">
        <f>IF(Report[[#This Row],[Résultat FT]]="",,IF(Report[[#This Row],[Résultat FT]]=Report[[#This Row],[Résultats]],(Suivi_Gain!$B$1*Report[[#This Row],[Cote FT]])-Suivi_Gain!$B$1,-Suivi_Gain!$B$1))</f>
        <v>0.33000000000000007</v>
      </c>
      <c r="Y190" s="94">
        <f>IF(Report[[#This Row],[FT]]="",,IF(Report[[#This Row],[FT]]=Report[[#This Row],[Score 1]],(Suivi_Gain!$G$1*Report[[#This Row],[Cote SE]])-Suivi_Gain!$G$1,-Suivi_Gain!$G$1))</f>
        <v>-1</v>
      </c>
      <c r="Z190" s="65">
        <f>IF(Report[[#This Row],[FT]]="",,IF(Report[[#This Row],[FT]]=Report[[#This Row],[Score 2]],Suivi_Gain!$G$1*Report[[#This Row],[Cote SE]],-Suivi_Gain!$G$1))</f>
        <v>-1</v>
      </c>
      <c r="AA190" s="65">
        <f>IF(Report[[#This Row],[FT]]="",,IF(Report[[#This Row],[FT]]=Report[[#This Row],[Score 3]],Suivi_Gain!$G$1*Report[[#This Row],[Cote SE]],-Suivi_Gain!$G$1))</f>
        <v>-1</v>
      </c>
      <c r="AB190" s="65">
        <f>IF(Report[[#This Row],[FT]]="",,IF(Report[[#This Row],[FT]]=Report[[#This Row],[Score 4]],Suivi_Gain!$G$1*Report[[#This Row],[Cote SE]],-Suivi_Gain!$G$1))</f>
        <v>8.5</v>
      </c>
      <c r="AC190" s="63" t="str">
        <f>IF(Report[[#This Row],[Résultats SE]]="Gagné",Report[[#This Row],[FT]],"")</f>
        <v>3-0</v>
      </c>
      <c r="AD190" s="63" t="str">
        <f>IF(AND(Report[[#This Row],[Résultats SE]]="Gagné",Report[[#This Row],[FT]]=Report[[#This Row],[Score 1]]),Report[[#This Row],[FT]],"")</f>
        <v/>
      </c>
      <c r="AE190" s="63" t="str">
        <f>IF(AND(Report[[#This Row],[Résultats SE]]="Gagné",Report[[#This Row],[FT]]=Report[[#This Row],[Score 2]]),Report[[#This Row],[FT]],"")</f>
        <v/>
      </c>
      <c r="AF190" s="63" t="str">
        <f>IF(AND(Report[[#This Row],[Résultats SE]]="Gagné",Report[[#This Row],[FT]]=Report[[#This Row],[Score 3]]),Report[[#This Row],[FT]],"")</f>
        <v/>
      </c>
      <c r="AG190" s="63" t="str">
        <f>IF(AND(Report[[#This Row],[Résultats SE]]="Gagné",Report[[#This Row],[FT]]=Report[[#This Row],[Score 4]]),Report[[#This Row],[FT]],"")</f>
        <v>3-0</v>
      </c>
    </row>
    <row r="191" spans="1:33" ht="20.100000000000001" customHeight="1" x14ac:dyDescent="0.25">
      <c r="A191" s="11">
        <v>43428</v>
      </c>
      <c r="B191" s="7" t="s">
        <v>79</v>
      </c>
      <c r="C191" s="7" t="s">
        <v>109</v>
      </c>
      <c r="D191" s="10" t="s">
        <v>589</v>
      </c>
      <c r="E191" s="10" t="s">
        <v>585</v>
      </c>
      <c r="F191" s="7" t="s">
        <v>824</v>
      </c>
      <c r="G191" s="8" t="s">
        <v>825</v>
      </c>
      <c r="H191" s="9" t="s">
        <v>826</v>
      </c>
      <c r="I191" s="9" t="s">
        <v>827</v>
      </c>
      <c r="J191" s="9" t="s">
        <v>828</v>
      </c>
      <c r="K191" s="9" t="s">
        <v>585</v>
      </c>
      <c r="L191" s="16" t="str">
        <f>IF(Report[Résultat FT]="","",IF(Report[Résultat FT]=Report[Résultats],"","-"))</f>
        <v>-</v>
      </c>
      <c r="M191" s="16">
        <v>8</v>
      </c>
      <c r="N191" s="17" t="s">
        <v>826</v>
      </c>
      <c r="O191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191" s="18">
        <f>IF(Report[[#This Row],[FT]]="",,(LEFT(Report[[#This Row],[FT]],SEARCH("-",Report[[#This Row],[FT]])-1)*1))</f>
        <v>0</v>
      </c>
      <c r="Q191" s="22">
        <f>IF(Report[[#This Row],[FT]]="",,(RIGHT(Report[[#This Row],[FT]],SEARCH("-",Report[[#This Row],[FT]])-1)*1))</f>
        <v>0</v>
      </c>
      <c r="R191" s="18" t="str">
        <f>IF(Report[Résultat FT]="","",IF(Report[Résultat FT]=Report[Résultats],"Gagné","Perdu"))</f>
        <v>Perdu</v>
      </c>
      <c r="S191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191" s="53">
        <f>IF(Report[[#This Row],[FT]]="","",IF(Report[[#This Row],[FT]]=Report[[#This Row],[Score 1]],1,0))</f>
        <v>0</v>
      </c>
      <c r="U191" s="53">
        <f>IF(Report[[#This Row],[FT]]="","",IF(Report[ [#This Row],[FT] ]=Report[[#This Row],[Score 2]],1,0))</f>
        <v>1</v>
      </c>
      <c r="V191" s="53">
        <f>IF(Report[[#This Row],[FT]]="","",IF(Report[[#This Row],[FT]]=Report[[#This Row],[Score 3]],1,0))</f>
        <v>0</v>
      </c>
      <c r="W191" s="53">
        <f>IF(Report[[#This Row],[FT]]="","",IF(Report[[#This Row],[FT]]=Report[[#This Row],[Score 4]],1,0))</f>
        <v>0</v>
      </c>
      <c r="X191" s="66">
        <f>IF(Report[[#This Row],[Résultat FT]]="",,IF(Report[[#This Row],[Résultat FT]]=Report[[#This Row],[Résultats]],(Suivi_Gain!$B$1*Report[[#This Row],[Cote FT]])-Suivi_Gain!$B$1,-Suivi_Gain!$B$1))</f>
        <v>-1</v>
      </c>
      <c r="Y191" s="94">
        <f>IF(Report[[#This Row],[FT]]="",,IF(Report[[#This Row],[FT]]=Report[[#This Row],[Score 1]],(Suivi_Gain!$G$1*Report[[#This Row],[Cote SE]])-Suivi_Gain!$G$1,-Suivi_Gain!$G$1))</f>
        <v>-1</v>
      </c>
      <c r="Z191" s="65">
        <f>IF(Report[[#This Row],[FT]]="",,IF(Report[[#This Row],[FT]]=Report[[#This Row],[Score 2]],Suivi_Gain!$G$1*Report[[#This Row],[Cote SE]],-Suivi_Gain!$G$1))</f>
        <v>8</v>
      </c>
      <c r="AA191" s="65">
        <f>IF(Report[[#This Row],[FT]]="",,IF(Report[[#This Row],[FT]]=Report[[#This Row],[Score 3]],Suivi_Gain!$G$1*Report[[#This Row],[Cote SE]],-Suivi_Gain!$G$1))</f>
        <v>-1</v>
      </c>
      <c r="AB191" s="65">
        <f>IF(Report[[#This Row],[FT]]="",,IF(Report[[#This Row],[FT]]=Report[[#This Row],[Score 4]],Suivi_Gain!$G$1*Report[[#This Row],[Cote SE]],-Suivi_Gain!$G$1))</f>
        <v>-1</v>
      </c>
      <c r="AC191" s="63" t="str">
        <f>IF(Report[[#This Row],[Résultats SE]]="Gagné",Report[[#This Row],[FT]],"")</f>
        <v>0-0</v>
      </c>
      <c r="AD191" s="63" t="str">
        <f>IF(AND(Report[[#This Row],[Résultats SE]]="Gagné",Report[[#This Row],[FT]]=Report[[#This Row],[Score 1]]),Report[[#This Row],[FT]],"")</f>
        <v/>
      </c>
      <c r="AE191" s="63" t="str">
        <f>IF(AND(Report[[#This Row],[Résultats SE]]="Gagné",Report[[#This Row],[FT]]=Report[[#This Row],[Score 2]]),Report[[#This Row],[FT]],"")</f>
        <v>0-0</v>
      </c>
      <c r="AF191" s="63" t="str">
        <f>IF(AND(Report[[#This Row],[Résultats SE]]="Gagné",Report[[#This Row],[FT]]=Report[[#This Row],[Score 3]]),Report[[#This Row],[FT]],"")</f>
        <v/>
      </c>
      <c r="AG191" s="63" t="str">
        <f>IF(AND(Report[[#This Row],[Résultats SE]]="Gagné",Report[[#This Row],[FT]]=Report[[#This Row],[Score 4]]),Report[[#This Row],[FT]],"")</f>
        <v/>
      </c>
    </row>
    <row r="192" spans="1:33" ht="20.100000000000001" customHeight="1" x14ac:dyDescent="0.25">
      <c r="A192" s="11">
        <v>43428</v>
      </c>
      <c r="B192" s="7" t="s">
        <v>79</v>
      </c>
      <c r="C192" s="7" t="s">
        <v>109</v>
      </c>
      <c r="D192" s="19" t="s">
        <v>590</v>
      </c>
      <c r="E192" s="19" t="s">
        <v>583</v>
      </c>
      <c r="F192" s="7" t="s">
        <v>835</v>
      </c>
      <c r="G192" s="20" t="s">
        <v>827</v>
      </c>
      <c r="H192" s="20" t="s">
        <v>825</v>
      </c>
      <c r="I192" s="20" t="s">
        <v>828</v>
      </c>
      <c r="J192" s="20" t="s">
        <v>826</v>
      </c>
      <c r="K192" s="21" t="s">
        <v>583</v>
      </c>
      <c r="L192" s="16" t="str">
        <f>IF(Report[Résultat FT]="","",IF(Report[Résultat FT]=Report[Résultats],"","-"))</f>
        <v>-</v>
      </c>
      <c r="M192" s="16" t="str">
        <f>IF(Report[[#This Row],[Résultat FT]]="","",IF(Report[[#This Row],[Résultats SE]]="Gagné","","-"))</f>
        <v>-</v>
      </c>
      <c r="N192" s="17" t="s">
        <v>831</v>
      </c>
      <c r="O192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St. Mirren</v>
      </c>
      <c r="P192" s="18">
        <f>IF(Report[[#This Row],[FT]]="",,(LEFT(Report[[#This Row],[FT]],SEARCH("-",Report[[#This Row],[FT]])-1)*1))</f>
        <v>2</v>
      </c>
      <c r="Q192" s="22">
        <f>IF(Report[[#This Row],[FT]]="",,(RIGHT(Report[[#This Row],[FT]],SEARCH("-",Report[[#This Row],[FT]])-1)*1))</f>
        <v>0</v>
      </c>
      <c r="R192" s="18" t="str">
        <f>IF(Report[Résultat FT]="","",IF(Report[Résultat FT]=Report[Résultats],"Gagné","Perdu"))</f>
        <v>Perdu</v>
      </c>
      <c r="S192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92" s="53">
        <f>IF(Report[[#This Row],[FT]]="","",IF(Report[[#This Row],[FT]]=Report[[#This Row],[Score 1]],1,0))</f>
        <v>0</v>
      </c>
      <c r="U192" s="53">
        <f>IF(Report[[#This Row],[FT]]="","",IF(Report[ [#This Row],[FT] ]=Report[[#This Row],[Score 2]],1,0))</f>
        <v>0</v>
      </c>
      <c r="V192" s="53">
        <f>IF(Report[[#This Row],[FT]]="","",IF(Report[[#This Row],[FT]]=Report[[#This Row],[Score 3]],1,0))</f>
        <v>0</v>
      </c>
      <c r="W192" s="53">
        <f>IF(Report[[#This Row],[FT]]="","",IF(Report[[#This Row],[FT]]=Report[[#This Row],[Score 4]],1,0))</f>
        <v>0</v>
      </c>
      <c r="X192" s="66">
        <f>IF(Report[[#This Row],[Résultat FT]]="",,IF(Report[[#This Row],[Résultat FT]]=Report[[#This Row],[Résultats]],(Suivi_Gain!$B$1*Report[[#This Row],[Cote FT]])-Suivi_Gain!$B$1,-Suivi_Gain!$B$1))</f>
        <v>-1</v>
      </c>
      <c r="Y192" s="94">
        <f>IF(Report[[#This Row],[FT]]="",,IF(Report[[#This Row],[FT]]=Report[[#This Row],[Score 1]],(Suivi_Gain!$G$1*Report[[#This Row],[Cote SE]])-Suivi_Gain!$G$1,-Suivi_Gain!$G$1))</f>
        <v>-1</v>
      </c>
      <c r="Z192" s="65">
        <f>IF(Report[[#This Row],[FT]]="",,IF(Report[[#This Row],[FT]]=Report[[#This Row],[Score 2]],Suivi_Gain!$G$1*Report[[#This Row],[Cote SE]],-Suivi_Gain!$G$1))</f>
        <v>-1</v>
      </c>
      <c r="AA192" s="65">
        <f>IF(Report[[#This Row],[FT]]="",,IF(Report[[#This Row],[FT]]=Report[[#This Row],[Score 3]],Suivi_Gain!$G$1*Report[[#This Row],[Cote SE]],-Suivi_Gain!$G$1))</f>
        <v>-1</v>
      </c>
      <c r="AB192" s="65">
        <f>IF(Report[[#This Row],[FT]]="",,IF(Report[[#This Row],[FT]]=Report[[#This Row],[Score 4]],Suivi_Gain!$G$1*Report[[#This Row],[Cote SE]],-Suivi_Gain!$G$1))</f>
        <v>-1</v>
      </c>
      <c r="AC192" s="63" t="str">
        <f>IF(Report[[#This Row],[Résultats SE]]="Gagné",Report[[#This Row],[FT]],"")</f>
        <v/>
      </c>
      <c r="AD192" s="63" t="str">
        <f>IF(AND(Report[[#This Row],[Résultats SE]]="Gagné",Report[[#This Row],[FT]]=Report[[#This Row],[Score 1]]),Report[[#This Row],[FT]],"")</f>
        <v/>
      </c>
      <c r="AE192" s="63" t="str">
        <f>IF(AND(Report[[#This Row],[Résultats SE]]="Gagné",Report[[#This Row],[FT]]=Report[[#This Row],[Score 2]]),Report[[#This Row],[FT]],"")</f>
        <v/>
      </c>
      <c r="AF192" s="63" t="str">
        <f>IF(AND(Report[[#This Row],[Résultats SE]]="Gagné",Report[[#This Row],[FT]]=Report[[#This Row],[Score 3]]),Report[[#This Row],[FT]],"")</f>
        <v/>
      </c>
      <c r="AG192" s="63" t="str">
        <f>IF(AND(Report[[#This Row],[Résultats SE]]="Gagné",Report[[#This Row],[FT]]=Report[[#This Row],[Score 4]]),Report[[#This Row],[FT]],"")</f>
        <v/>
      </c>
    </row>
    <row r="193" spans="1:33" ht="20.100000000000001" customHeight="1" x14ac:dyDescent="0.25">
      <c r="A193" s="11">
        <v>43428</v>
      </c>
      <c r="B193" s="7" t="s">
        <v>67</v>
      </c>
      <c r="C193" s="7" t="s">
        <v>103</v>
      </c>
      <c r="D193" s="10" t="s">
        <v>619</v>
      </c>
      <c r="E193" s="10" t="s">
        <v>613</v>
      </c>
      <c r="F193" s="7" t="s">
        <v>824</v>
      </c>
      <c r="G193" s="8" t="s">
        <v>825</v>
      </c>
      <c r="H193" s="9" t="s">
        <v>826</v>
      </c>
      <c r="I193" s="9" t="s">
        <v>827</v>
      </c>
      <c r="J193" s="9" t="s">
        <v>828</v>
      </c>
      <c r="K193" s="9" t="s">
        <v>613</v>
      </c>
      <c r="L193" s="16" t="str">
        <f>IF(Report[Résultat FT]="","",IF(Report[Résultat FT]=Report[Résultats],"","-"))</f>
        <v>-</v>
      </c>
      <c r="M193" s="16" t="str">
        <f>IF(Report[[#This Row],[Résultat FT]]="","",IF(Report[[#This Row],[Résultats SE]]="Gagné","","-"))</f>
        <v>-</v>
      </c>
      <c r="N193" s="17" t="s">
        <v>837</v>
      </c>
      <c r="O193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193" s="18">
        <f>IF(Report[[#This Row],[FT]]="",,(LEFT(Report[[#This Row],[FT]],SEARCH("-",Report[[#This Row],[FT]])-1)*1))</f>
        <v>2</v>
      </c>
      <c r="Q193" s="22">
        <f>IF(Report[[#This Row],[FT]]="",,(RIGHT(Report[[#This Row],[FT]],SEARCH("-",Report[[#This Row],[FT]])-1)*1))</f>
        <v>2</v>
      </c>
      <c r="R193" s="18" t="str">
        <f>IF(Report[Résultat FT]="","",IF(Report[Résultat FT]=Report[Résultats],"Gagné","Perdu"))</f>
        <v>Perdu</v>
      </c>
      <c r="S193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93" s="53">
        <f>IF(Report[[#This Row],[FT]]="","",IF(Report[[#This Row],[FT]]=Report[[#This Row],[Score 1]],1,0))</f>
        <v>0</v>
      </c>
      <c r="U193" s="53">
        <f>IF(Report[[#This Row],[FT]]="","",IF(Report[ [#This Row],[FT] ]=Report[[#This Row],[Score 2]],1,0))</f>
        <v>0</v>
      </c>
      <c r="V193" s="53">
        <f>IF(Report[[#This Row],[FT]]="","",IF(Report[[#This Row],[FT]]=Report[[#This Row],[Score 3]],1,0))</f>
        <v>0</v>
      </c>
      <c r="W193" s="53">
        <f>IF(Report[[#This Row],[FT]]="","",IF(Report[[#This Row],[FT]]=Report[[#This Row],[Score 4]],1,0))</f>
        <v>0</v>
      </c>
      <c r="X193" s="94">
        <f>IF(Report[[#This Row],[Résultat FT]]="",,IF(Report[[#This Row],[Résultat FT]]=Report[[#This Row],[Résultats]],(Suivi_Gain!$B$1*Report[[#This Row],[Cote FT]])-Suivi_Gain!$B$1,-Suivi_Gain!$B$1))</f>
        <v>-1</v>
      </c>
      <c r="Y193" s="94">
        <f>IF(Report[[#This Row],[FT]]="",,IF(Report[[#This Row],[FT]]=Report[[#This Row],[Score 1]],(Suivi_Gain!$G$1*Report[[#This Row],[Cote SE]])-Suivi_Gain!$G$1,-Suivi_Gain!$G$1))</f>
        <v>-1</v>
      </c>
      <c r="Z193" s="65">
        <f>IF(Report[[#This Row],[FT]]="",,IF(Report[[#This Row],[FT]]=Report[[#This Row],[Score 2]],Suivi_Gain!$G$1*Report[[#This Row],[Cote SE]],-Suivi_Gain!$G$1))</f>
        <v>-1</v>
      </c>
      <c r="AA193" s="65">
        <f>IF(Report[[#This Row],[FT]]="",,IF(Report[[#This Row],[FT]]=Report[[#This Row],[Score 3]],Suivi_Gain!$G$1*Report[[#This Row],[Cote SE]],-Suivi_Gain!$G$1))</f>
        <v>-1</v>
      </c>
      <c r="AB193" s="65">
        <f>IF(Report[[#This Row],[FT]]="",,IF(Report[[#This Row],[FT]]=Report[[#This Row],[Score 4]],Suivi_Gain!$G$1*Report[[#This Row],[Cote SE]],-Suivi_Gain!$G$1))</f>
        <v>-1</v>
      </c>
      <c r="AC193" s="18" t="str">
        <f>IF(Report[[#This Row],[Résultats SE]]="Gagné",Report[[#This Row],[FT]],"")</f>
        <v/>
      </c>
      <c r="AD193" s="18" t="str">
        <f>IF(AND(Report[[#This Row],[Résultats SE]]="Gagné",Report[[#This Row],[FT]]=Report[[#This Row],[Score 1]]),Report[[#This Row],[FT]],"")</f>
        <v/>
      </c>
      <c r="AE193" s="18" t="str">
        <f>IF(AND(Report[[#This Row],[Résultats SE]]="Gagné",Report[[#This Row],[FT]]=Report[[#This Row],[Score 2]]),Report[[#This Row],[FT]],"")</f>
        <v/>
      </c>
      <c r="AF193" s="18" t="str">
        <f>IF(AND(Report[[#This Row],[Résultats SE]]="Gagné",Report[[#This Row],[FT]]=Report[[#This Row],[Score 3]]),Report[[#This Row],[FT]],"")</f>
        <v/>
      </c>
      <c r="AG193" s="18" t="str">
        <f>IF(AND(Report[[#This Row],[Résultats SE]]="Gagné",Report[[#This Row],[FT]]=Report[[#This Row],[Score 4]]),Report[[#This Row],[FT]],"")</f>
        <v/>
      </c>
    </row>
    <row r="194" spans="1:33" ht="20.100000000000001" customHeight="1" x14ac:dyDescent="0.25">
      <c r="A194" s="11">
        <v>43428</v>
      </c>
      <c r="B194" s="7" t="s">
        <v>67</v>
      </c>
      <c r="C194" s="7" t="s">
        <v>103</v>
      </c>
      <c r="D194" s="10" t="s">
        <v>621</v>
      </c>
      <c r="E194" s="10" t="s">
        <v>627</v>
      </c>
      <c r="F194" s="7" t="s">
        <v>829</v>
      </c>
      <c r="G194" s="8" t="s">
        <v>830</v>
      </c>
      <c r="H194" s="9" t="s">
        <v>826</v>
      </c>
      <c r="I194" s="9" t="s">
        <v>831</v>
      </c>
      <c r="J194" s="9" t="s">
        <v>832</v>
      </c>
      <c r="K194" s="9" t="s">
        <v>621</v>
      </c>
      <c r="L194" s="16">
        <v>1.85</v>
      </c>
      <c r="M194" s="16">
        <v>8</v>
      </c>
      <c r="N194" s="17" t="s">
        <v>831</v>
      </c>
      <c r="O194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La Corogne</v>
      </c>
      <c r="P194" s="18">
        <f>IF(Report[[#This Row],[FT]]="",,(LEFT(Report[[#This Row],[FT]],SEARCH("-",Report[[#This Row],[FT]])-1)*1))</f>
        <v>2</v>
      </c>
      <c r="Q194" s="22">
        <f>IF(Report[[#This Row],[FT]]="",,(RIGHT(Report[[#This Row],[FT]],SEARCH("-",Report[[#This Row],[FT]])-1)*1))</f>
        <v>0</v>
      </c>
      <c r="R194" s="18" t="str">
        <f>IF(Report[Résultat FT]="","",IF(Report[Résultat FT]=Report[Résultats],"Gagné","Perdu"))</f>
        <v>Gagné</v>
      </c>
      <c r="S194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194" s="53">
        <f>IF(Report[[#This Row],[FT]]="","",IF(Report[[#This Row],[FT]]=Report[[#This Row],[Score 1]],1,0))</f>
        <v>0</v>
      </c>
      <c r="U194" s="53">
        <f>IF(Report[[#This Row],[FT]]="","",IF(Report[ [#This Row],[FT] ]=Report[[#This Row],[Score 2]],1,0))</f>
        <v>0</v>
      </c>
      <c r="V194" s="53">
        <f>IF(Report[[#This Row],[FT]]="","",IF(Report[[#This Row],[FT]]=Report[[#This Row],[Score 3]],1,0))</f>
        <v>1</v>
      </c>
      <c r="W194" s="53">
        <f>IF(Report[[#This Row],[FT]]="","",IF(Report[[#This Row],[FT]]=Report[[#This Row],[Score 4]],1,0))</f>
        <v>0</v>
      </c>
      <c r="X194" s="94">
        <f>IF(Report[[#This Row],[Résultat FT]]="",,IF(Report[[#This Row],[Résultat FT]]=Report[[#This Row],[Résultats]],(Suivi_Gain!$B$1*Report[[#This Row],[Cote FT]])-Suivi_Gain!$B$1,-Suivi_Gain!$B$1))</f>
        <v>0.85000000000000009</v>
      </c>
      <c r="Y194" s="94">
        <f>IF(Report[[#This Row],[FT]]="",,IF(Report[[#This Row],[FT]]=Report[[#This Row],[Score 1]],(Suivi_Gain!$G$1*Report[[#This Row],[Cote SE]])-Suivi_Gain!$G$1,-Suivi_Gain!$G$1))</f>
        <v>-1</v>
      </c>
      <c r="Z194" s="65">
        <f>IF(Report[[#This Row],[FT]]="",,IF(Report[[#This Row],[FT]]=Report[[#This Row],[Score 2]],Suivi_Gain!$G$1*Report[[#This Row],[Cote SE]],-Suivi_Gain!$G$1))</f>
        <v>-1</v>
      </c>
      <c r="AA194" s="65">
        <f>IF(Report[[#This Row],[FT]]="",,IF(Report[[#This Row],[FT]]=Report[[#This Row],[Score 3]],Suivi_Gain!$G$1*Report[[#This Row],[Cote SE]],-Suivi_Gain!$G$1))</f>
        <v>8</v>
      </c>
      <c r="AB194" s="65">
        <f>IF(Report[[#This Row],[FT]]="",,IF(Report[[#This Row],[FT]]=Report[[#This Row],[Score 4]],Suivi_Gain!$G$1*Report[[#This Row],[Cote SE]],-Suivi_Gain!$G$1))</f>
        <v>-1</v>
      </c>
      <c r="AC194" s="18" t="str">
        <f>IF(Report[[#This Row],[Résultats SE]]="Gagné",Report[[#This Row],[FT]],"")</f>
        <v>2-0</v>
      </c>
      <c r="AD194" s="18" t="str">
        <f>IF(AND(Report[[#This Row],[Résultats SE]]="Gagné",Report[[#This Row],[FT]]=Report[[#This Row],[Score 1]]),Report[[#This Row],[FT]],"")</f>
        <v/>
      </c>
      <c r="AE194" s="18" t="str">
        <f>IF(AND(Report[[#This Row],[Résultats SE]]="Gagné",Report[[#This Row],[FT]]=Report[[#This Row],[Score 2]]),Report[[#This Row],[FT]],"")</f>
        <v/>
      </c>
      <c r="AF194" s="18" t="str">
        <f>IF(AND(Report[[#This Row],[Résultats SE]]="Gagné",Report[[#This Row],[FT]]=Report[[#This Row],[Score 3]]),Report[[#This Row],[FT]],"")</f>
        <v>2-0</v>
      </c>
      <c r="AG194" s="18" t="str">
        <f>IF(AND(Report[[#This Row],[Résultats SE]]="Gagné",Report[[#This Row],[FT]]=Report[[#This Row],[Score 4]]),Report[[#This Row],[FT]],"")</f>
        <v/>
      </c>
    </row>
    <row r="195" spans="1:33" ht="20.100000000000001" customHeight="1" x14ac:dyDescent="0.25">
      <c r="A195" s="11">
        <v>43428</v>
      </c>
      <c r="B195" s="7" t="s">
        <v>67</v>
      </c>
      <c r="C195" s="7" t="s">
        <v>102</v>
      </c>
      <c r="D195" s="10" t="s">
        <v>597</v>
      </c>
      <c r="E195" s="10" t="s">
        <v>605</v>
      </c>
      <c r="F195" s="7" t="s">
        <v>843</v>
      </c>
      <c r="G195" s="8" t="s">
        <v>825</v>
      </c>
      <c r="H195" s="9" t="s">
        <v>826</v>
      </c>
      <c r="I195" s="9" t="s">
        <v>827</v>
      </c>
      <c r="J195" s="9" t="s">
        <v>828</v>
      </c>
      <c r="K195" s="9" t="s">
        <v>605</v>
      </c>
      <c r="L195" s="16" t="str">
        <f>IF(Report[Résultat FT]="","",IF(Report[Résultat FT]=Report[Résultats],"","-"))</f>
        <v>-</v>
      </c>
      <c r="M195" s="16" t="str">
        <f>IF(Report[[#This Row],[Résultat FT]]="","",IF(Report[[#This Row],[Résultats SE]]="Gagné","","-"))</f>
        <v>-</v>
      </c>
      <c r="N195" s="17" t="s">
        <v>832</v>
      </c>
      <c r="O195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Eibar</v>
      </c>
      <c r="P195" s="18">
        <f>IF(Report[[#This Row],[FT]]="",,(LEFT(Report[[#This Row],[FT]],SEARCH("-",Report[[#This Row],[FT]])-1)*1))</f>
        <v>3</v>
      </c>
      <c r="Q195" s="22">
        <f>IF(Report[[#This Row],[FT]]="",,(RIGHT(Report[[#This Row],[FT]],SEARCH("-",Report[[#This Row],[FT]])-1)*1))</f>
        <v>0</v>
      </c>
      <c r="R195" s="18" t="str">
        <f>IF(Report[Résultat FT]="","",IF(Report[Résultat FT]=Report[Résultats],"Gagné","Perdu"))</f>
        <v>Perdu</v>
      </c>
      <c r="S195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95" s="53">
        <f>IF(Report[[#This Row],[FT]]="","",IF(Report[[#This Row],[FT]]=Report[[#This Row],[Score 1]],1,0))</f>
        <v>0</v>
      </c>
      <c r="U195" s="53">
        <f>IF(Report[[#This Row],[FT]]="","",IF(Report[ [#This Row],[FT] ]=Report[[#This Row],[Score 2]],1,0))</f>
        <v>0</v>
      </c>
      <c r="V195" s="53">
        <f>IF(Report[[#This Row],[FT]]="","",IF(Report[[#This Row],[FT]]=Report[[#This Row],[Score 3]],1,0))</f>
        <v>0</v>
      </c>
      <c r="W195" s="53">
        <f>IF(Report[[#This Row],[FT]]="","",IF(Report[[#This Row],[FT]]=Report[[#This Row],[Score 4]],1,0))</f>
        <v>0</v>
      </c>
      <c r="X195" s="66">
        <f>IF(Report[[#This Row],[Résultat FT]]="",,IF(Report[[#This Row],[Résultat FT]]=Report[[#This Row],[Résultats]],(Suivi_Gain!$B$1*Report[[#This Row],[Cote FT]])-Suivi_Gain!$B$1,-Suivi_Gain!$B$1))</f>
        <v>-1</v>
      </c>
      <c r="Y195" s="94">
        <f>IF(Report[[#This Row],[FT]]="",,IF(Report[[#This Row],[FT]]=Report[[#This Row],[Score 1]],(Suivi_Gain!$G$1*Report[[#This Row],[Cote SE]])-Suivi_Gain!$G$1,-Suivi_Gain!$G$1))</f>
        <v>-1</v>
      </c>
      <c r="Z195" s="65">
        <f>IF(Report[[#This Row],[FT]]="",,IF(Report[[#This Row],[FT]]=Report[[#This Row],[Score 2]],Suivi_Gain!$G$1*Report[[#This Row],[Cote SE]],-Suivi_Gain!$G$1))</f>
        <v>-1</v>
      </c>
      <c r="AA195" s="65">
        <f>IF(Report[[#This Row],[FT]]="",,IF(Report[[#This Row],[FT]]=Report[[#This Row],[Score 3]],Suivi_Gain!$G$1*Report[[#This Row],[Cote SE]],-Suivi_Gain!$G$1))</f>
        <v>-1</v>
      </c>
      <c r="AB195" s="65">
        <f>IF(Report[[#This Row],[FT]]="",,IF(Report[[#This Row],[FT]]=Report[[#This Row],[Score 4]],Suivi_Gain!$G$1*Report[[#This Row],[Cote SE]],-Suivi_Gain!$G$1))</f>
        <v>-1</v>
      </c>
      <c r="AC195" s="64" t="str">
        <f>IF(Report[[#This Row],[Résultats SE]]="Gagné",Report[[#This Row],[FT]],"")</f>
        <v/>
      </c>
      <c r="AD195" s="64" t="str">
        <f>IF(AND(Report[[#This Row],[Résultats SE]]="Gagné",Report[[#This Row],[FT]]=Report[[#This Row],[Score 1]]),Report[[#This Row],[FT]],"")</f>
        <v/>
      </c>
      <c r="AE195" s="64" t="str">
        <f>IF(AND(Report[[#This Row],[Résultats SE]]="Gagné",Report[[#This Row],[FT]]=Report[[#This Row],[Score 2]]),Report[[#This Row],[FT]],"")</f>
        <v/>
      </c>
      <c r="AF195" s="64" t="str">
        <f>IF(AND(Report[[#This Row],[Résultats SE]]="Gagné",Report[[#This Row],[FT]]=Report[[#This Row],[Score 3]]),Report[[#This Row],[FT]],"")</f>
        <v/>
      </c>
      <c r="AG195" s="64" t="str">
        <f>IF(AND(Report[[#This Row],[Résultats SE]]="Gagné",Report[[#This Row],[FT]]=Report[[#This Row],[Score 4]]),Report[[#This Row],[FT]],"")</f>
        <v/>
      </c>
    </row>
    <row r="196" spans="1:33" ht="20.100000000000001" customHeight="1" x14ac:dyDescent="0.25">
      <c r="A196" s="11">
        <v>43428</v>
      </c>
      <c r="B196" s="7" t="s">
        <v>67</v>
      </c>
      <c r="C196" s="7" t="s">
        <v>102</v>
      </c>
      <c r="D196" s="10" t="s">
        <v>607</v>
      </c>
      <c r="E196" s="10" t="s">
        <v>609</v>
      </c>
      <c r="F196" s="7" t="s">
        <v>829</v>
      </c>
      <c r="G196" s="8" t="s">
        <v>830</v>
      </c>
      <c r="H196" s="9" t="s">
        <v>826</v>
      </c>
      <c r="I196" s="9" t="s">
        <v>831</v>
      </c>
      <c r="J196" s="9" t="s">
        <v>832</v>
      </c>
      <c r="K196" s="9" t="s">
        <v>607</v>
      </c>
      <c r="L196" s="16">
        <v>1.4</v>
      </c>
      <c r="M196" s="16">
        <v>9.5</v>
      </c>
      <c r="N196" s="17" t="s">
        <v>832</v>
      </c>
      <c r="O196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Valence</v>
      </c>
      <c r="P196" s="18">
        <f>IF(Report[[#This Row],[FT]]="",,(LEFT(Report[[#This Row],[FT]],SEARCH("-",Report[[#This Row],[FT]])-1)*1))</f>
        <v>3</v>
      </c>
      <c r="Q196" s="22">
        <f>IF(Report[[#This Row],[FT]]="",,(RIGHT(Report[[#This Row],[FT]],SEARCH("-",Report[[#This Row],[FT]])-1)*1))</f>
        <v>0</v>
      </c>
      <c r="R196" s="18" t="str">
        <f>IF(Report[Résultat FT]="","",IF(Report[Résultat FT]=Report[Résultats],"Gagné","Perdu"))</f>
        <v>Gagné</v>
      </c>
      <c r="S196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196" s="53">
        <f>IF(Report[[#This Row],[FT]]="","",IF(Report[[#This Row],[FT]]=Report[[#This Row],[Score 1]],1,0))</f>
        <v>0</v>
      </c>
      <c r="U196" s="53">
        <f>IF(Report[[#This Row],[FT]]="","",IF(Report[ [#This Row],[FT] ]=Report[[#This Row],[Score 2]],1,0))</f>
        <v>0</v>
      </c>
      <c r="V196" s="53">
        <f>IF(Report[[#This Row],[FT]]="","",IF(Report[[#This Row],[FT]]=Report[[#This Row],[Score 3]],1,0))</f>
        <v>0</v>
      </c>
      <c r="W196" s="53">
        <f>IF(Report[[#This Row],[FT]]="","",IF(Report[[#This Row],[FT]]=Report[[#This Row],[Score 4]],1,0))</f>
        <v>1</v>
      </c>
      <c r="X196" s="66">
        <f>IF(Report[[#This Row],[Résultat FT]]="",,IF(Report[[#This Row],[Résultat FT]]=Report[[#This Row],[Résultats]],(Suivi_Gain!$B$1*Report[[#This Row],[Cote FT]])-Suivi_Gain!$B$1,-Suivi_Gain!$B$1))</f>
        <v>0.39999999999999991</v>
      </c>
      <c r="Y196" s="94">
        <f>IF(Report[[#This Row],[FT]]="",,IF(Report[[#This Row],[FT]]=Report[[#This Row],[Score 1]],(Suivi_Gain!$G$1*Report[[#This Row],[Cote SE]])-Suivi_Gain!$G$1,-Suivi_Gain!$G$1))</f>
        <v>-1</v>
      </c>
      <c r="Z196" s="65">
        <f>IF(Report[[#This Row],[FT]]="",,IF(Report[[#This Row],[FT]]=Report[[#This Row],[Score 2]],Suivi_Gain!$G$1*Report[[#This Row],[Cote SE]],-Suivi_Gain!$G$1))</f>
        <v>-1</v>
      </c>
      <c r="AA196" s="65">
        <f>IF(Report[[#This Row],[FT]]="",,IF(Report[[#This Row],[FT]]=Report[[#This Row],[Score 3]],Suivi_Gain!$G$1*Report[[#This Row],[Cote SE]],-Suivi_Gain!$G$1))</f>
        <v>-1</v>
      </c>
      <c r="AB196" s="65">
        <f>IF(Report[[#This Row],[FT]]="",,IF(Report[[#This Row],[FT]]=Report[[#This Row],[Score 4]],Suivi_Gain!$G$1*Report[[#This Row],[Cote SE]],-Suivi_Gain!$G$1))</f>
        <v>9.5</v>
      </c>
      <c r="AC196" s="64" t="str">
        <f>IF(Report[[#This Row],[Résultats SE]]="Gagné",Report[[#This Row],[FT]],"")</f>
        <v>3-0</v>
      </c>
      <c r="AD196" s="64" t="str">
        <f>IF(AND(Report[[#This Row],[Résultats SE]]="Gagné",Report[[#This Row],[FT]]=Report[[#This Row],[Score 1]]),Report[[#This Row],[FT]],"")</f>
        <v/>
      </c>
      <c r="AE196" s="64" t="str">
        <f>IF(AND(Report[[#This Row],[Résultats SE]]="Gagné",Report[[#This Row],[FT]]=Report[[#This Row],[Score 2]]),Report[[#This Row],[FT]],"")</f>
        <v/>
      </c>
      <c r="AF196" s="64" t="str">
        <f>IF(AND(Report[[#This Row],[Résultats SE]]="Gagné",Report[[#This Row],[FT]]=Report[[#This Row],[Score 3]]),Report[[#This Row],[FT]],"")</f>
        <v/>
      </c>
      <c r="AG196" s="64" t="str">
        <f>IF(AND(Report[[#This Row],[Résultats SE]]="Gagné",Report[[#This Row],[FT]]=Report[[#This Row],[Score 4]]),Report[[#This Row],[FT]],"")</f>
        <v>3-0</v>
      </c>
    </row>
    <row r="197" spans="1:33" ht="20.100000000000001" customHeight="1" x14ac:dyDescent="0.25">
      <c r="A197" s="11">
        <v>43428</v>
      </c>
      <c r="B197" s="7" t="s">
        <v>67</v>
      </c>
      <c r="C197" s="7" t="s">
        <v>102</v>
      </c>
      <c r="D197" s="10" t="s">
        <v>602</v>
      </c>
      <c r="E197" s="10" t="s">
        <v>604</v>
      </c>
      <c r="F197" s="7" t="s">
        <v>843</v>
      </c>
      <c r="G197" s="8" t="s">
        <v>839</v>
      </c>
      <c r="H197" s="9" t="s">
        <v>834</v>
      </c>
      <c r="I197" s="9" t="s">
        <v>827</v>
      </c>
      <c r="J197" s="9" t="s">
        <v>825</v>
      </c>
      <c r="K197" s="9" t="s">
        <v>604</v>
      </c>
      <c r="L197" s="16" t="str">
        <f>IF(Report[Résultat FT]="","",IF(Report[Résultat FT]=Report[Résultats],"","-"))</f>
        <v>-</v>
      </c>
      <c r="M197" s="16" t="str">
        <f>IF(Report[[#This Row],[Résultat FT]]="","",IF(Report[[#This Row],[Résultats SE]]="Gagné","","-"))</f>
        <v>-</v>
      </c>
      <c r="N197" s="17" t="s">
        <v>837</v>
      </c>
      <c r="O197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197" s="18">
        <f>IF(Report[[#This Row],[FT]]="",,(LEFT(Report[[#This Row],[FT]],SEARCH("-",Report[[#This Row],[FT]])-1)*1))</f>
        <v>2</v>
      </c>
      <c r="Q197" s="22">
        <f>IF(Report[[#This Row],[FT]]="",,(RIGHT(Report[[#This Row],[FT]],SEARCH("-",Report[[#This Row],[FT]])-1)*1))</f>
        <v>2</v>
      </c>
      <c r="R197" s="18" t="str">
        <f>IF(Report[Résultat FT]="","",IF(Report[Résultat FT]=Report[Résultats],"Gagné","Perdu"))</f>
        <v>Perdu</v>
      </c>
      <c r="S197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97" s="53">
        <f>IF(Report[[#This Row],[FT]]="","",IF(Report[[#This Row],[FT]]=Report[[#This Row],[Score 1]],1,0))</f>
        <v>0</v>
      </c>
      <c r="U197" s="53">
        <f>IF(Report[[#This Row],[FT]]="","",IF(Report[ [#This Row],[FT] ]=Report[[#This Row],[Score 2]],1,0))</f>
        <v>0</v>
      </c>
      <c r="V197" s="53">
        <f>IF(Report[[#This Row],[FT]]="","",IF(Report[[#This Row],[FT]]=Report[[#This Row],[Score 3]],1,0))</f>
        <v>0</v>
      </c>
      <c r="W197" s="53">
        <f>IF(Report[[#This Row],[FT]]="","",IF(Report[[#This Row],[FT]]=Report[[#This Row],[Score 4]],1,0))</f>
        <v>0</v>
      </c>
      <c r="X197" s="66">
        <f>IF(Report[[#This Row],[Résultat FT]]="",,IF(Report[[#This Row],[Résultat FT]]=Report[[#This Row],[Résultats]],(Suivi_Gain!$B$1*Report[[#This Row],[Cote FT]])-Suivi_Gain!$B$1,-Suivi_Gain!$B$1))</f>
        <v>-1</v>
      </c>
      <c r="Y197" s="94">
        <f>IF(Report[[#This Row],[FT]]="",,IF(Report[[#This Row],[FT]]=Report[[#This Row],[Score 1]],(Suivi_Gain!$G$1*Report[[#This Row],[Cote SE]])-Suivi_Gain!$G$1,-Suivi_Gain!$G$1))</f>
        <v>-1</v>
      </c>
      <c r="Z197" s="65">
        <f>IF(Report[[#This Row],[FT]]="",,IF(Report[[#This Row],[FT]]=Report[[#This Row],[Score 2]],Suivi_Gain!$G$1*Report[[#This Row],[Cote SE]],-Suivi_Gain!$G$1))</f>
        <v>-1</v>
      </c>
      <c r="AA197" s="65">
        <f>IF(Report[[#This Row],[FT]]="",,IF(Report[[#This Row],[FT]]=Report[[#This Row],[Score 3]],Suivi_Gain!$G$1*Report[[#This Row],[Cote SE]],-Suivi_Gain!$G$1))</f>
        <v>-1</v>
      </c>
      <c r="AB197" s="65">
        <f>IF(Report[[#This Row],[FT]]="",,IF(Report[[#This Row],[FT]]=Report[[#This Row],[Score 4]],Suivi_Gain!$G$1*Report[[#This Row],[Cote SE]],-Suivi_Gain!$G$1))</f>
        <v>-1</v>
      </c>
      <c r="AC197" s="64" t="str">
        <f>IF(Report[[#This Row],[Résultats SE]]="Gagné",Report[[#This Row],[FT]],"")</f>
        <v/>
      </c>
      <c r="AD197" s="64" t="str">
        <f>IF(AND(Report[[#This Row],[Résultats SE]]="Gagné",Report[[#This Row],[FT]]=Report[[#This Row],[Score 1]]),Report[[#This Row],[FT]],"")</f>
        <v/>
      </c>
      <c r="AE197" s="64" t="str">
        <f>IF(AND(Report[[#This Row],[Résultats SE]]="Gagné",Report[[#This Row],[FT]]=Report[[#This Row],[Score 2]]),Report[[#This Row],[FT]],"")</f>
        <v/>
      </c>
      <c r="AF197" s="64" t="str">
        <f>IF(AND(Report[[#This Row],[Résultats SE]]="Gagné",Report[[#This Row],[FT]]=Report[[#This Row],[Score 3]]),Report[[#This Row],[FT]],"")</f>
        <v/>
      </c>
      <c r="AG197" s="64" t="str">
        <f>IF(AND(Report[[#This Row],[Résultats SE]]="Gagné",Report[[#This Row],[FT]]=Report[[#This Row],[Score 4]]),Report[[#This Row],[FT]],"")</f>
        <v/>
      </c>
    </row>
    <row r="198" spans="1:33" ht="20.100000000000001" customHeight="1" x14ac:dyDescent="0.25">
      <c r="A198" s="11">
        <v>43428</v>
      </c>
      <c r="B198" s="7" t="s">
        <v>67</v>
      </c>
      <c r="C198" s="7" t="s">
        <v>102</v>
      </c>
      <c r="D198" s="10" t="s">
        <v>593</v>
      </c>
      <c r="E198" s="10" t="s">
        <v>594</v>
      </c>
      <c r="F198" s="7" t="s">
        <v>833</v>
      </c>
      <c r="G198" s="8" t="s">
        <v>834</v>
      </c>
      <c r="H198" s="9" t="s">
        <v>830</v>
      </c>
      <c r="I198" s="9" t="s">
        <v>825</v>
      </c>
      <c r="J198" s="9" t="s">
        <v>826</v>
      </c>
      <c r="K198" s="9" t="s">
        <v>233</v>
      </c>
      <c r="L198" s="16">
        <v>3.35</v>
      </c>
      <c r="M198" s="16">
        <v>6.4</v>
      </c>
      <c r="N198" s="17" t="s">
        <v>834</v>
      </c>
      <c r="O198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198" s="18">
        <f>IF(Report[[#This Row],[FT]]="",,(LEFT(Report[[#This Row],[FT]],SEARCH("-",Report[[#This Row],[FT]])-1)*1))</f>
        <v>1</v>
      </c>
      <c r="Q198" s="22">
        <f>IF(Report[[#This Row],[FT]]="",,(RIGHT(Report[[#This Row],[FT]],SEARCH("-",Report[[#This Row],[FT]])-1)*1))</f>
        <v>1</v>
      </c>
      <c r="R198" s="18" t="str">
        <f>IF(Report[Résultat FT]="","",IF(Report[Résultat FT]=Report[Résultats],"Gagné","Perdu"))</f>
        <v>Gagné</v>
      </c>
      <c r="S198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198" s="53">
        <f>IF(Report[[#This Row],[FT]]="","",IF(Report[[#This Row],[FT]]=Report[[#This Row],[Score 1]],1,0))</f>
        <v>1</v>
      </c>
      <c r="U198" s="53">
        <f>IF(Report[[#This Row],[FT]]="","",IF(Report[ [#This Row],[FT] ]=Report[[#This Row],[Score 2]],1,0))</f>
        <v>0</v>
      </c>
      <c r="V198" s="53">
        <f>IF(Report[[#This Row],[FT]]="","",IF(Report[[#This Row],[FT]]=Report[[#This Row],[Score 3]],1,0))</f>
        <v>0</v>
      </c>
      <c r="W198" s="53">
        <f>IF(Report[[#This Row],[FT]]="","",IF(Report[[#This Row],[FT]]=Report[[#This Row],[Score 4]],1,0))</f>
        <v>0</v>
      </c>
      <c r="X198" s="66">
        <f>IF(Report[[#This Row],[Résultat FT]]="",,IF(Report[[#This Row],[Résultat FT]]=Report[[#This Row],[Résultats]],(Suivi_Gain!$B$1*Report[[#This Row],[Cote FT]])-Suivi_Gain!$B$1,-Suivi_Gain!$B$1))</f>
        <v>2.35</v>
      </c>
      <c r="Y198" s="94">
        <f>IF(Report[[#This Row],[FT]]="",,IF(Report[[#This Row],[FT]]=Report[[#This Row],[Score 1]],(Suivi_Gain!$G$1*Report[[#This Row],[Cote SE]])-Suivi_Gain!$G$1,-Suivi_Gain!$G$1))</f>
        <v>5.4</v>
      </c>
      <c r="Z198" s="65">
        <f>IF(Report[[#This Row],[FT]]="",,IF(Report[[#This Row],[FT]]=Report[[#This Row],[Score 2]],Suivi_Gain!$G$1*Report[[#This Row],[Cote SE]],-Suivi_Gain!$G$1))</f>
        <v>-1</v>
      </c>
      <c r="AA198" s="65">
        <f>IF(Report[[#This Row],[FT]]="",,IF(Report[[#This Row],[FT]]=Report[[#This Row],[Score 3]],Suivi_Gain!$G$1*Report[[#This Row],[Cote SE]],-Suivi_Gain!$G$1))</f>
        <v>-1</v>
      </c>
      <c r="AB198" s="65">
        <f>IF(Report[[#This Row],[FT]]="",,IF(Report[[#This Row],[FT]]=Report[[#This Row],[Score 4]],Suivi_Gain!$G$1*Report[[#This Row],[Cote SE]],-Suivi_Gain!$G$1))</f>
        <v>-1</v>
      </c>
      <c r="AC198" s="64" t="str">
        <f>IF(Report[[#This Row],[Résultats SE]]="Gagné",Report[[#This Row],[FT]],"")</f>
        <v>1-1</v>
      </c>
      <c r="AD198" s="64" t="str">
        <f>IF(AND(Report[[#This Row],[Résultats SE]]="Gagné",Report[[#This Row],[FT]]=Report[[#This Row],[Score 1]]),Report[[#This Row],[FT]],"")</f>
        <v>1-1</v>
      </c>
      <c r="AE198" s="64" t="str">
        <f>IF(AND(Report[[#This Row],[Résultats SE]]="Gagné",Report[[#This Row],[FT]]=Report[[#This Row],[Score 2]]),Report[[#This Row],[FT]],"")</f>
        <v/>
      </c>
      <c r="AF198" s="64" t="str">
        <f>IF(AND(Report[[#This Row],[Résultats SE]]="Gagné",Report[[#This Row],[FT]]=Report[[#This Row],[Score 3]]),Report[[#This Row],[FT]],"")</f>
        <v/>
      </c>
      <c r="AG198" s="64" t="str">
        <f>IF(AND(Report[[#This Row],[Résultats SE]]="Gagné",Report[[#This Row],[FT]]=Report[[#This Row],[Score 4]]),Report[[#This Row],[FT]],"")</f>
        <v/>
      </c>
    </row>
    <row r="199" spans="1:33" ht="20.100000000000001" customHeight="1" x14ac:dyDescent="0.25">
      <c r="A199" s="11">
        <v>43428</v>
      </c>
      <c r="B199" s="7" t="s">
        <v>67</v>
      </c>
      <c r="C199" s="7" t="s">
        <v>103</v>
      </c>
      <c r="D199" s="10" t="s">
        <v>623</v>
      </c>
      <c r="E199" s="10" t="s">
        <v>615</v>
      </c>
      <c r="F199" s="7" t="s">
        <v>833</v>
      </c>
      <c r="G199" s="8" t="s">
        <v>834</v>
      </c>
      <c r="H199" s="9" t="s">
        <v>830</v>
      </c>
      <c r="I199" s="9" t="s">
        <v>825</v>
      </c>
      <c r="J199" s="9" t="s">
        <v>826</v>
      </c>
      <c r="K199" s="9" t="s">
        <v>233</v>
      </c>
      <c r="L199" s="16" t="str">
        <f>IF(Report[Résultat FT]="","",IF(Report[Résultat FT]=Report[Résultats],"","-"))</f>
        <v>-</v>
      </c>
      <c r="M199" s="16" t="str">
        <f>IF(Report[[#This Row],[Résultat FT]]="","",IF(Report[[#This Row],[Résultats SE]]="Gagné","","-"))</f>
        <v>-</v>
      </c>
      <c r="N199" s="17" t="s">
        <v>838</v>
      </c>
      <c r="O199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Lugo</v>
      </c>
      <c r="P199" s="18">
        <f>IF(Report[[#This Row],[FT]]="",,(LEFT(Report[[#This Row],[FT]],SEARCH("-",Report[[#This Row],[FT]])-1)*1))</f>
        <v>2</v>
      </c>
      <c r="Q199" s="22">
        <f>IF(Report[[#This Row],[FT]]="",,(RIGHT(Report[[#This Row],[FT]],SEARCH("-",Report[[#This Row],[FT]])-1)*1))</f>
        <v>1</v>
      </c>
      <c r="R199" s="18" t="str">
        <f>IF(Report[Résultat FT]="","",IF(Report[Résultat FT]=Report[Résultats],"Gagné","Perdu"))</f>
        <v>Perdu</v>
      </c>
      <c r="S199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199" s="53">
        <f>IF(Report[[#This Row],[FT]]="","",IF(Report[[#This Row],[FT]]=Report[[#This Row],[Score 1]],1,0))</f>
        <v>0</v>
      </c>
      <c r="U199" s="53">
        <f>IF(Report[[#This Row],[FT]]="","",IF(Report[ [#This Row],[FT] ]=Report[[#This Row],[Score 2]],1,0))</f>
        <v>0</v>
      </c>
      <c r="V199" s="53">
        <f>IF(Report[[#This Row],[FT]]="","",IF(Report[[#This Row],[FT]]=Report[[#This Row],[Score 3]],1,0))</f>
        <v>0</v>
      </c>
      <c r="W199" s="53">
        <f>IF(Report[[#This Row],[FT]]="","",IF(Report[[#This Row],[FT]]=Report[[#This Row],[Score 4]],1,0))</f>
        <v>0</v>
      </c>
      <c r="X199" s="66">
        <f>IF(Report[[#This Row],[Résultat FT]]="",,IF(Report[[#This Row],[Résultat FT]]=Report[[#This Row],[Résultats]],(Suivi_Gain!$B$1*Report[[#This Row],[Cote FT]])-Suivi_Gain!$B$1,-Suivi_Gain!$B$1))</f>
        <v>-1</v>
      </c>
      <c r="Y199" s="94">
        <f>IF(Report[[#This Row],[FT]]="",,IF(Report[[#This Row],[FT]]=Report[[#This Row],[Score 1]],(Suivi_Gain!$G$1*Report[[#This Row],[Cote SE]])-Suivi_Gain!$G$1,-Suivi_Gain!$G$1))</f>
        <v>-1</v>
      </c>
      <c r="Z199" s="65">
        <f>IF(Report[[#This Row],[FT]]="",,IF(Report[[#This Row],[FT]]=Report[[#This Row],[Score 2]],Suivi_Gain!$G$1*Report[[#This Row],[Cote SE]],-Suivi_Gain!$G$1))</f>
        <v>-1</v>
      </c>
      <c r="AA199" s="65">
        <f>IF(Report[[#This Row],[FT]]="",,IF(Report[[#This Row],[FT]]=Report[[#This Row],[Score 3]],Suivi_Gain!$G$1*Report[[#This Row],[Cote SE]],-Suivi_Gain!$G$1))</f>
        <v>-1</v>
      </c>
      <c r="AB199" s="65">
        <f>IF(Report[[#This Row],[FT]]="",,IF(Report[[#This Row],[FT]]=Report[[#This Row],[Score 4]],Suivi_Gain!$G$1*Report[[#This Row],[Cote SE]],-Suivi_Gain!$G$1))</f>
        <v>-1</v>
      </c>
      <c r="AC199" s="64" t="str">
        <f>IF(Report[[#This Row],[Résultats SE]]="Gagné",Report[[#This Row],[FT]],"")</f>
        <v/>
      </c>
      <c r="AD199" s="64" t="str">
        <f>IF(AND(Report[[#This Row],[Résultats SE]]="Gagné",Report[[#This Row],[FT]]=Report[[#This Row],[Score 1]]),Report[[#This Row],[FT]],"")</f>
        <v/>
      </c>
      <c r="AE199" s="64" t="str">
        <f>IF(AND(Report[[#This Row],[Résultats SE]]="Gagné",Report[[#This Row],[FT]]=Report[[#This Row],[Score 2]]),Report[[#This Row],[FT]],"")</f>
        <v/>
      </c>
      <c r="AF199" s="64" t="str">
        <f>IF(AND(Report[[#This Row],[Résultats SE]]="Gagné",Report[[#This Row],[FT]]=Report[[#This Row],[Score 3]]),Report[[#This Row],[FT]],"")</f>
        <v/>
      </c>
      <c r="AG199" s="64" t="str">
        <f>IF(AND(Report[[#This Row],[Résultats SE]]="Gagné",Report[[#This Row],[FT]]=Report[[#This Row],[Score 4]]),Report[[#This Row],[FT]],"")</f>
        <v/>
      </c>
    </row>
    <row r="200" spans="1:33" ht="20.100000000000001" customHeight="1" x14ac:dyDescent="0.25">
      <c r="A200" s="11">
        <v>43428</v>
      </c>
      <c r="B200" s="7" t="s">
        <v>67</v>
      </c>
      <c r="C200" s="7" t="s">
        <v>103</v>
      </c>
      <c r="D200" s="10" t="s">
        <v>614</v>
      </c>
      <c r="E200" s="10" t="s">
        <v>622</v>
      </c>
      <c r="F200" s="7" t="s">
        <v>824</v>
      </c>
      <c r="G200" s="8" t="s">
        <v>825</v>
      </c>
      <c r="H200" s="9" t="s">
        <v>826</v>
      </c>
      <c r="I200" s="9" t="s">
        <v>827</v>
      </c>
      <c r="J200" s="9" t="s">
        <v>828</v>
      </c>
      <c r="K200" s="9" t="s">
        <v>622</v>
      </c>
      <c r="L200" s="16" t="str">
        <f>IF(Report[Résultat FT]="","",IF(Report[Résultat FT]=Report[Résultats],"","-"))</f>
        <v>-</v>
      </c>
      <c r="M200" s="16" t="str">
        <f>IF(Report[[#This Row],[Résultat FT]]="","",IF(Report[[#This Row],[Résultats SE]]="Gagné","","-"))</f>
        <v>-</v>
      </c>
      <c r="N200" s="17" t="s">
        <v>858</v>
      </c>
      <c r="O200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Cadiz</v>
      </c>
      <c r="P200" s="18">
        <f>IF(Report[[#This Row],[FT]]="",,(LEFT(Report[[#This Row],[FT]],SEARCH("-",Report[[#This Row],[FT]])-1)*1))</f>
        <v>4</v>
      </c>
      <c r="Q200" s="22">
        <f>IF(Report[[#This Row],[FT]]="",,(RIGHT(Report[[#This Row],[FT]],SEARCH("-",Report[[#This Row],[FT]])-1)*1))</f>
        <v>1</v>
      </c>
      <c r="R200" s="18" t="str">
        <f>IF(Report[Résultat FT]="","",IF(Report[Résultat FT]=Report[Résultats],"Gagné","Perdu"))</f>
        <v>Perdu</v>
      </c>
      <c r="S200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00" s="53">
        <f>IF(Report[[#This Row],[FT]]="","",IF(Report[[#This Row],[FT]]=Report[[#This Row],[Score 1]],1,0))</f>
        <v>0</v>
      </c>
      <c r="U200" s="53">
        <f>IF(Report[[#This Row],[FT]]="","",IF(Report[ [#This Row],[FT] ]=Report[[#This Row],[Score 2]],1,0))</f>
        <v>0</v>
      </c>
      <c r="V200" s="53">
        <f>IF(Report[[#This Row],[FT]]="","",IF(Report[[#This Row],[FT]]=Report[[#This Row],[Score 3]],1,0))</f>
        <v>0</v>
      </c>
      <c r="W200" s="53">
        <f>IF(Report[[#This Row],[FT]]="","",IF(Report[[#This Row],[FT]]=Report[[#This Row],[Score 4]],1,0))</f>
        <v>0</v>
      </c>
      <c r="X200" s="66">
        <f>IF(Report[[#This Row],[Résultat FT]]="",,IF(Report[[#This Row],[Résultat FT]]=Report[[#This Row],[Résultats]],(Suivi_Gain!$B$1*Report[[#This Row],[Cote FT]])-Suivi_Gain!$B$1,-Suivi_Gain!$B$1))</f>
        <v>-1</v>
      </c>
      <c r="Y200" s="94">
        <f>IF(Report[[#This Row],[FT]]="",,IF(Report[[#This Row],[FT]]=Report[[#This Row],[Score 1]],(Suivi_Gain!$G$1*Report[[#This Row],[Cote SE]])-Suivi_Gain!$G$1,-Suivi_Gain!$G$1))</f>
        <v>-1</v>
      </c>
      <c r="Z200" s="65">
        <f>IF(Report[[#This Row],[FT]]="",,IF(Report[[#This Row],[FT]]=Report[[#This Row],[Score 2]],Suivi_Gain!$G$1*Report[[#This Row],[Cote SE]],-Suivi_Gain!$G$1))</f>
        <v>-1</v>
      </c>
      <c r="AA200" s="65">
        <f>IF(Report[[#This Row],[FT]]="",,IF(Report[[#This Row],[FT]]=Report[[#This Row],[Score 3]],Suivi_Gain!$G$1*Report[[#This Row],[Cote SE]],-Suivi_Gain!$G$1))</f>
        <v>-1</v>
      </c>
      <c r="AB200" s="65">
        <f>IF(Report[[#This Row],[FT]]="",,IF(Report[[#This Row],[FT]]=Report[[#This Row],[Score 4]],Suivi_Gain!$G$1*Report[[#This Row],[Cote SE]],-Suivi_Gain!$G$1))</f>
        <v>-1</v>
      </c>
      <c r="AC200" s="64" t="str">
        <f>IF(Report[[#This Row],[Résultats SE]]="Gagné",Report[[#This Row],[FT]],"")</f>
        <v/>
      </c>
      <c r="AD200" s="64" t="str">
        <f>IF(AND(Report[[#This Row],[Résultats SE]]="Gagné",Report[[#This Row],[FT]]=Report[[#This Row],[Score 1]]),Report[[#This Row],[FT]],"")</f>
        <v/>
      </c>
      <c r="AE200" s="64" t="str">
        <f>IF(AND(Report[[#This Row],[Résultats SE]]="Gagné",Report[[#This Row],[FT]]=Report[[#This Row],[Score 2]]),Report[[#This Row],[FT]],"")</f>
        <v/>
      </c>
      <c r="AF200" s="64" t="str">
        <f>IF(AND(Report[[#This Row],[Résultats SE]]="Gagné",Report[[#This Row],[FT]]=Report[[#This Row],[Score 3]]),Report[[#This Row],[FT]],"")</f>
        <v/>
      </c>
      <c r="AG200" s="64" t="str">
        <f>IF(AND(Report[[#This Row],[Résultats SE]]="Gagné",Report[[#This Row],[FT]]=Report[[#This Row],[Score 4]]),Report[[#This Row],[FT]],"")</f>
        <v/>
      </c>
    </row>
    <row r="201" spans="1:33" ht="20.100000000000001" customHeight="1" x14ac:dyDescent="0.25">
      <c r="A201" s="11">
        <v>43428</v>
      </c>
      <c r="B201" s="7" t="s">
        <v>36</v>
      </c>
      <c r="C201" s="7" t="s">
        <v>38</v>
      </c>
      <c r="D201" s="10" t="s">
        <v>54</v>
      </c>
      <c r="E201" s="10" t="s">
        <v>52</v>
      </c>
      <c r="F201" s="7" t="s">
        <v>829</v>
      </c>
      <c r="G201" s="8" t="s">
        <v>830</v>
      </c>
      <c r="H201" s="9" t="s">
        <v>826</v>
      </c>
      <c r="I201" s="9" t="s">
        <v>831</v>
      </c>
      <c r="J201" s="9" t="s">
        <v>832</v>
      </c>
      <c r="K201" s="9" t="s">
        <v>54</v>
      </c>
      <c r="L201" s="16" t="str">
        <f>IF(Report[Résultat FT]="","",IF(Report[Résultat FT]=Report[Résultats],"","-"))</f>
        <v>-</v>
      </c>
      <c r="M201" s="16">
        <v>9</v>
      </c>
      <c r="N201" s="17" t="s">
        <v>826</v>
      </c>
      <c r="O201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201" s="18">
        <f>IF(Report[[#This Row],[FT]]="",,(LEFT(Report[[#This Row],[FT]],SEARCH("-",Report[[#This Row],[FT]])-1)*1))</f>
        <v>0</v>
      </c>
      <c r="Q201" s="22">
        <f>IF(Report[[#This Row],[FT]]="",,(RIGHT(Report[[#This Row],[FT]],SEARCH("-",Report[[#This Row],[FT]])-1)*1))</f>
        <v>0</v>
      </c>
      <c r="R201" s="18" t="str">
        <f>IF(Report[Résultat FT]="","",IF(Report[Résultat FT]=Report[Résultats],"Gagné","Perdu"))</f>
        <v>Perdu</v>
      </c>
      <c r="S201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201" s="53">
        <f>IF(Report[[#This Row],[FT]]="","",IF(Report[[#This Row],[FT]]=Report[[#This Row],[Score 1]],1,0))</f>
        <v>0</v>
      </c>
      <c r="U201" s="53">
        <f>IF(Report[[#This Row],[FT]]="","",IF(Report[ [#This Row],[FT] ]=Report[[#This Row],[Score 2]],1,0))</f>
        <v>1</v>
      </c>
      <c r="V201" s="53">
        <f>IF(Report[[#This Row],[FT]]="","",IF(Report[[#This Row],[FT]]=Report[[#This Row],[Score 3]],1,0))</f>
        <v>0</v>
      </c>
      <c r="W201" s="53">
        <f>IF(Report[[#This Row],[FT]]="","",IF(Report[[#This Row],[FT]]=Report[[#This Row],[Score 4]],1,0))</f>
        <v>0</v>
      </c>
      <c r="X201" s="66">
        <f>IF(Report[[#This Row],[Résultat FT]]="",,IF(Report[[#This Row],[Résultat FT]]=Report[[#This Row],[Résultats]],(Suivi_Gain!$B$1*Report[[#This Row],[Cote FT]])-Suivi_Gain!$B$1,-Suivi_Gain!$B$1))</f>
        <v>-1</v>
      </c>
      <c r="Y201" s="94">
        <f>IF(Report[[#This Row],[FT]]="",,IF(Report[[#This Row],[FT]]=Report[[#This Row],[Score 1]],(Suivi_Gain!$G$1*Report[[#This Row],[Cote SE]])-Suivi_Gain!$G$1,-Suivi_Gain!$G$1))</f>
        <v>-1</v>
      </c>
      <c r="Z201" s="65">
        <f>IF(Report[[#This Row],[FT]]="",,IF(Report[[#This Row],[FT]]=Report[[#This Row],[Score 2]],Suivi_Gain!$G$1*Report[[#This Row],[Cote SE]],-Suivi_Gain!$G$1))</f>
        <v>9</v>
      </c>
      <c r="AA201" s="65">
        <f>IF(Report[[#This Row],[FT]]="",,IF(Report[[#This Row],[FT]]=Report[[#This Row],[Score 3]],Suivi_Gain!$G$1*Report[[#This Row],[Cote SE]],-Suivi_Gain!$G$1))</f>
        <v>-1</v>
      </c>
      <c r="AB201" s="65">
        <f>IF(Report[[#This Row],[FT]]="",,IF(Report[[#This Row],[FT]]=Report[[#This Row],[Score 4]],Suivi_Gain!$G$1*Report[[#This Row],[Cote SE]],-Suivi_Gain!$G$1))</f>
        <v>-1</v>
      </c>
      <c r="AC201" s="64" t="str">
        <f>IF(Report[[#This Row],[Résultats SE]]="Gagné",Report[[#This Row],[FT]],"")</f>
        <v>0-0</v>
      </c>
      <c r="AD201" s="64" t="str">
        <f>IF(AND(Report[[#This Row],[Résultats SE]]="Gagné",Report[[#This Row],[FT]]=Report[[#This Row],[Score 1]]),Report[[#This Row],[FT]],"")</f>
        <v/>
      </c>
      <c r="AE201" s="64" t="str">
        <f>IF(AND(Report[[#This Row],[Résultats SE]]="Gagné",Report[[#This Row],[FT]]=Report[[#This Row],[Score 2]]),Report[[#This Row],[FT]],"")</f>
        <v>0-0</v>
      </c>
      <c r="AF201" s="64" t="str">
        <f>IF(AND(Report[[#This Row],[Résultats SE]]="Gagné",Report[[#This Row],[FT]]=Report[[#This Row],[Score 3]]),Report[[#This Row],[FT]],"")</f>
        <v/>
      </c>
      <c r="AG201" s="64" t="str">
        <f>IF(AND(Report[[#This Row],[Résultats SE]]="Gagné",Report[[#This Row],[FT]]=Report[[#This Row],[Score 4]]),Report[[#This Row],[FT]],"")</f>
        <v/>
      </c>
    </row>
    <row r="202" spans="1:33" ht="20.100000000000001" customHeight="1" x14ac:dyDescent="0.25">
      <c r="A202" s="11">
        <v>43428</v>
      </c>
      <c r="B202" s="7" t="s">
        <v>36</v>
      </c>
      <c r="C202" s="7" t="s">
        <v>37</v>
      </c>
      <c r="D202" s="10" t="s">
        <v>15</v>
      </c>
      <c r="E202" s="10" t="s">
        <v>20</v>
      </c>
      <c r="F202" s="7" t="s">
        <v>879</v>
      </c>
      <c r="G202" s="8" t="s">
        <v>859</v>
      </c>
      <c r="H202" s="9" t="s">
        <v>832</v>
      </c>
      <c r="I202" s="9" t="s">
        <v>857</v>
      </c>
      <c r="J202" s="9" t="s">
        <v>831</v>
      </c>
      <c r="K202" s="9" t="s">
        <v>15</v>
      </c>
      <c r="L202" s="16">
        <v>1.1299999999999999</v>
      </c>
      <c r="M202" s="16" t="str">
        <f>IF(Report[[#This Row],[Résultat FT]]="","",IF(Report[[#This Row],[Résultats SE]]="Gagné","","-"))</f>
        <v>-</v>
      </c>
      <c r="N202" s="17" t="s">
        <v>830</v>
      </c>
      <c r="O202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PSG</v>
      </c>
      <c r="P202" s="18">
        <f>IF(Report[[#This Row],[FT]]="",,(LEFT(Report[[#This Row],[FT]],SEARCH("-",Report[[#This Row],[FT]])-1)*1))</f>
        <v>1</v>
      </c>
      <c r="Q202" s="22">
        <f>IF(Report[[#This Row],[FT]]="",,(RIGHT(Report[[#This Row],[FT]],SEARCH("-",Report[[#This Row],[FT]])-1)*1))</f>
        <v>0</v>
      </c>
      <c r="R202" s="18" t="str">
        <f>IF(Report[Résultat FT]="","",IF(Report[Résultat FT]=Report[Résultats],"Gagné","Perdu"))</f>
        <v>Gagné</v>
      </c>
      <c r="S202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02" s="53">
        <f>IF(Report[[#This Row],[FT]]="","",IF(Report[[#This Row],[FT]]=Report[[#This Row],[Score 1]],1,0))</f>
        <v>0</v>
      </c>
      <c r="U202" s="53">
        <f>IF(Report[[#This Row],[FT]]="","",IF(Report[ [#This Row],[FT] ]=Report[[#This Row],[Score 2]],1,0))</f>
        <v>0</v>
      </c>
      <c r="V202" s="53">
        <f>IF(Report[[#This Row],[FT]]="","",IF(Report[[#This Row],[FT]]=Report[[#This Row],[Score 3]],1,0))</f>
        <v>0</v>
      </c>
      <c r="W202" s="53">
        <f>IF(Report[[#This Row],[FT]]="","",IF(Report[[#This Row],[FT]]=Report[[#This Row],[Score 4]],1,0))</f>
        <v>0</v>
      </c>
      <c r="X202" s="66">
        <f>IF(Report[[#This Row],[Résultat FT]]="",,IF(Report[[#This Row],[Résultat FT]]=Report[[#This Row],[Résultats]],(Suivi_Gain!$B$1*Report[[#This Row],[Cote FT]])-Suivi_Gain!$B$1,-Suivi_Gain!$B$1))</f>
        <v>0.12999999999999989</v>
      </c>
      <c r="Y202" s="94">
        <f>IF(Report[[#This Row],[FT]]="",,IF(Report[[#This Row],[FT]]=Report[[#This Row],[Score 1]],(Suivi_Gain!$G$1*Report[[#This Row],[Cote SE]])-Suivi_Gain!$G$1,-Suivi_Gain!$G$1))</f>
        <v>-1</v>
      </c>
      <c r="Z202" s="65">
        <f>IF(Report[[#This Row],[FT]]="",,IF(Report[[#This Row],[FT]]=Report[[#This Row],[Score 2]],Suivi_Gain!$G$1*Report[[#This Row],[Cote SE]],-Suivi_Gain!$G$1))</f>
        <v>-1</v>
      </c>
      <c r="AA202" s="65">
        <f>IF(Report[[#This Row],[FT]]="",,IF(Report[[#This Row],[FT]]=Report[[#This Row],[Score 3]],Suivi_Gain!$G$1*Report[[#This Row],[Cote SE]],-Suivi_Gain!$G$1))</f>
        <v>-1</v>
      </c>
      <c r="AB202" s="65">
        <f>IF(Report[[#This Row],[FT]]="",,IF(Report[[#This Row],[FT]]=Report[[#This Row],[Score 4]],Suivi_Gain!$G$1*Report[[#This Row],[Cote SE]],-Suivi_Gain!$G$1))</f>
        <v>-1</v>
      </c>
      <c r="AC202" s="64" t="str">
        <f>IF(Report[[#This Row],[Résultats SE]]="Gagné",Report[[#This Row],[FT]],"")</f>
        <v/>
      </c>
      <c r="AD202" s="64" t="str">
        <f>IF(AND(Report[[#This Row],[Résultats SE]]="Gagné",Report[[#This Row],[FT]]=Report[[#This Row],[Score 1]]),Report[[#This Row],[FT]],"")</f>
        <v/>
      </c>
      <c r="AE202" s="64" t="str">
        <f>IF(AND(Report[[#This Row],[Résultats SE]]="Gagné",Report[[#This Row],[FT]]=Report[[#This Row],[Score 2]]),Report[[#This Row],[FT]],"")</f>
        <v/>
      </c>
      <c r="AF202" s="64" t="str">
        <f>IF(AND(Report[[#This Row],[Résultats SE]]="Gagné",Report[[#This Row],[FT]]=Report[[#This Row],[Score 3]]),Report[[#This Row],[FT]],"")</f>
        <v/>
      </c>
      <c r="AG202" s="64" t="str">
        <f>IF(AND(Report[[#This Row],[Résultats SE]]="Gagné",Report[[#This Row],[FT]]=Report[[#This Row],[Score 4]]),Report[[#This Row],[FT]],"")</f>
        <v/>
      </c>
    </row>
    <row r="203" spans="1:33" ht="20.100000000000001" customHeight="1" x14ac:dyDescent="0.25">
      <c r="A203" s="11">
        <v>43428</v>
      </c>
      <c r="B203" s="7" t="s">
        <v>36</v>
      </c>
      <c r="C203" s="7" t="s">
        <v>37</v>
      </c>
      <c r="D203" s="10" t="s">
        <v>7</v>
      </c>
      <c r="E203" s="10" t="s">
        <v>11</v>
      </c>
      <c r="F203" s="7" t="s">
        <v>829</v>
      </c>
      <c r="G203" s="8" t="s">
        <v>830</v>
      </c>
      <c r="H203" s="9" t="s">
        <v>826</v>
      </c>
      <c r="I203" s="9" t="s">
        <v>831</v>
      </c>
      <c r="J203" s="9" t="s">
        <v>832</v>
      </c>
      <c r="K203" s="9" t="s">
        <v>7</v>
      </c>
      <c r="L203" s="16" t="str">
        <f>IF(Report[Résultat FT]="","",IF(Report[Résultat FT]=Report[Résultats],"","-"))</f>
        <v>-</v>
      </c>
      <c r="M203" s="16" t="str">
        <f>IF(Report[[#This Row],[Résultat FT]]="","",IF(Report[[#This Row],[Résultats SE]]="Gagné","","-"))</f>
        <v>-</v>
      </c>
      <c r="N203" s="17" t="s">
        <v>825</v>
      </c>
      <c r="O203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Monaco</v>
      </c>
      <c r="P203" s="18">
        <f>IF(Report[[#This Row],[FT]]="",,(LEFT(Report[[#This Row],[FT]],SEARCH("-",Report[[#This Row],[FT]])-1)*1))</f>
        <v>0</v>
      </c>
      <c r="Q203" s="22">
        <f>IF(Report[[#This Row],[FT]]="",,(RIGHT(Report[[#This Row],[FT]],SEARCH("-",Report[[#This Row],[FT]])-1)*1))</f>
        <v>1</v>
      </c>
      <c r="R203" s="18" t="str">
        <f>IF(Report[Résultat FT]="","",IF(Report[Résultat FT]=Report[Résultats],"Gagné","Perdu"))</f>
        <v>Perdu</v>
      </c>
      <c r="S203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03" s="53">
        <f>IF(Report[[#This Row],[FT]]="","",IF(Report[[#This Row],[FT]]=Report[[#This Row],[Score 1]],1,0))</f>
        <v>0</v>
      </c>
      <c r="U203" s="53">
        <f>IF(Report[[#This Row],[FT]]="","",IF(Report[ [#This Row],[FT] ]=Report[[#This Row],[Score 2]],1,0))</f>
        <v>0</v>
      </c>
      <c r="V203" s="53">
        <f>IF(Report[[#This Row],[FT]]="","",IF(Report[[#This Row],[FT]]=Report[[#This Row],[Score 3]],1,0))</f>
        <v>0</v>
      </c>
      <c r="W203" s="53">
        <f>IF(Report[[#This Row],[FT]]="","",IF(Report[[#This Row],[FT]]=Report[[#This Row],[Score 4]],1,0))</f>
        <v>0</v>
      </c>
      <c r="X203" s="66">
        <f>IF(Report[[#This Row],[Résultat FT]]="",,IF(Report[[#This Row],[Résultat FT]]=Report[[#This Row],[Résultats]],(Suivi_Gain!$B$1*Report[[#This Row],[Cote FT]])-Suivi_Gain!$B$1,-Suivi_Gain!$B$1))</f>
        <v>-1</v>
      </c>
      <c r="Y203" s="94">
        <f>IF(Report[[#This Row],[FT]]="",,IF(Report[[#This Row],[FT]]=Report[[#This Row],[Score 1]],(Suivi_Gain!$G$1*Report[[#This Row],[Cote SE]])-Suivi_Gain!$G$1,-Suivi_Gain!$G$1))</f>
        <v>-1</v>
      </c>
      <c r="Z203" s="65">
        <f>IF(Report[[#This Row],[FT]]="",,IF(Report[[#This Row],[FT]]=Report[[#This Row],[Score 2]],Suivi_Gain!$G$1*Report[[#This Row],[Cote SE]],-Suivi_Gain!$G$1))</f>
        <v>-1</v>
      </c>
      <c r="AA203" s="65">
        <f>IF(Report[[#This Row],[FT]]="",,IF(Report[[#This Row],[FT]]=Report[[#This Row],[Score 3]],Suivi_Gain!$G$1*Report[[#This Row],[Cote SE]],-Suivi_Gain!$G$1))</f>
        <v>-1</v>
      </c>
      <c r="AB203" s="65">
        <f>IF(Report[[#This Row],[FT]]="",,IF(Report[[#This Row],[FT]]=Report[[#This Row],[Score 4]],Suivi_Gain!$G$1*Report[[#This Row],[Cote SE]],-Suivi_Gain!$G$1))</f>
        <v>-1</v>
      </c>
      <c r="AC203" s="64" t="str">
        <f>IF(Report[[#This Row],[Résultats SE]]="Gagné",Report[[#This Row],[FT]],"")</f>
        <v/>
      </c>
      <c r="AD203" s="64" t="str">
        <f>IF(AND(Report[[#This Row],[Résultats SE]]="Gagné",Report[[#This Row],[FT]]=Report[[#This Row],[Score 1]]),Report[[#This Row],[FT]],"")</f>
        <v/>
      </c>
      <c r="AE203" s="64" t="str">
        <f>IF(AND(Report[[#This Row],[Résultats SE]]="Gagné",Report[[#This Row],[FT]]=Report[[#This Row],[Score 2]]),Report[[#This Row],[FT]],"")</f>
        <v/>
      </c>
      <c r="AF203" s="64" t="str">
        <f>IF(AND(Report[[#This Row],[Résultats SE]]="Gagné",Report[[#This Row],[FT]]=Report[[#This Row],[Score 3]]),Report[[#This Row],[FT]],"")</f>
        <v/>
      </c>
      <c r="AG203" s="64" t="str">
        <f>IF(AND(Report[[#This Row],[Résultats SE]]="Gagné",Report[[#This Row],[FT]]=Report[[#This Row],[Score 4]]),Report[[#This Row],[FT]],"")</f>
        <v/>
      </c>
    </row>
    <row r="204" spans="1:33" ht="20.100000000000001" customHeight="1" x14ac:dyDescent="0.25">
      <c r="A204" s="11">
        <v>43428</v>
      </c>
      <c r="B204" s="7" t="s">
        <v>36</v>
      </c>
      <c r="C204" s="7" t="s">
        <v>37</v>
      </c>
      <c r="D204" s="10" t="s">
        <v>8</v>
      </c>
      <c r="E204" s="10" t="s">
        <v>6</v>
      </c>
      <c r="F204" s="7" t="s">
        <v>824</v>
      </c>
      <c r="G204" s="8" t="s">
        <v>825</v>
      </c>
      <c r="H204" s="9" t="s">
        <v>826</v>
      </c>
      <c r="I204" s="9" t="s">
        <v>827</v>
      </c>
      <c r="J204" s="9" t="s">
        <v>828</v>
      </c>
      <c r="K204" s="9" t="s">
        <v>6</v>
      </c>
      <c r="L204" s="16" t="str">
        <f>IF(Report[Résultat FT]="","",IF(Report[Résultat FT]=Report[Résultats],"","-"))</f>
        <v>-</v>
      </c>
      <c r="M204" s="16">
        <v>9</v>
      </c>
      <c r="N204" s="17" t="s">
        <v>826</v>
      </c>
      <c r="O204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204" s="18">
        <f>IF(Report[[#This Row],[FT]]="",,(LEFT(Report[[#This Row],[FT]],SEARCH("-",Report[[#This Row],[FT]])-1)*1))</f>
        <v>0</v>
      </c>
      <c r="Q204" s="22">
        <f>IF(Report[[#This Row],[FT]]="",,(RIGHT(Report[[#This Row],[FT]],SEARCH("-",Report[[#This Row],[FT]])-1)*1))</f>
        <v>0</v>
      </c>
      <c r="R204" s="18" t="str">
        <f>IF(Report[Résultat FT]="","",IF(Report[Résultat FT]=Report[Résultats],"Gagné","Perdu"))</f>
        <v>Perdu</v>
      </c>
      <c r="S204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204" s="53">
        <f>IF(Report[[#This Row],[FT]]="","",IF(Report[[#This Row],[FT]]=Report[[#This Row],[Score 1]],1,0))</f>
        <v>0</v>
      </c>
      <c r="U204" s="53">
        <f>IF(Report[[#This Row],[FT]]="","",IF(Report[ [#This Row],[FT] ]=Report[[#This Row],[Score 2]],1,0))</f>
        <v>1</v>
      </c>
      <c r="V204" s="53">
        <f>IF(Report[[#This Row],[FT]]="","",IF(Report[[#This Row],[FT]]=Report[[#This Row],[Score 3]],1,0))</f>
        <v>0</v>
      </c>
      <c r="W204" s="53">
        <f>IF(Report[[#This Row],[FT]]="","",IF(Report[[#This Row],[FT]]=Report[[#This Row],[Score 4]],1,0))</f>
        <v>0</v>
      </c>
      <c r="X204" s="66">
        <f>IF(Report[[#This Row],[Résultat FT]]="",,IF(Report[[#This Row],[Résultat FT]]=Report[[#This Row],[Résultats]],(Suivi_Gain!$B$1*Report[[#This Row],[Cote FT]])-Suivi_Gain!$B$1,-Suivi_Gain!$B$1))</f>
        <v>-1</v>
      </c>
      <c r="Y204" s="94">
        <f>IF(Report[[#This Row],[FT]]="",,IF(Report[[#This Row],[FT]]=Report[[#This Row],[Score 1]],(Suivi_Gain!$G$1*Report[[#This Row],[Cote SE]])-Suivi_Gain!$G$1,-Suivi_Gain!$G$1))</f>
        <v>-1</v>
      </c>
      <c r="Z204" s="65">
        <f>IF(Report[[#This Row],[FT]]="",,IF(Report[[#This Row],[FT]]=Report[[#This Row],[Score 2]],Suivi_Gain!$G$1*Report[[#This Row],[Cote SE]],-Suivi_Gain!$G$1))</f>
        <v>9</v>
      </c>
      <c r="AA204" s="65">
        <f>IF(Report[[#This Row],[FT]]="",,IF(Report[[#This Row],[FT]]=Report[[#This Row],[Score 3]],Suivi_Gain!$G$1*Report[[#This Row],[Cote SE]],-Suivi_Gain!$G$1))</f>
        <v>-1</v>
      </c>
      <c r="AB204" s="65">
        <f>IF(Report[[#This Row],[FT]]="",,IF(Report[[#This Row],[FT]]=Report[[#This Row],[Score 4]],Suivi_Gain!$G$1*Report[[#This Row],[Cote SE]],-Suivi_Gain!$G$1))</f>
        <v>-1</v>
      </c>
      <c r="AC204" s="64" t="str">
        <f>IF(Report[[#This Row],[Résultats SE]]="Gagné",Report[[#This Row],[FT]],"")</f>
        <v>0-0</v>
      </c>
      <c r="AD204" s="64" t="str">
        <f>IF(AND(Report[[#This Row],[Résultats SE]]="Gagné",Report[[#This Row],[FT]]=Report[[#This Row],[Score 1]]),Report[[#This Row],[FT]],"")</f>
        <v/>
      </c>
      <c r="AE204" s="64" t="str">
        <f>IF(AND(Report[[#This Row],[Résultats SE]]="Gagné",Report[[#This Row],[FT]]=Report[[#This Row],[Score 2]]),Report[[#This Row],[FT]],"")</f>
        <v>0-0</v>
      </c>
      <c r="AF204" s="64" t="str">
        <f>IF(AND(Report[[#This Row],[Résultats SE]]="Gagné",Report[[#This Row],[FT]]=Report[[#This Row],[Score 3]]),Report[[#This Row],[FT]],"")</f>
        <v/>
      </c>
      <c r="AG204" s="64" t="str">
        <f>IF(AND(Report[[#This Row],[Résultats SE]]="Gagné",Report[[#This Row],[FT]]=Report[[#This Row],[Score 4]]),Report[[#This Row],[FT]],"")</f>
        <v/>
      </c>
    </row>
    <row r="205" spans="1:33" ht="20.100000000000001" customHeight="1" x14ac:dyDescent="0.25">
      <c r="A205" s="11">
        <v>43428</v>
      </c>
      <c r="B205" s="7" t="s">
        <v>36</v>
      </c>
      <c r="C205" s="7" t="s">
        <v>37</v>
      </c>
      <c r="D205" s="10" t="s">
        <v>12</v>
      </c>
      <c r="E205" s="10" t="s">
        <v>2</v>
      </c>
      <c r="F205" s="7" t="s">
        <v>833</v>
      </c>
      <c r="G205" s="8" t="s">
        <v>834</v>
      </c>
      <c r="H205" s="9" t="s">
        <v>830</v>
      </c>
      <c r="I205" s="9" t="s">
        <v>825</v>
      </c>
      <c r="J205" s="9" t="s">
        <v>826</v>
      </c>
      <c r="K205" s="9" t="s">
        <v>233</v>
      </c>
      <c r="L205" s="16">
        <v>3.25</v>
      </c>
      <c r="M205" s="16">
        <v>6.75</v>
      </c>
      <c r="N205" s="17" t="s">
        <v>834</v>
      </c>
      <c r="O205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205" s="18">
        <f>IF(Report[[#This Row],[FT]]="",,(LEFT(Report[[#This Row],[FT]],SEARCH("-",Report[[#This Row],[FT]])-1)*1))</f>
        <v>1</v>
      </c>
      <c r="Q205" s="22">
        <f>IF(Report[[#This Row],[FT]]="",,(RIGHT(Report[[#This Row],[FT]],SEARCH("-",Report[[#This Row],[FT]])-1)*1))</f>
        <v>1</v>
      </c>
      <c r="R205" s="18" t="str">
        <f>IF(Report[Résultat FT]="","",IF(Report[Résultat FT]=Report[Résultats],"Gagné","Perdu"))</f>
        <v>Gagné</v>
      </c>
      <c r="S205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205" s="53">
        <f>IF(Report[[#This Row],[FT]]="","",IF(Report[[#This Row],[FT]]=Report[[#This Row],[Score 1]],1,0))</f>
        <v>1</v>
      </c>
      <c r="U205" s="53">
        <f>IF(Report[[#This Row],[FT]]="","",IF(Report[ [#This Row],[FT] ]=Report[[#This Row],[Score 2]],1,0))</f>
        <v>0</v>
      </c>
      <c r="V205" s="53">
        <f>IF(Report[[#This Row],[FT]]="","",IF(Report[[#This Row],[FT]]=Report[[#This Row],[Score 3]],1,0))</f>
        <v>0</v>
      </c>
      <c r="W205" s="53">
        <f>IF(Report[[#This Row],[FT]]="","",IF(Report[[#This Row],[FT]]=Report[[#This Row],[Score 4]],1,0))</f>
        <v>0</v>
      </c>
      <c r="X205" s="66">
        <f>IF(Report[[#This Row],[Résultat FT]]="",,IF(Report[[#This Row],[Résultat FT]]=Report[[#This Row],[Résultats]],(Suivi_Gain!$B$1*Report[[#This Row],[Cote FT]])-Suivi_Gain!$B$1,-Suivi_Gain!$B$1))</f>
        <v>2.25</v>
      </c>
      <c r="Y205" s="94">
        <f>IF(Report[[#This Row],[FT]]="",,IF(Report[[#This Row],[FT]]=Report[[#This Row],[Score 1]],(Suivi_Gain!$G$1*Report[[#This Row],[Cote SE]])-Suivi_Gain!$G$1,-Suivi_Gain!$G$1))</f>
        <v>5.75</v>
      </c>
      <c r="Z205" s="65">
        <f>IF(Report[[#This Row],[FT]]="",,IF(Report[[#This Row],[FT]]=Report[[#This Row],[Score 2]],Suivi_Gain!$G$1*Report[[#This Row],[Cote SE]],-Suivi_Gain!$G$1))</f>
        <v>-1</v>
      </c>
      <c r="AA205" s="65">
        <f>IF(Report[[#This Row],[FT]]="",,IF(Report[[#This Row],[FT]]=Report[[#This Row],[Score 3]],Suivi_Gain!$G$1*Report[[#This Row],[Cote SE]],-Suivi_Gain!$G$1))</f>
        <v>-1</v>
      </c>
      <c r="AB205" s="65">
        <f>IF(Report[[#This Row],[FT]]="",,IF(Report[[#This Row],[FT]]=Report[[#This Row],[Score 4]],Suivi_Gain!$G$1*Report[[#This Row],[Cote SE]],-Suivi_Gain!$G$1))</f>
        <v>-1</v>
      </c>
      <c r="AC205" s="64" t="str">
        <f>IF(Report[[#This Row],[Résultats SE]]="Gagné",Report[[#This Row],[FT]],"")</f>
        <v>1-1</v>
      </c>
      <c r="AD205" s="64" t="str">
        <f>IF(AND(Report[[#This Row],[Résultats SE]]="Gagné",Report[[#This Row],[FT]]=Report[[#This Row],[Score 1]]),Report[[#This Row],[FT]],"")</f>
        <v>1-1</v>
      </c>
      <c r="AE205" s="64" t="str">
        <f>IF(AND(Report[[#This Row],[Résultats SE]]="Gagné",Report[[#This Row],[FT]]=Report[[#This Row],[Score 2]]),Report[[#This Row],[FT]],"")</f>
        <v/>
      </c>
      <c r="AF205" s="64" t="str">
        <f>IF(AND(Report[[#This Row],[Résultats SE]]="Gagné",Report[[#This Row],[FT]]=Report[[#This Row],[Score 3]]),Report[[#This Row],[FT]],"")</f>
        <v/>
      </c>
      <c r="AG205" s="64" t="str">
        <f>IF(AND(Report[[#This Row],[Résultats SE]]="Gagné",Report[[#This Row],[FT]]=Report[[#This Row],[Score 4]]),Report[[#This Row],[FT]],"")</f>
        <v/>
      </c>
    </row>
    <row r="206" spans="1:33" ht="20.100000000000001" customHeight="1" x14ac:dyDescent="0.25">
      <c r="A206" s="11">
        <v>43428</v>
      </c>
      <c r="B206" s="7" t="s">
        <v>36</v>
      </c>
      <c r="C206" s="7" t="s">
        <v>37</v>
      </c>
      <c r="D206" s="19" t="s">
        <v>16</v>
      </c>
      <c r="E206" s="19" t="s">
        <v>0</v>
      </c>
      <c r="F206" s="7" t="s">
        <v>844</v>
      </c>
      <c r="G206" s="20" t="s">
        <v>826</v>
      </c>
      <c r="H206" s="20" t="s">
        <v>845</v>
      </c>
      <c r="I206" s="20" t="s">
        <v>846</v>
      </c>
      <c r="J206" s="20" t="s">
        <v>847</v>
      </c>
      <c r="K206" s="21" t="s">
        <v>233</v>
      </c>
      <c r="L206" s="16" t="str">
        <f>IF(Report[Résultat FT]="","",IF(Report[Résultat FT]=Report[Résultats],"","-"))</f>
        <v>-</v>
      </c>
      <c r="M206" s="16" t="str">
        <f>IF(Report[[#This Row],[Résultat FT]]="","",IF(Report[[#This Row],[Résultats SE]]="Gagné","","-"))</f>
        <v>-</v>
      </c>
      <c r="N206" s="17" t="s">
        <v>838</v>
      </c>
      <c r="O206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Reims</v>
      </c>
      <c r="P206" s="18">
        <f>IF(Report[[#This Row],[FT]]="",,(LEFT(Report[[#This Row],[FT]],SEARCH("-",Report[[#This Row],[FT]])-1)*1))</f>
        <v>2</v>
      </c>
      <c r="Q206" s="22">
        <f>IF(Report[[#This Row],[FT]]="",,(RIGHT(Report[[#This Row],[FT]],SEARCH("-",Report[[#This Row],[FT]])-1)*1))</f>
        <v>1</v>
      </c>
      <c r="R206" s="18" t="str">
        <f>IF(Report[Résultat FT]="","",IF(Report[Résultat FT]=Report[Résultats],"Gagné","Perdu"))</f>
        <v>Perdu</v>
      </c>
      <c r="S206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06" s="53">
        <f>IF(Report[[#This Row],[FT]]="","",IF(Report[[#This Row],[FT]]=Report[[#This Row],[Score 1]],1,0))</f>
        <v>0</v>
      </c>
      <c r="U206" s="53">
        <f>IF(Report[[#This Row],[FT]]="","",IF(Report[ [#This Row],[FT] ]=Report[[#This Row],[Score 2]],1,0))</f>
        <v>0</v>
      </c>
      <c r="V206" s="53">
        <f>IF(Report[[#This Row],[FT]]="","",IF(Report[[#This Row],[FT]]=Report[[#This Row],[Score 3]],1,0))</f>
        <v>0</v>
      </c>
      <c r="W206" s="53">
        <f>IF(Report[[#This Row],[FT]]="","",IF(Report[[#This Row],[FT]]=Report[[#This Row],[Score 4]],1,0))</f>
        <v>0</v>
      </c>
      <c r="X206" s="66">
        <f>IF(Report[[#This Row],[Résultat FT]]="",,IF(Report[[#This Row],[Résultat FT]]=Report[[#This Row],[Résultats]],(Suivi_Gain!$B$1*Report[[#This Row],[Cote FT]])-Suivi_Gain!$B$1,-Suivi_Gain!$B$1))</f>
        <v>-1</v>
      </c>
      <c r="Y206" s="94">
        <f>IF(Report[[#This Row],[FT]]="",,IF(Report[[#This Row],[FT]]=Report[[#This Row],[Score 1]],(Suivi_Gain!$G$1*Report[[#This Row],[Cote SE]])-Suivi_Gain!$G$1,-Suivi_Gain!$G$1))</f>
        <v>-1</v>
      </c>
      <c r="Z206" s="65">
        <f>IF(Report[[#This Row],[FT]]="",,IF(Report[[#This Row],[FT]]=Report[[#This Row],[Score 2]],Suivi_Gain!$G$1*Report[[#This Row],[Cote SE]],-Suivi_Gain!$G$1))</f>
        <v>-1</v>
      </c>
      <c r="AA206" s="65">
        <f>IF(Report[[#This Row],[FT]]="",,IF(Report[[#This Row],[FT]]=Report[[#This Row],[Score 3]],Suivi_Gain!$G$1*Report[[#This Row],[Cote SE]],-Suivi_Gain!$G$1))</f>
        <v>-1</v>
      </c>
      <c r="AB206" s="65">
        <f>IF(Report[[#This Row],[FT]]="",,IF(Report[[#This Row],[FT]]=Report[[#This Row],[Score 4]],Suivi_Gain!$G$1*Report[[#This Row],[Cote SE]],-Suivi_Gain!$G$1))</f>
        <v>-1</v>
      </c>
      <c r="AC206" s="64" t="str">
        <f>IF(Report[[#This Row],[Résultats SE]]="Gagné",Report[[#This Row],[FT]],"")</f>
        <v/>
      </c>
      <c r="AD206" s="64" t="str">
        <f>IF(AND(Report[[#This Row],[Résultats SE]]="Gagné",Report[[#This Row],[FT]]=Report[[#This Row],[Score 1]]),Report[[#This Row],[FT]],"")</f>
        <v/>
      </c>
      <c r="AE206" s="64" t="str">
        <f>IF(AND(Report[[#This Row],[Résultats SE]]="Gagné",Report[[#This Row],[FT]]=Report[[#This Row],[Score 2]]),Report[[#This Row],[FT]],"")</f>
        <v/>
      </c>
      <c r="AF206" s="64" t="str">
        <f>IF(AND(Report[[#This Row],[Résultats SE]]="Gagné",Report[[#This Row],[FT]]=Report[[#This Row],[Score 3]]),Report[[#This Row],[FT]],"")</f>
        <v/>
      </c>
      <c r="AG206" s="64" t="str">
        <f>IF(AND(Report[[#This Row],[Résultats SE]]="Gagné",Report[[#This Row],[FT]]=Report[[#This Row],[Score 4]]),Report[[#This Row],[FT]],"")</f>
        <v/>
      </c>
    </row>
    <row r="207" spans="1:33" ht="20.100000000000001" customHeight="1" x14ac:dyDescent="0.25">
      <c r="A207" s="11">
        <v>43428</v>
      </c>
      <c r="B207" s="7" t="s">
        <v>36</v>
      </c>
      <c r="C207" s="7" t="s">
        <v>37</v>
      </c>
      <c r="D207" s="19" t="s">
        <v>19</v>
      </c>
      <c r="E207" s="19" t="s">
        <v>14</v>
      </c>
      <c r="F207" s="7" t="s">
        <v>833</v>
      </c>
      <c r="G207" s="20" t="s">
        <v>834</v>
      </c>
      <c r="H207" s="20" t="s">
        <v>830</v>
      </c>
      <c r="I207" s="20" t="s">
        <v>825</v>
      </c>
      <c r="J207" s="20" t="s">
        <v>826</v>
      </c>
      <c r="K207" s="21" t="s">
        <v>233</v>
      </c>
      <c r="L207" s="16" t="str">
        <f>IF(Report[Résultat FT]="","",IF(Report[Résultat FT]=Report[Résultats],"","-"))</f>
        <v>-</v>
      </c>
      <c r="M207" s="16">
        <v>10.5</v>
      </c>
      <c r="N207" s="17" t="s">
        <v>825</v>
      </c>
      <c r="O207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Nimes</v>
      </c>
      <c r="P207" s="18">
        <f>IF(Report[[#This Row],[FT]]="",,(LEFT(Report[[#This Row],[FT]],SEARCH("-",Report[[#This Row],[FT]])-1)*1))</f>
        <v>0</v>
      </c>
      <c r="Q207" s="22">
        <f>IF(Report[[#This Row],[FT]]="",,(RIGHT(Report[[#This Row],[FT]],SEARCH("-",Report[[#This Row],[FT]])-1)*1))</f>
        <v>1</v>
      </c>
      <c r="R207" s="18" t="str">
        <f>IF(Report[Résultat FT]="","",IF(Report[Résultat FT]=Report[Résultats],"Gagné","Perdu"))</f>
        <v>Perdu</v>
      </c>
      <c r="S207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207" s="53">
        <f>IF(Report[[#This Row],[FT]]="","",IF(Report[[#This Row],[FT]]=Report[[#This Row],[Score 1]],1,0))</f>
        <v>0</v>
      </c>
      <c r="U207" s="53">
        <f>IF(Report[[#This Row],[FT]]="","",IF(Report[ [#This Row],[FT] ]=Report[[#This Row],[Score 2]],1,0))</f>
        <v>0</v>
      </c>
      <c r="V207" s="53">
        <f>IF(Report[[#This Row],[FT]]="","",IF(Report[[#This Row],[FT]]=Report[[#This Row],[Score 3]],1,0))</f>
        <v>1</v>
      </c>
      <c r="W207" s="53">
        <f>IF(Report[[#This Row],[FT]]="","",IF(Report[[#This Row],[FT]]=Report[[#This Row],[Score 4]],1,0))</f>
        <v>0</v>
      </c>
      <c r="X207" s="66">
        <f>IF(Report[[#This Row],[Résultat FT]]="",,IF(Report[[#This Row],[Résultat FT]]=Report[[#This Row],[Résultats]],(Suivi_Gain!$B$1*Report[[#This Row],[Cote FT]])-Suivi_Gain!$B$1,-Suivi_Gain!$B$1))</f>
        <v>-1</v>
      </c>
      <c r="Y207" s="94">
        <f>IF(Report[[#This Row],[FT]]="",,IF(Report[[#This Row],[FT]]=Report[[#This Row],[Score 1]],(Suivi_Gain!$G$1*Report[[#This Row],[Cote SE]])-Suivi_Gain!$G$1,-Suivi_Gain!$G$1))</f>
        <v>-1</v>
      </c>
      <c r="Z207" s="65">
        <f>IF(Report[[#This Row],[FT]]="",,IF(Report[[#This Row],[FT]]=Report[[#This Row],[Score 2]],Suivi_Gain!$G$1*Report[[#This Row],[Cote SE]],-Suivi_Gain!$G$1))</f>
        <v>-1</v>
      </c>
      <c r="AA207" s="65">
        <f>IF(Report[[#This Row],[FT]]="",,IF(Report[[#This Row],[FT]]=Report[[#This Row],[Score 3]],Suivi_Gain!$G$1*Report[[#This Row],[Cote SE]],-Suivi_Gain!$G$1))</f>
        <v>10.5</v>
      </c>
      <c r="AB207" s="65">
        <f>IF(Report[[#This Row],[FT]]="",,IF(Report[[#This Row],[FT]]=Report[[#This Row],[Score 4]],Suivi_Gain!$G$1*Report[[#This Row],[Cote SE]],-Suivi_Gain!$G$1))</f>
        <v>-1</v>
      </c>
      <c r="AC207" s="64" t="str">
        <f>IF(Report[[#This Row],[Résultats SE]]="Gagné",Report[[#This Row],[FT]],"")</f>
        <v>0-1</v>
      </c>
      <c r="AD207" s="64" t="str">
        <f>IF(AND(Report[[#This Row],[Résultats SE]]="Gagné",Report[[#This Row],[FT]]=Report[[#This Row],[Score 1]]),Report[[#This Row],[FT]],"")</f>
        <v/>
      </c>
      <c r="AE207" s="64" t="str">
        <f>IF(AND(Report[[#This Row],[Résultats SE]]="Gagné",Report[[#This Row],[FT]]=Report[[#This Row],[Score 2]]),Report[[#This Row],[FT]],"")</f>
        <v/>
      </c>
      <c r="AF207" s="64" t="str">
        <f>IF(AND(Report[[#This Row],[Résultats SE]]="Gagné",Report[[#This Row],[FT]]=Report[[#This Row],[Score 3]]),Report[[#This Row],[FT]],"")</f>
        <v>0-1</v>
      </c>
      <c r="AG207" s="64" t="str">
        <f>IF(AND(Report[[#This Row],[Résultats SE]]="Gagné",Report[[#This Row],[FT]]=Report[[#This Row],[Score 4]]),Report[[#This Row],[FT]],"")</f>
        <v/>
      </c>
    </row>
    <row r="208" spans="1:33" ht="20.100000000000001" customHeight="1" x14ac:dyDescent="0.25">
      <c r="A208" s="11">
        <v>43428</v>
      </c>
      <c r="B208" s="7" t="s">
        <v>222</v>
      </c>
      <c r="C208" s="7" t="s">
        <v>116</v>
      </c>
      <c r="D208" s="10" t="s">
        <v>665</v>
      </c>
      <c r="E208" s="10" t="s">
        <v>669</v>
      </c>
      <c r="F208" s="7" t="s">
        <v>829</v>
      </c>
      <c r="G208" s="8" t="s">
        <v>830</v>
      </c>
      <c r="H208" s="9" t="s">
        <v>826</v>
      </c>
      <c r="I208" s="9" t="s">
        <v>831</v>
      </c>
      <c r="J208" s="9" t="s">
        <v>832</v>
      </c>
      <c r="K208" s="9" t="s">
        <v>665</v>
      </c>
      <c r="L208" s="16">
        <v>1.4</v>
      </c>
      <c r="M208" s="16" t="str">
        <f>IF(Report[[#This Row],[Résultat FT]]="","",IF(Report[[#This Row],[Résultats SE]]="Gagné","","-"))</f>
        <v>-</v>
      </c>
      <c r="N208" s="17" t="s">
        <v>856</v>
      </c>
      <c r="O208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Panathinaikos</v>
      </c>
      <c r="P208" s="18">
        <f>IF(Report[[#This Row],[FT]]="",,(LEFT(Report[[#This Row],[FT]],SEARCH("-",Report[[#This Row],[FT]])-1)*1))</f>
        <v>5</v>
      </c>
      <c r="Q208" s="22">
        <f>IF(Report[[#This Row],[FT]]="",,(RIGHT(Report[[#This Row],[FT]],SEARCH("-",Report[[#This Row],[FT]])-1)*1))</f>
        <v>1</v>
      </c>
      <c r="R208" s="18" t="str">
        <f>IF(Report[Résultat FT]="","",IF(Report[Résultat FT]=Report[Résultats],"Gagné","Perdu"))</f>
        <v>Gagné</v>
      </c>
      <c r="S208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08" s="53">
        <f>IF(Report[[#This Row],[FT]]="","",IF(Report[[#This Row],[FT]]=Report[[#This Row],[Score 1]],1,0))</f>
        <v>0</v>
      </c>
      <c r="U208" s="53">
        <f>IF(Report[[#This Row],[FT]]="","",IF(Report[ [#This Row],[FT] ]=Report[[#This Row],[Score 2]],1,0))</f>
        <v>0</v>
      </c>
      <c r="V208" s="53">
        <f>IF(Report[[#This Row],[FT]]="","",IF(Report[[#This Row],[FT]]=Report[[#This Row],[Score 3]],1,0))</f>
        <v>0</v>
      </c>
      <c r="W208" s="53">
        <f>IF(Report[[#This Row],[FT]]="","",IF(Report[[#This Row],[FT]]=Report[[#This Row],[Score 4]],1,0))</f>
        <v>0</v>
      </c>
      <c r="X208" s="66">
        <f>IF(Report[[#This Row],[Résultat FT]]="",,IF(Report[[#This Row],[Résultat FT]]=Report[[#This Row],[Résultats]],(Suivi_Gain!$B$1*Report[[#This Row],[Cote FT]])-Suivi_Gain!$B$1,-Suivi_Gain!$B$1))</f>
        <v>0.39999999999999991</v>
      </c>
      <c r="Y208" s="94">
        <f>IF(Report[[#This Row],[FT]]="",,IF(Report[[#This Row],[FT]]=Report[[#This Row],[Score 1]],(Suivi_Gain!$G$1*Report[[#This Row],[Cote SE]])-Suivi_Gain!$G$1,-Suivi_Gain!$G$1))</f>
        <v>-1</v>
      </c>
      <c r="Z208" s="65">
        <f>IF(Report[[#This Row],[FT]]="",,IF(Report[[#This Row],[FT]]=Report[[#This Row],[Score 2]],Suivi_Gain!$G$1*Report[[#This Row],[Cote SE]],-Suivi_Gain!$G$1))</f>
        <v>-1</v>
      </c>
      <c r="AA208" s="65">
        <f>IF(Report[[#This Row],[FT]]="",,IF(Report[[#This Row],[FT]]=Report[[#This Row],[Score 3]],Suivi_Gain!$G$1*Report[[#This Row],[Cote SE]],-Suivi_Gain!$G$1))</f>
        <v>-1</v>
      </c>
      <c r="AB208" s="65">
        <f>IF(Report[[#This Row],[FT]]="",,IF(Report[[#This Row],[FT]]=Report[[#This Row],[Score 4]],Suivi_Gain!$G$1*Report[[#This Row],[Cote SE]],-Suivi_Gain!$G$1))</f>
        <v>-1</v>
      </c>
      <c r="AC208" s="64" t="str">
        <f>IF(Report[[#This Row],[Résultats SE]]="Gagné",Report[[#This Row],[FT]],"")</f>
        <v/>
      </c>
      <c r="AD208" s="64" t="str">
        <f>IF(AND(Report[[#This Row],[Résultats SE]]="Gagné",Report[[#This Row],[FT]]=Report[[#This Row],[Score 1]]),Report[[#This Row],[FT]],"")</f>
        <v/>
      </c>
      <c r="AE208" s="64" t="str">
        <f>IF(AND(Report[[#This Row],[Résultats SE]]="Gagné",Report[[#This Row],[FT]]=Report[[#This Row],[Score 2]]),Report[[#This Row],[FT]],"")</f>
        <v/>
      </c>
      <c r="AF208" s="64" t="str">
        <f>IF(AND(Report[[#This Row],[Résultats SE]]="Gagné",Report[[#This Row],[FT]]=Report[[#This Row],[Score 3]]),Report[[#This Row],[FT]],"")</f>
        <v/>
      </c>
      <c r="AG208" s="64" t="str">
        <f>IF(AND(Report[[#This Row],[Résultats SE]]="Gagné",Report[[#This Row],[FT]]=Report[[#This Row],[Score 4]]),Report[[#This Row],[FT]],"")</f>
        <v/>
      </c>
    </row>
    <row r="209" spans="1:33" ht="20.100000000000001" customHeight="1" x14ac:dyDescent="0.25">
      <c r="A209" s="11">
        <v>43428</v>
      </c>
      <c r="B209" s="7" t="s">
        <v>222</v>
      </c>
      <c r="C209" s="7" t="s">
        <v>116</v>
      </c>
      <c r="D209" s="10" t="s">
        <v>658</v>
      </c>
      <c r="E209" s="10" t="s">
        <v>656</v>
      </c>
      <c r="F209" s="7" t="s">
        <v>844</v>
      </c>
      <c r="G209" s="8" t="s">
        <v>826</v>
      </c>
      <c r="H209" s="9" t="s">
        <v>845</v>
      </c>
      <c r="I209" s="9" t="s">
        <v>846</v>
      </c>
      <c r="J209" s="9" t="s">
        <v>847</v>
      </c>
      <c r="K209" s="9" t="s">
        <v>233</v>
      </c>
      <c r="L209" s="16" t="str">
        <f>IF(Report[Résultat FT]="","",IF(Report[Résultat FT]=Report[Résultats],"","-"))</f>
        <v>-</v>
      </c>
      <c r="M209" s="16" t="str">
        <f>IF(Report[[#This Row],[Résultat FT]]="","",IF(Report[[#This Row],[Résultats SE]]="Gagné","","-"))</f>
        <v>-</v>
      </c>
      <c r="N209" s="17" t="s">
        <v>831</v>
      </c>
      <c r="O209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Asteras T.</v>
      </c>
      <c r="P209" s="18">
        <f>IF(Report[[#This Row],[FT]]="",,(LEFT(Report[[#This Row],[FT]],SEARCH("-",Report[[#This Row],[FT]])-1)*1))</f>
        <v>2</v>
      </c>
      <c r="Q209" s="22">
        <f>IF(Report[[#This Row],[FT]]="",,(RIGHT(Report[[#This Row],[FT]],SEARCH("-",Report[[#This Row],[FT]])-1)*1))</f>
        <v>0</v>
      </c>
      <c r="R209" s="18" t="str">
        <f>IF(Report[Résultat FT]="","",IF(Report[Résultat FT]=Report[Résultats],"Gagné","Perdu"))</f>
        <v>Perdu</v>
      </c>
      <c r="S209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09" s="53">
        <f>IF(Report[[#This Row],[FT]]="","",IF(Report[[#This Row],[FT]]=Report[[#This Row],[Score 1]],1,0))</f>
        <v>0</v>
      </c>
      <c r="U209" s="53">
        <f>IF(Report[[#This Row],[FT]]="","",IF(Report[ [#This Row],[FT] ]=Report[[#This Row],[Score 2]],1,0))</f>
        <v>0</v>
      </c>
      <c r="V209" s="53">
        <f>IF(Report[[#This Row],[FT]]="","",IF(Report[[#This Row],[FT]]=Report[[#This Row],[Score 3]],1,0))</f>
        <v>0</v>
      </c>
      <c r="W209" s="53">
        <f>IF(Report[[#This Row],[FT]]="","",IF(Report[[#This Row],[FT]]=Report[[#This Row],[Score 4]],1,0))</f>
        <v>0</v>
      </c>
      <c r="X209" s="66">
        <f>IF(Report[[#This Row],[Résultat FT]]="",,IF(Report[[#This Row],[Résultat FT]]=Report[[#This Row],[Résultats]],(Suivi_Gain!$B$1*Report[[#This Row],[Cote FT]])-Suivi_Gain!$B$1,-Suivi_Gain!$B$1))</f>
        <v>-1</v>
      </c>
      <c r="Y209" s="94">
        <f>IF(Report[[#This Row],[FT]]="",,IF(Report[[#This Row],[FT]]=Report[[#This Row],[Score 1]],(Suivi_Gain!$G$1*Report[[#This Row],[Cote SE]])-Suivi_Gain!$G$1,-Suivi_Gain!$G$1))</f>
        <v>-1</v>
      </c>
      <c r="Z209" s="65">
        <f>IF(Report[[#This Row],[FT]]="",,IF(Report[[#This Row],[FT]]=Report[[#This Row],[Score 2]],Suivi_Gain!$G$1*Report[[#This Row],[Cote SE]],-Suivi_Gain!$G$1))</f>
        <v>-1</v>
      </c>
      <c r="AA209" s="65">
        <f>IF(Report[[#This Row],[FT]]="",,IF(Report[[#This Row],[FT]]=Report[[#This Row],[Score 3]],Suivi_Gain!$G$1*Report[[#This Row],[Cote SE]],-Suivi_Gain!$G$1))</f>
        <v>-1</v>
      </c>
      <c r="AB209" s="65">
        <f>IF(Report[[#This Row],[FT]]="",,IF(Report[[#This Row],[FT]]=Report[[#This Row],[Score 4]],Suivi_Gain!$G$1*Report[[#This Row],[Cote SE]],-Suivi_Gain!$G$1))</f>
        <v>-1</v>
      </c>
      <c r="AC209" s="64" t="str">
        <f>IF(Report[[#This Row],[Résultats SE]]="Gagné",Report[[#This Row],[FT]],"")</f>
        <v/>
      </c>
      <c r="AD209" s="64" t="str">
        <f>IF(AND(Report[[#This Row],[Résultats SE]]="Gagné",Report[[#This Row],[FT]]=Report[[#This Row],[Score 1]]),Report[[#This Row],[FT]],"")</f>
        <v/>
      </c>
      <c r="AE209" s="64" t="str">
        <f>IF(AND(Report[[#This Row],[Résultats SE]]="Gagné",Report[[#This Row],[FT]]=Report[[#This Row],[Score 2]]),Report[[#This Row],[FT]],"")</f>
        <v/>
      </c>
      <c r="AF209" s="64" t="str">
        <f>IF(AND(Report[[#This Row],[Résultats SE]]="Gagné",Report[[#This Row],[FT]]=Report[[#This Row],[Score 3]]),Report[[#This Row],[FT]],"")</f>
        <v/>
      </c>
      <c r="AG209" s="64" t="str">
        <f>IF(AND(Report[[#This Row],[Résultats SE]]="Gagné",Report[[#This Row],[FT]]=Report[[#This Row],[Score 4]]),Report[[#This Row],[FT]],"")</f>
        <v/>
      </c>
    </row>
    <row r="210" spans="1:33" ht="20.100000000000001" customHeight="1" x14ac:dyDescent="0.25">
      <c r="A210" s="11">
        <v>43428</v>
      </c>
      <c r="B210" s="7" t="s">
        <v>222</v>
      </c>
      <c r="C210" s="7" t="s">
        <v>116</v>
      </c>
      <c r="D210" s="10" t="s">
        <v>666</v>
      </c>
      <c r="E210" s="10" t="s">
        <v>655</v>
      </c>
      <c r="F210" s="7" t="s">
        <v>824</v>
      </c>
      <c r="G210" s="8" t="s">
        <v>825</v>
      </c>
      <c r="H210" s="9" t="s">
        <v>826</v>
      </c>
      <c r="I210" s="9" t="s">
        <v>827</v>
      </c>
      <c r="J210" s="9" t="s">
        <v>828</v>
      </c>
      <c r="K210" s="9" t="s">
        <v>655</v>
      </c>
      <c r="L210" s="16" t="str">
        <f>IF(Report[Résultat FT]="","",IF(Report[Résultat FT]=Report[Résultats],"","-"))</f>
        <v>-</v>
      </c>
      <c r="M210" s="16" t="str">
        <f>IF(Report[[#This Row],[Résultat FT]]="","",IF(Report[[#This Row],[Résultats SE]]="Gagné","","-"))</f>
        <v>-</v>
      </c>
      <c r="N210" s="17" t="s">
        <v>838</v>
      </c>
      <c r="O210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Panetolikos</v>
      </c>
      <c r="P210" s="18">
        <f>IF(Report[[#This Row],[FT]]="",,(LEFT(Report[[#This Row],[FT]],SEARCH("-",Report[[#This Row],[FT]])-1)*1))</f>
        <v>2</v>
      </c>
      <c r="Q210" s="22">
        <f>IF(Report[[#This Row],[FT]]="",,(RIGHT(Report[[#This Row],[FT]],SEARCH("-",Report[[#This Row],[FT]])-1)*1))</f>
        <v>1</v>
      </c>
      <c r="R210" s="18" t="str">
        <f>IF(Report[Résultat FT]="","",IF(Report[Résultat FT]=Report[Résultats],"Gagné","Perdu"))</f>
        <v>Perdu</v>
      </c>
      <c r="S210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10" s="53">
        <f>IF(Report[[#This Row],[FT]]="","",IF(Report[[#This Row],[FT]]=Report[[#This Row],[Score 1]],1,0))</f>
        <v>0</v>
      </c>
      <c r="U210" s="53">
        <f>IF(Report[[#This Row],[FT]]="","",IF(Report[ [#This Row],[FT] ]=Report[[#This Row],[Score 2]],1,0))</f>
        <v>0</v>
      </c>
      <c r="V210" s="53">
        <f>IF(Report[[#This Row],[FT]]="","",IF(Report[[#This Row],[FT]]=Report[[#This Row],[Score 3]],1,0))</f>
        <v>0</v>
      </c>
      <c r="W210" s="53">
        <f>IF(Report[[#This Row],[FT]]="","",IF(Report[[#This Row],[FT]]=Report[[#This Row],[Score 4]],1,0))</f>
        <v>0</v>
      </c>
      <c r="X210" s="66">
        <f>IF(Report[[#This Row],[Résultat FT]]="",,IF(Report[[#This Row],[Résultat FT]]=Report[[#This Row],[Résultats]],(Suivi_Gain!$B$1*Report[[#This Row],[Cote FT]])-Suivi_Gain!$B$1,-Suivi_Gain!$B$1))</f>
        <v>-1</v>
      </c>
      <c r="Y210" s="94">
        <f>IF(Report[[#This Row],[FT]]="",,IF(Report[[#This Row],[FT]]=Report[[#This Row],[Score 1]],(Suivi_Gain!$G$1*Report[[#This Row],[Cote SE]])-Suivi_Gain!$G$1,-Suivi_Gain!$G$1))</f>
        <v>-1</v>
      </c>
      <c r="Z210" s="65">
        <f>IF(Report[[#This Row],[FT]]="",,IF(Report[[#This Row],[FT]]=Report[[#This Row],[Score 2]],Suivi_Gain!$G$1*Report[[#This Row],[Cote SE]],-Suivi_Gain!$G$1))</f>
        <v>-1</v>
      </c>
      <c r="AA210" s="65">
        <f>IF(Report[[#This Row],[FT]]="",,IF(Report[[#This Row],[FT]]=Report[[#This Row],[Score 3]],Suivi_Gain!$G$1*Report[[#This Row],[Cote SE]],-Suivi_Gain!$G$1))</f>
        <v>-1</v>
      </c>
      <c r="AB210" s="65">
        <f>IF(Report[[#This Row],[FT]]="",,IF(Report[[#This Row],[FT]]=Report[[#This Row],[Score 4]],Suivi_Gain!$G$1*Report[[#This Row],[Cote SE]],-Suivi_Gain!$G$1))</f>
        <v>-1</v>
      </c>
      <c r="AC210" s="64" t="str">
        <f>IF(Report[[#This Row],[Résultats SE]]="Gagné",Report[[#This Row],[FT]],"")</f>
        <v/>
      </c>
      <c r="AD210" s="64" t="str">
        <f>IF(AND(Report[[#This Row],[Résultats SE]]="Gagné",Report[[#This Row],[FT]]=Report[[#This Row],[Score 1]]),Report[[#This Row],[FT]],"")</f>
        <v/>
      </c>
      <c r="AE210" s="64" t="str">
        <f>IF(AND(Report[[#This Row],[Résultats SE]]="Gagné",Report[[#This Row],[FT]]=Report[[#This Row],[Score 2]]),Report[[#This Row],[FT]],"")</f>
        <v/>
      </c>
      <c r="AF210" s="64" t="str">
        <f>IF(AND(Report[[#This Row],[Résultats SE]]="Gagné",Report[[#This Row],[FT]]=Report[[#This Row],[Score 3]]),Report[[#This Row],[FT]],"")</f>
        <v/>
      </c>
      <c r="AG210" s="64" t="str">
        <f>IF(AND(Report[[#This Row],[Résultats SE]]="Gagné",Report[[#This Row],[FT]]=Report[[#This Row],[Score 4]]),Report[[#This Row],[FT]],"")</f>
        <v/>
      </c>
    </row>
    <row r="211" spans="1:33" ht="20.100000000000001" customHeight="1" x14ac:dyDescent="0.25">
      <c r="A211" s="11">
        <v>43428</v>
      </c>
      <c r="B211" s="7" t="s">
        <v>222</v>
      </c>
      <c r="C211" s="7" t="s">
        <v>116</v>
      </c>
      <c r="D211" s="10" t="s">
        <v>668</v>
      </c>
      <c r="E211" s="10" t="s">
        <v>670</v>
      </c>
      <c r="F211" s="7" t="s">
        <v>844</v>
      </c>
      <c r="G211" s="8" t="s">
        <v>826</v>
      </c>
      <c r="H211" s="9" t="s">
        <v>845</v>
      </c>
      <c r="I211" s="9" t="s">
        <v>846</v>
      </c>
      <c r="J211" s="9" t="s">
        <v>847</v>
      </c>
      <c r="K211" s="9" t="s">
        <v>233</v>
      </c>
      <c r="L211" s="16" t="str">
        <f>IF(Report[Résultat FT]="","",IF(Report[Résultat FT]=Report[Résultats],"","-"))</f>
        <v>-</v>
      </c>
      <c r="M211" s="16" t="str">
        <f>IF(Report[[#This Row],[Résultat FT]]="","",IF(Report[[#This Row],[Résultats SE]]="Gagné","","-"))</f>
        <v>-</v>
      </c>
      <c r="N211" s="17" t="s">
        <v>831</v>
      </c>
      <c r="O211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PAOK</v>
      </c>
      <c r="P211" s="18">
        <f>IF(Report[[#This Row],[FT]]="",,(LEFT(Report[[#This Row],[FT]],SEARCH("-",Report[[#This Row],[FT]])-1)*1))</f>
        <v>2</v>
      </c>
      <c r="Q211" s="22">
        <f>IF(Report[[#This Row],[FT]]="",,(RIGHT(Report[[#This Row],[FT]],SEARCH("-",Report[[#This Row],[FT]])-1)*1))</f>
        <v>0</v>
      </c>
      <c r="R211" s="18" t="str">
        <f>IF(Report[Résultat FT]="","",IF(Report[Résultat FT]=Report[Résultats],"Gagné","Perdu"))</f>
        <v>Perdu</v>
      </c>
      <c r="S211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11" s="53">
        <f>IF(Report[[#This Row],[FT]]="","",IF(Report[[#This Row],[FT]]=Report[[#This Row],[Score 1]],1,0))</f>
        <v>0</v>
      </c>
      <c r="U211" s="53">
        <f>IF(Report[[#This Row],[FT]]="","",IF(Report[ [#This Row],[FT] ]=Report[[#This Row],[Score 2]],1,0))</f>
        <v>0</v>
      </c>
      <c r="V211" s="53">
        <f>IF(Report[[#This Row],[FT]]="","",IF(Report[[#This Row],[FT]]=Report[[#This Row],[Score 3]],1,0))</f>
        <v>0</v>
      </c>
      <c r="W211" s="53">
        <f>IF(Report[[#This Row],[FT]]="","",IF(Report[[#This Row],[FT]]=Report[[#This Row],[Score 4]],1,0))</f>
        <v>0</v>
      </c>
      <c r="X211" s="66">
        <f>IF(Report[[#This Row],[Résultat FT]]="",,IF(Report[[#This Row],[Résultat FT]]=Report[[#This Row],[Résultats]],(Suivi_Gain!$B$1*Report[[#This Row],[Cote FT]])-Suivi_Gain!$B$1,-Suivi_Gain!$B$1))</f>
        <v>-1</v>
      </c>
      <c r="Y211" s="94">
        <f>IF(Report[[#This Row],[FT]]="",,IF(Report[[#This Row],[FT]]=Report[[#This Row],[Score 1]],(Suivi_Gain!$G$1*Report[[#This Row],[Cote SE]])-Suivi_Gain!$G$1,-Suivi_Gain!$G$1))</f>
        <v>-1</v>
      </c>
      <c r="Z211" s="65">
        <f>IF(Report[[#This Row],[FT]]="",,IF(Report[[#This Row],[FT]]=Report[[#This Row],[Score 2]],Suivi_Gain!$G$1*Report[[#This Row],[Cote SE]],-Suivi_Gain!$G$1))</f>
        <v>-1</v>
      </c>
      <c r="AA211" s="65">
        <f>IF(Report[[#This Row],[FT]]="",,IF(Report[[#This Row],[FT]]=Report[[#This Row],[Score 3]],Suivi_Gain!$G$1*Report[[#This Row],[Cote SE]],-Suivi_Gain!$G$1))</f>
        <v>-1</v>
      </c>
      <c r="AB211" s="65">
        <f>IF(Report[[#This Row],[FT]]="",,IF(Report[[#This Row],[FT]]=Report[[#This Row],[Score 4]],Suivi_Gain!$G$1*Report[[#This Row],[Cote SE]],-Suivi_Gain!$G$1))</f>
        <v>-1</v>
      </c>
      <c r="AC211" s="64" t="str">
        <f>IF(Report[[#This Row],[Résultats SE]]="Gagné",Report[[#This Row],[FT]],"")</f>
        <v/>
      </c>
      <c r="AD211" s="64" t="str">
        <f>IF(AND(Report[[#This Row],[Résultats SE]]="Gagné",Report[[#This Row],[FT]]=Report[[#This Row],[Score 1]]),Report[[#This Row],[FT]],"")</f>
        <v/>
      </c>
      <c r="AE211" s="64" t="str">
        <f>IF(AND(Report[[#This Row],[Résultats SE]]="Gagné",Report[[#This Row],[FT]]=Report[[#This Row],[Score 2]]),Report[[#This Row],[FT]],"")</f>
        <v/>
      </c>
      <c r="AF211" s="64" t="str">
        <f>IF(AND(Report[[#This Row],[Résultats SE]]="Gagné",Report[[#This Row],[FT]]=Report[[#This Row],[Score 3]]),Report[[#This Row],[FT]],"")</f>
        <v/>
      </c>
      <c r="AG211" s="64" t="str">
        <f>IF(AND(Report[[#This Row],[Résultats SE]]="Gagné",Report[[#This Row],[FT]]=Report[[#This Row],[Score 4]]),Report[[#This Row],[FT]],"")</f>
        <v/>
      </c>
    </row>
    <row r="212" spans="1:33" ht="20.100000000000001" customHeight="1" x14ac:dyDescent="0.25">
      <c r="A212" s="11">
        <v>43428</v>
      </c>
      <c r="B212" s="7" t="s">
        <v>863</v>
      </c>
      <c r="C212" s="7" t="s">
        <v>862</v>
      </c>
      <c r="D212" s="10" t="s">
        <v>875</v>
      </c>
      <c r="E212" s="10" t="s">
        <v>873</v>
      </c>
      <c r="F212" s="7" t="s">
        <v>829</v>
      </c>
      <c r="G212" s="8" t="s">
        <v>830</v>
      </c>
      <c r="H212" s="9" t="s">
        <v>826</v>
      </c>
      <c r="I212" s="9" t="s">
        <v>831</v>
      </c>
      <c r="J212" s="9" t="s">
        <v>832</v>
      </c>
      <c r="K212" s="9" t="s">
        <v>875</v>
      </c>
      <c r="L212" s="16" t="str">
        <f>IF(Report[Résultat FT]="","",IF(Report[Résultat FT]=Report[Résultats],"","-"))</f>
        <v>-</v>
      </c>
      <c r="M212" s="16" t="str">
        <f>IF(Report[[#This Row],[Résultat FT]]="","",IF(Report[[#This Row],[Résultats SE]]="Gagné","","-"))</f>
        <v>-</v>
      </c>
      <c r="N212" s="17" t="s">
        <v>834</v>
      </c>
      <c r="O212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212" s="18">
        <f>IF(Report[[#This Row],[FT]]="",,(LEFT(Report[[#This Row],[FT]],SEARCH("-",Report[[#This Row],[FT]])-1)*1))</f>
        <v>1</v>
      </c>
      <c r="Q212" s="22">
        <f>IF(Report[[#This Row],[FT]]="",,(RIGHT(Report[[#This Row],[FT]],SEARCH("-",Report[[#This Row],[FT]])-1)*1))</f>
        <v>1</v>
      </c>
      <c r="R212" s="18" t="str">
        <f>IF(Report[Résultat FT]="","",IF(Report[Résultat FT]=Report[Résultats],"Gagné","Perdu"))</f>
        <v>Perdu</v>
      </c>
      <c r="S212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12" s="53">
        <f>IF(Report[[#This Row],[FT]]="","",IF(Report[[#This Row],[FT]]=Report[[#This Row],[Score 1]],1,0))</f>
        <v>0</v>
      </c>
      <c r="U212" s="53">
        <f>IF(Report[[#This Row],[FT]]="","",IF(Report[ [#This Row],[FT] ]=Report[[#This Row],[Score 2]],1,0))</f>
        <v>0</v>
      </c>
      <c r="V212" s="53">
        <f>IF(Report[[#This Row],[FT]]="","",IF(Report[[#This Row],[FT]]=Report[[#This Row],[Score 3]],1,0))</f>
        <v>0</v>
      </c>
      <c r="W212" s="53">
        <f>IF(Report[[#This Row],[FT]]="","",IF(Report[[#This Row],[FT]]=Report[[#This Row],[Score 4]],1,0))</f>
        <v>0</v>
      </c>
      <c r="X212" s="94">
        <f>IF(Report[[#This Row],[Résultat FT]]="",,IF(Report[[#This Row],[Résultat FT]]=Report[[#This Row],[Résultats]],(Suivi_Gain!$B$1*Report[[#This Row],[Cote FT]])-Suivi_Gain!$B$1,-Suivi_Gain!$B$1))</f>
        <v>-1</v>
      </c>
      <c r="Y212" s="94">
        <f>IF(Report[[#This Row],[FT]]="",,IF(Report[[#This Row],[FT]]=Report[[#This Row],[Score 1]],(Suivi_Gain!$G$1*Report[[#This Row],[Cote SE]])-Suivi_Gain!$G$1,-Suivi_Gain!$G$1))</f>
        <v>-1</v>
      </c>
      <c r="Z212" s="65">
        <f>IF(Report[[#This Row],[FT]]="",,IF(Report[[#This Row],[FT]]=Report[[#This Row],[Score 2]],Suivi_Gain!$G$1*Report[[#This Row],[Cote SE]],-Suivi_Gain!$G$1))</f>
        <v>-1</v>
      </c>
      <c r="AA212" s="65">
        <f>IF(Report[[#This Row],[FT]]="",,IF(Report[[#This Row],[FT]]=Report[[#This Row],[Score 3]],Suivi_Gain!$G$1*Report[[#This Row],[Cote SE]],-Suivi_Gain!$G$1))</f>
        <v>-1</v>
      </c>
      <c r="AB212" s="65">
        <f>IF(Report[[#This Row],[FT]]="",,IF(Report[[#This Row],[FT]]=Report[[#This Row],[Score 4]],Suivi_Gain!$G$1*Report[[#This Row],[Cote SE]],-Suivi_Gain!$G$1))</f>
        <v>-1</v>
      </c>
      <c r="AC212" s="80" t="str">
        <f>IF(Report[[#This Row],[Résultats SE]]="Gagné",Report[[#This Row],[FT]],"")</f>
        <v/>
      </c>
      <c r="AD212" s="80" t="str">
        <f>IF(AND(Report[[#This Row],[Résultats SE]]="Gagné",Report[[#This Row],[FT]]=Report[[#This Row],[Score 1]]),Report[[#This Row],[FT]],"")</f>
        <v/>
      </c>
      <c r="AE212" s="80" t="str">
        <f>IF(AND(Report[[#This Row],[Résultats SE]]="Gagné",Report[[#This Row],[FT]]=Report[[#This Row],[Score 2]]),Report[[#This Row],[FT]],"")</f>
        <v/>
      </c>
      <c r="AF212" s="80" t="str">
        <f>IF(AND(Report[[#This Row],[Résultats SE]]="Gagné",Report[[#This Row],[FT]]=Report[[#This Row],[Score 3]]),Report[[#This Row],[FT]],"")</f>
        <v/>
      </c>
      <c r="AG212" s="80" t="str">
        <f>IF(AND(Report[[#This Row],[Résultats SE]]="Gagné",Report[[#This Row],[FT]]=Report[[#This Row],[Score 4]]),Report[[#This Row],[FT]],"")</f>
        <v/>
      </c>
    </row>
    <row r="213" spans="1:33" ht="20.100000000000001" customHeight="1" x14ac:dyDescent="0.25">
      <c r="A213" s="11">
        <v>43428</v>
      </c>
      <c r="B213" s="7" t="s">
        <v>863</v>
      </c>
      <c r="C213" s="7" t="s">
        <v>862</v>
      </c>
      <c r="D213" s="10" t="s">
        <v>866</v>
      </c>
      <c r="E213" s="10" t="s">
        <v>869</v>
      </c>
      <c r="F213" s="7" t="s">
        <v>876</v>
      </c>
      <c r="G213" s="8" t="s">
        <v>832</v>
      </c>
      <c r="H213" s="9" t="s">
        <v>831</v>
      </c>
      <c r="I213" s="9" t="s">
        <v>859</v>
      </c>
      <c r="J213" s="9" t="s">
        <v>830</v>
      </c>
      <c r="K213" s="9" t="s">
        <v>866</v>
      </c>
      <c r="L213" s="16">
        <v>1.17</v>
      </c>
      <c r="M213" s="16">
        <v>6.4</v>
      </c>
      <c r="N213" s="17" t="s">
        <v>831</v>
      </c>
      <c r="O213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Ferencvaros</v>
      </c>
      <c r="P213" s="18">
        <f>IF(Report[[#This Row],[FT]]="",,(LEFT(Report[[#This Row],[FT]],SEARCH("-",Report[[#This Row],[FT]])-1)*1))</f>
        <v>2</v>
      </c>
      <c r="Q213" s="22">
        <f>IF(Report[[#This Row],[FT]]="",,(RIGHT(Report[[#This Row],[FT]],SEARCH("-",Report[[#This Row],[FT]])-1)*1))</f>
        <v>0</v>
      </c>
      <c r="R213" s="18" t="str">
        <f>IF(Report[Résultat FT]="","",IF(Report[Résultat FT]=Report[Résultats],"Gagné","Perdu"))</f>
        <v>Gagné</v>
      </c>
      <c r="S213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213" s="53">
        <f>IF(Report[[#This Row],[FT]]="","",IF(Report[[#This Row],[FT]]=Report[[#This Row],[Score 1]],1,0))</f>
        <v>0</v>
      </c>
      <c r="U213" s="53">
        <f>IF(Report[[#This Row],[FT]]="","",IF(Report[ [#This Row],[FT] ]=Report[[#This Row],[Score 2]],1,0))</f>
        <v>1</v>
      </c>
      <c r="V213" s="53">
        <f>IF(Report[[#This Row],[FT]]="","",IF(Report[[#This Row],[FT]]=Report[[#This Row],[Score 3]],1,0))</f>
        <v>0</v>
      </c>
      <c r="W213" s="53">
        <f>IF(Report[[#This Row],[FT]]="","",IF(Report[[#This Row],[FT]]=Report[[#This Row],[Score 4]],1,0))</f>
        <v>0</v>
      </c>
      <c r="X213" s="66">
        <f>IF(Report[[#This Row],[Résultat FT]]="",,IF(Report[[#This Row],[Résultat FT]]=Report[[#This Row],[Résultats]],(Suivi_Gain!$B$1*Report[[#This Row],[Cote FT]])-Suivi_Gain!$B$1,-Suivi_Gain!$B$1))</f>
        <v>0.16999999999999993</v>
      </c>
      <c r="Y213" s="94">
        <f>IF(Report[[#This Row],[FT]]="",,IF(Report[[#This Row],[FT]]=Report[[#This Row],[Score 1]],(Suivi_Gain!$G$1*Report[[#This Row],[Cote SE]])-Suivi_Gain!$G$1,-Suivi_Gain!$G$1))</f>
        <v>-1</v>
      </c>
      <c r="Z213" s="65">
        <f>IF(Report[[#This Row],[FT]]="",,IF(Report[[#This Row],[FT]]=Report[[#This Row],[Score 2]],Suivi_Gain!$G$1*Report[[#This Row],[Cote SE]],-Suivi_Gain!$G$1))</f>
        <v>6.4</v>
      </c>
      <c r="AA213" s="65">
        <f>IF(Report[[#This Row],[FT]]="",,IF(Report[[#This Row],[FT]]=Report[[#This Row],[Score 3]],Suivi_Gain!$G$1*Report[[#This Row],[Cote SE]],-Suivi_Gain!$G$1))</f>
        <v>-1</v>
      </c>
      <c r="AB213" s="65">
        <f>IF(Report[[#This Row],[FT]]="",,IF(Report[[#This Row],[FT]]=Report[[#This Row],[Score 4]],Suivi_Gain!$G$1*Report[[#This Row],[Cote SE]],-Suivi_Gain!$G$1))</f>
        <v>-1</v>
      </c>
      <c r="AC213" s="64" t="str">
        <f>IF(Report[[#This Row],[Résultats SE]]="Gagné",Report[[#This Row],[FT]],"")</f>
        <v>2-0</v>
      </c>
      <c r="AD213" s="64" t="str">
        <f>IF(AND(Report[[#This Row],[Résultats SE]]="Gagné",Report[[#This Row],[FT]]=Report[[#This Row],[Score 1]]),Report[[#This Row],[FT]],"")</f>
        <v/>
      </c>
      <c r="AE213" s="64" t="str">
        <f>IF(AND(Report[[#This Row],[Résultats SE]]="Gagné",Report[[#This Row],[FT]]=Report[[#This Row],[Score 2]]),Report[[#This Row],[FT]],"")</f>
        <v>2-0</v>
      </c>
      <c r="AF213" s="64" t="str">
        <f>IF(AND(Report[[#This Row],[Résultats SE]]="Gagné",Report[[#This Row],[FT]]=Report[[#This Row],[Score 3]]),Report[[#This Row],[FT]],"")</f>
        <v/>
      </c>
      <c r="AG213" s="64" t="str">
        <f>IF(AND(Report[[#This Row],[Résultats SE]]="Gagné",Report[[#This Row],[FT]]=Report[[#This Row],[Score 4]]),Report[[#This Row],[FT]],"")</f>
        <v/>
      </c>
    </row>
    <row r="214" spans="1:33" ht="20.100000000000001" customHeight="1" x14ac:dyDescent="0.25">
      <c r="A214" s="11">
        <v>43428</v>
      </c>
      <c r="B214" s="7" t="s">
        <v>863</v>
      </c>
      <c r="C214" s="7" t="s">
        <v>862</v>
      </c>
      <c r="D214" s="10" t="s">
        <v>868</v>
      </c>
      <c r="E214" s="10" t="s">
        <v>870</v>
      </c>
      <c r="F214" s="7" t="s">
        <v>829</v>
      </c>
      <c r="G214" s="8" t="s">
        <v>830</v>
      </c>
      <c r="H214" s="9" t="s">
        <v>826</v>
      </c>
      <c r="I214" s="9" t="s">
        <v>831</v>
      </c>
      <c r="J214" s="9" t="s">
        <v>832</v>
      </c>
      <c r="K214" s="9" t="s">
        <v>868</v>
      </c>
      <c r="L214" s="16" t="str">
        <f>IF(Report[Résultat FT]="","",IF(Report[Résultat FT]=Report[Résultats],"","-"))</f>
        <v>-</v>
      </c>
      <c r="M214" s="16" t="str">
        <f>IF(Report[[#This Row],[Résultat FT]]="","",IF(Report[[#This Row],[Résultats SE]]="Gagné","","-"))</f>
        <v>-</v>
      </c>
      <c r="N214" s="17" t="s">
        <v>834</v>
      </c>
      <c r="O214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214" s="18">
        <f>IF(Report[[#This Row],[FT]]="",,(LEFT(Report[[#This Row],[FT]],SEARCH("-",Report[[#This Row],[FT]])-1)*1))</f>
        <v>1</v>
      </c>
      <c r="Q214" s="22">
        <f>IF(Report[[#This Row],[FT]]="",,(RIGHT(Report[[#This Row],[FT]],SEARCH("-",Report[[#This Row],[FT]])-1)*1))</f>
        <v>1</v>
      </c>
      <c r="R214" s="18" t="str">
        <f>IF(Report[Résultat FT]="","",IF(Report[Résultat FT]=Report[Résultats],"Gagné","Perdu"))</f>
        <v>Perdu</v>
      </c>
      <c r="S214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14" s="53">
        <f>IF(Report[[#This Row],[FT]]="","",IF(Report[[#This Row],[FT]]=Report[[#This Row],[Score 1]],1,0))</f>
        <v>0</v>
      </c>
      <c r="U214" s="53">
        <f>IF(Report[[#This Row],[FT]]="","",IF(Report[ [#This Row],[FT] ]=Report[[#This Row],[Score 2]],1,0))</f>
        <v>0</v>
      </c>
      <c r="V214" s="53">
        <f>IF(Report[[#This Row],[FT]]="","",IF(Report[[#This Row],[FT]]=Report[[#This Row],[Score 3]],1,0))</f>
        <v>0</v>
      </c>
      <c r="W214" s="53">
        <f>IF(Report[[#This Row],[FT]]="","",IF(Report[[#This Row],[FT]]=Report[[#This Row],[Score 4]],1,0))</f>
        <v>0</v>
      </c>
      <c r="X214" s="66">
        <f>IF(Report[[#This Row],[Résultat FT]]="",,IF(Report[[#This Row],[Résultat FT]]=Report[[#This Row],[Résultats]],(Suivi_Gain!$B$1*Report[[#This Row],[Cote FT]])-Suivi_Gain!$B$1,-Suivi_Gain!$B$1))</f>
        <v>-1</v>
      </c>
      <c r="Y214" s="94">
        <f>IF(Report[[#This Row],[FT]]="",,IF(Report[[#This Row],[FT]]=Report[[#This Row],[Score 1]],(Suivi_Gain!$G$1*Report[[#This Row],[Cote SE]])-Suivi_Gain!$G$1,-Suivi_Gain!$G$1))</f>
        <v>-1</v>
      </c>
      <c r="Z214" s="65">
        <f>IF(Report[[#This Row],[FT]]="",,IF(Report[[#This Row],[FT]]=Report[[#This Row],[Score 2]],Suivi_Gain!$G$1*Report[[#This Row],[Cote SE]],-Suivi_Gain!$G$1))</f>
        <v>-1</v>
      </c>
      <c r="AA214" s="65">
        <f>IF(Report[[#This Row],[FT]]="",,IF(Report[[#This Row],[FT]]=Report[[#This Row],[Score 3]],Suivi_Gain!$G$1*Report[[#This Row],[Cote SE]],-Suivi_Gain!$G$1))</f>
        <v>-1</v>
      </c>
      <c r="AB214" s="65">
        <f>IF(Report[[#This Row],[FT]]="",,IF(Report[[#This Row],[FT]]=Report[[#This Row],[Score 4]],Suivi_Gain!$G$1*Report[[#This Row],[Cote SE]],-Suivi_Gain!$G$1))</f>
        <v>-1</v>
      </c>
      <c r="AC214" s="64" t="str">
        <f>IF(Report[[#This Row],[Résultats SE]]="Gagné",Report[[#This Row],[FT]],"")</f>
        <v/>
      </c>
      <c r="AD214" s="64" t="str">
        <f>IF(AND(Report[[#This Row],[Résultats SE]]="Gagné",Report[[#This Row],[FT]]=Report[[#This Row],[Score 1]]),Report[[#This Row],[FT]],"")</f>
        <v/>
      </c>
      <c r="AE214" s="64" t="str">
        <f>IF(AND(Report[[#This Row],[Résultats SE]]="Gagné",Report[[#This Row],[FT]]=Report[[#This Row],[Score 2]]),Report[[#This Row],[FT]],"")</f>
        <v/>
      </c>
      <c r="AF214" s="64" t="str">
        <f>IF(AND(Report[[#This Row],[Résultats SE]]="Gagné",Report[[#This Row],[FT]]=Report[[#This Row],[Score 3]]),Report[[#This Row],[FT]],"")</f>
        <v/>
      </c>
      <c r="AG214" s="64" t="str">
        <f>IF(AND(Report[[#This Row],[Résultats SE]]="Gagné",Report[[#This Row],[FT]]=Report[[#This Row],[Score 4]]),Report[[#This Row],[FT]],"")</f>
        <v/>
      </c>
    </row>
    <row r="215" spans="1:33" ht="20.100000000000001" customHeight="1" x14ac:dyDescent="0.25">
      <c r="A215" s="11">
        <v>43428</v>
      </c>
      <c r="B215" s="7" t="s">
        <v>863</v>
      </c>
      <c r="C215" s="7" t="s">
        <v>862</v>
      </c>
      <c r="D215" s="10" t="s">
        <v>874</v>
      </c>
      <c r="E215" s="10" t="s">
        <v>867</v>
      </c>
      <c r="F215" s="7" t="s">
        <v>833</v>
      </c>
      <c r="G215" s="8" t="s">
        <v>834</v>
      </c>
      <c r="H215" s="9" t="s">
        <v>830</v>
      </c>
      <c r="I215" s="9" t="s">
        <v>825</v>
      </c>
      <c r="J215" s="9" t="s">
        <v>826</v>
      </c>
      <c r="K215" s="9" t="s">
        <v>233</v>
      </c>
      <c r="L215" s="16" t="str">
        <f>IF(Report[Résultat FT]="","",IF(Report[Résultat FT]=Report[Résultats],"","-"))</f>
        <v>-</v>
      </c>
      <c r="M215" s="16" t="str">
        <f>IF(Report[[#This Row],[Résultat FT]]="","",IF(Report[[#This Row],[Résultats SE]]="Gagné","","-"))</f>
        <v>-</v>
      </c>
      <c r="N215" s="17" t="s">
        <v>831</v>
      </c>
      <c r="O215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Puskas Academy</v>
      </c>
      <c r="P215" s="18">
        <f>IF(Report[[#This Row],[FT]]="",,(LEFT(Report[[#This Row],[FT]],SEARCH("-",Report[[#This Row],[FT]])-1)*1))</f>
        <v>2</v>
      </c>
      <c r="Q215" s="22">
        <f>IF(Report[[#This Row],[FT]]="",,(RIGHT(Report[[#This Row],[FT]],SEARCH("-",Report[[#This Row],[FT]])-1)*1))</f>
        <v>0</v>
      </c>
      <c r="R215" s="18" t="str">
        <f>IF(Report[Résultat FT]="","",IF(Report[Résultat FT]=Report[Résultats],"Gagné","Perdu"))</f>
        <v>Perdu</v>
      </c>
      <c r="S215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15" s="53">
        <f>IF(Report[[#This Row],[FT]]="","",IF(Report[[#This Row],[FT]]=Report[[#This Row],[Score 1]],1,0))</f>
        <v>0</v>
      </c>
      <c r="U215" s="53">
        <f>IF(Report[[#This Row],[FT]]="","",IF(Report[ [#This Row],[FT] ]=Report[[#This Row],[Score 2]],1,0))</f>
        <v>0</v>
      </c>
      <c r="V215" s="53">
        <f>IF(Report[[#This Row],[FT]]="","",IF(Report[[#This Row],[FT]]=Report[[#This Row],[Score 3]],1,0))</f>
        <v>0</v>
      </c>
      <c r="W215" s="53">
        <f>IF(Report[[#This Row],[FT]]="","",IF(Report[[#This Row],[FT]]=Report[[#This Row],[Score 4]],1,0))</f>
        <v>0</v>
      </c>
      <c r="X215" s="66">
        <f>IF(Report[[#This Row],[Résultat FT]]="",,IF(Report[[#This Row],[Résultat FT]]=Report[[#This Row],[Résultats]],(Suivi_Gain!$B$1*Report[[#This Row],[Cote FT]])-Suivi_Gain!$B$1,-Suivi_Gain!$B$1))</f>
        <v>-1</v>
      </c>
      <c r="Y215" s="94">
        <f>IF(Report[[#This Row],[FT]]="",,IF(Report[[#This Row],[FT]]=Report[[#This Row],[Score 1]],(Suivi_Gain!$G$1*Report[[#This Row],[Cote SE]])-Suivi_Gain!$G$1,-Suivi_Gain!$G$1))</f>
        <v>-1</v>
      </c>
      <c r="Z215" s="65">
        <f>IF(Report[[#This Row],[FT]]="",,IF(Report[[#This Row],[FT]]=Report[[#This Row],[Score 2]],Suivi_Gain!$G$1*Report[[#This Row],[Cote SE]],-Suivi_Gain!$G$1))</f>
        <v>-1</v>
      </c>
      <c r="AA215" s="65">
        <f>IF(Report[[#This Row],[FT]]="",,IF(Report[[#This Row],[FT]]=Report[[#This Row],[Score 3]],Suivi_Gain!$G$1*Report[[#This Row],[Cote SE]],-Suivi_Gain!$G$1))</f>
        <v>-1</v>
      </c>
      <c r="AB215" s="65">
        <f>IF(Report[[#This Row],[FT]]="",,IF(Report[[#This Row],[FT]]=Report[[#This Row],[Score 4]],Suivi_Gain!$G$1*Report[[#This Row],[Cote SE]],-Suivi_Gain!$G$1))</f>
        <v>-1</v>
      </c>
      <c r="AC215" s="64" t="str">
        <f>IF(Report[[#This Row],[Résultats SE]]="Gagné",Report[[#This Row],[FT]],"")</f>
        <v/>
      </c>
      <c r="AD215" s="64" t="str">
        <f>IF(AND(Report[[#This Row],[Résultats SE]]="Gagné",Report[[#This Row],[FT]]=Report[[#This Row],[Score 1]]),Report[[#This Row],[FT]],"")</f>
        <v/>
      </c>
      <c r="AE215" s="64" t="str">
        <f>IF(AND(Report[[#This Row],[Résultats SE]]="Gagné",Report[[#This Row],[FT]]=Report[[#This Row],[Score 2]]),Report[[#This Row],[FT]],"")</f>
        <v/>
      </c>
      <c r="AF215" s="64" t="str">
        <f>IF(AND(Report[[#This Row],[Résultats SE]]="Gagné",Report[[#This Row],[FT]]=Report[[#This Row],[Score 3]]),Report[[#This Row],[FT]],"")</f>
        <v/>
      </c>
      <c r="AG215" s="64" t="str">
        <f>IF(AND(Report[[#This Row],[Résultats SE]]="Gagné",Report[[#This Row],[FT]]=Report[[#This Row],[Score 4]]),Report[[#This Row],[FT]],"")</f>
        <v/>
      </c>
    </row>
    <row r="216" spans="1:33" ht="20.100000000000001" customHeight="1" x14ac:dyDescent="0.25">
      <c r="A216" s="11">
        <v>43428</v>
      </c>
      <c r="B216" s="7" t="s">
        <v>863</v>
      </c>
      <c r="C216" s="7" t="s">
        <v>862</v>
      </c>
      <c r="D216" s="10" t="s">
        <v>865</v>
      </c>
      <c r="E216" s="10" t="s">
        <v>872</v>
      </c>
      <c r="F216" s="7" t="s">
        <v>835</v>
      </c>
      <c r="G216" s="8" t="s">
        <v>827</v>
      </c>
      <c r="H216" s="9" t="s">
        <v>825</v>
      </c>
      <c r="I216" s="9" t="s">
        <v>828</v>
      </c>
      <c r="J216" s="9" t="s">
        <v>826</v>
      </c>
      <c r="K216" s="9" t="s">
        <v>872</v>
      </c>
      <c r="L216" s="16" t="str">
        <f>IF(Report[Résultat FT]="","",IF(Report[Résultat FT]=Report[Résultats],"","-"))</f>
        <v>-</v>
      </c>
      <c r="M216" s="16" t="str">
        <f>IF(Report[[#This Row],[Résultat FT]]="","",IF(Report[[#This Row],[Résultats SE]]="Gagné","","-"))</f>
        <v>-</v>
      </c>
      <c r="N216" s="17" t="s">
        <v>891</v>
      </c>
      <c r="O216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DVTK</v>
      </c>
      <c r="P216" s="18">
        <f>IF(Report[[#This Row],[FT]]="",,(LEFT(Report[[#This Row],[FT]],SEARCH("-",Report[[#This Row],[FT]])-1)*1))</f>
        <v>3</v>
      </c>
      <c r="Q216" s="22">
        <f>IF(Report[[#This Row],[FT]]="",,(RIGHT(Report[[#This Row],[FT]],SEARCH("-",Report[[#This Row],[FT]])-1)*1))</f>
        <v>2</v>
      </c>
      <c r="R216" s="18" t="str">
        <f>IF(Report[Résultat FT]="","",IF(Report[Résultat FT]=Report[Résultats],"Gagné","Perdu"))</f>
        <v>Perdu</v>
      </c>
      <c r="S216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16" s="53">
        <f>IF(Report[[#This Row],[FT]]="","",IF(Report[[#This Row],[FT]]=Report[[#This Row],[Score 1]],1,0))</f>
        <v>0</v>
      </c>
      <c r="U216" s="53">
        <f>IF(Report[[#This Row],[FT]]="","",IF(Report[ [#This Row],[FT] ]=Report[[#This Row],[Score 2]],1,0))</f>
        <v>0</v>
      </c>
      <c r="V216" s="53">
        <f>IF(Report[[#This Row],[FT]]="","",IF(Report[[#This Row],[FT]]=Report[[#This Row],[Score 3]],1,0))</f>
        <v>0</v>
      </c>
      <c r="W216" s="53">
        <f>IF(Report[[#This Row],[FT]]="","",IF(Report[[#This Row],[FT]]=Report[[#This Row],[Score 4]],1,0))</f>
        <v>0</v>
      </c>
      <c r="X216" s="66">
        <f>IF(Report[[#This Row],[Résultat FT]]="",,IF(Report[[#This Row],[Résultat FT]]=Report[[#This Row],[Résultats]],(Suivi_Gain!$B$1*Report[[#This Row],[Cote FT]])-Suivi_Gain!$B$1,-Suivi_Gain!$B$1))</f>
        <v>-1</v>
      </c>
      <c r="Y216" s="94">
        <f>IF(Report[[#This Row],[FT]]="",,IF(Report[[#This Row],[FT]]=Report[[#This Row],[Score 1]],(Suivi_Gain!$G$1*Report[[#This Row],[Cote SE]])-Suivi_Gain!$G$1,-Suivi_Gain!$G$1))</f>
        <v>-1</v>
      </c>
      <c r="Z216" s="65">
        <f>IF(Report[[#This Row],[FT]]="",,IF(Report[[#This Row],[FT]]=Report[[#This Row],[Score 2]],Suivi_Gain!$G$1*Report[[#This Row],[Cote SE]],-Suivi_Gain!$G$1))</f>
        <v>-1</v>
      </c>
      <c r="AA216" s="65">
        <f>IF(Report[[#This Row],[FT]]="",,IF(Report[[#This Row],[FT]]=Report[[#This Row],[Score 3]],Suivi_Gain!$G$1*Report[[#This Row],[Cote SE]],-Suivi_Gain!$G$1))</f>
        <v>-1</v>
      </c>
      <c r="AB216" s="65">
        <f>IF(Report[[#This Row],[FT]]="",,IF(Report[[#This Row],[FT]]=Report[[#This Row],[Score 4]],Suivi_Gain!$G$1*Report[[#This Row],[Cote SE]],-Suivi_Gain!$G$1))</f>
        <v>-1</v>
      </c>
      <c r="AC216" s="64" t="str">
        <f>IF(Report[[#This Row],[Résultats SE]]="Gagné",Report[[#This Row],[FT]],"")</f>
        <v/>
      </c>
      <c r="AD216" s="64" t="str">
        <f>IF(AND(Report[[#This Row],[Résultats SE]]="Gagné",Report[[#This Row],[FT]]=Report[[#This Row],[Score 1]]),Report[[#This Row],[FT]],"")</f>
        <v/>
      </c>
      <c r="AE216" s="64" t="str">
        <f>IF(AND(Report[[#This Row],[Résultats SE]]="Gagné",Report[[#This Row],[FT]]=Report[[#This Row],[Score 2]]),Report[[#This Row],[FT]],"")</f>
        <v/>
      </c>
      <c r="AF216" s="64" t="str">
        <f>IF(AND(Report[[#This Row],[Résultats SE]]="Gagné",Report[[#This Row],[FT]]=Report[[#This Row],[Score 3]]),Report[[#This Row],[FT]],"")</f>
        <v/>
      </c>
      <c r="AG216" s="64" t="str">
        <f>IF(AND(Report[[#This Row],[Résultats SE]]="Gagné",Report[[#This Row],[FT]]=Report[[#This Row],[Score 4]]),Report[[#This Row],[FT]],"")</f>
        <v/>
      </c>
    </row>
    <row r="217" spans="1:33" ht="20.100000000000001" customHeight="1" x14ac:dyDescent="0.25">
      <c r="A217" s="11">
        <v>43428</v>
      </c>
      <c r="B217" s="7" t="s">
        <v>81</v>
      </c>
      <c r="C217" s="7" t="s">
        <v>108</v>
      </c>
      <c r="D217" s="10" t="s">
        <v>675</v>
      </c>
      <c r="E217" s="10" t="s">
        <v>679</v>
      </c>
      <c r="F217" s="7" t="s">
        <v>842</v>
      </c>
      <c r="G217" s="8" t="s">
        <v>838</v>
      </c>
      <c r="H217" s="9" t="s">
        <v>831</v>
      </c>
      <c r="I217" s="9" t="s">
        <v>834</v>
      </c>
      <c r="J217" s="9" t="s">
        <v>830</v>
      </c>
      <c r="K217" s="9" t="s">
        <v>675</v>
      </c>
      <c r="L217" s="16">
        <v>1.24</v>
      </c>
      <c r="M217" s="16" t="str">
        <f>IF(Report[[#This Row],[Résultat FT]]="","",IF(Report[[#This Row],[Résultats SE]]="Gagné","","-"))</f>
        <v>-</v>
      </c>
      <c r="N217" s="17" t="s">
        <v>891</v>
      </c>
      <c r="O217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Crusaders</v>
      </c>
      <c r="P217" s="18">
        <f>IF(Report[[#This Row],[FT]]="",,(LEFT(Report[[#This Row],[FT]],SEARCH("-",Report[[#This Row],[FT]])-1)*1))</f>
        <v>3</v>
      </c>
      <c r="Q217" s="22">
        <f>IF(Report[[#This Row],[FT]]="",,(RIGHT(Report[[#This Row],[FT]],SEARCH("-",Report[[#This Row],[FT]])-1)*1))</f>
        <v>2</v>
      </c>
      <c r="R217" s="18" t="str">
        <f>IF(Report[Résultat FT]="","",IF(Report[Résultat FT]=Report[Résultats],"Gagné","Perdu"))</f>
        <v>Gagné</v>
      </c>
      <c r="S217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17" s="53">
        <f>IF(Report[[#This Row],[FT]]="","",IF(Report[[#This Row],[FT]]=Report[[#This Row],[Score 1]],1,0))</f>
        <v>0</v>
      </c>
      <c r="U217" s="53">
        <f>IF(Report[[#This Row],[FT]]="","",IF(Report[ [#This Row],[FT] ]=Report[[#This Row],[Score 2]],1,0))</f>
        <v>0</v>
      </c>
      <c r="V217" s="53">
        <f>IF(Report[[#This Row],[FT]]="","",IF(Report[[#This Row],[FT]]=Report[[#This Row],[Score 3]],1,0))</f>
        <v>0</v>
      </c>
      <c r="W217" s="53">
        <f>IF(Report[[#This Row],[FT]]="","",IF(Report[[#This Row],[FT]]=Report[[#This Row],[Score 4]],1,0))</f>
        <v>0</v>
      </c>
      <c r="X217" s="66">
        <f>IF(Report[[#This Row],[Résultat FT]]="",,IF(Report[[#This Row],[Résultat FT]]=Report[[#This Row],[Résultats]],(Suivi_Gain!$B$1*Report[[#This Row],[Cote FT]])-Suivi_Gain!$B$1,-Suivi_Gain!$B$1))</f>
        <v>0.24</v>
      </c>
      <c r="Y217" s="94">
        <f>IF(Report[[#This Row],[FT]]="",,IF(Report[[#This Row],[FT]]=Report[[#This Row],[Score 1]],(Suivi_Gain!$G$1*Report[[#This Row],[Cote SE]])-Suivi_Gain!$G$1,-Suivi_Gain!$G$1))</f>
        <v>-1</v>
      </c>
      <c r="Z217" s="65">
        <f>IF(Report[[#This Row],[FT]]="",,IF(Report[[#This Row],[FT]]=Report[[#This Row],[Score 2]],Suivi_Gain!$G$1*Report[[#This Row],[Cote SE]],-Suivi_Gain!$G$1))</f>
        <v>-1</v>
      </c>
      <c r="AA217" s="65">
        <f>IF(Report[[#This Row],[FT]]="",,IF(Report[[#This Row],[FT]]=Report[[#This Row],[Score 3]],Suivi_Gain!$G$1*Report[[#This Row],[Cote SE]],-Suivi_Gain!$G$1))</f>
        <v>-1</v>
      </c>
      <c r="AB217" s="65">
        <f>IF(Report[[#This Row],[FT]]="",,IF(Report[[#This Row],[FT]]=Report[[#This Row],[Score 4]],Suivi_Gain!$G$1*Report[[#This Row],[Cote SE]],-Suivi_Gain!$G$1))</f>
        <v>-1</v>
      </c>
      <c r="AC217" s="64" t="str">
        <f>IF(Report[[#This Row],[Résultats SE]]="Gagné",Report[[#This Row],[FT]],"")</f>
        <v/>
      </c>
      <c r="AD217" s="64" t="str">
        <f>IF(AND(Report[[#This Row],[Résultats SE]]="Gagné",Report[[#This Row],[FT]]=Report[[#This Row],[Score 1]]),Report[[#This Row],[FT]],"")</f>
        <v/>
      </c>
      <c r="AE217" s="64" t="str">
        <f>IF(AND(Report[[#This Row],[Résultats SE]]="Gagné",Report[[#This Row],[FT]]=Report[[#This Row],[Score 2]]),Report[[#This Row],[FT]],"")</f>
        <v/>
      </c>
      <c r="AF217" s="64" t="str">
        <f>IF(AND(Report[[#This Row],[Résultats SE]]="Gagné",Report[[#This Row],[FT]]=Report[[#This Row],[Score 3]]),Report[[#This Row],[FT]],"")</f>
        <v/>
      </c>
      <c r="AG217" s="64" t="str">
        <f>IF(AND(Report[[#This Row],[Résultats SE]]="Gagné",Report[[#This Row],[FT]]=Report[[#This Row],[Score 4]]),Report[[#This Row],[FT]],"")</f>
        <v/>
      </c>
    </row>
    <row r="218" spans="1:33" ht="20.100000000000001" customHeight="1" x14ac:dyDescent="0.25">
      <c r="A218" s="11">
        <v>43428</v>
      </c>
      <c r="B218" s="7" t="s">
        <v>81</v>
      </c>
      <c r="C218" s="7" t="s">
        <v>108</v>
      </c>
      <c r="D218" s="10" t="s">
        <v>676</v>
      </c>
      <c r="E218" s="10" t="s">
        <v>678</v>
      </c>
      <c r="F218" s="7" t="s">
        <v>824</v>
      </c>
      <c r="G218" s="8" t="s">
        <v>825</v>
      </c>
      <c r="H218" s="9" t="s">
        <v>826</v>
      </c>
      <c r="I218" s="9" t="s">
        <v>827</v>
      </c>
      <c r="J218" s="9" t="s">
        <v>828</v>
      </c>
      <c r="K218" s="9" t="s">
        <v>678</v>
      </c>
      <c r="L218" s="16" t="str">
        <f>IF(Report[Résultat FT]="","",IF(Report[Résultat FT]=Report[Résultats],"","-"))</f>
        <v>-</v>
      </c>
      <c r="M218" s="16" t="str">
        <f>IF(Report[[#This Row],[Résultat FT]]="","",IF(Report[[#This Row],[Résultats SE]]="Gagné","","-"))</f>
        <v>-</v>
      </c>
      <c r="N218" s="17" t="s">
        <v>830</v>
      </c>
      <c r="O218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Dungannon</v>
      </c>
      <c r="P218" s="18">
        <f>IF(Report[[#This Row],[FT]]="",,(LEFT(Report[[#This Row],[FT]],SEARCH("-",Report[[#This Row],[FT]])-1)*1))</f>
        <v>1</v>
      </c>
      <c r="Q218" s="22">
        <f>IF(Report[[#This Row],[FT]]="",,(RIGHT(Report[[#This Row],[FT]],SEARCH("-",Report[[#This Row],[FT]])-1)*1))</f>
        <v>0</v>
      </c>
      <c r="R218" s="18" t="str">
        <f>IF(Report[Résultat FT]="","",IF(Report[Résultat FT]=Report[Résultats],"Gagné","Perdu"))</f>
        <v>Perdu</v>
      </c>
      <c r="S218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18" s="53">
        <f>IF(Report[[#This Row],[FT]]="","",IF(Report[[#This Row],[FT]]=Report[[#This Row],[Score 1]],1,0))</f>
        <v>0</v>
      </c>
      <c r="U218" s="53">
        <f>IF(Report[[#This Row],[FT]]="","",IF(Report[ [#This Row],[FT] ]=Report[[#This Row],[Score 2]],1,0))</f>
        <v>0</v>
      </c>
      <c r="V218" s="53">
        <f>IF(Report[[#This Row],[FT]]="","",IF(Report[[#This Row],[FT]]=Report[[#This Row],[Score 3]],1,0))</f>
        <v>0</v>
      </c>
      <c r="W218" s="53">
        <f>IF(Report[[#This Row],[FT]]="","",IF(Report[[#This Row],[FT]]=Report[[#This Row],[Score 4]],1,0))</f>
        <v>0</v>
      </c>
      <c r="X218" s="66">
        <f>IF(Report[[#This Row],[Résultat FT]]="",,IF(Report[[#This Row],[Résultat FT]]=Report[[#This Row],[Résultats]],(Suivi_Gain!$B$1*Report[[#This Row],[Cote FT]])-Suivi_Gain!$B$1,-Suivi_Gain!$B$1))</f>
        <v>-1</v>
      </c>
      <c r="Y218" s="94">
        <f>IF(Report[[#This Row],[FT]]="",,IF(Report[[#This Row],[FT]]=Report[[#This Row],[Score 1]],(Suivi_Gain!$G$1*Report[[#This Row],[Cote SE]])-Suivi_Gain!$G$1,-Suivi_Gain!$G$1))</f>
        <v>-1</v>
      </c>
      <c r="Z218" s="65">
        <f>IF(Report[[#This Row],[FT]]="",,IF(Report[[#This Row],[FT]]=Report[[#This Row],[Score 2]],Suivi_Gain!$G$1*Report[[#This Row],[Cote SE]],-Suivi_Gain!$G$1))</f>
        <v>-1</v>
      </c>
      <c r="AA218" s="65">
        <f>IF(Report[[#This Row],[FT]]="",,IF(Report[[#This Row],[FT]]=Report[[#This Row],[Score 3]],Suivi_Gain!$G$1*Report[[#This Row],[Cote SE]],-Suivi_Gain!$G$1))</f>
        <v>-1</v>
      </c>
      <c r="AB218" s="65">
        <f>IF(Report[[#This Row],[FT]]="",,IF(Report[[#This Row],[FT]]=Report[[#This Row],[Score 4]],Suivi_Gain!$G$1*Report[[#This Row],[Cote SE]],-Suivi_Gain!$G$1))</f>
        <v>-1</v>
      </c>
      <c r="AC218" s="64" t="str">
        <f>IF(Report[[#This Row],[Résultats SE]]="Gagné",Report[[#This Row],[FT]],"")</f>
        <v/>
      </c>
      <c r="AD218" s="64" t="str">
        <f>IF(AND(Report[[#This Row],[Résultats SE]]="Gagné",Report[[#This Row],[FT]]=Report[[#This Row],[Score 1]]),Report[[#This Row],[FT]],"")</f>
        <v/>
      </c>
      <c r="AE218" s="64" t="str">
        <f>IF(AND(Report[[#This Row],[Résultats SE]]="Gagné",Report[[#This Row],[FT]]=Report[[#This Row],[Score 2]]),Report[[#This Row],[FT]],"")</f>
        <v/>
      </c>
      <c r="AF218" s="64" t="str">
        <f>IF(AND(Report[[#This Row],[Résultats SE]]="Gagné",Report[[#This Row],[FT]]=Report[[#This Row],[Score 3]]),Report[[#This Row],[FT]],"")</f>
        <v/>
      </c>
      <c r="AG218" s="64" t="str">
        <f>IF(AND(Report[[#This Row],[Résultats SE]]="Gagné",Report[[#This Row],[FT]]=Report[[#This Row],[Score 4]]),Report[[#This Row],[FT]],"")</f>
        <v/>
      </c>
    </row>
    <row r="219" spans="1:33" ht="20.100000000000001" customHeight="1" x14ac:dyDescent="0.25">
      <c r="A219" s="11">
        <v>43428</v>
      </c>
      <c r="B219" s="7" t="s">
        <v>81</v>
      </c>
      <c r="C219" s="7" t="s">
        <v>108</v>
      </c>
      <c r="D219" s="10" t="s">
        <v>677</v>
      </c>
      <c r="E219" s="10" t="s">
        <v>671</v>
      </c>
      <c r="F219" s="7" t="s">
        <v>861</v>
      </c>
      <c r="G219" s="8" t="s">
        <v>831</v>
      </c>
      <c r="H219" s="9" t="s">
        <v>830</v>
      </c>
      <c r="I219" s="9" t="s">
        <v>832</v>
      </c>
      <c r="J219" s="9" t="s">
        <v>826</v>
      </c>
      <c r="K219" s="9" t="s">
        <v>677</v>
      </c>
      <c r="L219" s="16">
        <v>1.22</v>
      </c>
      <c r="M219" s="16" t="str">
        <f>IF(Report[[#This Row],[Résultat FT]]="","",IF(Report[[#This Row],[Résultats SE]]="Gagné","","-"))</f>
        <v>-</v>
      </c>
      <c r="N219" s="17" t="s">
        <v>853</v>
      </c>
      <c r="O219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Glenavon</v>
      </c>
      <c r="P219" s="18">
        <f>IF(Report[[#This Row],[FT]]="",,(LEFT(Report[[#This Row],[FT]],SEARCH("-",Report[[#This Row],[FT]])-1)*1))</f>
        <v>3</v>
      </c>
      <c r="Q219" s="22">
        <f>IF(Report[[#This Row],[FT]]="",,(RIGHT(Report[[#This Row],[FT]],SEARCH("-",Report[[#This Row],[FT]])-1)*1))</f>
        <v>1</v>
      </c>
      <c r="R219" s="18" t="str">
        <f>IF(Report[Résultat FT]="","",IF(Report[Résultat FT]=Report[Résultats],"Gagné","Perdu"))</f>
        <v>Gagné</v>
      </c>
      <c r="S219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19" s="53">
        <f>IF(Report[[#This Row],[FT]]="","",IF(Report[[#This Row],[FT]]=Report[[#This Row],[Score 1]],1,0))</f>
        <v>0</v>
      </c>
      <c r="U219" s="53">
        <f>IF(Report[[#This Row],[FT]]="","",IF(Report[ [#This Row],[FT] ]=Report[[#This Row],[Score 2]],1,0))</f>
        <v>0</v>
      </c>
      <c r="V219" s="53">
        <f>IF(Report[[#This Row],[FT]]="","",IF(Report[[#This Row],[FT]]=Report[[#This Row],[Score 3]],1,0))</f>
        <v>0</v>
      </c>
      <c r="W219" s="53">
        <f>IF(Report[[#This Row],[FT]]="","",IF(Report[[#This Row],[FT]]=Report[[#This Row],[Score 4]],1,0))</f>
        <v>0</v>
      </c>
      <c r="X219" s="66">
        <f>IF(Report[[#This Row],[Résultat FT]]="",,IF(Report[[#This Row],[Résultat FT]]=Report[[#This Row],[Résultats]],(Suivi_Gain!$B$1*Report[[#This Row],[Cote FT]])-Suivi_Gain!$B$1,-Suivi_Gain!$B$1))</f>
        <v>0.21999999999999997</v>
      </c>
      <c r="Y219" s="94">
        <f>IF(Report[[#This Row],[FT]]="",,IF(Report[[#This Row],[FT]]=Report[[#This Row],[Score 1]],(Suivi_Gain!$G$1*Report[[#This Row],[Cote SE]])-Suivi_Gain!$G$1,-Suivi_Gain!$G$1))</f>
        <v>-1</v>
      </c>
      <c r="Z219" s="65">
        <f>IF(Report[[#This Row],[FT]]="",,IF(Report[[#This Row],[FT]]=Report[[#This Row],[Score 2]],Suivi_Gain!$G$1*Report[[#This Row],[Cote SE]],-Suivi_Gain!$G$1))</f>
        <v>-1</v>
      </c>
      <c r="AA219" s="65">
        <f>IF(Report[[#This Row],[FT]]="",,IF(Report[[#This Row],[FT]]=Report[[#This Row],[Score 3]],Suivi_Gain!$G$1*Report[[#This Row],[Cote SE]],-Suivi_Gain!$G$1))</f>
        <v>-1</v>
      </c>
      <c r="AB219" s="65">
        <f>IF(Report[[#This Row],[FT]]="",,IF(Report[[#This Row],[FT]]=Report[[#This Row],[Score 4]],Suivi_Gain!$G$1*Report[[#This Row],[Cote SE]],-Suivi_Gain!$G$1))</f>
        <v>-1</v>
      </c>
      <c r="AC219" s="64" t="str">
        <f>IF(Report[[#This Row],[Résultats SE]]="Gagné",Report[[#This Row],[FT]],"")</f>
        <v/>
      </c>
      <c r="AD219" s="64" t="str">
        <f>IF(AND(Report[[#This Row],[Résultats SE]]="Gagné",Report[[#This Row],[FT]]=Report[[#This Row],[Score 1]]),Report[[#This Row],[FT]],"")</f>
        <v/>
      </c>
      <c r="AE219" s="64" t="str">
        <f>IF(AND(Report[[#This Row],[Résultats SE]]="Gagné",Report[[#This Row],[FT]]=Report[[#This Row],[Score 2]]),Report[[#This Row],[FT]],"")</f>
        <v/>
      </c>
      <c r="AF219" s="64" t="str">
        <f>IF(AND(Report[[#This Row],[Résultats SE]]="Gagné",Report[[#This Row],[FT]]=Report[[#This Row],[Score 3]]),Report[[#This Row],[FT]],"")</f>
        <v/>
      </c>
      <c r="AG219" s="64" t="str">
        <f>IF(AND(Report[[#This Row],[Résultats SE]]="Gagné",Report[[#This Row],[FT]]=Report[[#This Row],[Score 4]]),Report[[#This Row],[FT]],"")</f>
        <v/>
      </c>
    </row>
    <row r="220" spans="1:33" ht="20.100000000000001" customHeight="1" x14ac:dyDescent="0.25">
      <c r="A220" s="11">
        <v>43428</v>
      </c>
      <c r="B220" s="7" t="s">
        <v>81</v>
      </c>
      <c r="C220" s="7" t="s">
        <v>108</v>
      </c>
      <c r="D220" s="10" t="s">
        <v>680</v>
      </c>
      <c r="E220" s="10" t="s">
        <v>673</v>
      </c>
      <c r="F220" s="7" t="s">
        <v>829</v>
      </c>
      <c r="G220" s="8" t="s">
        <v>830</v>
      </c>
      <c r="H220" s="9" t="s">
        <v>826</v>
      </c>
      <c r="I220" s="9" t="s">
        <v>831</v>
      </c>
      <c r="J220" s="9" t="s">
        <v>832</v>
      </c>
      <c r="K220" s="9" t="s">
        <v>680</v>
      </c>
      <c r="L220" s="16">
        <v>1.68</v>
      </c>
      <c r="M220" s="16" t="str">
        <f>IF(Report[[#This Row],[Résultat FT]]="","",IF(Report[[#This Row],[Résultats SE]]="Gagné","","-"))</f>
        <v>-</v>
      </c>
      <c r="N220" s="17" t="s">
        <v>921</v>
      </c>
      <c r="O220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Linfield</v>
      </c>
      <c r="P220" s="18">
        <f>IF(Report[[#This Row],[FT]]="",,(LEFT(Report[[#This Row],[FT]],SEARCH("-",Report[[#This Row],[FT]])-1)*1))</f>
        <v>4</v>
      </c>
      <c r="Q220" s="22">
        <f>IF(Report[[#This Row],[FT]]="",,(RIGHT(Report[[#This Row],[FT]],SEARCH("-",Report[[#This Row],[FT]])-1)*1))</f>
        <v>2</v>
      </c>
      <c r="R220" s="18" t="str">
        <f>IF(Report[Résultat FT]="","",IF(Report[Résultat FT]=Report[Résultats],"Gagné","Perdu"))</f>
        <v>Gagné</v>
      </c>
      <c r="S220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20" s="53">
        <f>IF(Report[[#This Row],[FT]]="","",IF(Report[[#This Row],[FT]]=Report[[#This Row],[Score 1]],1,0))</f>
        <v>0</v>
      </c>
      <c r="U220" s="53">
        <f>IF(Report[[#This Row],[FT]]="","",IF(Report[ [#This Row],[FT] ]=Report[[#This Row],[Score 2]],1,0))</f>
        <v>0</v>
      </c>
      <c r="V220" s="53">
        <f>IF(Report[[#This Row],[FT]]="","",IF(Report[[#This Row],[FT]]=Report[[#This Row],[Score 3]],1,0))</f>
        <v>0</v>
      </c>
      <c r="W220" s="53">
        <f>IF(Report[[#This Row],[FT]]="","",IF(Report[[#This Row],[FT]]=Report[[#This Row],[Score 4]],1,0))</f>
        <v>0</v>
      </c>
      <c r="X220" s="66">
        <f>IF(Report[[#This Row],[Résultat FT]]="",,IF(Report[[#This Row],[Résultat FT]]=Report[[#This Row],[Résultats]],(Suivi_Gain!$B$1*Report[[#This Row],[Cote FT]])-Suivi_Gain!$B$1,-Suivi_Gain!$B$1))</f>
        <v>0.67999999999999994</v>
      </c>
      <c r="Y220" s="94">
        <f>IF(Report[[#This Row],[FT]]="",,IF(Report[[#This Row],[FT]]=Report[[#This Row],[Score 1]],(Suivi_Gain!$G$1*Report[[#This Row],[Cote SE]])-Suivi_Gain!$G$1,-Suivi_Gain!$G$1))</f>
        <v>-1</v>
      </c>
      <c r="Z220" s="65">
        <f>IF(Report[[#This Row],[FT]]="",,IF(Report[[#This Row],[FT]]=Report[[#This Row],[Score 2]],Suivi_Gain!$G$1*Report[[#This Row],[Cote SE]],-Suivi_Gain!$G$1))</f>
        <v>-1</v>
      </c>
      <c r="AA220" s="65">
        <f>IF(Report[[#This Row],[FT]]="",,IF(Report[[#This Row],[FT]]=Report[[#This Row],[Score 3]],Suivi_Gain!$G$1*Report[[#This Row],[Cote SE]],-Suivi_Gain!$G$1))</f>
        <v>-1</v>
      </c>
      <c r="AB220" s="65">
        <f>IF(Report[[#This Row],[FT]]="",,IF(Report[[#This Row],[FT]]=Report[[#This Row],[Score 4]],Suivi_Gain!$G$1*Report[[#This Row],[Cote SE]],-Suivi_Gain!$G$1))</f>
        <v>-1</v>
      </c>
      <c r="AC220" s="64" t="str">
        <f>IF(Report[[#This Row],[Résultats SE]]="Gagné",Report[[#This Row],[FT]],"")</f>
        <v/>
      </c>
      <c r="AD220" s="64" t="str">
        <f>IF(AND(Report[[#This Row],[Résultats SE]]="Gagné",Report[[#This Row],[FT]]=Report[[#This Row],[Score 1]]),Report[[#This Row],[FT]],"")</f>
        <v/>
      </c>
      <c r="AE220" s="64" t="str">
        <f>IF(AND(Report[[#This Row],[Résultats SE]]="Gagné",Report[[#This Row],[FT]]=Report[[#This Row],[Score 2]]),Report[[#This Row],[FT]],"")</f>
        <v/>
      </c>
      <c r="AF220" s="64" t="str">
        <f>IF(AND(Report[[#This Row],[Résultats SE]]="Gagné",Report[[#This Row],[FT]]=Report[[#This Row],[Score 3]]),Report[[#This Row],[FT]],"")</f>
        <v/>
      </c>
      <c r="AG220" s="64" t="str">
        <f>IF(AND(Report[[#This Row],[Résultats SE]]="Gagné",Report[[#This Row],[FT]]=Report[[#This Row],[Score 4]]),Report[[#This Row],[FT]],"")</f>
        <v/>
      </c>
    </row>
    <row r="221" spans="1:33" ht="20.100000000000001" customHeight="1" x14ac:dyDescent="0.25">
      <c r="A221" s="11">
        <v>43428</v>
      </c>
      <c r="B221" s="7" t="s">
        <v>81</v>
      </c>
      <c r="C221" s="7" t="s">
        <v>108</v>
      </c>
      <c r="D221" s="10" t="s">
        <v>682</v>
      </c>
      <c r="E221" s="10" t="s">
        <v>674</v>
      </c>
      <c r="F221" s="7" t="s">
        <v>835</v>
      </c>
      <c r="G221" s="8" t="s">
        <v>827</v>
      </c>
      <c r="H221" s="9" t="s">
        <v>825</v>
      </c>
      <c r="I221" s="9" t="s">
        <v>828</v>
      </c>
      <c r="J221" s="9" t="s">
        <v>826</v>
      </c>
      <c r="K221" s="9" t="s">
        <v>674</v>
      </c>
      <c r="L221" s="16" t="str">
        <f>IF(Report[Résultat FT]="","",IF(Report[Résultat FT]=Report[Résultats],"","-"))</f>
        <v>-</v>
      </c>
      <c r="M221" s="16" t="str">
        <f>IF(Report[[#This Row],[Résultat FT]]="","",IF(Report[[#This Row],[Résultats SE]]="Gagné","","-"))</f>
        <v>-</v>
      </c>
      <c r="N221" s="17" t="s">
        <v>838</v>
      </c>
      <c r="O221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Warrenpoint</v>
      </c>
      <c r="P221" s="18">
        <f>IF(Report[[#This Row],[FT]]="",,(LEFT(Report[[#This Row],[FT]],SEARCH("-",Report[[#This Row],[FT]])-1)*1))</f>
        <v>2</v>
      </c>
      <c r="Q221" s="22">
        <f>IF(Report[[#This Row],[FT]]="",,(RIGHT(Report[[#This Row],[FT]],SEARCH("-",Report[[#This Row],[FT]])-1)*1))</f>
        <v>1</v>
      </c>
      <c r="R221" s="18" t="str">
        <f>IF(Report[Résultat FT]="","",IF(Report[Résultat FT]=Report[Résultats],"Gagné","Perdu"))</f>
        <v>Perdu</v>
      </c>
      <c r="S221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21" s="53">
        <f>IF(Report[[#This Row],[FT]]="","",IF(Report[[#This Row],[FT]]=Report[[#This Row],[Score 1]],1,0))</f>
        <v>0</v>
      </c>
      <c r="U221" s="53">
        <f>IF(Report[[#This Row],[FT]]="","",IF(Report[ [#This Row],[FT] ]=Report[[#This Row],[Score 2]],1,0))</f>
        <v>0</v>
      </c>
      <c r="V221" s="53">
        <f>IF(Report[[#This Row],[FT]]="","",IF(Report[[#This Row],[FT]]=Report[[#This Row],[Score 3]],1,0))</f>
        <v>0</v>
      </c>
      <c r="W221" s="53">
        <f>IF(Report[[#This Row],[FT]]="","",IF(Report[[#This Row],[FT]]=Report[[#This Row],[Score 4]],1,0))</f>
        <v>0</v>
      </c>
      <c r="X221" s="66">
        <f>IF(Report[[#This Row],[Résultat FT]]="",,IF(Report[[#This Row],[Résultat FT]]=Report[[#This Row],[Résultats]],(Suivi_Gain!$B$1*Report[[#This Row],[Cote FT]])-Suivi_Gain!$B$1,-Suivi_Gain!$B$1))</f>
        <v>-1</v>
      </c>
      <c r="Y221" s="94">
        <f>IF(Report[[#This Row],[FT]]="",,IF(Report[[#This Row],[FT]]=Report[[#This Row],[Score 1]],(Suivi_Gain!$G$1*Report[[#This Row],[Cote SE]])-Suivi_Gain!$G$1,-Suivi_Gain!$G$1))</f>
        <v>-1</v>
      </c>
      <c r="Z221" s="65">
        <f>IF(Report[[#This Row],[FT]]="",,IF(Report[[#This Row],[FT]]=Report[[#This Row],[Score 2]],Suivi_Gain!$G$1*Report[[#This Row],[Cote SE]],-Suivi_Gain!$G$1))</f>
        <v>-1</v>
      </c>
      <c r="AA221" s="65">
        <f>IF(Report[[#This Row],[FT]]="",,IF(Report[[#This Row],[FT]]=Report[[#This Row],[Score 3]],Suivi_Gain!$G$1*Report[[#This Row],[Cote SE]],-Suivi_Gain!$G$1))</f>
        <v>-1</v>
      </c>
      <c r="AB221" s="65">
        <f>IF(Report[[#This Row],[FT]]="",,IF(Report[[#This Row],[FT]]=Report[[#This Row],[Score 4]],Suivi_Gain!$G$1*Report[[#This Row],[Cote SE]],-Suivi_Gain!$G$1))</f>
        <v>-1</v>
      </c>
      <c r="AC221" s="64" t="str">
        <f>IF(Report[[#This Row],[Résultats SE]]="Gagné",Report[[#This Row],[FT]],"")</f>
        <v/>
      </c>
      <c r="AD221" s="64" t="str">
        <f>IF(AND(Report[[#This Row],[Résultats SE]]="Gagné",Report[[#This Row],[FT]]=Report[[#This Row],[Score 1]]),Report[[#This Row],[FT]],"")</f>
        <v/>
      </c>
      <c r="AE221" s="64" t="str">
        <f>IF(AND(Report[[#This Row],[Résultats SE]]="Gagné",Report[[#This Row],[FT]]=Report[[#This Row],[Score 2]]),Report[[#This Row],[FT]],"")</f>
        <v/>
      </c>
      <c r="AF221" s="64" t="str">
        <f>IF(AND(Report[[#This Row],[Résultats SE]]="Gagné",Report[[#This Row],[FT]]=Report[[#This Row],[Score 3]]),Report[[#This Row],[FT]],"")</f>
        <v/>
      </c>
      <c r="AG221" s="64" t="str">
        <f>IF(AND(Report[[#This Row],[Résultats SE]]="Gagné",Report[[#This Row],[FT]]=Report[[#This Row],[Score 4]]),Report[[#This Row],[FT]],"")</f>
        <v/>
      </c>
    </row>
    <row r="222" spans="1:33" ht="20.100000000000001" customHeight="1" x14ac:dyDescent="0.25">
      <c r="A222" s="11">
        <v>43428</v>
      </c>
      <c r="B222" s="7" t="s">
        <v>69</v>
      </c>
      <c r="C222" s="7" t="s">
        <v>105</v>
      </c>
      <c r="D222" s="10" t="s">
        <v>493</v>
      </c>
      <c r="E222" s="10" t="s">
        <v>475</v>
      </c>
      <c r="F222" s="7" t="s">
        <v>835</v>
      </c>
      <c r="G222" s="8" t="s">
        <v>827</v>
      </c>
      <c r="H222" s="9" t="s">
        <v>825</v>
      </c>
      <c r="I222" s="9" t="s">
        <v>828</v>
      </c>
      <c r="J222" s="9" t="s">
        <v>826</v>
      </c>
      <c r="K222" s="9" t="s">
        <v>475</v>
      </c>
      <c r="L222" s="16" t="str">
        <f>IF(Report[Résultat FT]="","",IF(Report[Résultat FT]=Report[Résultats],"","-"))</f>
        <v>-</v>
      </c>
      <c r="M222" s="16" t="str">
        <f>IF(Report[[#This Row],[Résultat FT]]="","",IF(Report[[#This Row],[Résultats SE]]="Gagné","","-"))</f>
        <v>-</v>
      </c>
      <c r="N222" s="17" t="s">
        <v>830</v>
      </c>
      <c r="O222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Udinese</v>
      </c>
      <c r="P222" s="18">
        <f>IF(Report[[#This Row],[FT]]="",,(LEFT(Report[[#This Row],[FT]],SEARCH("-",Report[[#This Row],[FT]])-1)*1))</f>
        <v>1</v>
      </c>
      <c r="Q222" s="22">
        <f>IF(Report[[#This Row],[FT]]="",,(RIGHT(Report[[#This Row],[FT]],SEARCH("-",Report[[#This Row],[FT]])-1)*1))</f>
        <v>0</v>
      </c>
      <c r="R222" s="18" t="str">
        <f>IF(Report[Résultat FT]="","",IF(Report[Résultat FT]=Report[Résultats],"Gagné","Perdu"))</f>
        <v>Perdu</v>
      </c>
      <c r="S222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22" s="53">
        <f>IF(Report[[#This Row],[FT]]="","",IF(Report[[#This Row],[FT]]=Report[[#This Row],[Score 1]],1,0))</f>
        <v>0</v>
      </c>
      <c r="U222" s="53">
        <f>IF(Report[[#This Row],[FT]]="","",IF(Report[ [#This Row],[FT] ]=Report[[#This Row],[Score 2]],1,0))</f>
        <v>0</v>
      </c>
      <c r="V222" s="53">
        <f>IF(Report[[#This Row],[FT]]="","",IF(Report[[#This Row],[FT]]=Report[[#This Row],[Score 3]],1,0))</f>
        <v>0</v>
      </c>
      <c r="W222" s="53">
        <f>IF(Report[[#This Row],[FT]]="","",IF(Report[[#This Row],[FT]]=Report[[#This Row],[Score 4]],1,0))</f>
        <v>0</v>
      </c>
      <c r="X222" s="66">
        <f>IF(Report[[#This Row],[Résultat FT]]="",,IF(Report[[#This Row],[Résultat FT]]=Report[[#This Row],[Résultats]],(Suivi_Gain!$B$1*Report[[#This Row],[Cote FT]])-Suivi_Gain!$B$1,-Suivi_Gain!$B$1))</f>
        <v>-1</v>
      </c>
      <c r="Y222" s="94">
        <f>IF(Report[[#This Row],[FT]]="",,IF(Report[[#This Row],[FT]]=Report[[#This Row],[Score 1]],(Suivi_Gain!$G$1*Report[[#This Row],[Cote SE]])-Suivi_Gain!$G$1,-Suivi_Gain!$G$1))</f>
        <v>-1</v>
      </c>
      <c r="Z222" s="65">
        <f>IF(Report[[#This Row],[FT]]="",,IF(Report[[#This Row],[FT]]=Report[[#This Row],[Score 2]],Suivi_Gain!$G$1*Report[[#This Row],[Cote SE]],-Suivi_Gain!$G$1))</f>
        <v>-1</v>
      </c>
      <c r="AA222" s="65">
        <f>IF(Report[[#This Row],[FT]]="",,IF(Report[[#This Row],[FT]]=Report[[#This Row],[Score 3]],Suivi_Gain!$G$1*Report[[#This Row],[Cote SE]],-Suivi_Gain!$G$1))</f>
        <v>-1</v>
      </c>
      <c r="AB222" s="65">
        <f>IF(Report[[#This Row],[FT]]="",,IF(Report[[#This Row],[FT]]=Report[[#This Row],[Score 4]],Suivi_Gain!$G$1*Report[[#This Row],[Cote SE]],-Suivi_Gain!$G$1))</f>
        <v>-1</v>
      </c>
      <c r="AC222" s="64" t="str">
        <f>IF(Report[[#This Row],[Résultats SE]]="Gagné",Report[[#This Row],[FT]],"")</f>
        <v/>
      </c>
      <c r="AD222" s="64" t="str">
        <f>IF(AND(Report[[#This Row],[Résultats SE]]="Gagné",Report[[#This Row],[FT]]=Report[[#This Row],[Score 1]]),Report[[#This Row],[FT]],"")</f>
        <v/>
      </c>
      <c r="AE222" s="64" t="str">
        <f>IF(AND(Report[[#This Row],[Résultats SE]]="Gagné",Report[[#This Row],[FT]]=Report[[#This Row],[Score 2]]),Report[[#This Row],[FT]],"")</f>
        <v/>
      </c>
      <c r="AF222" s="64" t="str">
        <f>IF(AND(Report[[#This Row],[Résultats SE]]="Gagné",Report[[#This Row],[FT]]=Report[[#This Row],[Score 3]]),Report[[#This Row],[FT]],"")</f>
        <v/>
      </c>
      <c r="AG222" s="64" t="str">
        <f>IF(AND(Report[[#This Row],[Résultats SE]]="Gagné",Report[[#This Row],[FT]]=Report[[#This Row],[Score 4]]),Report[[#This Row],[FT]],"")</f>
        <v/>
      </c>
    </row>
    <row r="223" spans="1:33" ht="20.100000000000001" customHeight="1" x14ac:dyDescent="0.25">
      <c r="A223" s="11">
        <v>43428</v>
      </c>
      <c r="B223" s="7" t="s">
        <v>69</v>
      </c>
      <c r="C223" s="7" t="s">
        <v>105</v>
      </c>
      <c r="D223" s="10" t="s">
        <v>485</v>
      </c>
      <c r="E223" s="10" t="s">
        <v>491</v>
      </c>
      <c r="F223" s="7" t="s">
        <v>861</v>
      </c>
      <c r="G223" s="8" t="s">
        <v>831</v>
      </c>
      <c r="H223" s="9" t="s">
        <v>830</v>
      </c>
      <c r="I223" s="9" t="s">
        <v>832</v>
      </c>
      <c r="J223" s="9" t="s">
        <v>826</v>
      </c>
      <c r="K223" s="9" t="s">
        <v>485</v>
      </c>
      <c r="L223" s="16">
        <v>1.1499999999999999</v>
      </c>
      <c r="M223" s="16">
        <v>6.1</v>
      </c>
      <c r="N223" s="17" t="s">
        <v>831</v>
      </c>
      <c r="O223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Juventus</v>
      </c>
      <c r="P223" s="18">
        <f>IF(Report[[#This Row],[FT]]="",,(LEFT(Report[[#This Row],[FT]],SEARCH("-",Report[[#This Row],[FT]])-1)*1))</f>
        <v>2</v>
      </c>
      <c r="Q223" s="22">
        <f>IF(Report[[#This Row],[FT]]="",,(RIGHT(Report[[#This Row],[FT]],SEARCH("-",Report[[#This Row],[FT]])-1)*1))</f>
        <v>0</v>
      </c>
      <c r="R223" s="18" t="str">
        <f>IF(Report[Résultat FT]="","",IF(Report[Résultat FT]=Report[Résultats],"Gagné","Perdu"))</f>
        <v>Gagné</v>
      </c>
      <c r="S223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223" s="53">
        <f>IF(Report[[#This Row],[FT]]="","",IF(Report[[#This Row],[FT]]=Report[[#This Row],[Score 1]],1,0))</f>
        <v>1</v>
      </c>
      <c r="U223" s="53">
        <f>IF(Report[[#This Row],[FT]]="","",IF(Report[ [#This Row],[FT] ]=Report[[#This Row],[Score 2]],1,0))</f>
        <v>0</v>
      </c>
      <c r="V223" s="53">
        <f>IF(Report[[#This Row],[FT]]="","",IF(Report[[#This Row],[FT]]=Report[[#This Row],[Score 3]],1,0))</f>
        <v>0</v>
      </c>
      <c r="W223" s="53">
        <f>IF(Report[[#This Row],[FT]]="","",IF(Report[[#This Row],[FT]]=Report[[#This Row],[Score 4]],1,0))</f>
        <v>0</v>
      </c>
      <c r="X223" s="66">
        <f>IF(Report[[#This Row],[Résultat FT]]="",,IF(Report[[#This Row],[Résultat FT]]=Report[[#This Row],[Résultats]],(Suivi_Gain!$B$1*Report[[#This Row],[Cote FT]])-Suivi_Gain!$B$1,-Suivi_Gain!$B$1))</f>
        <v>0.14999999999999991</v>
      </c>
      <c r="Y223" s="94">
        <f>IF(Report[[#This Row],[FT]]="",,IF(Report[[#This Row],[FT]]=Report[[#This Row],[Score 1]],(Suivi_Gain!$G$1*Report[[#This Row],[Cote SE]])-Suivi_Gain!$G$1,-Suivi_Gain!$G$1))</f>
        <v>5.0999999999999996</v>
      </c>
      <c r="Z223" s="65">
        <f>IF(Report[[#This Row],[FT]]="",,IF(Report[[#This Row],[FT]]=Report[[#This Row],[Score 2]],Suivi_Gain!$G$1*Report[[#This Row],[Cote SE]],-Suivi_Gain!$G$1))</f>
        <v>-1</v>
      </c>
      <c r="AA223" s="65">
        <f>IF(Report[[#This Row],[FT]]="",,IF(Report[[#This Row],[FT]]=Report[[#This Row],[Score 3]],Suivi_Gain!$G$1*Report[[#This Row],[Cote SE]],-Suivi_Gain!$G$1))</f>
        <v>-1</v>
      </c>
      <c r="AB223" s="65">
        <f>IF(Report[[#This Row],[FT]]="",,IF(Report[[#This Row],[FT]]=Report[[#This Row],[Score 4]],Suivi_Gain!$G$1*Report[[#This Row],[Cote SE]],-Suivi_Gain!$G$1))</f>
        <v>-1</v>
      </c>
      <c r="AC223" s="64" t="str">
        <f>IF(Report[[#This Row],[Résultats SE]]="Gagné",Report[[#This Row],[FT]],"")</f>
        <v>2-0</v>
      </c>
      <c r="AD223" s="64" t="str">
        <f>IF(AND(Report[[#This Row],[Résultats SE]]="Gagné",Report[[#This Row],[FT]]=Report[[#This Row],[Score 1]]),Report[[#This Row],[FT]],"")</f>
        <v>2-0</v>
      </c>
      <c r="AE223" s="64" t="str">
        <f>IF(AND(Report[[#This Row],[Résultats SE]]="Gagné",Report[[#This Row],[FT]]=Report[[#This Row],[Score 2]]),Report[[#This Row],[FT]],"")</f>
        <v/>
      </c>
      <c r="AF223" s="64" t="str">
        <f>IF(AND(Report[[#This Row],[Résultats SE]]="Gagné",Report[[#This Row],[FT]]=Report[[#This Row],[Score 3]]),Report[[#This Row],[FT]],"")</f>
        <v/>
      </c>
      <c r="AG223" s="64" t="str">
        <f>IF(AND(Report[[#This Row],[Résultats SE]]="Gagné",Report[[#This Row],[FT]]=Report[[#This Row],[Score 4]]),Report[[#This Row],[FT]],"")</f>
        <v/>
      </c>
    </row>
    <row r="224" spans="1:33" ht="20.100000000000001" customHeight="1" x14ac:dyDescent="0.25">
      <c r="A224" s="11">
        <v>43428</v>
      </c>
      <c r="B224" s="7" t="s">
        <v>69</v>
      </c>
      <c r="C224" s="7" t="s">
        <v>105</v>
      </c>
      <c r="D224" s="10" t="s">
        <v>484</v>
      </c>
      <c r="E224" s="10" t="s">
        <v>482</v>
      </c>
      <c r="F224" s="7" t="s">
        <v>876</v>
      </c>
      <c r="G224" s="8" t="s">
        <v>832</v>
      </c>
      <c r="H224" s="9" t="s">
        <v>831</v>
      </c>
      <c r="I224" s="9" t="s">
        <v>859</v>
      </c>
      <c r="J224" s="9" t="s">
        <v>830</v>
      </c>
      <c r="K224" s="9" t="s">
        <v>484</v>
      </c>
      <c r="L224" s="16">
        <v>1.26</v>
      </c>
      <c r="M224" s="16">
        <v>7.5</v>
      </c>
      <c r="N224" s="17" t="s">
        <v>832</v>
      </c>
      <c r="O224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Inter</v>
      </c>
      <c r="P224" s="18">
        <f>IF(Report[[#This Row],[FT]]="",,(LEFT(Report[[#This Row],[FT]],SEARCH("-",Report[[#This Row],[FT]])-1)*1))</f>
        <v>3</v>
      </c>
      <c r="Q224" s="22">
        <f>IF(Report[[#This Row],[FT]]="",,(RIGHT(Report[[#This Row],[FT]],SEARCH("-",Report[[#This Row],[FT]])-1)*1))</f>
        <v>0</v>
      </c>
      <c r="R224" s="18" t="str">
        <f>IF(Report[Résultat FT]="","",IF(Report[Résultat FT]=Report[Résultats],"Gagné","Perdu"))</f>
        <v>Gagné</v>
      </c>
      <c r="S224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224" s="53">
        <f>IF(Report[[#This Row],[FT]]="","",IF(Report[[#This Row],[FT]]=Report[[#This Row],[Score 1]],1,0))</f>
        <v>1</v>
      </c>
      <c r="U224" s="53">
        <f>IF(Report[[#This Row],[FT]]="","",IF(Report[ [#This Row],[FT] ]=Report[[#This Row],[Score 2]],1,0))</f>
        <v>0</v>
      </c>
      <c r="V224" s="53">
        <f>IF(Report[[#This Row],[FT]]="","",IF(Report[[#This Row],[FT]]=Report[[#This Row],[Score 3]],1,0))</f>
        <v>0</v>
      </c>
      <c r="W224" s="53">
        <f>IF(Report[[#This Row],[FT]]="","",IF(Report[[#This Row],[FT]]=Report[[#This Row],[Score 4]],1,0))</f>
        <v>0</v>
      </c>
      <c r="X224" s="66">
        <f>IF(Report[[#This Row],[Résultat FT]]="",,IF(Report[[#This Row],[Résultat FT]]=Report[[#This Row],[Résultats]],(Suivi_Gain!$B$1*Report[[#This Row],[Cote FT]])-Suivi_Gain!$B$1,-Suivi_Gain!$B$1))</f>
        <v>0.26</v>
      </c>
      <c r="Y224" s="94">
        <f>IF(Report[[#This Row],[FT]]="",,IF(Report[[#This Row],[FT]]=Report[[#This Row],[Score 1]],(Suivi_Gain!$G$1*Report[[#This Row],[Cote SE]])-Suivi_Gain!$G$1,-Suivi_Gain!$G$1))</f>
        <v>6.5</v>
      </c>
      <c r="Z224" s="65">
        <f>IF(Report[[#This Row],[FT]]="",,IF(Report[[#This Row],[FT]]=Report[[#This Row],[Score 2]],Suivi_Gain!$G$1*Report[[#This Row],[Cote SE]],-Suivi_Gain!$G$1))</f>
        <v>-1</v>
      </c>
      <c r="AA224" s="65">
        <f>IF(Report[[#This Row],[FT]]="",,IF(Report[[#This Row],[FT]]=Report[[#This Row],[Score 3]],Suivi_Gain!$G$1*Report[[#This Row],[Cote SE]],-Suivi_Gain!$G$1))</f>
        <v>-1</v>
      </c>
      <c r="AB224" s="65">
        <f>IF(Report[[#This Row],[FT]]="",,IF(Report[[#This Row],[FT]]=Report[[#This Row],[Score 4]],Suivi_Gain!$G$1*Report[[#This Row],[Cote SE]],-Suivi_Gain!$G$1))</f>
        <v>-1</v>
      </c>
      <c r="AC224" s="64" t="str">
        <f>IF(Report[[#This Row],[Résultats SE]]="Gagné",Report[[#This Row],[FT]],"")</f>
        <v>3-0</v>
      </c>
      <c r="AD224" s="64" t="str">
        <f>IF(AND(Report[[#This Row],[Résultats SE]]="Gagné",Report[[#This Row],[FT]]=Report[[#This Row],[Score 1]]),Report[[#This Row],[FT]],"")</f>
        <v>3-0</v>
      </c>
      <c r="AE224" s="64" t="str">
        <f>IF(AND(Report[[#This Row],[Résultats SE]]="Gagné",Report[[#This Row],[FT]]=Report[[#This Row],[Score 2]]),Report[[#This Row],[FT]],"")</f>
        <v/>
      </c>
      <c r="AF224" s="64" t="str">
        <f>IF(AND(Report[[#This Row],[Résultats SE]]="Gagné",Report[[#This Row],[FT]]=Report[[#This Row],[Score 3]]),Report[[#This Row],[FT]],"")</f>
        <v/>
      </c>
      <c r="AG224" s="64" t="str">
        <f>IF(AND(Report[[#This Row],[Résultats SE]]="Gagné",Report[[#This Row],[FT]]=Report[[#This Row],[Score 4]]),Report[[#This Row],[FT]],"")</f>
        <v/>
      </c>
    </row>
    <row r="225" spans="1:33" ht="20.100000000000001" customHeight="1" x14ac:dyDescent="0.25">
      <c r="A225" s="11">
        <v>43428</v>
      </c>
      <c r="B225" s="7" t="s">
        <v>69</v>
      </c>
      <c r="C225" s="7" t="s">
        <v>494</v>
      </c>
      <c r="D225" s="10" t="s">
        <v>506</v>
      </c>
      <c r="E225" s="10" t="s">
        <v>499</v>
      </c>
      <c r="F225" s="7" t="s">
        <v>824</v>
      </c>
      <c r="G225" s="8" t="s">
        <v>825</v>
      </c>
      <c r="H225" s="9" t="s">
        <v>826</v>
      </c>
      <c r="I225" s="9" t="s">
        <v>827</v>
      </c>
      <c r="J225" s="9" t="s">
        <v>828</v>
      </c>
      <c r="K225" s="9" t="s">
        <v>499</v>
      </c>
      <c r="L225" s="16" t="str">
        <f>IF(Report[Résultat FT]="","",IF(Report[Résultat FT]=Report[Résultats],"","-"))</f>
        <v>-</v>
      </c>
      <c r="M225" s="16">
        <v>8</v>
      </c>
      <c r="N225" s="17" t="s">
        <v>826</v>
      </c>
      <c r="O225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225" s="18">
        <f>IF(Report[[#This Row],[FT]]="",,(LEFT(Report[[#This Row],[FT]],SEARCH("-",Report[[#This Row],[FT]])-1)*1))</f>
        <v>0</v>
      </c>
      <c r="Q225" s="22">
        <f>IF(Report[[#This Row],[FT]]="",,(RIGHT(Report[[#This Row],[FT]],SEARCH("-",Report[[#This Row],[FT]])-1)*1))</f>
        <v>0</v>
      </c>
      <c r="R225" s="18" t="str">
        <f>IF(Report[Résultat FT]="","",IF(Report[Résultat FT]=Report[Résultats],"Gagné","Perdu"))</f>
        <v>Perdu</v>
      </c>
      <c r="S225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225" s="53">
        <f>IF(Report[[#This Row],[FT]]="","",IF(Report[[#This Row],[FT]]=Report[[#This Row],[Score 1]],1,0))</f>
        <v>0</v>
      </c>
      <c r="U225" s="53">
        <f>IF(Report[[#This Row],[FT]]="","",IF(Report[ [#This Row],[FT] ]=Report[[#This Row],[Score 2]],1,0))</f>
        <v>1</v>
      </c>
      <c r="V225" s="53">
        <f>IF(Report[[#This Row],[FT]]="","",IF(Report[[#This Row],[FT]]=Report[[#This Row],[Score 3]],1,0))</f>
        <v>0</v>
      </c>
      <c r="W225" s="53">
        <f>IF(Report[[#This Row],[FT]]="","",IF(Report[[#This Row],[FT]]=Report[[#This Row],[Score 4]],1,0))</f>
        <v>0</v>
      </c>
      <c r="X225" s="66">
        <f>IF(Report[[#This Row],[Résultat FT]]="",,IF(Report[[#This Row],[Résultat FT]]=Report[[#This Row],[Résultats]],(Suivi_Gain!$B$1*Report[[#This Row],[Cote FT]])-Suivi_Gain!$B$1,-Suivi_Gain!$B$1))</f>
        <v>-1</v>
      </c>
      <c r="Y225" s="94">
        <f>IF(Report[[#This Row],[FT]]="",,IF(Report[[#This Row],[FT]]=Report[[#This Row],[Score 1]],(Suivi_Gain!$G$1*Report[[#This Row],[Cote SE]])-Suivi_Gain!$G$1,-Suivi_Gain!$G$1))</f>
        <v>-1</v>
      </c>
      <c r="Z225" s="65">
        <f>IF(Report[[#This Row],[FT]]="",,IF(Report[[#This Row],[FT]]=Report[[#This Row],[Score 2]],Suivi_Gain!$G$1*Report[[#This Row],[Cote SE]],-Suivi_Gain!$G$1))</f>
        <v>8</v>
      </c>
      <c r="AA225" s="65">
        <f>IF(Report[[#This Row],[FT]]="",,IF(Report[[#This Row],[FT]]=Report[[#This Row],[Score 3]],Suivi_Gain!$G$1*Report[[#This Row],[Cote SE]],-Suivi_Gain!$G$1))</f>
        <v>-1</v>
      </c>
      <c r="AB225" s="65">
        <f>IF(Report[[#This Row],[FT]]="",,IF(Report[[#This Row],[FT]]=Report[[#This Row],[Score 4]],Suivi_Gain!$G$1*Report[[#This Row],[Cote SE]],-Suivi_Gain!$G$1))</f>
        <v>-1</v>
      </c>
      <c r="AC225" s="64" t="str">
        <f>IF(Report[[#This Row],[Résultats SE]]="Gagné",Report[[#This Row],[FT]],"")</f>
        <v>0-0</v>
      </c>
      <c r="AD225" s="64" t="str">
        <f>IF(AND(Report[[#This Row],[Résultats SE]]="Gagné",Report[[#This Row],[FT]]=Report[[#This Row],[Score 1]]),Report[[#This Row],[FT]],"")</f>
        <v/>
      </c>
      <c r="AE225" s="64" t="str">
        <f>IF(AND(Report[[#This Row],[Résultats SE]]="Gagné",Report[[#This Row],[FT]]=Report[[#This Row],[Score 2]]),Report[[#This Row],[FT]],"")</f>
        <v>0-0</v>
      </c>
      <c r="AF225" s="64" t="str">
        <f>IF(AND(Report[[#This Row],[Résultats SE]]="Gagné",Report[[#This Row],[FT]]=Report[[#This Row],[Score 3]]),Report[[#This Row],[FT]],"")</f>
        <v/>
      </c>
      <c r="AG225" s="64" t="str">
        <f>IF(AND(Report[[#This Row],[Résultats SE]]="Gagné",Report[[#This Row],[FT]]=Report[[#This Row],[Score 4]]),Report[[#This Row],[FT]],"")</f>
        <v/>
      </c>
    </row>
    <row r="226" spans="1:33" ht="20.100000000000001" customHeight="1" x14ac:dyDescent="0.25">
      <c r="A226" s="11">
        <v>43428</v>
      </c>
      <c r="B226" s="7" t="s">
        <v>69</v>
      </c>
      <c r="C226" s="7" t="s">
        <v>494</v>
      </c>
      <c r="D226" s="10" t="s">
        <v>507</v>
      </c>
      <c r="E226" s="10" t="s">
        <v>498</v>
      </c>
      <c r="F226" s="7" t="s">
        <v>833</v>
      </c>
      <c r="G226" s="8" t="s">
        <v>834</v>
      </c>
      <c r="H226" s="9" t="s">
        <v>830</v>
      </c>
      <c r="I226" s="9" t="s">
        <v>825</v>
      </c>
      <c r="J226" s="9" t="s">
        <v>826</v>
      </c>
      <c r="K226" s="9" t="s">
        <v>233</v>
      </c>
      <c r="L226" s="16" t="str">
        <f>IF(Report[Résultat FT]="","",IF(Report[Résultat FT]=Report[Résultats],"","-"))</f>
        <v>-</v>
      </c>
      <c r="M226" s="16">
        <v>9.5</v>
      </c>
      <c r="N226" s="17" t="s">
        <v>825</v>
      </c>
      <c r="O226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Carpi</v>
      </c>
      <c r="P226" s="18">
        <f>IF(Report[[#This Row],[FT]]="",,(LEFT(Report[[#This Row],[FT]],SEARCH("-",Report[[#This Row],[FT]])-1)*1))</f>
        <v>0</v>
      </c>
      <c r="Q226" s="22">
        <f>IF(Report[[#This Row],[FT]]="",,(RIGHT(Report[[#This Row],[FT]],SEARCH("-",Report[[#This Row],[FT]])-1)*1))</f>
        <v>1</v>
      </c>
      <c r="R226" s="18" t="str">
        <f>IF(Report[Résultat FT]="","",IF(Report[Résultat FT]=Report[Résultats],"Gagné","Perdu"))</f>
        <v>Perdu</v>
      </c>
      <c r="S226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226" s="53">
        <f>IF(Report[[#This Row],[FT]]="","",IF(Report[[#This Row],[FT]]=Report[[#This Row],[Score 1]],1,0))</f>
        <v>0</v>
      </c>
      <c r="U226" s="53">
        <f>IF(Report[[#This Row],[FT]]="","",IF(Report[ [#This Row],[FT] ]=Report[[#This Row],[Score 2]],1,0))</f>
        <v>0</v>
      </c>
      <c r="V226" s="53">
        <f>IF(Report[[#This Row],[FT]]="","",IF(Report[[#This Row],[FT]]=Report[[#This Row],[Score 3]],1,0))</f>
        <v>1</v>
      </c>
      <c r="W226" s="53">
        <f>IF(Report[[#This Row],[FT]]="","",IF(Report[[#This Row],[FT]]=Report[[#This Row],[Score 4]],1,0))</f>
        <v>0</v>
      </c>
      <c r="X226" s="66">
        <f>IF(Report[[#This Row],[Résultat FT]]="",,IF(Report[[#This Row],[Résultat FT]]=Report[[#This Row],[Résultats]],(Suivi_Gain!$B$1*Report[[#This Row],[Cote FT]])-Suivi_Gain!$B$1,-Suivi_Gain!$B$1))</f>
        <v>-1</v>
      </c>
      <c r="Y226" s="94">
        <f>IF(Report[[#This Row],[FT]]="",,IF(Report[[#This Row],[FT]]=Report[[#This Row],[Score 1]],(Suivi_Gain!$G$1*Report[[#This Row],[Cote SE]])-Suivi_Gain!$G$1,-Suivi_Gain!$G$1))</f>
        <v>-1</v>
      </c>
      <c r="Z226" s="65">
        <f>IF(Report[[#This Row],[FT]]="",,IF(Report[[#This Row],[FT]]=Report[[#This Row],[Score 2]],Suivi_Gain!$G$1*Report[[#This Row],[Cote SE]],-Suivi_Gain!$G$1))</f>
        <v>-1</v>
      </c>
      <c r="AA226" s="65">
        <f>IF(Report[[#This Row],[FT]]="",,IF(Report[[#This Row],[FT]]=Report[[#This Row],[Score 3]],Suivi_Gain!$G$1*Report[[#This Row],[Cote SE]],-Suivi_Gain!$G$1))</f>
        <v>9.5</v>
      </c>
      <c r="AB226" s="65">
        <f>IF(Report[[#This Row],[FT]]="",,IF(Report[[#This Row],[FT]]=Report[[#This Row],[Score 4]],Suivi_Gain!$G$1*Report[[#This Row],[Cote SE]],-Suivi_Gain!$G$1))</f>
        <v>-1</v>
      </c>
      <c r="AC226" s="64" t="str">
        <f>IF(Report[[#This Row],[Résultats SE]]="Gagné",Report[[#This Row],[FT]],"")</f>
        <v>0-1</v>
      </c>
      <c r="AD226" s="64" t="str">
        <f>IF(AND(Report[[#This Row],[Résultats SE]]="Gagné",Report[[#This Row],[FT]]=Report[[#This Row],[Score 1]]),Report[[#This Row],[FT]],"")</f>
        <v/>
      </c>
      <c r="AE226" s="64" t="str">
        <f>IF(AND(Report[[#This Row],[Résultats SE]]="Gagné",Report[[#This Row],[FT]]=Report[[#This Row],[Score 2]]),Report[[#This Row],[FT]],"")</f>
        <v/>
      </c>
      <c r="AF226" s="64" t="str">
        <f>IF(AND(Report[[#This Row],[Résultats SE]]="Gagné",Report[[#This Row],[FT]]=Report[[#This Row],[Score 3]]),Report[[#This Row],[FT]],"")</f>
        <v>0-1</v>
      </c>
      <c r="AG226" s="64" t="str">
        <f>IF(AND(Report[[#This Row],[Résultats SE]]="Gagné",Report[[#This Row],[FT]]=Report[[#This Row],[Score 4]]),Report[[#This Row],[FT]],"")</f>
        <v/>
      </c>
    </row>
    <row r="227" spans="1:33" ht="20.100000000000001" customHeight="1" x14ac:dyDescent="0.25">
      <c r="A227" s="11">
        <v>43428</v>
      </c>
      <c r="B227" s="7" t="s">
        <v>69</v>
      </c>
      <c r="C227" s="7" t="s">
        <v>494</v>
      </c>
      <c r="D227" s="10" t="s">
        <v>513</v>
      </c>
      <c r="E227" s="10" t="s">
        <v>497</v>
      </c>
      <c r="F227" s="7" t="s">
        <v>833</v>
      </c>
      <c r="G227" s="8" t="s">
        <v>834</v>
      </c>
      <c r="H227" s="9" t="s">
        <v>830</v>
      </c>
      <c r="I227" s="9" t="s">
        <v>825</v>
      </c>
      <c r="J227" s="9" t="s">
        <v>826</v>
      </c>
      <c r="K227" s="9" t="s">
        <v>233</v>
      </c>
      <c r="L227" s="16" t="str">
        <f>IF(Report[Résultat FT]="","",IF(Report[Résultat FT]=Report[Résultats],"","-"))</f>
        <v>-</v>
      </c>
      <c r="M227" s="16" t="str">
        <f>IF(Report[[#This Row],[Résultat FT]]="","",IF(Report[[#This Row],[Résultats SE]]="Gagné","","-"))</f>
        <v>-</v>
      </c>
      <c r="N227" s="17" t="s">
        <v>838</v>
      </c>
      <c r="O227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Venezia</v>
      </c>
      <c r="P227" s="18">
        <f>IF(Report[[#This Row],[FT]]="",,(LEFT(Report[[#This Row],[FT]],SEARCH("-",Report[[#This Row],[FT]])-1)*1))</f>
        <v>2</v>
      </c>
      <c r="Q227" s="22">
        <f>IF(Report[[#This Row],[FT]]="",,(RIGHT(Report[[#This Row],[FT]],SEARCH("-",Report[[#This Row],[FT]])-1)*1))</f>
        <v>1</v>
      </c>
      <c r="R227" s="18" t="str">
        <f>IF(Report[Résultat FT]="","",IF(Report[Résultat FT]=Report[Résultats],"Gagné","Perdu"))</f>
        <v>Perdu</v>
      </c>
      <c r="S227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27" s="53">
        <f>IF(Report[[#This Row],[FT]]="","",IF(Report[[#This Row],[FT]]=Report[[#This Row],[Score 1]],1,0))</f>
        <v>0</v>
      </c>
      <c r="U227" s="53">
        <f>IF(Report[[#This Row],[FT]]="","",IF(Report[ [#This Row],[FT] ]=Report[[#This Row],[Score 2]],1,0))</f>
        <v>0</v>
      </c>
      <c r="V227" s="53">
        <f>IF(Report[[#This Row],[FT]]="","",IF(Report[[#This Row],[FT]]=Report[[#This Row],[Score 3]],1,0))</f>
        <v>0</v>
      </c>
      <c r="W227" s="53">
        <f>IF(Report[[#This Row],[FT]]="","",IF(Report[[#This Row],[FT]]=Report[[#This Row],[Score 4]],1,0))</f>
        <v>0</v>
      </c>
      <c r="X227" s="66">
        <f>IF(Report[[#This Row],[Résultat FT]]="",,IF(Report[[#This Row],[Résultat FT]]=Report[[#This Row],[Résultats]],(Suivi_Gain!$B$1*Report[[#This Row],[Cote FT]])-Suivi_Gain!$B$1,-Suivi_Gain!$B$1))</f>
        <v>-1</v>
      </c>
      <c r="Y227" s="94">
        <f>IF(Report[[#This Row],[FT]]="",,IF(Report[[#This Row],[FT]]=Report[[#This Row],[Score 1]],(Suivi_Gain!$G$1*Report[[#This Row],[Cote SE]])-Suivi_Gain!$G$1,-Suivi_Gain!$G$1))</f>
        <v>-1</v>
      </c>
      <c r="Z227" s="65">
        <f>IF(Report[[#This Row],[FT]]="",,IF(Report[[#This Row],[FT]]=Report[[#This Row],[Score 2]],Suivi_Gain!$G$1*Report[[#This Row],[Cote SE]],-Suivi_Gain!$G$1))</f>
        <v>-1</v>
      </c>
      <c r="AA227" s="65">
        <f>IF(Report[[#This Row],[FT]]="",,IF(Report[[#This Row],[FT]]=Report[[#This Row],[Score 3]],Suivi_Gain!$G$1*Report[[#This Row],[Cote SE]],-Suivi_Gain!$G$1))</f>
        <v>-1</v>
      </c>
      <c r="AB227" s="65">
        <f>IF(Report[[#This Row],[FT]]="",,IF(Report[[#This Row],[FT]]=Report[[#This Row],[Score 4]],Suivi_Gain!$G$1*Report[[#This Row],[Cote SE]],-Suivi_Gain!$G$1))</f>
        <v>-1</v>
      </c>
      <c r="AC227" s="64" t="str">
        <f>IF(Report[[#This Row],[Résultats SE]]="Gagné",Report[[#This Row],[FT]],"")</f>
        <v/>
      </c>
      <c r="AD227" s="64" t="str">
        <f>IF(AND(Report[[#This Row],[Résultats SE]]="Gagné",Report[[#This Row],[FT]]=Report[[#This Row],[Score 1]]),Report[[#This Row],[FT]],"")</f>
        <v/>
      </c>
      <c r="AE227" s="64" t="str">
        <f>IF(AND(Report[[#This Row],[Résultats SE]]="Gagné",Report[[#This Row],[FT]]=Report[[#This Row],[Score 2]]),Report[[#This Row],[FT]],"")</f>
        <v/>
      </c>
      <c r="AF227" s="64" t="str">
        <f>IF(AND(Report[[#This Row],[Résultats SE]]="Gagné",Report[[#This Row],[FT]]=Report[[#This Row],[Score 3]]),Report[[#This Row],[FT]],"")</f>
        <v/>
      </c>
      <c r="AG227" s="64" t="str">
        <f>IF(AND(Report[[#This Row],[Résultats SE]]="Gagné",Report[[#This Row],[FT]]=Report[[#This Row],[Score 4]]),Report[[#This Row],[FT]],"")</f>
        <v/>
      </c>
    </row>
    <row r="228" spans="1:33" ht="20.100000000000001" customHeight="1" x14ac:dyDescent="0.25">
      <c r="A228" s="11">
        <v>43428</v>
      </c>
      <c r="B228" s="7" t="s">
        <v>69</v>
      </c>
      <c r="C228" s="7" t="s">
        <v>494</v>
      </c>
      <c r="D228" s="10" t="s">
        <v>496</v>
      </c>
      <c r="E228" s="10" t="s">
        <v>509</v>
      </c>
      <c r="F228" s="7" t="s">
        <v>836</v>
      </c>
      <c r="G228" s="8" t="s">
        <v>837</v>
      </c>
      <c r="H228" s="9" t="s">
        <v>838</v>
      </c>
      <c r="I228" s="9" t="s">
        <v>839</v>
      </c>
      <c r="J228" s="9" t="s">
        <v>834</v>
      </c>
      <c r="K228" s="9" t="s">
        <v>233</v>
      </c>
      <c r="L228" s="16" t="str">
        <f>IF(Report[Résultat FT]="","",IF(Report[Résultat FT]=Report[Résultats],"","-"))</f>
        <v>-</v>
      </c>
      <c r="M228" s="16">
        <v>8</v>
      </c>
      <c r="N228" s="17" t="s">
        <v>838</v>
      </c>
      <c r="O228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Benevento</v>
      </c>
      <c r="P228" s="18">
        <f>IF(Report[[#This Row],[FT]]="",,(LEFT(Report[[#This Row],[FT]],SEARCH("-",Report[[#This Row],[FT]])-1)*1))</f>
        <v>2</v>
      </c>
      <c r="Q228" s="22">
        <f>IF(Report[[#This Row],[FT]]="",,(RIGHT(Report[[#This Row],[FT]],SEARCH("-",Report[[#This Row],[FT]])-1)*1))</f>
        <v>1</v>
      </c>
      <c r="R228" s="18" t="str">
        <f>IF(Report[Résultat FT]="","",IF(Report[Résultat FT]=Report[Résultats],"Gagné","Perdu"))</f>
        <v>Perdu</v>
      </c>
      <c r="S228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228" s="53">
        <f>IF(Report[[#This Row],[FT]]="","",IF(Report[[#This Row],[FT]]=Report[[#This Row],[Score 1]],1,0))</f>
        <v>0</v>
      </c>
      <c r="U228" s="53">
        <f>IF(Report[[#This Row],[FT]]="","",IF(Report[ [#This Row],[FT] ]=Report[[#This Row],[Score 2]],1,0))</f>
        <v>1</v>
      </c>
      <c r="V228" s="53">
        <f>IF(Report[[#This Row],[FT]]="","",IF(Report[[#This Row],[FT]]=Report[[#This Row],[Score 3]],1,0))</f>
        <v>0</v>
      </c>
      <c r="W228" s="53">
        <f>IF(Report[[#This Row],[FT]]="","",IF(Report[[#This Row],[FT]]=Report[[#This Row],[Score 4]],1,0))</f>
        <v>0</v>
      </c>
      <c r="X228" s="66">
        <f>IF(Report[[#This Row],[Résultat FT]]="",,IF(Report[[#This Row],[Résultat FT]]=Report[[#This Row],[Résultats]],(Suivi_Gain!$B$1*Report[[#This Row],[Cote FT]])-Suivi_Gain!$B$1,-Suivi_Gain!$B$1))</f>
        <v>-1</v>
      </c>
      <c r="Y228" s="94">
        <f>IF(Report[[#This Row],[FT]]="",,IF(Report[[#This Row],[FT]]=Report[[#This Row],[Score 1]],(Suivi_Gain!$G$1*Report[[#This Row],[Cote SE]])-Suivi_Gain!$G$1,-Suivi_Gain!$G$1))</f>
        <v>-1</v>
      </c>
      <c r="Z228" s="65">
        <f>IF(Report[[#This Row],[FT]]="",,IF(Report[[#This Row],[FT]]=Report[[#This Row],[Score 2]],Suivi_Gain!$G$1*Report[[#This Row],[Cote SE]],-Suivi_Gain!$G$1))</f>
        <v>8</v>
      </c>
      <c r="AA228" s="65">
        <f>IF(Report[[#This Row],[FT]]="",,IF(Report[[#This Row],[FT]]=Report[[#This Row],[Score 3]],Suivi_Gain!$G$1*Report[[#This Row],[Cote SE]],-Suivi_Gain!$G$1))</f>
        <v>-1</v>
      </c>
      <c r="AB228" s="65">
        <f>IF(Report[[#This Row],[FT]]="",,IF(Report[[#This Row],[FT]]=Report[[#This Row],[Score 4]],Suivi_Gain!$G$1*Report[[#This Row],[Cote SE]],-Suivi_Gain!$G$1))</f>
        <v>-1</v>
      </c>
      <c r="AC228" s="64" t="str">
        <f>IF(Report[[#This Row],[Résultats SE]]="Gagné",Report[[#This Row],[FT]],"")</f>
        <v>2-1</v>
      </c>
      <c r="AD228" s="64" t="str">
        <f>IF(AND(Report[[#This Row],[Résultats SE]]="Gagné",Report[[#This Row],[FT]]=Report[[#This Row],[Score 1]]),Report[[#This Row],[FT]],"")</f>
        <v/>
      </c>
      <c r="AE228" s="64" t="str">
        <f>IF(AND(Report[[#This Row],[Résultats SE]]="Gagné",Report[[#This Row],[FT]]=Report[[#This Row],[Score 2]]),Report[[#This Row],[FT]],"")</f>
        <v>2-1</v>
      </c>
      <c r="AF228" s="64" t="str">
        <f>IF(AND(Report[[#This Row],[Résultats SE]]="Gagné",Report[[#This Row],[FT]]=Report[[#This Row],[Score 3]]),Report[[#This Row],[FT]],"")</f>
        <v/>
      </c>
      <c r="AG228" s="64" t="str">
        <f>IF(AND(Report[[#This Row],[Résultats SE]]="Gagné",Report[[#This Row],[FT]]=Report[[#This Row],[Score 4]]),Report[[#This Row],[FT]],"")</f>
        <v/>
      </c>
    </row>
    <row r="229" spans="1:33" ht="20.100000000000001" customHeight="1" x14ac:dyDescent="0.25">
      <c r="A229" s="11">
        <v>43428</v>
      </c>
      <c r="B229" s="7" t="s">
        <v>71</v>
      </c>
      <c r="C229" s="7" t="s">
        <v>117</v>
      </c>
      <c r="D229" s="10" t="s">
        <v>683</v>
      </c>
      <c r="E229" s="10" t="s">
        <v>688</v>
      </c>
      <c r="F229" s="7" t="s">
        <v>833</v>
      </c>
      <c r="G229" s="8" t="s">
        <v>834</v>
      </c>
      <c r="H229" s="9" t="s">
        <v>830</v>
      </c>
      <c r="I229" s="9" t="s">
        <v>825</v>
      </c>
      <c r="J229" s="9" t="s">
        <v>826</v>
      </c>
      <c r="K229" s="9" t="s">
        <v>233</v>
      </c>
      <c r="L229" s="16" t="str">
        <f>IF(Report[Résultat FT]="","",IF(Report[Résultat FT]=Report[Résultats],"","-"))</f>
        <v>-</v>
      </c>
      <c r="M229" s="16" t="str">
        <f>IF(Report[[#This Row],[Résultat FT]]="","",IF(Report[[#This Row],[Résultats SE]]="Gagné","","-"))</f>
        <v>-</v>
      </c>
      <c r="N229" s="17" t="s">
        <v>828</v>
      </c>
      <c r="O229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Kashiwa</v>
      </c>
      <c r="P229" s="18">
        <f>IF(Report[[#This Row],[FT]]="",,(LEFT(Report[[#This Row],[FT]],SEARCH("-",Report[[#This Row],[FT]])-1)*1))</f>
        <v>0</v>
      </c>
      <c r="Q229" s="22">
        <f>IF(Report[[#This Row],[FT]]="",,(RIGHT(Report[[#This Row],[FT]],SEARCH("-",Report[[#This Row],[FT]])-1)*1))</f>
        <v>3</v>
      </c>
      <c r="R229" s="18" t="str">
        <f>IF(Report[Résultat FT]="","",IF(Report[Résultat FT]=Report[Résultats],"Gagné","Perdu"))</f>
        <v>Perdu</v>
      </c>
      <c r="S229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29" s="53">
        <f>IF(Report[[#This Row],[FT]]="","",IF(Report[[#This Row],[FT]]=Report[[#This Row],[Score 1]],1,0))</f>
        <v>0</v>
      </c>
      <c r="U229" s="53">
        <f>IF(Report[[#This Row],[FT]]="","",IF(Report[ [#This Row],[FT] ]=Report[[#This Row],[Score 2]],1,0))</f>
        <v>0</v>
      </c>
      <c r="V229" s="53">
        <f>IF(Report[[#This Row],[FT]]="","",IF(Report[[#This Row],[FT]]=Report[[#This Row],[Score 3]],1,0))</f>
        <v>0</v>
      </c>
      <c r="W229" s="53">
        <f>IF(Report[[#This Row],[FT]]="","",IF(Report[[#This Row],[FT]]=Report[[#This Row],[Score 4]],1,0))</f>
        <v>0</v>
      </c>
      <c r="X229" s="66">
        <f>IF(Report[[#This Row],[Résultat FT]]="",,IF(Report[[#This Row],[Résultat FT]]=Report[[#This Row],[Résultats]],(Suivi_Gain!$B$1*Report[[#This Row],[Cote FT]])-Suivi_Gain!$B$1,-Suivi_Gain!$B$1))</f>
        <v>-1</v>
      </c>
      <c r="Y229" s="94">
        <f>IF(Report[[#This Row],[FT]]="",,IF(Report[[#This Row],[FT]]=Report[[#This Row],[Score 1]],(Suivi_Gain!$G$1*Report[[#This Row],[Cote SE]])-Suivi_Gain!$G$1,-Suivi_Gain!$G$1))</f>
        <v>-1</v>
      </c>
      <c r="Z229" s="65">
        <f>IF(Report[[#This Row],[FT]]="",,IF(Report[[#This Row],[FT]]=Report[[#This Row],[Score 2]],Suivi_Gain!$G$1*Report[[#This Row],[Cote SE]],-Suivi_Gain!$G$1))</f>
        <v>-1</v>
      </c>
      <c r="AA229" s="65">
        <f>IF(Report[[#This Row],[FT]]="",,IF(Report[[#This Row],[FT]]=Report[[#This Row],[Score 3]],Suivi_Gain!$G$1*Report[[#This Row],[Cote SE]],-Suivi_Gain!$G$1))</f>
        <v>-1</v>
      </c>
      <c r="AB229" s="65">
        <f>IF(Report[[#This Row],[FT]]="",,IF(Report[[#This Row],[FT]]=Report[[#This Row],[Score 4]],Suivi_Gain!$G$1*Report[[#This Row],[Cote SE]],-Suivi_Gain!$G$1))</f>
        <v>-1</v>
      </c>
      <c r="AC229" s="64" t="str">
        <f>IF(Report[[#This Row],[Résultats SE]]="Gagné",Report[[#This Row],[FT]],"")</f>
        <v/>
      </c>
      <c r="AD229" s="64" t="str">
        <f>IF(AND(Report[[#This Row],[Résultats SE]]="Gagné",Report[[#This Row],[FT]]=Report[[#This Row],[Score 1]]),Report[[#This Row],[FT]],"")</f>
        <v/>
      </c>
      <c r="AE229" s="64" t="str">
        <f>IF(AND(Report[[#This Row],[Résultats SE]]="Gagné",Report[[#This Row],[FT]]=Report[[#This Row],[Score 2]]),Report[[#This Row],[FT]],"")</f>
        <v/>
      </c>
      <c r="AF229" s="64" t="str">
        <f>IF(AND(Report[[#This Row],[Résultats SE]]="Gagné",Report[[#This Row],[FT]]=Report[[#This Row],[Score 3]]),Report[[#This Row],[FT]],"")</f>
        <v/>
      </c>
      <c r="AG229" s="64" t="str">
        <f>IF(AND(Report[[#This Row],[Résultats SE]]="Gagné",Report[[#This Row],[FT]]=Report[[#This Row],[Score 4]]),Report[[#This Row],[FT]],"")</f>
        <v/>
      </c>
    </row>
    <row r="230" spans="1:33" ht="20.100000000000001" customHeight="1" x14ac:dyDescent="0.25">
      <c r="A230" s="11">
        <v>43428</v>
      </c>
      <c r="B230" s="7" t="s">
        <v>71</v>
      </c>
      <c r="C230" s="7" t="s">
        <v>117</v>
      </c>
      <c r="D230" s="10" t="s">
        <v>684</v>
      </c>
      <c r="E230" s="10" t="s">
        <v>698</v>
      </c>
      <c r="F230" s="7" t="s">
        <v>833</v>
      </c>
      <c r="G230" s="8" t="s">
        <v>834</v>
      </c>
      <c r="H230" s="9" t="s">
        <v>830</v>
      </c>
      <c r="I230" s="9" t="s">
        <v>825</v>
      </c>
      <c r="J230" s="9" t="s">
        <v>826</v>
      </c>
      <c r="K230" s="9" t="s">
        <v>233</v>
      </c>
      <c r="L230" s="16" t="str">
        <f>IF(Report[Résultat FT]="","",IF(Report[Résultat FT]=Report[Résultats],"","-"))</f>
        <v>-</v>
      </c>
      <c r="M230" s="16" t="str">
        <f>IF(Report[[#This Row],[Résultat FT]]="","",IF(Report[[#This Row],[Résultats SE]]="Gagné","","-"))</f>
        <v>-</v>
      </c>
      <c r="N230" s="17" t="s">
        <v>838</v>
      </c>
      <c r="O230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G-Osaka</v>
      </c>
      <c r="P230" s="18">
        <f>IF(Report[[#This Row],[FT]]="",,(LEFT(Report[[#This Row],[FT]],SEARCH("-",Report[[#This Row],[FT]])-1)*1))</f>
        <v>2</v>
      </c>
      <c r="Q230" s="22">
        <f>IF(Report[[#This Row],[FT]]="",,(RIGHT(Report[[#This Row],[FT]],SEARCH("-",Report[[#This Row],[FT]])-1)*1))</f>
        <v>1</v>
      </c>
      <c r="R230" s="18" t="str">
        <f>IF(Report[Résultat FT]="","",IF(Report[Résultat FT]=Report[Résultats],"Gagné","Perdu"))</f>
        <v>Perdu</v>
      </c>
      <c r="S230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30" s="53">
        <f>IF(Report[[#This Row],[FT]]="","",IF(Report[[#This Row],[FT]]=Report[[#This Row],[Score 1]],1,0))</f>
        <v>0</v>
      </c>
      <c r="U230" s="53">
        <f>IF(Report[[#This Row],[FT]]="","",IF(Report[ [#This Row],[FT] ]=Report[[#This Row],[Score 2]],1,0))</f>
        <v>0</v>
      </c>
      <c r="V230" s="53">
        <f>IF(Report[[#This Row],[FT]]="","",IF(Report[[#This Row],[FT]]=Report[[#This Row],[Score 3]],1,0))</f>
        <v>0</v>
      </c>
      <c r="W230" s="53">
        <f>IF(Report[[#This Row],[FT]]="","",IF(Report[[#This Row],[FT]]=Report[[#This Row],[Score 4]],1,0))</f>
        <v>0</v>
      </c>
      <c r="X230" s="66">
        <f>IF(Report[[#This Row],[Résultat FT]]="",,IF(Report[[#This Row],[Résultat FT]]=Report[[#This Row],[Résultats]],(Suivi_Gain!$B$1*Report[[#This Row],[Cote FT]])-Suivi_Gain!$B$1,-Suivi_Gain!$B$1))</f>
        <v>-1</v>
      </c>
      <c r="Y230" s="94">
        <f>IF(Report[[#This Row],[FT]]="",,IF(Report[[#This Row],[FT]]=Report[[#This Row],[Score 1]],(Suivi_Gain!$G$1*Report[[#This Row],[Cote SE]])-Suivi_Gain!$G$1,-Suivi_Gain!$G$1))</f>
        <v>-1</v>
      </c>
      <c r="Z230" s="65">
        <f>IF(Report[[#This Row],[FT]]="",,IF(Report[[#This Row],[FT]]=Report[[#This Row],[Score 2]],Suivi_Gain!$G$1*Report[[#This Row],[Cote SE]],-Suivi_Gain!$G$1))</f>
        <v>-1</v>
      </c>
      <c r="AA230" s="65">
        <f>IF(Report[[#This Row],[FT]]="",,IF(Report[[#This Row],[FT]]=Report[[#This Row],[Score 3]],Suivi_Gain!$G$1*Report[[#This Row],[Cote SE]],-Suivi_Gain!$G$1))</f>
        <v>-1</v>
      </c>
      <c r="AB230" s="65">
        <f>IF(Report[[#This Row],[FT]]="",,IF(Report[[#This Row],[FT]]=Report[[#This Row],[Score 4]],Suivi_Gain!$G$1*Report[[#This Row],[Cote SE]],-Suivi_Gain!$G$1))</f>
        <v>-1</v>
      </c>
      <c r="AC230" s="64" t="str">
        <f>IF(Report[[#This Row],[Résultats SE]]="Gagné",Report[[#This Row],[FT]],"")</f>
        <v/>
      </c>
      <c r="AD230" s="64" t="str">
        <f>IF(AND(Report[[#This Row],[Résultats SE]]="Gagné",Report[[#This Row],[FT]]=Report[[#This Row],[Score 1]]),Report[[#This Row],[FT]],"")</f>
        <v/>
      </c>
      <c r="AE230" s="64" t="str">
        <f>IF(AND(Report[[#This Row],[Résultats SE]]="Gagné",Report[[#This Row],[FT]]=Report[[#This Row],[Score 2]]),Report[[#This Row],[FT]],"")</f>
        <v/>
      </c>
      <c r="AF230" s="64" t="str">
        <f>IF(AND(Report[[#This Row],[Résultats SE]]="Gagné",Report[[#This Row],[FT]]=Report[[#This Row],[Score 3]]),Report[[#This Row],[FT]],"")</f>
        <v/>
      </c>
      <c r="AG230" s="64" t="str">
        <f>IF(AND(Report[[#This Row],[Résultats SE]]="Gagné",Report[[#This Row],[FT]]=Report[[#This Row],[Score 4]]),Report[[#This Row],[FT]],"")</f>
        <v/>
      </c>
    </row>
    <row r="231" spans="1:33" ht="20.100000000000001" customHeight="1" x14ac:dyDescent="0.25">
      <c r="A231" s="11">
        <v>43428</v>
      </c>
      <c r="B231" s="7" t="s">
        <v>71</v>
      </c>
      <c r="C231" s="7" t="s">
        <v>117</v>
      </c>
      <c r="D231" s="10" t="s">
        <v>685</v>
      </c>
      <c r="E231" s="10" t="s">
        <v>691</v>
      </c>
      <c r="F231" s="7" t="s">
        <v>842</v>
      </c>
      <c r="G231" s="8" t="s">
        <v>838</v>
      </c>
      <c r="H231" s="9" t="s">
        <v>831</v>
      </c>
      <c r="I231" s="9" t="s">
        <v>834</v>
      </c>
      <c r="J231" s="9" t="s">
        <v>830</v>
      </c>
      <c r="K231" s="9" t="s">
        <v>685</v>
      </c>
      <c r="L231" s="16" t="str">
        <f>IF(Report[Résultat FT]="","",IF(Report[Résultat FT]=Report[Résultats],"","-"))</f>
        <v>-</v>
      </c>
      <c r="M231" s="16" t="str">
        <f>IF(Report[[#This Row],[Résultat FT]]="","",IF(Report[[#This Row],[Résultats SE]]="Gagné","","-"))</f>
        <v>-</v>
      </c>
      <c r="N231" s="17" t="s">
        <v>839</v>
      </c>
      <c r="O231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Nagoya</v>
      </c>
      <c r="P231" s="18">
        <f>IF(Report[[#This Row],[FT]]="",,(LEFT(Report[[#This Row],[FT]],SEARCH("-",Report[[#This Row],[FT]])-1)*1))</f>
        <v>1</v>
      </c>
      <c r="Q231" s="22">
        <f>IF(Report[[#This Row],[FT]]="",,(RIGHT(Report[[#This Row],[FT]],SEARCH("-",Report[[#This Row],[FT]])-1)*1))</f>
        <v>2</v>
      </c>
      <c r="R231" s="18" t="str">
        <f>IF(Report[Résultat FT]="","",IF(Report[Résultat FT]=Report[Résultats],"Gagné","Perdu"))</f>
        <v>Perdu</v>
      </c>
      <c r="S231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31" s="53">
        <f>IF(Report[[#This Row],[FT]]="","",IF(Report[[#This Row],[FT]]=Report[[#This Row],[Score 1]],1,0))</f>
        <v>0</v>
      </c>
      <c r="U231" s="53">
        <f>IF(Report[[#This Row],[FT]]="","",IF(Report[ [#This Row],[FT] ]=Report[[#This Row],[Score 2]],1,0))</f>
        <v>0</v>
      </c>
      <c r="V231" s="53">
        <f>IF(Report[[#This Row],[FT]]="","",IF(Report[[#This Row],[FT]]=Report[[#This Row],[Score 3]],1,0))</f>
        <v>0</v>
      </c>
      <c r="W231" s="53">
        <f>IF(Report[[#This Row],[FT]]="","",IF(Report[[#This Row],[FT]]=Report[[#This Row],[Score 4]],1,0))</f>
        <v>0</v>
      </c>
      <c r="X231" s="66">
        <f>IF(Report[[#This Row],[Résultat FT]]="",,IF(Report[[#This Row],[Résultat FT]]=Report[[#This Row],[Résultats]],(Suivi_Gain!$B$1*Report[[#This Row],[Cote FT]])-Suivi_Gain!$B$1,-Suivi_Gain!$B$1))</f>
        <v>-1</v>
      </c>
      <c r="Y231" s="94">
        <f>IF(Report[[#This Row],[FT]]="",,IF(Report[[#This Row],[FT]]=Report[[#This Row],[Score 1]],(Suivi_Gain!$G$1*Report[[#This Row],[Cote SE]])-Suivi_Gain!$G$1,-Suivi_Gain!$G$1))</f>
        <v>-1</v>
      </c>
      <c r="Z231" s="65">
        <f>IF(Report[[#This Row],[FT]]="",,IF(Report[[#This Row],[FT]]=Report[[#This Row],[Score 2]],Suivi_Gain!$G$1*Report[[#This Row],[Cote SE]],-Suivi_Gain!$G$1))</f>
        <v>-1</v>
      </c>
      <c r="AA231" s="65">
        <f>IF(Report[[#This Row],[FT]]="",,IF(Report[[#This Row],[FT]]=Report[[#This Row],[Score 3]],Suivi_Gain!$G$1*Report[[#This Row],[Cote SE]],-Suivi_Gain!$G$1))</f>
        <v>-1</v>
      </c>
      <c r="AB231" s="65">
        <f>IF(Report[[#This Row],[FT]]="",,IF(Report[[#This Row],[FT]]=Report[[#This Row],[Score 4]],Suivi_Gain!$G$1*Report[[#This Row],[Cote SE]],-Suivi_Gain!$G$1))</f>
        <v>-1</v>
      </c>
      <c r="AC231" s="64" t="str">
        <f>IF(Report[[#This Row],[Résultats SE]]="Gagné",Report[[#This Row],[FT]],"")</f>
        <v/>
      </c>
      <c r="AD231" s="64" t="str">
        <f>IF(AND(Report[[#This Row],[Résultats SE]]="Gagné",Report[[#This Row],[FT]]=Report[[#This Row],[Score 1]]),Report[[#This Row],[FT]],"")</f>
        <v/>
      </c>
      <c r="AE231" s="64" t="str">
        <f>IF(AND(Report[[#This Row],[Résultats SE]]="Gagné",Report[[#This Row],[FT]]=Report[[#This Row],[Score 2]]),Report[[#This Row],[FT]],"")</f>
        <v/>
      </c>
      <c r="AF231" s="64" t="str">
        <f>IF(AND(Report[[#This Row],[Résultats SE]]="Gagné",Report[[#This Row],[FT]]=Report[[#This Row],[Score 3]]),Report[[#This Row],[FT]],"")</f>
        <v/>
      </c>
      <c r="AG231" s="64" t="str">
        <f>IF(AND(Report[[#This Row],[Résultats SE]]="Gagné",Report[[#This Row],[FT]]=Report[[#This Row],[Score 4]]),Report[[#This Row],[FT]],"")</f>
        <v/>
      </c>
    </row>
    <row r="232" spans="1:33" ht="20.100000000000001" customHeight="1" x14ac:dyDescent="0.25">
      <c r="A232" s="11">
        <v>43428</v>
      </c>
      <c r="B232" s="7" t="s">
        <v>71</v>
      </c>
      <c r="C232" s="7" t="s">
        <v>117</v>
      </c>
      <c r="D232" s="10" t="s">
        <v>686</v>
      </c>
      <c r="E232" s="10" t="s">
        <v>693</v>
      </c>
      <c r="F232" s="7" t="s">
        <v>833</v>
      </c>
      <c r="G232" s="8" t="s">
        <v>834</v>
      </c>
      <c r="H232" s="9" t="s">
        <v>830</v>
      </c>
      <c r="I232" s="9" t="s">
        <v>825</v>
      </c>
      <c r="J232" s="9" t="s">
        <v>826</v>
      </c>
      <c r="K232" s="9" t="s">
        <v>233</v>
      </c>
      <c r="L232" s="16" t="str">
        <f>IF(Report[Résultat FT]="","",IF(Report[Résultat FT]=Report[Résultats],"","-"))</f>
        <v>-</v>
      </c>
      <c r="M232" s="16" t="str">
        <f>IF(Report[[#This Row],[Résultat FT]]="","",IF(Report[[#This Row],[Résultats SE]]="Gagné","","-"))</f>
        <v>-</v>
      </c>
      <c r="N232" s="17" t="s">
        <v>827</v>
      </c>
      <c r="O232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Sapporo</v>
      </c>
      <c r="P232" s="18">
        <f>IF(Report[[#This Row],[FT]]="",,(LEFT(Report[[#This Row],[FT]],SEARCH("-",Report[[#This Row],[FT]])-1)*1))</f>
        <v>0</v>
      </c>
      <c r="Q232" s="22">
        <f>IF(Report[[#This Row],[FT]]="",,(RIGHT(Report[[#This Row],[FT]],SEARCH("-",Report[[#This Row],[FT]])-1)*1))</f>
        <v>2</v>
      </c>
      <c r="R232" s="18" t="str">
        <f>IF(Report[Résultat FT]="","",IF(Report[Résultat FT]=Report[Résultats],"Gagné","Perdu"))</f>
        <v>Perdu</v>
      </c>
      <c r="S232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32" s="53">
        <f>IF(Report[[#This Row],[FT]]="","",IF(Report[[#This Row],[FT]]=Report[[#This Row],[Score 1]],1,0))</f>
        <v>0</v>
      </c>
      <c r="U232" s="53">
        <f>IF(Report[[#This Row],[FT]]="","",IF(Report[ [#This Row],[FT] ]=Report[[#This Row],[Score 2]],1,0))</f>
        <v>0</v>
      </c>
      <c r="V232" s="53">
        <f>IF(Report[[#This Row],[FT]]="","",IF(Report[[#This Row],[FT]]=Report[[#This Row],[Score 3]],1,0))</f>
        <v>0</v>
      </c>
      <c r="W232" s="53">
        <f>IF(Report[[#This Row],[FT]]="","",IF(Report[[#This Row],[FT]]=Report[[#This Row],[Score 4]],1,0))</f>
        <v>0</v>
      </c>
      <c r="X232" s="66">
        <f>IF(Report[[#This Row],[Résultat FT]]="",,IF(Report[[#This Row],[Résultat FT]]=Report[[#This Row],[Résultats]],(Suivi_Gain!$B$1*Report[[#This Row],[Cote FT]])-Suivi_Gain!$B$1,-Suivi_Gain!$B$1))</f>
        <v>-1</v>
      </c>
      <c r="Y232" s="94">
        <f>IF(Report[[#This Row],[FT]]="",,IF(Report[[#This Row],[FT]]=Report[[#This Row],[Score 1]],(Suivi_Gain!$G$1*Report[[#This Row],[Cote SE]])-Suivi_Gain!$G$1,-Suivi_Gain!$G$1))</f>
        <v>-1</v>
      </c>
      <c r="Z232" s="65">
        <f>IF(Report[[#This Row],[FT]]="",,IF(Report[[#This Row],[FT]]=Report[[#This Row],[Score 2]],Suivi_Gain!$G$1*Report[[#This Row],[Cote SE]],-Suivi_Gain!$G$1))</f>
        <v>-1</v>
      </c>
      <c r="AA232" s="65">
        <f>IF(Report[[#This Row],[FT]]="",,IF(Report[[#This Row],[FT]]=Report[[#This Row],[Score 3]],Suivi_Gain!$G$1*Report[[#This Row],[Cote SE]],-Suivi_Gain!$G$1))</f>
        <v>-1</v>
      </c>
      <c r="AB232" s="65">
        <f>IF(Report[[#This Row],[FT]]="",,IF(Report[[#This Row],[FT]]=Report[[#This Row],[Score 4]],Suivi_Gain!$G$1*Report[[#This Row],[Cote SE]],-Suivi_Gain!$G$1))</f>
        <v>-1</v>
      </c>
      <c r="AC232" s="64" t="str">
        <f>IF(Report[[#This Row],[Résultats SE]]="Gagné",Report[[#This Row],[FT]],"")</f>
        <v/>
      </c>
      <c r="AD232" s="64" t="str">
        <f>IF(AND(Report[[#This Row],[Résultats SE]]="Gagné",Report[[#This Row],[FT]]=Report[[#This Row],[Score 1]]),Report[[#This Row],[FT]],"")</f>
        <v/>
      </c>
      <c r="AE232" s="64" t="str">
        <f>IF(AND(Report[[#This Row],[Résultats SE]]="Gagné",Report[[#This Row],[FT]]=Report[[#This Row],[Score 2]]),Report[[#This Row],[FT]],"")</f>
        <v/>
      </c>
      <c r="AF232" s="64" t="str">
        <f>IF(AND(Report[[#This Row],[Résultats SE]]="Gagné",Report[[#This Row],[FT]]=Report[[#This Row],[Score 3]]),Report[[#This Row],[FT]],"")</f>
        <v/>
      </c>
      <c r="AG232" s="64" t="str">
        <f>IF(AND(Report[[#This Row],[Résultats SE]]="Gagné",Report[[#This Row],[FT]]=Report[[#This Row],[Score 4]]),Report[[#This Row],[FT]],"")</f>
        <v/>
      </c>
    </row>
    <row r="233" spans="1:33" ht="20.100000000000001" customHeight="1" x14ac:dyDescent="0.25">
      <c r="A233" s="11">
        <v>43428</v>
      </c>
      <c r="B233" s="7" t="s">
        <v>71</v>
      </c>
      <c r="C233" s="7" t="s">
        <v>117</v>
      </c>
      <c r="D233" s="10" t="s">
        <v>692</v>
      </c>
      <c r="E233" s="10" t="s">
        <v>700</v>
      </c>
      <c r="F233" s="7" t="s">
        <v>833</v>
      </c>
      <c r="G233" s="8" t="s">
        <v>834</v>
      </c>
      <c r="H233" s="9" t="s">
        <v>830</v>
      </c>
      <c r="I233" s="9" t="s">
        <v>825</v>
      </c>
      <c r="J233" s="9" t="s">
        <v>826</v>
      </c>
      <c r="K233" s="9" t="s">
        <v>233</v>
      </c>
      <c r="L233" s="16" t="str">
        <f>IF(Report[Résultat FT]="","",IF(Report[Résultat FT]=Report[Résultats],"","-"))</f>
        <v>-</v>
      </c>
      <c r="M233" s="16" t="str">
        <f>IF(Report[[#This Row],[Résultat FT]]="","",IF(Report[[#This Row],[Résultats SE]]="Gagné","","-"))</f>
        <v>-</v>
      </c>
      <c r="N233" s="17" t="s">
        <v>838</v>
      </c>
      <c r="O233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Sagan Tosu</v>
      </c>
      <c r="P233" s="18">
        <f>IF(Report[[#This Row],[FT]]="",,(LEFT(Report[[#This Row],[FT]],SEARCH("-",Report[[#This Row],[FT]])-1)*1))</f>
        <v>2</v>
      </c>
      <c r="Q233" s="22">
        <f>IF(Report[[#This Row],[FT]]="",,(RIGHT(Report[[#This Row],[FT]],SEARCH("-",Report[[#This Row],[FT]])-1)*1))</f>
        <v>1</v>
      </c>
      <c r="R233" s="18" t="str">
        <f>IF(Report[Résultat FT]="","",IF(Report[Résultat FT]=Report[Résultats],"Gagné","Perdu"))</f>
        <v>Perdu</v>
      </c>
      <c r="S233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33" s="53">
        <f>IF(Report[[#This Row],[FT]]="","",IF(Report[[#This Row],[FT]]=Report[[#This Row],[Score 1]],1,0))</f>
        <v>0</v>
      </c>
      <c r="U233" s="53">
        <f>IF(Report[[#This Row],[FT]]="","",IF(Report[ [#This Row],[FT] ]=Report[[#This Row],[Score 2]],1,0))</f>
        <v>0</v>
      </c>
      <c r="V233" s="53">
        <f>IF(Report[[#This Row],[FT]]="","",IF(Report[[#This Row],[FT]]=Report[[#This Row],[Score 3]],1,0))</f>
        <v>0</v>
      </c>
      <c r="W233" s="53">
        <f>IF(Report[[#This Row],[FT]]="","",IF(Report[[#This Row],[FT]]=Report[[#This Row],[Score 4]],1,0))</f>
        <v>0</v>
      </c>
      <c r="X233" s="66">
        <f>IF(Report[[#This Row],[Résultat FT]]="",,IF(Report[[#This Row],[Résultat FT]]=Report[[#This Row],[Résultats]],(Suivi_Gain!$B$1*Report[[#This Row],[Cote FT]])-Suivi_Gain!$B$1,-Suivi_Gain!$B$1))</f>
        <v>-1</v>
      </c>
      <c r="Y233" s="94">
        <f>IF(Report[[#This Row],[FT]]="",,IF(Report[[#This Row],[FT]]=Report[[#This Row],[Score 1]],(Suivi_Gain!$G$1*Report[[#This Row],[Cote SE]])-Suivi_Gain!$G$1,-Suivi_Gain!$G$1))</f>
        <v>-1</v>
      </c>
      <c r="Z233" s="65">
        <f>IF(Report[[#This Row],[FT]]="",,IF(Report[[#This Row],[FT]]=Report[[#This Row],[Score 2]],Suivi_Gain!$G$1*Report[[#This Row],[Cote SE]],-Suivi_Gain!$G$1))</f>
        <v>-1</v>
      </c>
      <c r="AA233" s="65">
        <f>IF(Report[[#This Row],[FT]]="",,IF(Report[[#This Row],[FT]]=Report[[#This Row],[Score 3]],Suivi_Gain!$G$1*Report[[#This Row],[Cote SE]],-Suivi_Gain!$G$1))</f>
        <v>-1</v>
      </c>
      <c r="AB233" s="65">
        <f>IF(Report[[#This Row],[FT]]="",,IF(Report[[#This Row],[FT]]=Report[[#This Row],[Score 4]],Suivi_Gain!$G$1*Report[[#This Row],[Cote SE]],-Suivi_Gain!$G$1))</f>
        <v>-1</v>
      </c>
      <c r="AC233" s="64" t="str">
        <f>IF(Report[[#This Row],[Résultats SE]]="Gagné",Report[[#This Row],[FT]],"")</f>
        <v/>
      </c>
      <c r="AD233" s="64" t="str">
        <f>IF(AND(Report[[#This Row],[Résultats SE]]="Gagné",Report[[#This Row],[FT]]=Report[[#This Row],[Score 1]]),Report[[#This Row],[FT]],"")</f>
        <v/>
      </c>
      <c r="AE233" s="64" t="str">
        <f>IF(AND(Report[[#This Row],[Résultats SE]]="Gagné",Report[[#This Row],[FT]]=Report[[#This Row],[Score 2]]),Report[[#This Row],[FT]],"")</f>
        <v/>
      </c>
      <c r="AF233" s="64" t="str">
        <f>IF(AND(Report[[#This Row],[Résultats SE]]="Gagné",Report[[#This Row],[FT]]=Report[[#This Row],[Score 3]]),Report[[#This Row],[FT]],"")</f>
        <v/>
      </c>
      <c r="AG233" s="64" t="str">
        <f>IF(AND(Report[[#This Row],[Résultats SE]]="Gagné",Report[[#This Row],[FT]]=Report[[#This Row],[Score 4]]),Report[[#This Row],[FT]],"")</f>
        <v/>
      </c>
    </row>
    <row r="234" spans="1:33" ht="20.100000000000001" customHeight="1" x14ac:dyDescent="0.25">
      <c r="A234" s="11">
        <v>43428</v>
      </c>
      <c r="B234" s="7" t="s">
        <v>71</v>
      </c>
      <c r="C234" s="7" t="s">
        <v>117</v>
      </c>
      <c r="D234" s="10" t="s">
        <v>694</v>
      </c>
      <c r="E234" s="10" t="s">
        <v>690</v>
      </c>
      <c r="F234" s="7" t="s">
        <v>842</v>
      </c>
      <c r="G234" s="8" t="s">
        <v>838</v>
      </c>
      <c r="H234" s="9" t="s">
        <v>831</v>
      </c>
      <c r="I234" s="9" t="s">
        <v>834</v>
      </c>
      <c r="J234" s="9" t="s">
        <v>830</v>
      </c>
      <c r="K234" s="9" t="s">
        <v>694</v>
      </c>
      <c r="L234" s="16" t="str">
        <f>IF(Report[Résultat FT]="","",IF(Report[Résultat FT]=Report[Résultats],"","-"))</f>
        <v>-</v>
      </c>
      <c r="M234" s="16" t="str">
        <f>IF(Report[[#This Row],[Résultat FT]]="","",IF(Report[[#This Row],[Résultats SE]]="Gagné","","-"))</f>
        <v>-</v>
      </c>
      <c r="N234" s="17" t="s">
        <v>890</v>
      </c>
      <c r="O234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234" s="18">
        <f>IF(Report[[#This Row],[FT]]="",,(LEFT(Report[[#This Row],[FT]],SEARCH("-",Report[[#This Row],[FT]])-1)*1))</f>
        <v>3</v>
      </c>
      <c r="Q234" s="22">
        <f>IF(Report[[#This Row],[FT]]="",,(RIGHT(Report[[#This Row],[FT]],SEARCH("-",Report[[#This Row],[FT]])-1)*1))</f>
        <v>3</v>
      </c>
      <c r="R234" s="18" t="str">
        <f>IF(Report[Résultat FT]="","",IF(Report[Résultat FT]=Report[Résultats],"Gagné","Perdu"))</f>
        <v>Perdu</v>
      </c>
      <c r="S234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34" s="53">
        <f>IF(Report[[#This Row],[FT]]="","",IF(Report[[#This Row],[FT]]=Report[[#This Row],[Score 1]],1,0))</f>
        <v>0</v>
      </c>
      <c r="U234" s="53">
        <f>IF(Report[[#This Row],[FT]]="","",IF(Report[ [#This Row],[FT] ]=Report[[#This Row],[Score 2]],1,0))</f>
        <v>0</v>
      </c>
      <c r="V234" s="53">
        <f>IF(Report[[#This Row],[FT]]="","",IF(Report[[#This Row],[FT]]=Report[[#This Row],[Score 3]],1,0))</f>
        <v>0</v>
      </c>
      <c r="W234" s="53">
        <f>IF(Report[[#This Row],[FT]]="","",IF(Report[[#This Row],[FT]]=Report[[#This Row],[Score 4]],1,0))</f>
        <v>0</v>
      </c>
      <c r="X234" s="66">
        <f>IF(Report[[#This Row],[Résultat FT]]="",,IF(Report[[#This Row],[Résultat FT]]=Report[[#This Row],[Résultats]],(Suivi_Gain!$B$1*Report[[#This Row],[Cote FT]])-Suivi_Gain!$B$1,-Suivi_Gain!$B$1))</f>
        <v>-1</v>
      </c>
      <c r="Y234" s="94">
        <f>IF(Report[[#This Row],[FT]]="",,IF(Report[[#This Row],[FT]]=Report[[#This Row],[Score 1]],(Suivi_Gain!$G$1*Report[[#This Row],[Cote SE]])-Suivi_Gain!$G$1,-Suivi_Gain!$G$1))</f>
        <v>-1</v>
      </c>
      <c r="Z234" s="65">
        <f>IF(Report[[#This Row],[FT]]="",,IF(Report[[#This Row],[FT]]=Report[[#This Row],[Score 2]],Suivi_Gain!$G$1*Report[[#This Row],[Cote SE]],-Suivi_Gain!$G$1))</f>
        <v>-1</v>
      </c>
      <c r="AA234" s="65">
        <f>IF(Report[[#This Row],[FT]]="",,IF(Report[[#This Row],[FT]]=Report[[#This Row],[Score 3]],Suivi_Gain!$G$1*Report[[#This Row],[Cote SE]],-Suivi_Gain!$G$1))</f>
        <v>-1</v>
      </c>
      <c r="AB234" s="65">
        <f>IF(Report[[#This Row],[FT]]="",,IF(Report[[#This Row],[FT]]=Report[[#This Row],[Score 4]],Suivi_Gain!$G$1*Report[[#This Row],[Cote SE]],-Suivi_Gain!$G$1))</f>
        <v>-1</v>
      </c>
      <c r="AC234" s="64" t="str">
        <f>IF(Report[[#This Row],[Résultats SE]]="Gagné",Report[[#This Row],[FT]],"")</f>
        <v/>
      </c>
      <c r="AD234" s="64" t="str">
        <f>IF(AND(Report[[#This Row],[Résultats SE]]="Gagné",Report[[#This Row],[FT]]=Report[[#This Row],[Score 1]]),Report[[#This Row],[FT]],"")</f>
        <v/>
      </c>
      <c r="AE234" s="64" t="str">
        <f>IF(AND(Report[[#This Row],[Résultats SE]]="Gagné",Report[[#This Row],[FT]]=Report[[#This Row],[Score 2]]),Report[[#This Row],[FT]],"")</f>
        <v/>
      </c>
      <c r="AF234" s="64" t="str">
        <f>IF(AND(Report[[#This Row],[Résultats SE]]="Gagné",Report[[#This Row],[FT]]=Report[[#This Row],[Score 3]]),Report[[#This Row],[FT]],"")</f>
        <v/>
      </c>
      <c r="AG234" s="64" t="str">
        <f>IF(AND(Report[[#This Row],[Résultats SE]]="Gagné",Report[[#This Row],[FT]]=Report[[#This Row],[Score 4]]),Report[[#This Row],[FT]],"")</f>
        <v/>
      </c>
    </row>
    <row r="235" spans="1:33" ht="20.100000000000001" customHeight="1" x14ac:dyDescent="0.25">
      <c r="A235" s="11">
        <v>43428</v>
      </c>
      <c r="B235" s="7" t="s">
        <v>71</v>
      </c>
      <c r="C235" s="7" t="s">
        <v>117</v>
      </c>
      <c r="D235" s="10" t="s">
        <v>695</v>
      </c>
      <c r="E235" s="10" t="s">
        <v>697</v>
      </c>
      <c r="F235" s="7" t="s">
        <v>833</v>
      </c>
      <c r="G235" s="8" t="s">
        <v>834</v>
      </c>
      <c r="H235" s="9" t="s">
        <v>830</v>
      </c>
      <c r="I235" s="9" t="s">
        <v>825</v>
      </c>
      <c r="J235" s="9" t="s">
        <v>826</v>
      </c>
      <c r="K235" s="9" t="s">
        <v>233</v>
      </c>
      <c r="L235" s="16" t="str">
        <f>IF(Report[Résultat FT]="","",IF(Report[Résultat FT]=Report[Résultats],"","-"))</f>
        <v>-</v>
      </c>
      <c r="M235" s="16" t="str">
        <f>IF(Report[[#This Row],[Résultat FT]]="","",IF(Report[[#This Row],[Résultats SE]]="Gagné","","-"))</f>
        <v>-</v>
      </c>
      <c r="N235" s="17" t="s">
        <v>838</v>
      </c>
      <c r="O235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Shonan</v>
      </c>
      <c r="P235" s="18">
        <f>IF(Report[[#This Row],[FT]]="",,(LEFT(Report[[#This Row],[FT]],SEARCH("-",Report[[#This Row],[FT]])-1)*1))</f>
        <v>2</v>
      </c>
      <c r="Q235" s="22">
        <f>IF(Report[[#This Row],[FT]]="",,(RIGHT(Report[[#This Row],[FT]],SEARCH("-",Report[[#This Row],[FT]])-1)*1))</f>
        <v>1</v>
      </c>
      <c r="R235" s="18" t="str">
        <f>IF(Report[Résultat FT]="","",IF(Report[Résultat FT]=Report[Résultats],"Gagné","Perdu"))</f>
        <v>Perdu</v>
      </c>
      <c r="S235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35" s="53">
        <f>IF(Report[[#This Row],[FT]]="","",IF(Report[[#This Row],[FT]]=Report[[#This Row],[Score 1]],1,0))</f>
        <v>0</v>
      </c>
      <c r="U235" s="53">
        <f>IF(Report[[#This Row],[FT]]="","",IF(Report[ [#This Row],[FT] ]=Report[[#This Row],[Score 2]],1,0))</f>
        <v>0</v>
      </c>
      <c r="V235" s="53">
        <f>IF(Report[[#This Row],[FT]]="","",IF(Report[[#This Row],[FT]]=Report[[#This Row],[Score 3]],1,0))</f>
        <v>0</v>
      </c>
      <c r="W235" s="53">
        <f>IF(Report[[#This Row],[FT]]="","",IF(Report[[#This Row],[FT]]=Report[[#This Row],[Score 4]],1,0))</f>
        <v>0</v>
      </c>
      <c r="X235" s="66">
        <f>IF(Report[[#This Row],[Résultat FT]]="",,IF(Report[[#This Row],[Résultat FT]]=Report[[#This Row],[Résultats]],(Suivi_Gain!$B$1*Report[[#This Row],[Cote FT]])-Suivi_Gain!$B$1,-Suivi_Gain!$B$1))</f>
        <v>-1</v>
      </c>
      <c r="Y235" s="94">
        <f>IF(Report[[#This Row],[FT]]="",,IF(Report[[#This Row],[FT]]=Report[[#This Row],[Score 1]],(Suivi_Gain!$G$1*Report[[#This Row],[Cote SE]])-Suivi_Gain!$G$1,-Suivi_Gain!$G$1))</f>
        <v>-1</v>
      </c>
      <c r="Z235" s="65">
        <f>IF(Report[[#This Row],[FT]]="",,IF(Report[[#This Row],[FT]]=Report[[#This Row],[Score 2]],Suivi_Gain!$G$1*Report[[#This Row],[Cote SE]],-Suivi_Gain!$G$1))</f>
        <v>-1</v>
      </c>
      <c r="AA235" s="65">
        <f>IF(Report[[#This Row],[FT]]="",,IF(Report[[#This Row],[FT]]=Report[[#This Row],[Score 3]],Suivi_Gain!$G$1*Report[[#This Row],[Cote SE]],-Suivi_Gain!$G$1))</f>
        <v>-1</v>
      </c>
      <c r="AB235" s="65">
        <f>IF(Report[[#This Row],[FT]]="",,IF(Report[[#This Row],[FT]]=Report[[#This Row],[Score 4]],Suivi_Gain!$G$1*Report[[#This Row],[Cote SE]],-Suivi_Gain!$G$1))</f>
        <v>-1</v>
      </c>
      <c r="AC235" s="64" t="str">
        <f>IF(Report[[#This Row],[Résultats SE]]="Gagné",Report[[#This Row],[FT]],"")</f>
        <v/>
      </c>
      <c r="AD235" s="64" t="str">
        <f>IF(AND(Report[[#This Row],[Résultats SE]]="Gagné",Report[[#This Row],[FT]]=Report[[#This Row],[Score 1]]),Report[[#This Row],[FT]],"")</f>
        <v/>
      </c>
      <c r="AE235" s="64" t="str">
        <f>IF(AND(Report[[#This Row],[Résultats SE]]="Gagné",Report[[#This Row],[FT]]=Report[[#This Row],[Score 2]]),Report[[#This Row],[FT]],"")</f>
        <v/>
      </c>
      <c r="AF235" s="64" t="str">
        <f>IF(AND(Report[[#This Row],[Résultats SE]]="Gagné",Report[[#This Row],[FT]]=Report[[#This Row],[Score 3]]),Report[[#This Row],[FT]],"")</f>
        <v/>
      </c>
      <c r="AG235" s="64" t="str">
        <f>IF(AND(Report[[#This Row],[Résultats SE]]="Gagné",Report[[#This Row],[FT]]=Report[[#This Row],[Score 4]]),Report[[#This Row],[FT]],"")</f>
        <v/>
      </c>
    </row>
    <row r="236" spans="1:33" ht="20.100000000000001" customHeight="1" x14ac:dyDescent="0.25">
      <c r="A236" s="11">
        <v>43428</v>
      </c>
      <c r="B236" s="7" t="s">
        <v>71</v>
      </c>
      <c r="C236" s="7" t="s">
        <v>117</v>
      </c>
      <c r="D236" s="10" t="s">
        <v>696</v>
      </c>
      <c r="E236" s="10" t="s">
        <v>689</v>
      </c>
      <c r="F236" s="7" t="s">
        <v>824</v>
      </c>
      <c r="G236" s="8" t="s">
        <v>825</v>
      </c>
      <c r="H236" s="9" t="s">
        <v>826</v>
      </c>
      <c r="I236" s="9" t="s">
        <v>827</v>
      </c>
      <c r="J236" s="9" t="s">
        <v>828</v>
      </c>
      <c r="K236" s="9" t="s">
        <v>689</v>
      </c>
      <c r="L236" s="16">
        <v>2.85</v>
      </c>
      <c r="M236" s="16">
        <v>13</v>
      </c>
      <c r="N236" s="17" t="s">
        <v>827</v>
      </c>
      <c r="O236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Kawasaki </v>
      </c>
      <c r="P236" s="18">
        <f>IF(Report[[#This Row],[FT]]="",,(LEFT(Report[[#This Row],[FT]],SEARCH("-",Report[[#This Row],[FT]])-1)*1))</f>
        <v>0</v>
      </c>
      <c r="Q236" s="22">
        <f>IF(Report[[#This Row],[FT]]="",,(RIGHT(Report[[#This Row],[FT]],SEARCH("-",Report[[#This Row],[FT]])-1)*1))</f>
        <v>2</v>
      </c>
      <c r="R236" s="18" t="str">
        <f>IF(Report[Résultat FT]="","",IF(Report[Résultat FT]=Report[Résultats],"Gagné","Perdu"))</f>
        <v>Gagné</v>
      </c>
      <c r="S236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236" s="53">
        <f>IF(Report[[#This Row],[FT]]="","",IF(Report[[#This Row],[FT]]=Report[[#This Row],[Score 1]],1,0))</f>
        <v>0</v>
      </c>
      <c r="U236" s="53">
        <f>IF(Report[[#This Row],[FT]]="","",IF(Report[ [#This Row],[FT] ]=Report[[#This Row],[Score 2]],1,0))</f>
        <v>0</v>
      </c>
      <c r="V236" s="53">
        <f>IF(Report[[#This Row],[FT]]="","",IF(Report[[#This Row],[FT]]=Report[[#This Row],[Score 3]],1,0))</f>
        <v>1</v>
      </c>
      <c r="W236" s="53">
        <f>IF(Report[[#This Row],[FT]]="","",IF(Report[[#This Row],[FT]]=Report[[#This Row],[Score 4]],1,0))</f>
        <v>0</v>
      </c>
      <c r="X236" s="66">
        <f>IF(Report[[#This Row],[Résultat FT]]="",,IF(Report[[#This Row],[Résultat FT]]=Report[[#This Row],[Résultats]],(Suivi_Gain!$B$1*Report[[#This Row],[Cote FT]])-Suivi_Gain!$B$1,-Suivi_Gain!$B$1))</f>
        <v>1.85</v>
      </c>
      <c r="Y236" s="94">
        <f>IF(Report[[#This Row],[FT]]="",,IF(Report[[#This Row],[FT]]=Report[[#This Row],[Score 1]],(Suivi_Gain!$G$1*Report[[#This Row],[Cote SE]])-Suivi_Gain!$G$1,-Suivi_Gain!$G$1))</f>
        <v>-1</v>
      </c>
      <c r="Z236" s="65">
        <f>IF(Report[[#This Row],[FT]]="",,IF(Report[[#This Row],[FT]]=Report[[#This Row],[Score 2]],Suivi_Gain!$G$1*Report[[#This Row],[Cote SE]],-Suivi_Gain!$G$1))</f>
        <v>-1</v>
      </c>
      <c r="AA236" s="65">
        <f>IF(Report[[#This Row],[FT]]="",,IF(Report[[#This Row],[FT]]=Report[[#This Row],[Score 3]],Suivi_Gain!$G$1*Report[[#This Row],[Cote SE]],-Suivi_Gain!$G$1))</f>
        <v>13</v>
      </c>
      <c r="AB236" s="65">
        <f>IF(Report[[#This Row],[FT]]="",,IF(Report[[#This Row],[FT]]=Report[[#This Row],[Score 4]],Suivi_Gain!$G$1*Report[[#This Row],[Cote SE]],-Suivi_Gain!$G$1))</f>
        <v>-1</v>
      </c>
      <c r="AC236" s="64" t="str">
        <f>IF(Report[[#This Row],[Résultats SE]]="Gagné",Report[[#This Row],[FT]],"")</f>
        <v>0-2</v>
      </c>
      <c r="AD236" s="64" t="str">
        <f>IF(AND(Report[[#This Row],[Résultats SE]]="Gagné",Report[[#This Row],[FT]]=Report[[#This Row],[Score 1]]),Report[[#This Row],[FT]],"")</f>
        <v/>
      </c>
      <c r="AE236" s="64" t="str">
        <f>IF(AND(Report[[#This Row],[Résultats SE]]="Gagné",Report[[#This Row],[FT]]=Report[[#This Row],[Score 2]]),Report[[#This Row],[FT]],"")</f>
        <v/>
      </c>
      <c r="AF236" s="64" t="str">
        <f>IF(AND(Report[[#This Row],[Résultats SE]]="Gagné",Report[[#This Row],[FT]]=Report[[#This Row],[Score 3]]),Report[[#This Row],[FT]],"")</f>
        <v>0-2</v>
      </c>
      <c r="AG236" s="64" t="str">
        <f>IF(AND(Report[[#This Row],[Résultats SE]]="Gagné",Report[[#This Row],[FT]]=Report[[#This Row],[Score 4]]),Report[[#This Row],[FT]],"")</f>
        <v/>
      </c>
    </row>
    <row r="237" spans="1:33" ht="20.100000000000001" customHeight="1" x14ac:dyDescent="0.25">
      <c r="A237" s="11">
        <v>43428</v>
      </c>
      <c r="B237" s="7" t="s">
        <v>71</v>
      </c>
      <c r="C237" s="7" t="s">
        <v>117</v>
      </c>
      <c r="D237" s="10" t="s">
        <v>699</v>
      </c>
      <c r="E237" s="10" t="s">
        <v>687</v>
      </c>
      <c r="F237" s="7" t="s">
        <v>843</v>
      </c>
      <c r="G237" s="8" t="s">
        <v>839</v>
      </c>
      <c r="H237" s="9" t="s">
        <v>834</v>
      </c>
      <c r="I237" s="9" t="s">
        <v>827</v>
      </c>
      <c r="J237" s="9" t="s">
        <v>825</v>
      </c>
      <c r="K237" s="9" t="s">
        <v>687</v>
      </c>
      <c r="L237" s="16">
        <v>1.8</v>
      </c>
      <c r="M237" s="16" t="str">
        <f>IF(Report[[#This Row],[Résultat FT]]="","",IF(Report[[#This Row],[Résultats SE]]="Gagné","","-"))</f>
        <v>-</v>
      </c>
      <c r="N237" s="17" t="s">
        <v>828</v>
      </c>
      <c r="O237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Kashima</v>
      </c>
      <c r="P237" s="18">
        <f>IF(Report[[#This Row],[FT]]="",,(LEFT(Report[[#This Row],[FT]],SEARCH("-",Report[[#This Row],[FT]])-1)*1))</f>
        <v>0</v>
      </c>
      <c r="Q237" s="22">
        <f>IF(Report[[#This Row],[FT]]="",,(RIGHT(Report[[#This Row],[FT]],SEARCH("-",Report[[#This Row],[FT]])-1)*1))</f>
        <v>3</v>
      </c>
      <c r="R237" s="18" t="str">
        <f>IF(Report[Résultat FT]="","",IF(Report[Résultat FT]=Report[Résultats],"Gagné","Perdu"))</f>
        <v>Gagné</v>
      </c>
      <c r="S237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37" s="53">
        <f>IF(Report[[#This Row],[FT]]="","",IF(Report[[#This Row],[FT]]=Report[[#This Row],[Score 1]],1,0))</f>
        <v>0</v>
      </c>
      <c r="U237" s="53">
        <f>IF(Report[[#This Row],[FT]]="","",IF(Report[ [#This Row],[FT] ]=Report[[#This Row],[Score 2]],1,0))</f>
        <v>0</v>
      </c>
      <c r="V237" s="53">
        <f>IF(Report[[#This Row],[FT]]="","",IF(Report[[#This Row],[FT]]=Report[[#This Row],[Score 3]],1,0))</f>
        <v>0</v>
      </c>
      <c r="W237" s="53">
        <f>IF(Report[[#This Row],[FT]]="","",IF(Report[[#This Row],[FT]]=Report[[#This Row],[Score 4]],1,0))</f>
        <v>0</v>
      </c>
      <c r="X237" s="66">
        <f>IF(Report[[#This Row],[Résultat FT]]="",,IF(Report[[#This Row],[Résultat FT]]=Report[[#This Row],[Résultats]],(Suivi_Gain!$B$1*Report[[#This Row],[Cote FT]])-Suivi_Gain!$B$1,-Suivi_Gain!$B$1))</f>
        <v>0.8</v>
      </c>
      <c r="Y237" s="94">
        <f>IF(Report[[#This Row],[FT]]="",,IF(Report[[#This Row],[FT]]=Report[[#This Row],[Score 1]],(Suivi_Gain!$G$1*Report[[#This Row],[Cote SE]])-Suivi_Gain!$G$1,-Suivi_Gain!$G$1))</f>
        <v>-1</v>
      </c>
      <c r="Z237" s="65">
        <f>IF(Report[[#This Row],[FT]]="",,IF(Report[[#This Row],[FT]]=Report[[#This Row],[Score 2]],Suivi_Gain!$G$1*Report[[#This Row],[Cote SE]],-Suivi_Gain!$G$1))</f>
        <v>-1</v>
      </c>
      <c r="AA237" s="65">
        <f>IF(Report[[#This Row],[FT]]="",,IF(Report[[#This Row],[FT]]=Report[[#This Row],[Score 3]],Suivi_Gain!$G$1*Report[[#This Row],[Cote SE]],-Suivi_Gain!$G$1))</f>
        <v>-1</v>
      </c>
      <c r="AB237" s="65">
        <f>IF(Report[[#This Row],[FT]]="",,IF(Report[[#This Row],[FT]]=Report[[#This Row],[Score 4]],Suivi_Gain!$G$1*Report[[#This Row],[Cote SE]],-Suivi_Gain!$G$1))</f>
        <v>-1</v>
      </c>
      <c r="AC237" s="64" t="str">
        <f>IF(Report[[#This Row],[Résultats SE]]="Gagné",Report[[#This Row],[FT]],"")</f>
        <v/>
      </c>
      <c r="AD237" s="64" t="str">
        <f>IF(AND(Report[[#This Row],[Résultats SE]]="Gagné",Report[[#This Row],[FT]]=Report[[#This Row],[Score 1]]),Report[[#This Row],[FT]],"")</f>
        <v/>
      </c>
      <c r="AE237" s="64" t="str">
        <f>IF(AND(Report[[#This Row],[Résultats SE]]="Gagné",Report[[#This Row],[FT]]=Report[[#This Row],[Score 2]]),Report[[#This Row],[FT]],"")</f>
        <v/>
      </c>
      <c r="AF237" s="64" t="str">
        <f>IF(AND(Report[[#This Row],[Résultats SE]]="Gagné",Report[[#This Row],[FT]]=Report[[#This Row],[Score 3]]),Report[[#This Row],[FT]],"")</f>
        <v/>
      </c>
      <c r="AG237" s="64" t="str">
        <f>IF(AND(Report[[#This Row],[Résultats SE]]="Gagné",Report[[#This Row],[FT]]=Report[[#This Row],[Score 4]]),Report[[#This Row],[FT]],"")</f>
        <v/>
      </c>
    </row>
    <row r="238" spans="1:33" ht="20.100000000000001" customHeight="1" x14ac:dyDescent="0.25">
      <c r="A238" s="11">
        <v>43428</v>
      </c>
      <c r="B238" s="7" t="s">
        <v>225</v>
      </c>
      <c r="C238" s="7" t="s">
        <v>135</v>
      </c>
      <c r="D238" s="10" t="s">
        <v>731</v>
      </c>
      <c r="E238" s="10" t="s">
        <v>736</v>
      </c>
      <c r="F238" s="7" t="s">
        <v>833</v>
      </c>
      <c r="G238" s="8" t="s">
        <v>834</v>
      </c>
      <c r="H238" s="9" t="s">
        <v>830</v>
      </c>
      <c r="I238" s="9" t="s">
        <v>825</v>
      </c>
      <c r="J238" s="9" t="s">
        <v>826</v>
      </c>
      <c r="K238" s="9" t="s">
        <v>233</v>
      </c>
      <c r="L238" s="16" t="str">
        <f>IF(Report[Résultat FT]="","",IF(Report[Résultat FT]=Report[Résultats],"","-"))</f>
        <v>-</v>
      </c>
      <c r="M238" s="16">
        <v>8.5</v>
      </c>
      <c r="N238" s="17" t="s">
        <v>830</v>
      </c>
      <c r="O238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Brann </v>
      </c>
      <c r="P238" s="18">
        <f>IF(Report[[#This Row],[FT]]="",,(LEFT(Report[[#This Row],[FT]],SEARCH("-",Report[[#This Row],[FT]])-1)*1))</f>
        <v>1</v>
      </c>
      <c r="Q238" s="22">
        <f>IF(Report[[#This Row],[FT]]="",,(RIGHT(Report[[#This Row],[FT]],SEARCH("-",Report[[#This Row],[FT]])-1)*1))</f>
        <v>0</v>
      </c>
      <c r="R238" s="18" t="str">
        <f>IF(Report[Résultat FT]="","",IF(Report[Résultat FT]=Report[Résultats],"Gagné","Perdu"))</f>
        <v>Perdu</v>
      </c>
      <c r="S238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238" s="53">
        <f>IF(Report[[#This Row],[FT]]="","",IF(Report[[#This Row],[FT]]=Report[[#This Row],[Score 1]],1,0))</f>
        <v>0</v>
      </c>
      <c r="U238" s="53">
        <f>IF(Report[[#This Row],[FT]]="","",IF(Report[ [#This Row],[FT] ]=Report[[#This Row],[Score 2]],1,0))</f>
        <v>1</v>
      </c>
      <c r="V238" s="53">
        <f>IF(Report[[#This Row],[FT]]="","",IF(Report[[#This Row],[FT]]=Report[[#This Row],[Score 3]],1,0))</f>
        <v>0</v>
      </c>
      <c r="W238" s="53">
        <f>IF(Report[[#This Row],[FT]]="","",IF(Report[[#This Row],[FT]]=Report[[#This Row],[Score 4]],1,0))</f>
        <v>0</v>
      </c>
      <c r="X238" s="66">
        <f>IF(Report[[#This Row],[Résultat FT]]="",,IF(Report[[#This Row],[Résultat FT]]=Report[[#This Row],[Résultats]],(Suivi_Gain!$B$1*Report[[#This Row],[Cote FT]])-Suivi_Gain!$B$1,-Suivi_Gain!$B$1))</f>
        <v>-1</v>
      </c>
      <c r="Y238" s="94">
        <f>IF(Report[[#This Row],[FT]]="",,IF(Report[[#This Row],[FT]]=Report[[#This Row],[Score 1]],(Suivi_Gain!$G$1*Report[[#This Row],[Cote SE]])-Suivi_Gain!$G$1,-Suivi_Gain!$G$1))</f>
        <v>-1</v>
      </c>
      <c r="Z238" s="65">
        <f>IF(Report[[#This Row],[FT]]="",,IF(Report[[#This Row],[FT]]=Report[[#This Row],[Score 2]],Suivi_Gain!$G$1*Report[[#This Row],[Cote SE]],-Suivi_Gain!$G$1))</f>
        <v>8.5</v>
      </c>
      <c r="AA238" s="65">
        <f>IF(Report[[#This Row],[FT]]="",,IF(Report[[#This Row],[FT]]=Report[[#This Row],[Score 3]],Suivi_Gain!$G$1*Report[[#This Row],[Cote SE]],-Suivi_Gain!$G$1))</f>
        <v>-1</v>
      </c>
      <c r="AB238" s="65">
        <f>IF(Report[[#This Row],[FT]]="",,IF(Report[[#This Row],[FT]]=Report[[#This Row],[Score 4]],Suivi_Gain!$G$1*Report[[#This Row],[Cote SE]],-Suivi_Gain!$G$1))</f>
        <v>-1</v>
      </c>
      <c r="AC238" s="64" t="str">
        <f>IF(Report[[#This Row],[Résultats SE]]="Gagné",Report[[#This Row],[FT]],"")</f>
        <v>1-0</v>
      </c>
      <c r="AD238" s="64" t="str">
        <f>IF(AND(Report[[#This Row],[Résultats SE]]="Gagné",Report[[#This Row],[FT]]=Report[[#This Row],[Score 1]]),Report[[#This Row],[FT]],"")</f>
        <v/>
      </c>
      <c r="AE238" s="64" t="str">
        <f>IF(AND(Report[[#This Row],[Résultats SE]]="Gagné",Report[[#This Row],[FT]]=Report[[#This Row],[Score 2]]),Report[[#This Row],[FT]],"")</f>
        <v>1-0</v>
      </c>
      <c r="AF238" s="64" t="str">
        <f>IF(AND(Report[[#This Row],[Résultats SE]]="Gagné",Report[[#This Row],[FT]]=Report[[#This Row],[Score 3]]),Report[[#This Row],[FT]],"")</f>
        <v/>
      </c>
      <c r="AG238" s="64" t="str">
        <f>IF(AND(Report[[#This Row],[Résultats SE]]="Gagné",Report[[#This Row],[FT]]=Report[[#This Row],[Score 4]]),Report[[#This Row],[FT]],"")</f>
        <v/>
      </c>
    </row>
    <row r="239" spans="1:33" ht="20.100000000000001" customHeight="1" x14ac:dyDescent="0.25">
      <c r="A239" s="11">
        <v>43428</v>
      </c>
      <c r="B239" s="7" t="s">
        <v>225</v>
      </c>
      <c r="C239" s="7" t="s">
        <v>135</v>
      </c>
      <c r="D239" s="10" t="s">
        <v>732</v>
      </c>
      <c r="E239" s="10" t="s">
        <v>742</v>
      </c>
      <c r="F239" s="7" t="s">
        <v>842</v>
      </c>
      <c r="G239" s="8" t="s">
        <v>838</v>
      </c>
      <c r="H239" s="9" t="s">
        <v>831</v>
      </c>
      <c r="I239" s="9" t="s">
        <v>834</v>
      </c>
      <c r="J239" s="9" t="s">
        <v>830</v>
      </c>
      <c r="K239" s="9" t="s">
        <v>732</v>
      </c>
      <c r="L239" s="16">
        <v>2.2799999999999998</v>
      </c>
      <c r="M239" s="16" t="str">
        <f>IF(Report[[#This Row],[Résultat FT]]="","",IF(Report[[#This Row],[Résultats SE]]="Gagné","","-"))</f>
        <v>-</v>
      </c>
      <c r="N239" s="17" t="s">
        <v>853</v>
      </c>
      <c r="O239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Haugesund</v>
      </c>
      <c r="P239" s="18">
        <f>IF(Report[[#This Row],[FT]]="",,(LEFT(Report[[#This Row],[FT]],SEARCH("-",Report[[#This Row],[FT]])-1)*1))</f>
        <v>3</v>
      </c>
      <c r="Q239" s="22">
        <f>IF(Report[[#This Row],[FT]]="",,(RIGHT(Report[[#This Row],[FT]],SEARCH("-",Report[[#This Row],[FT]])-1)*1))</f>
        <v>1</v>
      </c>
      <c r="R239" s="18" t="str">
        <f>IF(Report[Résultat FT]="","",IF(Report[Résultat FT]=Report[Résultats],"Gagné","Perdu"))</f>
        <v>Gagné</v>
      </c>
      <c r="S239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39" s="53">
        <f>IF(Report[[#This Row],[FT]]="","",IF(Report[[#This Row],[FT]]=Report[[#This Row],[Score 1]],1,0))</f>
        <v>0</v>
      </c>
      <c r="U239" s="53">
        <f>IF(Report[[#This Row],[FT]]="","",IF(Report[ [#This Row],[FT] ]=Report[[#This Row],[Score 2]],1,0))</f>
        <v>0</v>
      </c>
      <c r="V239" s="53">
        <f>IF(Report[[#This Row],[FT]]="","",IF(Report[[#This Row],[FT]]=Report[[#This Row],[Score 3]],1,0))</f>
        <v>0</v>
      </c>
      <c r="W239" s="53">
        <f>IF(Report[[#This Row],[FT]]="","",IF(Report[[#This Row],[FT]]=Report[[#This Row],[Score 4]],1,0))</f>
        <v>0</v>
      </c>
      <c r="X239" s="66">
        <f>IF(Report[[#This Row],[Résultat FT]]="",,IF(Report[[#This Row],[Résultat FT]]=Report[[#This Row],[Résultats]],(Suivi_Gain!$B$1*Report[[#This Row],[Cote FT]])-Suivi_Gain!$B$1,-Suivi_Gain!$B$1))</f>
        <v>1.2799999999999998</v>
      </c>
      <c r="Y239" s="94">
        <f>IF(Report[[#This Row],[FT]]="",,IF(Report[[#This Row],[FT]]=Report[[#This Row],[Score 1]],(Suivi_Gain!$G$1*Report[[#This Row],[Cote SE]])-Suivi_Gain!$G$1,-Suivi_Gain!$G$1))</f>
        <v>-1</v>
      </c>
      <c r="Z239" s="65">
        <f>IF(Report[[#This Row],[FT]]="",,IF(Report[[#This Row],[FT]]=Report[[#This Row],[Score 2]],Suivi_Gain!$G$1*Report[[#This Row],[Cote SE]],-Suivi_Gain!$G$1))</f>
        <v>-1</v>
      </c>
      <c r="AA239" s="65">
        <f>IF(Report[[#This Row],[FT]]="",,IF(Report[[#This Row],[FT]]=Report[[#This Row],[Score 3]],Suivi_Gain!$G$1*Report[[#This Row],[Cote SE]],-Suivi_Gain!$G$1))</f>
        <v>-1</v>
      </c>
      <c r="AB239" s="65">
        <f>IF(Report[[#This Row],[FT]]="",,IF(Report[[#This Row],[FT]]=Report[[#This Row],[Score 4]],Suivi_Gain!$G$1*Report[[#This Row],[Cote SE]],-Suivi_Gain!$G$1))</f>
        <v>-1</v>
      </c>
      <c r="AC239" s="64" t="str">
        <f>IF(Report[[#This Row],[Résultats SE]]="Gagné",Report[[#This Row],[FT]],"")</f>
        <v/>
      </c>
      <c r="AD239" s="64" t="str">
        <f>IF(AND(Report[[#This Row],[Résultats SE]]="Gagné",Report[[#This Row],[FT]]=Report[[#This Row],[Score 1]]),Report[[#This Row],[FT]],"")</f>
        <v/>
      </c>
      <c r="AE239" s="64" t="str">
        <f>IF(AND(Report[[#This Row],[Résultats SE]]="Gagné",Report[[#This Row],[FT]]=Report[[#This Row],[Score 2]]),Report[[#This Row],[FT]],"")</f>
        <v/>
      </c>
      <c r="AF239" s="64" t="str">
        <f>IF(AND(Report[[#This Row],[Résultats SE]]="Gagné",Report[[#This Row],[FT]]=Report[[#This Row],[Score 3]]),Report[[#This Row],[FT]],"")</f>
        <v/>
      </c>
      <c r="AG239" s="64" t="str">
        <f>IF(AND(Report[[#This Row],[Résultats SE]]="Gagné",Report[[#This Row],[FT]]=Report[[#This Row],[Score 4]]),Report[[#This Row],[FT]],"")</f>
        <v/>
      </c>
    </row>
    <row r="240" spans="1:33" ht="20.100000000000001" customHeight="1" x14ac:dyDescent="0.25">
      <c r="A240" s="11">
        <v>43428</v>
      </c>
      <c r="B240" s="7" t="s">
        <v>225</v>
      </c>
      <c r="C240" s="7" t="s">
        <v>135</v>
      </c>
      <c r="D240" s="10" t="s">
        <v>734</v>
      </c>
      <c r="E240" s="10" t="s">
        <v>733</v>
      </c>
      <c r="F240" s="7" t="s">
        <v>843</v>
      </c>
      <c r="G240" s="8" t="s">
        <v>839</v>
      </c>
      <c r="H240" s="9" t="s">
        <v>834</v>
      </c>
      <c r="I240" s="9" t="s">
        <v>827</v>
      </c>
      <c r="J240" s="9" t="s">
        <v>825</v>
      </c>
      <c r="K240" s="9" t="s">
        <v>733</v>
      </c>
      <c r="L240" s="16" t="str">
        <f>IF(Report[Résultat FT]="","",IF(Report[Résultat FT]=Report[Résultats],"","-"))</f>
        <v>-</v>
      </c>
      <c r="M240" s="16" t="str">
        <f>IF(Report[[#This Row],[Résultat FT]]="","",IF(Report[[#This Row],[Résultats SE]]="Gagné","","-"))</f>
        <v>-</v>
      </c>
      <c r="N240" s="17" t="s">
        <v>831</v>
      </c>
      <c r="O240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Lilleström</v>
      </c>
      <c r="P240" s="18">
        <f>IF(Report[[#This Row],[FT]]="",,(LEFT(Report[[#This Row],[FT]],SEARCH("-",Report[[#This Row],[FT]])-1)*1))</f>
        <v>2</v>
      </c>
      <c r="Q240" s="22">
        <f>IF(Report[[#This Row],[FT]]="",,(RIGHT(Report[[#This Row],[FT]],SEARCH("-",Report[[#This Row],[FT]])-1)*1))</f>
        <v>0</v>
      </c>
      <c r="R240" s="18" t="str">
        <f>IF(Report[Résultat FT]="","",IF(Report[Résultat FT]=Report[Résultats],"Gagné","Perdu"))</f>
        <v>Perdu</v>
      </c>
      <c r="S240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40" s="53">
        <f>IF(Report[[#This Row],[FT]]="","",IF(Report[[#This Row],[FT]]=Report[[#This Row],[Score 1]],1,0))</f>
        <v>0</v>
      </c>
      <c r="U240" s="53">
        <f>IF(Report[[#This Row],[FT]]="","",IF(Report[ [#This Row],[FT] ]=Report[[#This Row],[Score 2]],1,0))</f>
        <v>0</v>
      </c>
      <c r="V240" s="53">
        <f>IF(Report[[#This Row],[FT]]="","",IF(Report[[#This Row],[FT]]=Report[[#This Row],[Score 3]],1,0))</f>
        <v>0</v>
      </c>
      <c r="W240" s="53">
        <f>IF(Report[[#This Row],[FT]]="","",IF(Report[[#This Row],[FT]]=Report[[#This Row],[Score 4]],1,0))</f>
        <v>0</v>
      </c>
      <c r="X240" s="66">
        <f>IF(Report[[#This Row],[Résultat FT]]="",,IF(Report[[#This Row],[Résultat FT]]=Report[[#This Row],[Résultats]],(Suivi_Gain!$B$1*Report[[#This Row],[Cote FT]])-Suivi_Gain!$B$1,-Suivi_Gain!$B$1))</f>
        <v>-1</v>
      </c>
      <c r="Y240" s="94">
        <f>IF(Report[[#This Row],[FT]]="",,IF(Report[[#This Row],[FT]]=Report[[#This Row],[Score 1]],(Suivi_Gain!$G$1*Report[[#This Row],[Cote SE]])-Suivi_Gain!$G$1,-Suivi_Gain!$G$1))</f>
        <v>-1</v>
      </c>
      <c r="Z240" s="65">
        <f>IF(Report[[#This Row],[FT]]="",,IF(Report[[#This Row],[FT]]=Report[[#This Row],[Score 2]],Suivi_Gain!$G$1*Report[[#This Row],[Cote SE]],-Suivi_Gain!$G$1))</f>
        <v>-1</v>
      </c>
      <c r="AA240" s="65">
        <f>IF(Report[[#This Row],[FT]]="",,IF(Report[[#This Row],[FT]]=Report[[#This Row],[Score 3]],Suivi_Gain!$G$1*Report[[#This Row],[Cote SE]],-Suivi_Gain!$G$1))</f>
        <v>-1</v>
      </c>
      <c r="AB240" s="65">
        <f>IF(Report[[#This Row],[FT]]="",,IF(Report[[#This Row],[FT]]=Report[[#This Row],[Score 4]],Suivi_Gain!$G$1*Report[[#This Row],[Cote SE]],-Suivi_Gain!$G$1))</f>
        <v>-1</v>
      </c>
      <c r="AC240" s="64" t="str">
        <f>IF(Report[[#This Row],[Résultats SE]]="Gagné",Report[[#This Row],[FT]],"")</f>
        <v/>
      </c>
      <c r="AD240" s="64" t="str">
        <f>IF(AND(Report[[#This Row],[Résultats SE]]="Gagné",Report[[#This Row],[FT]]=Report[[#This Row],[Score 1]]),Report[[#This Row],[FT]],"")</f>
        <v/>
      </c>
      <c r="AE240" s="64" t="str">
        <f>IF(AND(Report[[#This Row],[Résultats SE]]="Gagné",Report[[#This Row],[FT]]=Report[[#This Row],[Score 2]]),Report[[#This Row],[FT]],"")</f>
        <v/>
      </c>
      <c r="AF240" s="64" t="str">
        <f>IF(AND(Report[[#This Row],[Résultats SE]]="Gagné",Report[[#This Row],[FT]]=Report[[#This Row],[Score 3]]),Report[[#This Row],[FT]],"")</f>
        <v/>
      </c>
      <c r="AG240" s="64" t="str">
        <f>IF(AND(Report[[#This Row],[Résultats SE]]="Gagné",Report[[#This Row],[FT]]=Report[[#This Row],[Score 4]]),Report[[#This Row],[FT]],"")</f>
        <v/>
      </c>
    </row>
    <row r="241" spans="1:33" ht="20.100000000000001" customHeight="1" x14ac:dyDescent="0.25">
      <c r="A241" s="11">
        <v>43428</v>
      </c>
      <c r="B241" s="7" t="s">
        <v>225</v>
      </c>
      <c r="C241" s="7" t="s">
        <v>135</v>
      </c>
      <c r="D241" s="10" t="s">
        <v>738</v>
      </c>
      <c r="E241" s="10" t="s">
        <v>730</v>
      </c>
      <c r="F241" s="7" t="s">
        <v>829</v>
      </c>
      <c r="G241" s="8" t="s">
        <v>830</v>
      </c>
      <c r="H241" s="9" t="s">
        <v>826</v>
      </c>
      <c r="I241" s="9" t="s">
        <v>831</v>
      </c>
      <c r="J241" s="9" t="s">
        <v>832</v>
      </c>
      <c r="K241" s="9" t="s">
        <v>738</v>
      </c>
      <c r="L241" s="16" t="str">
        <f>IF(Report[Résultat FT]="","",IF(Report[Résultat FT]=Report[Résultats],"","-"))</f>
        <v>-</v>
      </c>
      <c r="M241" s="16" t="str">
        <f>IF(Report[[#This Row],[Résultat FT]]="","",IF(Report[[#This Row],[Résultats SE]]="Gagné","","-"))</f>
        <v>-</v>
      </c>
      <c r="N241" s="17" t="s">
        <v>834</v>
      </c>
      <c r="O241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241" s="18">
        <f>IF(Report[[#This Row],[FT]]="",,(LEFT(Report[[#This Row],[FT]],SEARCH("-",Report[[#This Row],[FT]])-1)*1))</f>
        <v>1</v>
      </c>
      <c r="Q241" s="22">
        <f>IF(Report[[#This Row],[FT]]="",,(RIGHT(Report[[#This Row],[FT]],SEARCH("-",Report[[#This Row],[FT]])-1)*1))</f>
        <v>1</v>
      </c>
      <c r="R241" s="18" t="str">
        <f>IF(Report[Résultat FT]="","",IF(Report[Résultat FT]=Report[Résultats],"Gagné","Perdu"))</f>
        <v>Perdu</v>
      </c>
      <c r="S241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41" s="53">
        <f>IF(Report[[#This Row],[FT]]="","",IF(Report[[#This Row],[FT]]=Report[[#This Row],[Score 1]],1,0))</f>
        <v>0</v>
      </c>
      <c r="U241" s="53">
        <f>IF(Report[[#This Row],[FT]]="","",IF(Report[ [#This Row],[FT] ]=Report[[#This Row],[Score 2]],1,0))</f>
        <v>0</v>
      </c>
      <c r="V241" s="53">
        <f>IF(Report[[#This Row],[FT]]="","",IF(Report[[#This Row],[FT]]=Report[[#This Row],[Score 3]],1,0))</f>
        <v>0</v>
      </c>
      <c r="W241" s="53">
        <f>IF(Report[[#This Row],[FT]]="","",IF(Report[[#This Row],[FT]]=Report[[#This Row],[Score 4]],1,0))</f>
        <v>0</v>
      </c>
      <c r="X241" s="66">
        <f>IF(Report[[#This Row],[Résultat FT]]="",,IF(Report[[#This Row],[Résultat FT]]=Report[[#This Row],[Résultats]],(Suivi_Gain!$B$1*Report[[#This Row],[Cote FT]])-Suivi_Gain!$B$1,-Suivi_Gain!$B$1))</f>
        <v>-1</v>
      </c>
      <c r="Y241" s="94">
        <f>IF(Report[[#This Row],[FT]]="",,IF(Report[[#This Row],[FT]]=Report[[#This Row],[Score 1]],(Suivi_Gain!$G$1*Report[[#This Row],[Cote SE]])-Suivi_Gain!$G$1,-Suivi_Gain!$G$1))</f>
        <v>-1</v>
      </c>
      <c r="Z241" s="65">
        <f>IF(Report[[#This Row],[FT]]="",,IF(Report[[#This Row],[FT]]=Report[[#This Row],[Score 2]],Suivi_Gain!$G$1*Report[[#This Row],[Cote SE]],-Suivi_Gain!$G$1))</f>
        <v>-1</v>
      </c>
      <c r="AA241" s="65">
        <f>IF(Report[[#This Row],[FT]]="",,IF(Report[[#This Row],[FT]]=Report[[#This Row],[Score 3]],Suivi_Gain!$G$1*Report[[#This Row],[Cote SE]],-Suivi_Gain!$G$1))</f>
        <v>-1</v>
      </c>
      <c r="AB241" s="65">
        <f>IF(Report[[#This Row],[FT]]="",,IF(Report[[#This Row],[FT]]=Report[[#This Row],[Score 4]],Suivi_Gain!$G$1*Report[[#This Row],[Cote SE]],-Suivi_Gain!$G$1))</f>
        <v>-1</v>
      </c>
      <c r="AC241" s="64" t="str">
        <f>IF(Report[[#This Row],[Résultats SE]]="Gagné",Report[[#This Row],[FT]],"")</f>
        <v/>
      </c>
      <c r="AD241" s="64" t="str">
        <f>IF(AND(Report[[#This Row],[Résultats SE]]="Gagné",Report[[#This Row],[FT]]=Report[[#This Row],[Score 1]]),Report[[#This Row],[FT]],"")</f>
        <v/>
      </c>
      <c r="AE241" s="64" t="str">
        <f>IF(AND(Report[[#This Row],[Résultats SE]]="Gagné",Report[[#This Row],[FT]]=Report[[#This Row],[Score 2]]),Report[[#This Row],[FT]],"")</f>
        <v/>
      </c>
      <c r="AF241" s="64" t="str">
        <f>IF(AND(Report[[#This Row],[Résultats SE]]="Gagné",Report[[#This Row],[FT]]=Report[[#This Row],[Score 3]]),Report[[#This Row],[FT]],"")</f>
        <v/>
      </c>
      <c r="AG241" s="64" t="str">
        <f>IF(AND(Report[[#This Row],[Résultats SE]]="Gagné",Report[[#This Row],[FT]]=Report[[#This Row],[Score 4]]),Report[[#This Row],[FT]],"")</f>
        <v/>
      </c>
    </row>
    <row r="242" spans="1:33" ht="20.100000000000001" customHeight="1" x14ac:dyDescent="0.25">
      <c r="A242" s="11">
        <v>43428</v>
      </c>
      <c r="B242" s="7" t="s">
        <v>225</v>
      </c>
      <c r="C242" s="7" t="s">
        <v>135</v>
      </c>
      <c r="D242" s="10" t="s">
        <v>739</v>
      </c>
      <c r="E242" s="10" t="s">
        <v>735</v>
      </c>
      <c r="F242" s="7" t="s">
        <v>840</v>
      </c>
      <c r="G242" s="8" t="s">
        <v>841</v>
      </c>
      <c r="H242" s="9" t="s">
        <v>839</v>
      </c>
      <c r="I242" s="9" t="s">
        <v>828</v>
      </c>
      <c r="J242" s="9" t="s">
        <v>827</v>
      </c>
      <c r="K242" s="9" t="s">
        <v>735</v>
      </c>
      <c r="L242" s="16">
        <v>1.48</v>
      </c>
      <c r="M242" s="16">
        <v>11</v>
      </c>
      <c r="N242" s="17" t="s">
        <v>841</v>
      </c>
      <c r="O242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Molde </v>
      </c>
      <c r="P242" s="18">
        <f>IF(Report[[#This Row],[FT]]="",,(LEFT(Report[[#This Row],[FT]],SEARCH("-",Report[[#This Row],[FT]])-1)*1))</f>
        <v>1</v>
      </c>
      <c r="Q242" s="22">
        <f>IF(Report[[#This Row],[FT]]="",,(RIGHT(Report[[#This Row],[FT]],SEARCH("-",Report[[#This Row],[FT]])-1)*1))</f>
        <v>3</v>
      </c>
      <c r="R242" s="18" t="str">
        <f>IF(Report[Résultat FT]="","",IF(Report[Résultat FT]=Report[Résultats],"Gagné","Perdu"))</f>
        <v>Gagné</v>
      </c>
      <c r="S242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242" s="53">
        <f>IF(Report[[#This Row],[FT]]="","",IF(Report[[#This Row],[FT]]=Report[[#This Row],[Score 1]],1,0))</f>
        <v>1</v>
      </c>
      <c r="U242" s="53">
        <f>IF(Report[[#This Row],[FT]]="","",IF(Report[ [#This Row],[FT] ]=Report[[#This Row],[Score 2]],1,0))</f>
        <v>0</v>
      </c>
      <c r="V242" s="53">
        <f>IF(Report[[#This Row],[FT]]="","",IF(Report[[#This Row],[FT]]=Report[[#This Row],[Score 3]],1,0))</f>
        <v>0</v>
      </c>
      <c r="W242" s="53">
        <f>IF(Report[[#This Row],[FT]]="","",IF(Report[[#This Row],[FT]]=Report[[#This Row],[Score 4]],1,0))</f>
        <v>0</v>
      </c>
      <c r="X242" s="66">
        <f>IF(Report[[#This Row],[Résultat FT]]="",,IF(Report[[#This Row],[Résultat FT]]=Report[[#This Row],[Résultats]],(Suivi_Gain!$B$1*Report[[#This Row],[Cote FT]])-Suivi_Gain!$B$1,-Suivi_Gain!$B$1))</f>
        <v>0.48</v>
      </c>
      <c r="Y242" s="94">
        <f>IF(Report[[#This Row],[FT]]="",,IF(Report[[#This Row],[FT]]=Report[[#This Row],[Score 1]],(Suivi_Gain!$G$1*Report[[#This Row],[Cote SE]])-Suivi_Gain!$G$1,-Suivi_Gain!$G$1))</f>
        <v>10</v>
      </c>
      <c r="Z242" s="65">
        <f>IF(Report[[#This Row],[FT]]="",,IF(Report[[#This Row],[FT]]=Report[[#This Row],[Score 2]],Suivi_Gain!$G$1*Report[[#This Row],[Cote SE]],-Suivi_Gain!$G$1))</f>
        <v>-1</v>
      </c>
      <c r="AA242" s="65">
        <f>IF(Report[[#This Row],[FT]]="",,IF(Report[[#This Row],[FT]]=Report[[#This Row],[Score 3]],Suivi_Gain!$G$1*Report[[#This Row],[Cote SE]],-Suivi_Gain!$G$1))</f>
        <v>-1</v>
      </c>
      <c r="AB242" s="65">
        <f>IF(Report[[#This Row],[FT]]="",,IF(Report[[#This Row],[FT]]=Report[[#This Row],[Score 4]],Suivi_Gain!$G$1*Report[[#This Row],[Cote SE]],-Suivi_Gain!$G$1))</f>
        <v>-1</v>
      </c>
      <c r="AC242" s="64" t="str">
        <f>IF(Report[[#This Row],[Résultats SE]]="Gagné",Report[[#This Row],[FT]],"")</f>
        <v>1-3</v>
      </c>
      <c r="AD242" s="64" t="str">
        <f>IF(AND(Report[[#This Row],[Résultats SE]]="Gagné",Report[[#This Row],[FT]]=Report[[#This Row],[Score 1]]),Report[[#This Row],[FT]],"")</f>
        <v>1-3</v>
      </c>
      <c r="AE242" s="64" t="str">
        <f>IF(AND(Report[[#This Row],[Résultats SE]]="Gagné",Report[[#This Row],[FT]]=Report[[#This Row],[Score 2]]),Report[[#This Row],[FT]],"")</f>
        <v/>
      </c>
      <c r="AF242" s="64" t="str">
        <f>IF(AND(Report[[#This Row],[Résultats SE]]="Gagné",Report[[#This Row],[FT]]=Report[[#This Row],[Score 3]]),Report[[#This Row],[FT]],"")</f>
        <v/>
      </c>
      <c r="AG242" s="64" t="str">
        <f>IF(AND(Report[[#This Row],[Résultats SE]]="Gagné",Report[[#This Row],[FT]]=Report[[#This Row],[Score 4]]),Report[[#This Row],[FT]],"")</f>
        <v/>
      </c>
    </row>
    <row r="243" spans="1:33" ht="20.100000000000001" customHeight="1" x14ac:dyDescent="0.25">
      <c r="A243" s="11">
        <v>43428</v>
      </c>
      <c r="B243" s="7" t="s">
        <v>225</v>
      </c>
      <c r="C243" s="7" t="s">
        <v>135</v>
      </c>
      <c r="D243" s="10" t="s">
        <v>741</v>
      </c>
      <c r="E243" s="10" t="s">
        <v>743</v>
      </c>
      <c r="F243" s="7" t="s">
        <v>843</v>
      </c>
      <c r="G243" s="8" t="s">
        <v>839</v>
      </c>
      <c r="H243" s="9" t="s">
        <v>834</v>
      </c>
      <c r="I243" s="9" t="s">
        <v>827</v>
      </c>
      <c r="J243" s="9" t="s">
        <v>825</v>
      </c>
      <c r="K243" s="9" t="s">
        <v>743</v>
      </c>
      <c r="L243" s="16" t="str">
        <f>IF(Report[Résultat FT]="","",IF(Report[Résultat FT]=Report[Résultats],"","-"))</f>
        <v>-</v>
      </c>
      <c r="M243" s="16" t="str">
        <f>IF(Report[[#This Row],[Résultat FT]]="","",IF(Report[[#This Row],[Résultats SE]]="Gagné","","-"))</f>
        <v>-</v>
      </c>
      <c r="N243" s="17" t="s">
        <v>837</v>
      </c>
      <c r="O243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243" s="18">
        <f>IF(Report[[#This Row],[FT]]="",,(LEFT(Report[[#This Row],[FT]],SEARCH("-",Report[[#This Row],[FT]])-1)*1))</f>
        <v>2</v>
      </c>
      <c r="Q243" s="22">
        <f>IF(Report[[#This Row],[FT]]="",,(RIGHT(Report[[#This Row],[FT]],SEARCH("-",Report[[#This Row],[FT]])-1)*1))</f>
        <v>2</v>
      </c>
      <c r="R243" s="18" t="str">
        <f>IF(Report[Résultat FT]="","",IF(Report[Résultat FT]=Report[Résultats],"Gagné","Perdu"))</f>
        <v>Perdu</v>
      </c>
      <c r="S243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43" s="53">
        <f>IF(Report[[#This Row],[FT]]="","",IF(Report[[#This Row],[FT]]=Report[[#This Row],[Score 1]],1,0))</f>
        <v>0</v>
      </c>
      <c r="U243" s="53">
        <f>IF(Report[[#This Row],[FT]]="","",IF(Report[ [#This Row],[FT] ]=Report[[#This Row],[Score 2]],1,0))</f>
        <v>0</v>
      </c>
      <c r="V243" s="53">
        <f>IF(Report[[#This Row],[FT]]="","",IF(Report[[#This Row],[FT]]=Report[[#This Row],[Score 3]],1,0))</f>
        <v>0</v>
      </c>
      <c r="W243" s="53">
        <f>IF(Report[[#This Row],[FT]]="","",IF(Report[[#This Row],[FT]]=Report[[#This Row],[Score 4]],1,0))</f>
        <v>0</v>
      </c>
      <c r="X243" s="66">
        <f>IF(Report[[#This Row],[Résultat FT]]="",,IF(Report[[#This Row],[Résultat FT]]=Report[[#This Row],[Résultats]],(Suivi_Gain!$B$1*Report[[#This Row],[Cote FT]])-Suivi_Gain!$B$1,-Suivi_Gain!$B$1))</f>
        <v>-1</v>
      </c>
      <c r="Y243" s="94">
        <f>IF(Report[[#This Row],[FT]]="",,IF(Report[[#This Row],[FT]]=Report[[#This Row],[Score 1]],(Suivi_Gain!$G$1*Report[[#This Row],[Cote SE]])-Suivi_Gain!$G$1,-Suivi_Gain!$G$1))</f>
        <v>-1</v>
      </c>
      <c r="Z243" s="65">
        <f>IF(Report[[#This Row],[FT]]="",,IF(Report[[#This Row],[FT]]=Report[[#This Row],[Score 2]],Suivi_Gain!$G$1*Report[[#This Row],[Cote SE]],-Suivi_Gain!$G$1))</f>
        <v>-1</v>
      </c>
      <c r="AA243" s="65">
        <f>IF(Report[[#This Row],[FT]]="",,IF(Report[[#This Row],[FT]]=Report[[#This Row],[Score 3]],Suivi_Gain!$G$1*Report[[#This Row],[Cote SE]],-Suivi_Gain!$G$1))</f>
        <v>-1</v>
      </c>
      <c r="AB243" s="65">
        <f>IF(Report[[#This Row],[FT]]="",,IF(Report[[#This Row],[FT]]=Report[[#This Row],[Score 4]],Suivi_Gain!$G$1*Report[[#This Row],[Cote SE]],-Suivi_Gain!$G$1))</f>
        <v>-1</v>
      </c>
      <c r="AC243" s="64" t="str">
        <f>IF(Report[[#This Row],[Résultats SE]]="Gagné",Report[[#This Row],[FT]],"")</f>
        <v/>
      </c>
      <c r="AD243" s="64" t="str">
        <f>IF(AND(Report[[#This Row],[Résultats SE]]="Gagné",Report[[#This Row],[FT]]=Report[[#This Row],[Score 1]]),Report[[#This Row],[FT]],"")</f>
        <v/>
      </c>
      <c r="AE243" s="64" t="str">
        <f>IF(AND(Report[[#This Row],[Résultats SE]]="Gagné",Report[[#This Row],[FT]]=Report[[#This Row],[Score 2]]),Report[[#This Row],[FT]],"")</f>
        <v/>
      </c>
      <c r="AF243" s="64" t="str">
        <f>IF(AND(Report[[#This Row],[Résultats SE]]="Gagné",Report[[#This Row],[FT]]=Report[[#This Row],[Score 3]]),Report[[#This Row],[FT]],"")</f>
        <v/>
      </c>
      <c r="AG243" s="64" t="str">
        <f>IF(AND(Report[[#This Row],[Résultats SE]]="Gagné",Report[[#This Row],[FT]]=Report[[#This Row],[Score 4]]),Report[[#This Row],[FT]],"")</f>
        <v/>
      </c>
    </row>
    <row r="244" spans="1:33" ht="20.100000000000001" customHeight="1" x14ac:dyDescent="0.25">
      <c r="A244" s="11">
        <v>43428</v>
      </c>
      <c r="B244" s="7" t="s">
        <v>225</v>
      </c>
      <c r="C244" s="7" t="s">
        <v>135</v>
      </c>
      <c r="D244" s="10" t="s">
        <v>744</v>
      </c>
      <c r="E244" s="10" t="s">
        <v>740</v>
      </c>
      <c r="F244" s="7" t="s">
        <v>843</v>
      </c>
      <c r="G244" s="8" t="s">
        <v>839</v>
      </c>
      <c r="H244" s="9" t="s">
        <v>834</v>
      </c>
      <c r="I244" s="9" t="s">
        <v>827</v>
      </c>
      <c r="J244" s="9" t="s">
        <v>825</v>
      </c>
      <c r="K244" s="9" t="s">
        <v>740</v>
      </c>
      <c r="L244" s="16">
        <v>2.9</v>
      </c>
      <c r="M244" s="16">
        <v>18</v>
      </c>
      <c r="N244" s="17" t="s">
        <v>827</v>
      </c>
      <c r="O244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Sarpsborg 08</v>
      </c>
      <c r="P244" s="18">
        <f>IF(Report[[#This Row],[FT]]="",,(LEFT(Report[[#This Row],[FT]],SEARCH("-",Report[[#This Row],[FT]])-1)*1))</f>
        <v>0</v>
      </c>
      <c r="Q244" s="22">
        <f>IF(Report[[#This Row],[FT]]="",,(RIGHT(Report[[#This Row],[FT]],SEARCH("-",Report[[#This Row],[FT]])-1)*1))</f>
        <v>2</v>
      </c>
      <c r="R244" s="18" t="str">
        <f>IF(Report[Résultat FT]="","",IF(Report[Résultat FT]=Report[Résultats],"Gagné","Perdu"))</f>
        <v>Gagné</v>
      </c>
      <c r="S244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244" s="53">
        <f>IF(Report[[#This Row],[FT]]="","",IF(Report[[#This Row],[FT]]=Report[[#This Row],[Score 1]],1,0))</f>
        <v>0</v>
      </c>
      <c r="U244" s="53">
        <f>IF(Report[[#This Row],[FT]]="","",IF(Report[ [#This Row],[FT] ]=Report[[#This Row],[Score 2]],1,0))</f>
        <v>0</v>
      </c>
      <c r="V244" s="53">
        <f>IF(Report[[#This Row],[FT]]="","",IF(Report[[#This Row],[FT]]=Report[[#This Row],[Score 3]],1,0))</f>
        <v>1</v>
      </c>
      <c r="W244" s="53">
        <f>IF(Report[[#This Row],[FT]]="","",IF(Report[[#This Row],[FT]]=Report[[#This Row],[Score 4]],1,0))</f>
        <v>0</v>
      </c>
      <c r="X244" s="66">
        <f>IF(Report[[#This Row],[Résultat FT]]="",,IF(Report[[#This Row],[Résultat FT]]=Report[[#This Row],[Résultats]],(Suivi_Gain!$B$1*Report[[#This Row],[Cote FT]])-Suivi_Gain!$B$1,-Suivi_Gain!$B$1))</f>
        <v>1.9</v>
      </c>
      <c r="Y244" s="94">
        <f>IF(Report[[#This Row],[FT]]="",,IF(Report[[#This Row],[FT]]=Report[[#This Row],[Score 1]],(Suivi_Gain!$G$1*Report[[#This Row],[Cote SE]])-Suivi_Gain!$G$1,-Suivi_Gain!$G$1))</f>
        <v>-1</v>
      </c>
      <c r="Z244" s="65">
        <f>IF(Report[[#This Row],[FT]]="",,IF(Report[[#This Row],[FT]]=Report[[#This Row],[Score 2]],Suivi_Gain!$G$1*Report[[#This Row],[Cote SE]],-Suivi_Gain!$G$1))</f>
        <v>-1</v>
      </c>
      <c r="AA244" s="65">
        <f>IF(Report[[#This Row],[FT]]="",,IF(Report[[#This Row],[FT]]=Report[[#This Row],[Score 3]],Suivi_Gain!$G$1*Report[[#This Row],[Cote SE]],-Suivi_Gain!$G$1))</f>
        <v>18</v>
      </c>
      <c r="AB244" s="65">
        <f>IF(Report[[#This Row],[FT]]="",,IF(Report[[#This Row],[FT]]=Report[[#This Row],[Score 4]],Suivi_Gain!$G$1*Report[[#This Row],[Cote SE]],-Suivi_Gain!$G$1))</f>
        <v>-1</v>
      </c>
      <c r="AC244" s="64" t="str">
        <f>IF(Report[[#This Row],[Résultats SE]]="Gagné",Report[[#This Row],[FT]],"")</f>
        <v>0-2</v>
      </c>
      <c r="AD244" s="64" t="str">
        <f>IF(AND(Report[[#This Row],[Résultats SE]]="Gagné",Report[[#This Row],[FT]]=Report[[#This Row],[Score 1]]),Report[[#This Row],[FT]],"")</f>
        <v/>
      </c>
      <c r="AE244" s="64" t="str">
        <f>IF(AND(Report[[#This Row],[Résultats SE]]="Gagné",Report[[#This Row],[FT]]=Report[[#This Row],[Score 2]]),Report[[#This Row],[FT]],"")</f>
        <v/>
      </c>
      <c r="AF244" s="64" t="str">
        <f>IF(AND(Report[[#This Row],[Résultats SE]]="Gagné",Report[[#This Row],[FT]]=Report[[#This Row],[Score 3]]),Report[[#This Row],[FT]],"")</f>
        <v>0-2</v>
      </c>
      <c r="AG244" s="64" t="str">
        <f>IF(AND(Report[[#This Row],[Résultats SE]]="Gagné",Report[[#This Row],[FT]]=Report[[#This Row],[Score 4]]),Report[[#This Row],[FT]],"")</f>
        <v/>
      </c>
    </row>
    <row r="245" spans="1:33" ht="20.100000000000001" customHeight="1" x14ac:dyDescent="0.25">
      <c r="A245" s="11">
        <v>43428</v>
      </c>
      <c r="B245" s="7" t="s">
        <v>225</v>
      </c>
      <c r="C245" s="7" t="s">
        <v>135</v>
      </c>
      <c r="D245" s="10" t="s">
        <v>745</v>
      </c>
      <c r="E245" s="10" t="s">
        <v>737</v>
      </c>
      <c r="F245" s="7" t="s">
        <v>843</v>
      </c>
      <c r="G245" s="8" t="s">
        <v>839</v>
      </c>
      <c r="H245" s="9" t="s">
        <v>834</v>
      </c>
      <c r="I245" s="9" t="s">
        <v>827</v>
      </c>
      <c r="J245" s="9" t="s">
        <v>825</v>
      </c>
      <c r="K245" s="9" t="s">
        <v>737</v>
      </c>
      <c r="L245" s="16" t="str">
        <f>IF(Report[Résultat FT]="","",IF(Report[Résultat FT]=Report[Résultats],"","-"))</f>
        <v>-</v>
      </c>
      <c r="M245" s="16" t="str">
        <f>IF(Report[[#This Row],[Résultat FT]]="","",IF(Report[[#This Row],[Résultats SE]]="Gagné","","-"))</f>
        <v>-</v>
      </c>
      <c r="N245" s="17" t="s">
        <v>838</v>
      </c>
      <c r="O245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Vålerenga</v>
      </c>
      <c r="P245" s="18">
        <f>IF(Report[[#This Row],[FT]]="",,(LEFT(Report[[#This Row],[FT]],SEARCH("-",Report[[#This Row],[FT]])-1)*1))</f>
        <v>2</v>
      </c>
      <c r="Q245" s="22">
        <f>IF(Report[[#This Row],[FT]]="",,(RIGHT(Report[[#This Row],[FT]],SEARCH("-",Report[[#This Row],[FT]])-1)*1))</f>
        <v>1</v>
      </c>
      <c r="R245" s="18" t="str">
        <f>IF(Report[Résultat FT]="","",IF(Report[Résultat FT]=Report[Résultats],"Gagné","Perdu"))</f>
        <v>Perdu</v>
      </c>
      <c r="S245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45" s="53">
        <f>IF(Report[[#This Row],[FT]]="","",IF(Report[[#This Row],[FT]]=Report[[#This Row],[Score 1]],1,0))</f>
        <v>0</v>
      </c>
      <c r="U245" s="53">
        <f>IF(Report[[#This Row],[FT]]="","",IF(Report[ [#This Row],[FT] ]=Report[[#This Row],[Score 2]],1,0))</f>
        <v>0</v>
      </c>
      <c r="V245" s="53">
        <f>IF(Report[[#This Row],[FT]]="","",IF(Report[[#This Row],[FT]]=Report[[#This Row],[Score 3]],1,0))</f>
        <v>0</v>
      </c>
      <c r="W245" s="53">
        <f>IF(Report[[#This Row],[FT]]="","",IF(Report[[#This Row],[FT]]=Report[[#This Row],[Score 4]],1,0))</f>
        <v>0</v>
      </c>
      <c r="X245" s="66">
        <f>IF(Report[[#This Row],[Résultat FT]]="",,IF(Report[[#This Row],[Résultat FT]]=Report[[#This Row],[Résultats]],(Suivi_Gain!$B$1*Report[[#This Row],[Cote FT]])-Suivi_Gain!$B$1,-Suivi_Gain!$B$1))</f>
        <v>-1</v>
      </c>
      <c r="Y245" s="94">
        <f>IF(Report[[#This Row],[FT]]="",,IF(Report[[#This Row],[FT]]=Report[[#This Row],[Score 1]],(Suivi_Gain!$G$1*Report[[#This Row],[Cote SE]])-Suivi_Gain!$G$1,-Suivi_Gain!$G$1))</f>
        <v>-1</v>
      </c>
      <c r="Z245" s="65">
        <f>IF(Report[[#This Row],[FT]]="",,IF(Report[[#This Row],[FT]]=Report[[#This Row],[Score 2]],Suivi_Gain!$G$1*Report[[#This Row],[Cote SE]],-Suivi_Gain!$G$1))</f>
        <v>-1</v>
      </c>
      <c r="AA245" s="65">
        <f>IF(Report[[#This Row],[FT]]="",,IF(Report[[#This Row],[FT]]=Report[[#This Row],[Score 3]],Suivi_Gain!$G$1*Report[[#This Row],[Cote SE]],-Suivi_Gain!$G$1))</f>
        <v>-1</v>
      </c>
      <c r="AB245" s="65">
        <f>IF(Report[[#This Row],[FT]]="",,IF(Report[[#This Row],[FT]]=Report[[#This Row],[Score 4]],Suivi_Gain!$G$1*Report[[#This Row],[Cote SE]],-Suivi_Gain!$G$1))</f>
        <v>-1</v>
      </c>
      <c r="AC245" s="64" t="str">
        <f>IF(Report[[#This Row],[Résultats SE]]="Gagné",Report[[#This Row],[FT]],"")</f>
        <v/>
      </c>
      <c r="AD245" s="64" t="str">
        <f>IF(AND(Report[[#This Row],[Résultats SE]]="Gagné",Report[[#This Row],[FT]]=Report[[#This Row],[Score 1]]),Report[[#This Row],[FT]],"")</f>
        <v/>
      </c>
      <c r="AE245" s="64" t="str">
        <f>IF(AND(Report[[#This Row],[Résultats SE]]="Gagné",Report[[#This Row],[FT]]=Report[[#This Row],[Score 2]]),Report[[#This Row],[FT]],"")</f>
        <v/>
      </c>
      <c r="AF245" s="64" t="str">
        <f>IF(AND(Report[[#This Row],[Résultats SE]]="Gagné",Report[[#This Row],[FT]]=Report[[#This Row],[Score 3]]),Report[[#This Row],[FT]],"")</f>
        <v/>
      </c>
      <c r="AG245" s="64" t="str">
        <f>IF(AND(Report[[#This Row],[Résultats SE]]="Gagné",Report[[#This Row],[FT]]=Report[[#This Row],[Score 4]]),Report[[#This Row],[FT]],"")</f>
        <v/>
      </c>
    </row>
    <row r="246" spans="1:33" ht="20.100000000000001" customHeight="1" x14ac:dyDescent="0.25">
      <c r="A246" s="11">
        <v>43428</v>
      </c>
      <c r="B246" s="7" t="s">
        <v>87</v>
      </c>
      <c r="C246" s="7" t="s">
        <v>120</v>
      </c>
      <c r="D246" s="10" t="s">
        <v>748</v>
      </c>
      <c r="E246" s="10" t="s">
        <v>746</v>
      </c>
      <c r="F246" s="7" t="s">
        <v>885</v>
      </c>
      <c r="G246" s="8" t="s">
        <v>884</v>
      </c>
      <c r="H246" s="9" t="s">
        <v>878</v>
      </c>
      <c r="I246" s="9" t="s">
        <v>886</v>
      </c>
      <c r="J246" s="9" t="s">
        <v>828</v>
      </c>
      <c r="K246" s="9" t="s">
        <v>746</v>
      </c>
      <c r="L246" s="16">
        <v>1.1100000000000001</v>
      </c>
      <c r="M246" s="16">
        <v>7.5</v>
      </c>
      <c r="N246" s="17" t="s">
        <v>828</v>
      </c>
      <c r="O246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Ajax</v>
      </c>
      <c r="P246" s="18">
        <f>IF(Report[[#This Row],[FT]]="",,(LEFT(Report[[#This Row],[FT]],SEARCH("-",Report[[#This Row],[FT]])-1)*1))</f>
        <v>0</v>
      </c>
      <c r="Q246" s="22">
        <f>IF(Report[[#This Row],[FT]]="",,(RIGHT(Report[[#This Row],[FT]],SEARCH("-",Report[[#This Row],[FT]])-1)*1))</f>
        <v>3</v>
      </c>
      <c r="R246" s="18" t="str">
        <f>IF(Report[Résultat FT]="","",IF(Report[Résultat FT]=Report[Résultats],"Gagné","Perdu"))</f>
        <v>Gagné</v>
      </c>
      <c r="S246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246" s="53">
        <f>IF(Report[[#This Row],[FT]]="","",IF(Report[[#This Row],[FT]]=Report[[#This Row],[Score 1]],1,0))</f>
        <v>0</v>
      </c>
      <c r="U246" s="53">
        <f>IF(Report[[#This Row],[FT]]="","",IF(Report[ [#This Row],[FT] ]=Report[[#This Row],[Score 2]],1,0))</f>
        <v>0</v>
      </c>
      <c r="V246" s="53">
        <f>IF(Report[[#This Row],[FT]]="","",IF(Report[[#This Row],[FT]]=Report[[#This Row],[Score 3]],1,0))</f>
        <v>0</v>
      </c>
      <c r="W246" s="53">
        <f>IF(Report[[#This Row],[FT]]="","",IF(Report[[#This Row],[FT]]=Report[[#This Row],[Score 4]],1,0))</f>
        <v>1</v>
      </c>
      <c r="X246" s="66">
        <f>IF(Report[[#This Row],[Résultat FT]]="",,IF(Report[[#This Row],[Résultat FT]]=Report[[#This Row],[Résultats]],(Suivi_Gain!$B$1*Report[[#This Row],[Cote FT]])-Suivi_Gain!$B$1,-Suivi_Gain!$B$1))</f>
        <v>0.1100000000000001</v>
      </c>
      <c r="Y246" s="94">
        <f>IF(Report[[#This Row],[FT]]="",,IF(Report[[#This Row],[FT]]=Report[[#This Row],[Score 1]],(Suivi_Gain!$G$1*Report[[#This Row],[Cote SE]])-Suivi_Gain!$G$1,-Suivi_Gain!$G$1))</f>
        <v>-1</v>
      </c>
      <c r="Z246" s="65">
        <f>IF(Report[[#This Row],[FT]]="",,IF(Report[[#This Row],[FT]]=Report[[#This Row],[Score 2]],Suivi_Gain!$G$1*Report[[#This Row],[Cote SE]],-Suivi_Gain!$G$1))</f>
        <v>-1</v>
      </c>
      <c r="AA246" s="65">
        <f>IF(Report[[#This Row],[FT]]="",,IF(Report[[#This Row],[FT]]=Report[[#This Row],[Score 3]],Suivi_Gain!$G$1*Report[[#This Row],[Cote SE]],-Suivi_Gain!$G$1))</f>
        <v>-1</v>
      </c>
      <c r="AB246" s="65">
        <f>IF(Report[[#This Row],[FT]]="",,IF(Report[[#This Row],[FT]]=Report[[#This Row],[Score 4]],Suivi_Gain!$G$1*Report[[#This Row],[Cote SE]],-Suivi_Gain!$G$1))</f>
        <v>7.5</v>
      </c>
      <c r="AC246" s="64" t="str">
        <f>IF(Report[[#This Row],[Résultats SE]]="Gagné",Report[[#This Row],[FT]],"")</f>
        <v>0-3</v>
      </c>
      <c r="AD246" s="64" t="str">
        <f>IF(AND(Report[[#This Row],[Résultats SE]]="Gagné",Report[[#This Row],[FT]]=Report[[#This Row],[Score 1]]),Report[[#This Row],[FT]],"")</f>
        <v/>
      </c>
      <c r="AE246" s="64" t="str">
        <f>IF(AND(Report[[#This Row],[Résultats SE]]="Gagné",Report[[#This Row],[FT]]=Report[[#This Row],[Score 2]]),Report[[#This Row],[FT]],"")</f>
        <v/>
      </c>
      <c r="AF246" s="64" t="str">
        <f>IF(AND(Report[[#This Row],[Résultats SE]]="Gagné",Report[[#This Row],[FT]]=Report[[#This Row],[Score 3]]),Report[[#This Row],[FT]],"")</f>
        <v/>
      </c>
      <c r="AG246" s="64" t="str">
        <f>IF(AND(Report[[#This Row],[Résultats SE]]="Gagné",Report[[#This Row],[FT]]=Report[[#This Row],[Score 4]]),Report[[#This Row],[FT]],"")</f>
        <v>0-3</v>
      </c>
    </row>
    <row r="247" spans="1:33" ht="20.100000000000001" customHeight="1" x14ac:dyDescent="0.25">
      <c r="A247" s="11">
        <v>43428</v>
      </c>
      <c r="B247" s="7" t="s">
        <v>87</v>
      </c>
      <c r="C247" s="7" t="s">
        <v>120</v>
      </c>
      <c r="D247" s="10" t="s">
        <v>763</v>
      </c>
      <c r="E247" s="10" t="s">
        <v>749</v>
      </c>
      <c r="F247" s="7" t="s">
        <v>833</v>
      </c>
      <c r="G247" s="8" t="s">
        <v>834</v>
      </c>
      <c r="H247" s="9" t="s">
        <v>830</v>
      </c>
      <c r="I247" s="9" t="s">
        <v>825</v>
      </c>
      <c r="J247" s="9" t="s">
        <v>826</v>
      </c>
      <c r="K247" s="9" t="s">
        <v>233</v>
      </c>
      <c r="L247" s="16" t="str">
        <f>IF(Report[Résultat FT]="","",IF(Report[Résultat FT]=Report[Résultats],"","-"))</f>
        <v>-</v>
      </c>
      <c r="M247" s="16" t="str">
        <f>IF(Report[[#This Row],[Résultat FT]]="","",IF(Report[[#This Row],[Résultats SE]]="Gagné","","-"))</f>
        <v>-</v>
      </c>
      <c r="N247" s="17" t="s">
        <v>851</v>
      </c>
      <c r="O247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Den Haag</v>
      </c>
      <c r="P247" s="18">
        <f>IF(Report[[#This Row],[FT]]="",,(LEFT(Report[[#This Row],[FT]],SEARCH("-",Report[[#This Row],[FT]])-1)*1))</f>
        <v>2</v>
      </c>
      <c r="Q247" s="22">
        <f>IF(Report[[#This Row],[FT]]="",,(RIGHT(Report[[#This Row],[FT]],SEARCH("-",Report[[#This Row],[FT]])-1)*1))</f>
        <v>3</v>
      </c>
      <c r="R247" s="18" t="str">
        <f>IF(Report[Résultat FT]="","",IF(Report[Résultat FT]=Report[Résultats],"Gagné","Perdu"))</f>
        <v>Perdu</v>
      </c>
      <c r="S247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47" s="53">
        <f>IF(Report[[#This Row],[FT]]="","",IF(Report[[#This Row],[FT]]=Report[[#This Row],[Score 1]],1,0))</f>
        <v>0</v>
      </c>
      <c r="U247" s="53">
        <f>IF(Report[[#This Row],[FT]]="","",IF(Report[ [#This Row],[FT] ]=Report[[#This Row],[Score 2]],1,0))</f>
        <v>0</v>
      </c>
      <c r="V247" s="53">
        <f>IF(Report[[#This Row],[FT]]="","",IF(Report[[#This Row],[FT]]=Report[[#This Row],[Score 3]],1,0))</f>
        <v>0</v>
      </c>
      <c r="W247" s="53">
        <f>IF(Report[[#This Row],[FT]]="","",IF(Report[[#This Row],[FT]]=Report[[#This Row],[Score 4]],1,0))</f>
        <v>0</v>
      </c>
      <c r="X247" s="66">
        <f>IF(Report[[#This Row],[Résultat FT]]="",,IF(Report[[#This Row],[Résultat FT]]=Report[[#This Row],[Résultats]],(Suivi_Gain!$B$1*Report[[#This Row],[Cote FT]])-Suivi_Gain!$B$1,-Suivi_Gain!$B$1))</f>
        <v>-1</v>
      </c>
      <c r="Y247" s="94">
        <f>IF(Report[[#This Row],[FT]]="",,IF(Report[[#This Row],[FT]]=Report[[#This Row],[Score 1]],(Suivi_Gain!$G$1*Report[[#This Row],[Cote SE]])-Suivi_Gain!$G$1,-Suivi_Gain!$G$1))</f>
        <v>-1</v>
      </c>
      <c r="Z247" s="65">
        <f>IF(Report[[#This Row],[FT]]="",,IF(Report[[#This Row],[FT]]=Report[[#This Row],[Score 2]],Suivi_Gain!$G$1*Report[[#This Row],[Cote SE]],-Suivi_Gain!$G$1))</f>
        <v>-1</v>
      </c>
      <c r="AA247" s="65">
        <f>IF(Report[[#This Row],[FT]]="",,IF(Report[[#This Row],[FT]]=Report[[#This Row],[Score 3]],Suivi_Gain!$G$1*Report[[#This Row],[Cote SE]],-Suivi_Gain!$G$1))</f>
        <v>-1</v>
      </c>
      <c r="AB247" s="65">
        <f>IF(Report[[#This Row],[FT]]="",,IF(Report[[#This Row],[FT]]=Report[[#This Row],[Score 4]],Suivi_Gain!$G$1*Report[[#This Row],[Cote SE]],-Suivi_Gain!$G$1))</f>
        <v>-1</v>
      </c>
      <c r="AC247" s="64" t="str">
        <f>IF(Report[[#This Row],[Résultats SE]]="Gagné",Report[[#This Row],[FT]],"")</f>
        <v/>
      </c>
      <c r="AD247" s="64" t="str">
        <f>IF(AND(Report[[#This Row],[Résultats SE]]="Gagné",Report[[#This Row],[FT]]=Report[[#This Row],[Score 1]]),Report[[#This Row],[FT]],"")</f>
        <v/>
      </c>
      <c r="AE247" s="64" t="str">
        <f>IF(AND(Report[[#This Row],[Résultats SE]]="Gagné",Report[[#This Row],[FT]]=Report[[#This Row],[Score 2]]),Report[[#This Row],[FT]],"")</f>
        <v/>
      </c>
      <c r="AF247" s="64" t="str">
        <f>IF(AND(Report[[#This Row],[Résultats SE]]="Gagné",Report[[#This Row],[FT]]=Report[[#This Row],[Score 3]]),Report[[#This Row],[FT]],"")</f>
        <v/>
      </c>
      <c r="AG247" s="64" t="str">
        <f>IF(AND(Report[[#This Row],[Résultats SE]]="Gagné",Report[[#This Row],[FT]]=Report[[#This Row],[Score 4]]),Report[[#This Row],[FT]],"")</f>
        <v/>
      </c>
    </row>
    <row r="248" spans="1:33" ht="20.100000000000001" customHeight="1" x14ac:dyDescent="0.25">
      <c r="A248" s="11">
        <v>43428</v>
      </c>
      <c r="B248" s="7" t="s">
        <v>87</v>
      </c>
      <c r="C248" s="7" t="s">
        <v>120</v>
      </c>
      <c r="D248" s="19" t="s">
        <v>757</v>
      </c>
      <c r="E248" s="19" t="s">
        <v>755</v>
      </c>
      <c r="F248" s="7" t="s">
        <v>887</v>
      </c>
      <c r="G248" s="20" t="s">
        <v>882</v>
      </c>
      <c r="H248" s="20" t="s">
        <v>857</v>
      </c>
      <c r="I248" s="20" t="s">
        <v>888</v>
      </c>
      <c r="J248" s="20" t="s">
        <v>859</v>
      </c>
      <c r="K248" s="21" t="s">
        <v>757</v>
      </c>
      <c r="L248" s="16">
        <v>1.17</v>
      </c>
      <c r="M248" s="16" t="str">
        <f>IF(Report[[#This Row],[Résultat FT]]="","",IF(Report[[#This Row],[Résultats SE]]="Gagné","","-"))</f>
        <v>-</v>
      </c>
      <c r="N248" s="17" t="s">
        <v>832</v>
      </c>
      <c r="O248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PSV</v>
      </c>
      <c r="P248" s="18">
        <f>IF(Report[[#This Row],[FT]]="",,(LEFT(Report[[#This Row],[FT]],SEARCH("-",Report[[#This Row],[FT]])-1)*1))</f>
        <v>3</v>
      </c>
      <c r="Q248" s="22">
        <f>IF(Report[[#This Row],[FT]]="",,(RIGHT(Report[[#This Row],[FT]],SEARCH("-",Report[[#This Row],[FT]])-1)*1))</f>
        <v>0</v>
      </c>
      <c r="R248" s="18" t="str">
        <f>IF(Report[Résultat FT]="","",IF(Report[Résultat FT]=Report[Résultats],"Gagné","Perdu"))</f>
        <v>Gagné</v>
      </c>
      <c r="S248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48" s="53">
        <f>IF(Report[[#This Row],[FT]]="","",IF(Report[[#This Row],[FT]]=Report[[#This Row],[Score 1]],1,0))</f>
        <v>0</v>
      </c>
      <c r="U248" s="53">
        <f>IF(Report[[#This Row],[FT]]="","",IF(Report[ [#This Row],[FT] ]=Report[[#This Row],[Score 2]],1,0))</f>
        <v>0</v>
      </c>
      <c r="V248" s="53">
        <f>IF(Report[[#This Row],[FT]]="","",IF(Report[[#This Row],[FT]]=Report[[#This Row],[Score 3]],1,0))</f>
        <v>0</v>
      </c>
      <c r="W248" s="53">
        <f>IF(Report[[#This Row],[FT]]="","",IF(Report[[#This Row],[FT]]=Report[[#This Row],[Score 4]],1,0))</f>
        <v>0</v>
      </c>
      <c r="X248" s="66">
        <f>IF(Report[[#This Row],[Résultat FT]]="",,IF(Report[[#This Row],[Résultat FT]]=Report[[#This Row],[Résultats]],(Suivi_Gain!$B$1*Report[[#This Row],[Cote FT]])-Suivi_Gain!$B$1,-Suivi_Gain!$B$1))</f>
        <v>0.16999999999999993</v>
      </c>
      <c r="Y248" s="94">
        <f>IF(Report[[#This Row],[FT]]="",,IF(Report[[#This Row],[FT]]=Report[[#This Row],[Score 1]],(Suivi_Gain!$G$1*Report[[#This Row],[Cote SE]])-Suivi_Gain!$G$1,-Suivi_Gain!$G$1))</f>
        <v>-1</v>
      </c>
      <c r="Z248" s="65">
        <f>IF(Report[[#This Row],[FT]]="",,IF(Report[[#This Row],[FT]]=Report[[#This Row],[Score 2]],Suivi_Gain!$G$1*Report[[#This Row],[Cote SE]],-Suivi_Gain!$G$1))</f>
        <v>-1</v>
      </c>
      <c r="AA248" s="65">
        <f>IF(Report[[#This Row],[FT]]="",,IF(Report[[#This Row],[FT]]=Report[[#This Row],[Score 3]],Suivi_Gain!$G$1*Report[[#This Row],[Cote SE]],-Suivi_Gain!$G$1))</f>
        <v>-1</v>
      </c>
      <c r="AB248" s="65">
        <f>IF(Report[[#This Row],[FT]]="",,IF(Report[[#This Row],[FT]]=Report[[#This Row],[Score 4]],Suivi_Gain!$G$1*Report[[#This Row],[Cote SE]],-Suivi_Gain!$G$1))</f>
        <v>-1</v>
      </c>
      <c r="AC248" s="64" t="str">
        <f>IF(Report[[#This Row],[Résultats SE]]="Gagné",Report[[#This Row],[FT]],"")</f>
        <v/>
      </c>
      <c r="AD248" s="64" t="str">
        <f>IF(AND(Report[[#This Row],[Résultats SE]]="Gagné",Report[[#This Row],[FT]]=Report[[#This Row],[Score 1]]),Report[[#This Row],[FT]],"")</f>
        <v/>
      </c>
      <c r="AE248" s="64" t="str">
        <f>IF(AND(Report[[#This Row],[Résultats SE]]="Gagné",Report[[#This Row],[FT]]=Report[[#This Row],[Score 2]]),Report[[#This Row],[FT]],"")</f>
        <v/>
      </c>
      <c r="AF248" s="64" t="str">
        <f>IF(AND(Report[[#This Row],[Résultats SE]]="Gagné",Report[[#This Row],[FT]]=Report[[#This Row],[Score 3]]),Report[[#This Row],[FT]],"")</f>
        <v/>
      </c>
      <c r="AG248" s="64" t="str">
        <f>IF(AND(Report[[#This Row],[Résultats SE]]="Gagné",Report[[#This Row],[FT]]=Report[[#This Row],[Score 4]]),Report[[#This Row],[FT]],"")</f>
        <v/>
      </c>
    </row>
    <row r="249" spans="1:33" ht="20.100000000000001" customHeight="1" x14ac:dyDescent="0.25">
      <c r="A249" s="11">
        <v>43428</v>
      </c>
      <c r="B249" s="7" t="s">
        <v>87</v>
      </c>
      <c r="C249" s="7" t="s">
        <v>120</v>
      </c>
      <c r="D249" s="19" t="s">
        <v>758</v>
      </c>
      <c r="E249" s="19" t="s">
        <v>756</v>
      </c>
      <c r="F249" s="7" t="s">
        <v>889</v>
      </c>
      <c r="G249" s="20" t="s">
        <v>890</v>
      </c>
      <c r="H249" s="20" t="s">
        <v>891</v>
      </c>
      <c r="I249" s="20" t="s">
        <v>851</v>
      </c>
      <c r="J249" s="20" t="s">
        <v>837</v>
      </c>
      <c r="K249" s="21" t="s">
        <v>233</v>
      </c>
      <c r="L249" s="16" t="str">
        <f>IF(Report[Résultat FT]="","",IF(Report[Résultat FT]=Report[Résultats],"","-"))</f>
        <v>-</v>
      </c>
      <c r="M249" s="16" t="str">
        <f>IF(Report[[#This Row],[Résultat FT]]="","",IF(Report[[#This Row],[Résultats SE]]="Gagné","","-"))</f>
        <v>-</v>
      </c>
      <c r="N249" s="17" t="s">
        <v>832</v>
      </c>
      <c r="O249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Sittard</v>
      </c>
      <c r="P249" s="18">
        <f>IF(Report[[#This Row],[FT]]="",,(LEFT(Report[[#This Row],[FT]],SEARCH("-",Report[[#This Row],[FT]])-1)*1))</f>
        <v>3</v>
      </c>
      <c r="Q249" s="22">
        <f>IF(Report[[#This Row],[FT]]="",,(RIGHT(Report[[#This Row],[FT]],SEARCH("-",Report[[#This Row],[FT]])-1)*1))</f>
        <v>0</v>
      </c>
      <c r="R249" s="18" t="str">
        <f>IF(Report[Résultat FT]="","",IF(Report[Résultat FT]=Report[Résultats],"Gagné","Perdu"))</f>
        <v>Perdu</v>
      </c>
      <c r="S249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49" s="53">
        <f>IF(Report[[#This Row],[FT]]="","",IF(Report[[#This Row],[FT]]=Report[[#This Row],[Score 1]],1,0))</f>
        <v>0</v>
      </c>
      <c r="U249" s="53">
        <f>IF(Report[[#This Row],[FT]]="","",IF(Report[ [#This Row],[FT] ]=Report[[#This Row],[Score 2]],1,0))</f>
        <v>0</v>
      </c>
      <c r="V249" s="53">
        <f>IF(Report[[#This Row],[FT]]="","",IF(Report[[#This Row],[FT]]=Report[[#This Row],[Score 3]],1,0))</f>
        <v>0</v>
      </c>
      <c r="W249" s="53">
        <f>IF(Report[[#This Row],[FT]]="","",IF(Report[[#This Row],[FT]]=Report[[#This Row],[Score 4]],1,0))</f>
        <v>0</v>
      </c>
      <c r="X249" s="66">
        <f>IF(Report[[#This Row],[Résultat FT]]="",,IF(Report[[#This Row],[Résultat FT]]=Report[[#This Row],[Résultats]],(Suivi_Gain!$B$1*Report[[#This Row],[Cote FT]])-Suivi_Gain!$B$1,-Suivi_Gain!$B$1))</f>
        <v>-1</v>
      </c>
      <c r="Y249" s="94">
        <f>IF(Report[[#This Row],[FT]]="",,IF(Report[[#This Row],[FT]]=Report[[#This Row],[Score 1]],(Suivi_Gain!$G$1*Report[[#This Row],[Cote SE]])-Suivi_Gain!$G$1,-Suivi_Gain!$G$1))</f>
        <v>-1</v>
      </c>
      <c r="Z249" s="65">
        <f>IF(Report[[#This Row],[FT]]="",,IF(Report[[#This Row],[FT]]=Report[[#This Row],[Score 2]],Suivi_Gain!$G$1*Report[[#This Row],[Cote SE]],-Suivi_Gain!$G$1))</f>
        <v>-1</v>
      </c>
      <c r="AA249" s="65">
        <f>IF(Report[[#This Row],[FT]]="",,IF(Report[[#This Row],[FT]]=Report[[#This Row],[Score 3]],Suivi_Gain!$G$1*Report[[#This Row],[Cote SE]],-Suivi_Gain!$G$1))</f>
        <v>-1</v>
      </c>
      <c r="AB249" s="65">
        <f>IF(Report[[#This Row],[FT]]="",,IF(Report[[#This Row],[FT]]=Report[[#This Row],[Score 4]],Suivi_Gain!$G$1*Report[[#This Row],[Cote SE]],-Suivi_Gain!$G$1))</f>
        <v>-1</v>
      </c>
      <c r="AC249" s="64" t="str">
        <f>IF(Report[[#This Row],[Résultats SE]]="Gagné",Report[[#This Row],[FT]],"")</f>
        <v/>
      </c>
      <c r="AD249" s="64" t="str">
        <f>IF(AND(Report[[#This Row],[Résultats SE]]="Gagné",Report[[#This Row],[FT]]=Report[[#This Row],[Score 1]]),Report[[#This Row],[FT]],"")</f>
        <v/>
      </c>
      <c r="AE249" s="64" t="str">
        <f>IF(AND(Report[[#This Row],[Résultats SE]]="Gagné",Report[[#This Row],[FT]]=Report[[#This Row],[Score 2]]),Report[[#This Row],[FT]],"")</f>
        <v/>
      </c>
      <c r="AF249" s="64" t="str">
        <f>IF(AND(Report[[#This Row],[Résultats SE]]="Gagné",Report[[#This Row],[FT]]=Report[[#This Row],[Score 3]]),Report[[#This Row],[FT]],"")</f>
        <v/>
      </c>
      <c r="AG249" s="64" t="str">
        <f>IF(AND(Report[[#This Row],[Résultats SE]]="Gagné",Report[[#This Row],[FT]]=Report[[#This Row],[Score 4]]),Report[[#This Row],[FT]],"")</f>
        <v/>
      </c>
    </row>
    <row r="250" spans="1:33" ht="20.100000000000001" customHeight="1" x14ac:dyDescent="0.25">
      <c r="A250" s="11">
        <v>43428</v>
      </c>
      <c r="B250" s="7" t="s">
        <v>88</v>
      </c>
      <c r="C250" s="7" t="s">
        <v>121</v>
      </c>
      <c r="D250" s="10" t="s">
        <v>768</v>
      </c>
      <c r="E250" s="10" t="s">
        <v>766</v>
      </c>
      <c r="F250" s="7" t="s">
        <v>829</v>
      </c>
      <c r="G250" s="8" t="s">
        <v>830</v>
      </c>
      <c r="H250" s="9" t="s">
        <v>826</v>
      </c>
      <c r="I250" s="9" t="s">
        <v>831</v>
      </c>
      <c r="J250" s="9" t="s">
        <v>832</v>
      </c>
      <c r="K250" s="9" t="s">
        <v>768</v>
      </c>
      <c r="L250" s="16">
        <v>1.7</v>
      </c>
      <c r="M250" s="16" t="str">
        <f>IF(Report[[#This Row],[Résultat FT]]="","",IF(Report[[#This Row],[Résultats SE]]="Gagné","","-"))</f>
        <v>-</v>
      </c>
      <c r="N250" s="17" t="s">
        <v>921</v>
      </c>
      <c r="O250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Korona</v>
      </c>
      <c r="P250" s="18">
        <f>IF(Report[[#This Row],[FT]]="",,(LEFT(Report[[#This Row],[FT]],SEARCH("-",Report[[#This Row],[FT]])-1)*1))</f>
        <v>4</v>
      </c>
      <c r="Q250" s="22">
        <f>IF(Report[[#This Row],[FT]]="",,(RIGHT(Report[[#This Row],[FT]],SEARCH("-",Report[[#This Row],[FT]])-1)*1))</f>
        <v>2</v>
      </c>
      <c r="R250" s="18" t="str">
        <f>IF(Report[Résultat FT]="","",IF(Report[Résultat FT]=Report[Résultats],"Gagné","Perdu"))</f>
        <v>Gagné</v>
      </c>
      <c r="S250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50" s="53">
        <f>IF(Report[[#This Row],[FT]]="","",IF(Report[[#This Row],[FT]]=Report[[#This Row],[Score 1]],1,0))</f>
        <v>0</v>
      </c>
      <c r="U250" s="53">
        <f>IF(Report[[#This Row],[FT]]="","",IF(Report[ [#This Row],[FT] ]=Report[[#This Row],[Score 2]],1,0))</f>
        <v>0</v>
      </c>
      <c r="V250" s="53">
        <f>IF(Report[[#This Row],[FT]]="","",IF(Report[[#This Row],[FT]]=Report[[#This Row],[Score 3]],1,0))</f>
        <v>0</v>
      </c>
      <c r="W250" s="53">
        <f>IF(Report[[#This Row],[FT]]="","",IF(Report[[#This Row],[FT]]=Report[[#This Row],[Score 4]],1,0))</f>
        <v>0</v>
      </c>
      <c r="X250" s="66">
        <f>IF(Report[[#This Row],[Résultat FT]]="",,IF(Report[[#This Row],[Résultat FT]]=Report[[#This Row],[Résultats]],(Suivi_Gain!$B$1*Report[[#This Row],[Cote FT]])-Suivi_Gain!$B$1,-Suivi_Gain!$B$1))</f>
        <v>0.7</v>
      </c>
      <c r="Y250" s="94">
        <f>IF(Report[[#This Row],[FT]]="",,IF(Report[[#This Row],[FT]]=Report[[#This Row],[Score 1]],(Suivi_Gain!$G$1*Report[[#This Row],[Cote SE]])-Suivi_Gain!$G$1,-Suivi_Gain!$G$1))</f>
        <v>-1</v>
      </c>
      <c r="Z250" s="65">
        <f>IF(Report[[#This Row],[FT]]="",,IF(Report[[#This Row],[FT]]=Report[[#This Row],[Score 2]],Suivi_Gain!$G$1*Report[[#This Row],[Cote SE]],-Suivi_Gain!$G$1))</f>
        <v>-1</v>
      </c>
      <c r="AA250" s="65">
        <f>IF(Report[[#This Row],[FT]]="",,IF(Report[[#This Row],[FT]]=Report[[#This Row],[Score 3]],Suivi_Gain!$G$1*Report[[#This Row],[Cote SE]],-Suivi_Gain!$G$1))</f>
        <v>-1</v>
      </c>
      <c r="AB250" s="65">
        <f>IF(Report[[#This Row],[FT]]="",,IF(Report[[#This Row],[FT]]=Report[[#This Row],[Score 4]],Suivi_Gain!$G$1*Report[[#This Row],[Cote SE]],-Suivi_Gain!$G$1))</f>
        <v>-1</v>
      </c>
      <c r="AC250" s="64" t="str">
        <f>IF(Report[[#This Row],[Résultats SE]]="Gagné",Report[[#This Row],[FT]],"")</f>
        <v/>
      </c>
      <c r="AD250" s="64" t="str">
        <f>IF(AND(Report[[#This Row],[Résultats SE]]="Gagné",Report[[#This Row],[FT]]=Report[[#This Row],[Score 1]]),Report[[#This Row],[FT]],"")</f>
        <v/>
      </c>
      <c r="AE250" s="64" t="str">
        <f>IF(AND(Report[[#This Row],[Résultats SE]]="Gagné",Report[[#This Row],[FT]]=Report[[#This Row],[Score 2]]),Report[[#This Row],[FT]],"")</f>
        <v/>
      </c>
      <c r="AF250" s="64" t="str">
        <f>IF(AND(Report[[#This Row],[Résultats SE]]="Gagné",Report[[#This Row],[FT]]=Report[[#This Row],[Score 3]]),Report[[#This Row],[FT]],"")</f>
        <v/>
      </c>
      <c r="AG250" s="64" t="str">
        <f>IF(AND(Report[[#This Row],[Résultats SE]]="Gagné",Report[[#This Row],[FT]]=Report[[#This Row],[Score 4]]),Report[[#This Row],[FT]],"")</f>
        <v/>
      </c>
    </row>
    <row r="251" spans="1:33" ht="20.100000000000001" customHeight="1" x14ac:dyDescent="0.25">
      <c r="A251" s="11">
        <v>43428</v>
      </c>
      <c r="B251" s="7" t="s">
        <v>88</v>
      </c>
      <c r="C251" s="7" t="s">
        <v>121</v>
      </c>
      <c r="D251" s="10" t="s">
        <v>769</v>
      </c>
      <c r="E251" s="10" t="s">
        <v>774</v>
      </c>
      <c r="F251" s="7" t="s">
        <v>833</v>
      </c>
      <c r="G251" s="8" t="s">
        <v>834</v>
      </c>
      <c r="H251" s="9" t="s">
        <v>830</v>
      </c>
      <c r="I251" s="9" t="s">
        <v>825</v>
      </c>
      <c r="J251" s="9" t="s">
        <v>826</v>
      </c>
      <c r="K251" s="9" t="s">
        <v>233</v>
      </c>
      <c r="L251" s="16" t="str">
        <f>IF(Report[Résultat FT]="","",IF(Report[Résultat FT]=Report[Résultats],"","-"))</f>
        <v>-</v>
      </c>
      <c r="M251" s="16" t="str">
        <f>IF(Report[[#This Row],[Résultat FT]]="","",IF(Report[[#This Row],[Résultats SE]]="Gagné","","-"))</f>
        <v>-</v>
      </c>
      <c r="N251" s="17" t="s">
        <v>838</v>
      </c>
      <c r="O251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Lech</v>
      </c>
      <c r="P251" s="18">
        <f>IF(Report[[#This Row],[FT]]="",,(LEFT(Report[[#This Row],[FT]],SEARCH("-",Report[[#This Row],[FT]])-1)*1))</f>
        <v>2</v>
      </c>
      <c r="Q251" s="22">
        <f>IF(Report[[#This Row],[FT]]="",,(RIGHT(Report[[#This Row],[FT]],SEARCH("-",Report[[#This Row],[FT]])-1)*1))</f>
        <v>1</v>
      </c>
      <c r="R251" s="18" t="str">
        <f>IF(Report[Résultat FT]="","",IF(Report[Résultat FT]=Report[Résultats],"Gagné","Perdu"))</f>
        <v>Perdu</v>
      </c>
      <c r="S251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51" s="53">
        <f>IF(Report[[#This Row],[FT]]="","",IF(Report[[#This Row],[FT]]=Report[[#This Row],[Score 1]],1,0))</f>
        <v>0</v>
      </c>
      <c r="U251" s="53">
        <f>IF(Report[[#This Row],[FT]]="","",IF(Report[ [#This Row],[FT] ]=Report[[#This Row],[Score 2]],1,0))</f>
        <v>0</v>
      </c>
      <c r="V251" s="53">
        <f>IF(Report[[#This Row],[FT]]="","",IF(Report[[#This Row],[FT]]=Report[[#This Row],[Score 3]],1,0))</f>
        <v>0</v>
      </c>
      <c r="W251" s="53">
        <f>IF(Report[[#This Row],[FT]]="","",IF(Report[[#This Row],[FT]]=Report[[#This Row],[Score 4]],1,0))</f>
        <v>0</v>
      </c>
      <c r="X251" s="66">
        <f>IF(Report[[#This Row],[Résultat FT]]="",,IF(Report[[#This Row],[Résultat FT]]=Report[[#This Row],[Résultats]],(Suivi_Gain!$B$1*Report[[#This Row],[Cote FT]])-Suivi_Gain!$B$1,-Suivi_Gain!$B$1))</f>
        <v>-1</v>
      </c>
      <c r="Y251" s="94">
        <f>IF(Report[[#This Row],[FT]]="",,IF(Report[[#This Row],[FT]]=Report[[#This Row],[Score 1]],(Suivi_Gain!$G$1*Report[[#This Row],[Cote SE]])-Suivi_Gain!$G$1,-Suivi_Gain!$G$1))</f>
        <v>-1</v>
      </c>
      <c r="Z251" s="65">
        <f>IF(Report[[#This Row],[FT]]="",,IF(Report[[#This Row],[FT]]=Report[[#This Row],[Score 2]],Suivi_Gain!$G$1*Report[[#This Row],[Cote SE]],-Suivi_Gain!$G$1))</f>
        <v>-1</v>
      </c>
      <c r="AA251" s="65">
        <f>IF(Report[[#This Row],[FT]]="",,IF(Report[[#This Row],[FT]]=Report[[#This Row],[Score 3]],Suivi_Gain!$G$1*Report[[#This Row],[Cote SE]],-Suivi_Gain!$G$1))</f>
        <v>-1</v>
      </c>
      <c r="AB251" s="65">
        <f>IF(Report[[#This Row],[FT]]="",,IF(Report[[#This Row],[FT]]=Report[[#This Row],[Score 4]],Suivi_Gain!$G$1*Report[[#This Row],[Cote SE]],-Suivi_Gain!$G$1))</f>
        <v>-1</v>
      </c>
      <c r="AC251" s="64" t="str">
        <f>IF(Report[[#This Row],[Résultats SE]]="Gagné",Report[[#This Row],[FT]],"")</f>
        <v/>
      </c>
      <c r="AD251" s="64" t="str">
        <f>IF(AND(Report[[#This Row],[Résultats SE]]="Gagné",Report[[#This Row],[FT]]=Report[[#This Row],[Score 1]]),Report[[#This Row],[FT]],"")</f>
        <v/>
      </c>
      <c r="AE251" s="64" t="str">
        <f>IF(AND(Report[[#This Row],[Résultats SE]]="Gagné",Report[[#This Row],[FT]]=Report[[#This Row],[Score 2]]),Report[[#This Row],[FT]],"")</f>
        <v/>
      </c>
      <c r="AF251" s="64" t="str">
        <f>IF(AND(Report[[#This Row],[Résultats SE]]="Gagné",Report[[#This Row],[FT]]=Report[[#This Row],[Score 3]]),Report[[#This Row],[FT]],"")</f>
        <v/>
      </c>
      <c r="AG251" s="64" t="str">
        <f>IF(AND(Report[[#This Row],[Résultats SE]]="Gagné",Report[[#This Row],[FT]]=Report[[#This Row],[Score 4]]),Report[[#This Row],[FT]],"")</f>
        <v/>
      </c>
    </row>
    <row r="252" spans="1:33" ht="20.100000000000001" customHeight="1" x14ac:dyDescent="0.25">
      <c r="A252" s="11">
        <v>43428</v>
      </c>
      <c r="B252" s="7" t="s">
        <v>88</v>
      </c>
      <c r="C252" s="7" t="s">
        <v>121</v>
      </c>
      <c r="D252" s="10" t="s">
        <v>765</v>
      </c>
      <c r="E252" s="10" t="s">
        <v>776</v>
      </c>
      <c r="F252" s="7" t="s">
        <v>824</v>
      </c>
      <c r="G252" s="8" t="s">
        <v>825</v>
      </c>
      <c r="H252" s="9" t="s">
        <v>826</v>
      </c>
      <c r="I252" s="9" t="s">
        <v>827</v>
      </c>
      <c r="J252" s="9" t="s">
        <v>828</v>
      </c>
      <c r="K252" s="9" t="s">
        <v>776</v>
      </c>
      <c r="L252" s="16" t="str">
        <f>IF(Report[Résultat FT]="","",IF(Report[Résultat FT]=Report[Résultats],"","-"))</f>
        <v>-</v>
      </c>
      <c r="M252" s="16" t="str">
        <f>IF(Report[[#This Row],[Résultat FT]]="","",IF(Report[[#This Row],[Résultats SE]]="Gagné","","-"))</f>
        <v>-</v>
      </c>
      <c r="N252" s="17" t="s">
        <v>834</v>
      </c>
      <c r="O252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252" s="18">
        <f>IF(Report[[#This Row],[FT]]="",,(LEFT(Report[[#This Row],[FT]],SEARCH("-",Report[[#This Row],[FT]])-1)*1))</f>
        <v>1</v>
      </c>
      <c r="Q252" s="22">
        <f>IF(Report[[#This Row],[FT]]="",,(RIGHT(Report[[#This Row],[FT]],SEARCH("-",Report[[#This Row],[FT]])-1)*1))</f>
        <v>1</v>
      </c>
      <c r="R252" s="18" t="str">
        <f>IF(Report[Résultat FT]="","",IF(Report[Résultat FT]=Report[Résultats],"Gagné","Perdu"))</f>
        <v>Perdu</v>
      </c>
      <c r="S252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52" s="53">
        <f>IF(Report[[#This Row],[FT]]="","",IF(Report[[#This Row],[FT]]=Report[[#This Row],[Score 1]],1,0))</f>
        <v>0</v>
      </c>
      <c r="U252" s="53">
        <f>IF(Report[[#This Row],[FT]]="","",IF(Report[ [#This Row],[FT] ]=Report[[#This Row],[Score 2]],1,0))</f>
        <v>0</v>
      </c>
      <c r="V252" s="53">
        <f>IF(Report[[#This Row],[FT]]="","",IF(Report[[#This Row],[FT]]=Report[[#This Row],[Score 3]],1,0))</f>
        <v>0</v>
      </c>
      <c r="W252" s="53">
        <f>IF(Report[[#This Row],[FT]]="","",IF(Report[[#This Row],[FT]]=Report[[#This Row],[Score 4]],1,0))</f>
        <v>0</v>
      </c>
      <c r="X252" s="66">
        <f>IF(Report[[#This Row],[Résultat FT]]="",,IF(Report[[#This Row],[Résultat FT]]=Report[[#This Row],[Résultats]],(Suivi_Gain!$B$1*Report[[#This Row],[Cote FT]])-Suivi_Gain!$B$1,-Suivi_Gain!$B$1))</f>
        <v>-1</v>
      </c>
      <c r="Y252" s="94">
        <f>IF(Report[[#This Row],[FT]]="",,IF(Report[[#This Row],[FT]]=Report[[#This Row],[Score 1]],(Suivi_Gain!$G$1*Report[[#This Row],[Cote SE]])-Suivi_Gain!$G$1,-Suivi_Gain!$G$1))</f>
        <v>-1</v>
      </c>
      <c r="Z252" s="65">
        <f>IF(Report[[#This Row],[FT]]="",,IF(Report[[#This Row],[FT]]=Report[[#This Row],[Score 2]],Suivi_Gain!$G$1*Report[[#This Row],[Cote SE]],-Suivi_Gain!$G$1))</f>
        <v>-1</v>
      </c>
      <c r="AA252" s="65">
        <f>IF(Report[[#This Row],[FT]]="",,IF(Report[[#This Row],[FT]]=Report[[#This Row],[Score 3]],Suivi_Gain!$G$1*Report[[#This Row],[Cote SE]],-Suivi_Gain!$G$1))</f>
        <v>-1</v>
      </c>
      <c r="AB252" s="65">
        <f>IF(Report[[#This Row],[FT]]="",,IF(Report[[#This Row],[FT]]=Report[[#This Row],[Score 4]],Suivi_Gain!$G$1*Report[[#This Row],[Cote SE]],-Suivi_Gain!$G$1))</f>
        <v>-1</v>
      </c>
      <c r="AC252" s="64" t="str">
        <f>IF(Report[[#This Row],[Résultats SE]]="Gagné",Report[[#This Row],[FT]],"")</f>
        <v/>
      </c>
      <c r="AD252" s="64" t="str">
        <f>IF(AND(Report[[#This Row],[Résultats SE]]="Gagné",Report[[#This Row],[FT]]=Report[[#This Row],[Score 1]]),Report[[#This Row],[FT]],"")</f>
        <v/>
      </c>
      <c r="AE252" s="64" t="str">
        <f>IF(AND(Report[[#This Row],[Résultats SE]]="Gagné",Report[[#This Row],[FT]]=Report[[#This Row],[Score 2]]),Report[[#This Row],[FT]],"")</f>
        <v/>
      </c>
      <c r="AF252" s="64" t="str">
        <f>IF(AND(Report[[#This Row],[Résultats SE]]="Gagné",Report[[#This Row],[FT]]=Report[[#This Row],[Score 3]]),Report[[#This Row],[FT]],"")</f>
        <v/>
      </c>
      <c r="AG252" s="64" t="str">
        <f>IF(AND(Report[[#This Row],[Résultats SE]]="Gagné",Report[[#This Row],[FT]]=Report[[#This Row],[Score 4]]),Report[[#This Row],[FT]],"")</f>
        <v/>
      </c>
    </row>
    <row r="253" spans="1:33" ht="20.100000000000001" customHeight="1" x14ac:dyDescent="0.25">
      <c r="A253" s="11">
        <v>43428</v>
      </c>
      <c r="B253" s="7" t="s">
        <v>89</v>
      </c>
      <c r="C253" s="7" t="s">
        <v>860</v>
      </c>
      <c r="D253" s="10" t="s">
        <v>348</v>
      </c>
      <c r="E253" s="10" t="s">
        <v>356</v>
      </c>
      <c r="F253" s="7" t="s">
        <v>883</v>
      </c>
      <c r="G253" s="8" t="s">
        <v>878</v>
      </c>
      <c r="H253" s="9" t="s">
        <v>828</v>
      </c>
      <c r="I253" s="9" t="s">
        <v>884</v>
      </c>
      <c r="J253" s="9" t="s">
        <v>827</v>
      </c>
      <c r="K253" s="9" t="s">
        <v>356</v>
      </c>
      <c r="L253" s="16">
        <v>1.38</v>
      </c>
      <c r="M253" s="16" t="str">
        <f>IF(Report[[#This Row],[Résultat FT]]="","",IF(Report[[#This Row],[Résultats SE]]="Gagné","","-"))</f>
        <v>-</v>
      </c>
      <c r="N253" s="17" t="s">
        <v>841</v>
      </c>
      <c r="O253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Slavia Prague</v>
      </c>
      <c r="P253" s="18">
        <f>IF(Report[[#This Row],[FT]]="",,(LEFT(Report[[#This Row],[FT]],SEARCH("-",Report[[#This Row],[FT]])-1)*1))</f>
        <v>1</v>
      </c>
      <c r="Q253" s="22">
        <f>IF(Report[[#This Row],[FT]]="",,(RIGHT(Report[[#This Row],[FT]],SEARCH("-",Report[[#This Row],[FT]])-1)*1))</f>
        <v>3</v>
      </c>
      <c r="R253" s="18" t="str">
        <f>IF(Report[Résultat FT]="","",IF(Report[Résultat FT]=Report[Résultats],"Gagné","Perdu"))</f>
        <v>Gagné</v>
      </c>
      <c r="S253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53" s="53">
        <f>IF(Report[[#This Row],[FT]]="","",IF(Report[[#This Row],[FT]]=Report[[#This Row],[Score 1]],1,0))</f>
        <v>0</v>
      </c>
      <c r="U253" s="53">
        <f>IF(Report[[#This Row],[FT]]="","",IF(Report[ [#This Row],[FT] ]=Report[[#This Row],[Score 2]],1,0))</f>
        <v>0</v>
      </c>
      <c r="V253" s="53">
        <f>IF(Report[[#This Row],[FT]]="","",IF(Report[[#This Row],[FT]]=Report[[#This Row],[Score 3]],1,0))</f>
        <v>0</v>
      </c>
      <c r="W253" s="53">
        <f>IF(Report[[#This Row],[FT]]="","",IF(Report[[#This Row],[FT]]=Report[[#This Row],[Score 4]],1,0))</f>
        <v>0</v>
      </c>
      <c r="X253" s="66">
        <f>IF(Report[[#This Row],[Résultat FT]]="",,IF(Report[[#This Row],[Résultat FT]]=Report[[#This Row],[Résultats]],(Suivi_Gain!$B$1*Report[[#This Row],[Cote FT]])-Suivi_Gain!$B$1,-Suivi_Gain!$B$1))</f>
        <v>0.37999999999999989</v>
      </c>
      <c r="Y253" s="94">
        <f>IF(Report[[#This Row],[FT]]="",,IF(Report[[#This Row],[FT]]=Report[[#This Row],[Score 1]],(Suivi_Gain!$G$1*Report[[#This Row],[Cote SE]])-Suivi_Gain!$G$1,-Suivi_Gain!$G$1))</f>
        <v>-1</v>
      </c>
      <c r="Z253" s="65">
        <f>IF(Report[[#This Row],[FT]]="",,IF(Report[[#This Row],[FT]]=Report[[#This Row],[Score 2]],Suivi_Gain!$G$1*Report[[#This Row],[Cote SE]],-Suivi_Gain!$G$1))</f>
        <v>-1</v>
      </c>
      <c r="AA253" s="65">
        <f>IF(Report[[#This Row],[FT]]="",,IF(Report[[#This Row],[FT]]=Report[[#This Row],[Score 3]],Suivi_Gain!$G$1*Report[[#This Row],[Cote SE]],-Suivi_Gain!$G$1))</f>
        <v>-1</v>
      </c>
      <c r="AB253" s="65">
        <f>IF(Report[[#This Row],[FT]]="",,IF(Report[[#This Row],[FT]]=Report[[#This Row],[Score 4]],Suivi_Gain!$G$1*Report[[#This Row],[Cote SE]],-Suivi_Gain!$G$1))</f>
        <v>-1</v>
      </c>
      <c r="AC253" s="64" t="str">
        <f>IF(Report[[#This Row],[Résultats SE]]="Gagné",Report[[#This Row],[FT]],"")</f>
        <v/>
      </c>
      <c r="AD253" s="64" t="str">
        <f>IF(AND(Report[[#This Row],[Résultats SE]]="Gagné",Report[[#This Row],[FT]]=Report[[#This Row],[Score 1]]),Report[[#This Row],[FT]],"")</f>
        <v/>
      </c>
      <c r="AE253" s="64" t="str">
        <f>IF(AND(Report[[#This Row],[Résultats SE]]="Gagné",Report[[#This Row],[FT]]=Report[[#This Row],[Score 2]]),Report[[#This Row],[FT]],"")</f>
        <v/>
      </c>
      <c r="AF253" s="64" t="str">
        <f>IF(AND(Report[[#This Row],[Résultats SE]]="Gagné",Report[[#This Row],[FT]]=Report[[#This Row],[Score 3]]),Report[[#This Row],[FT]],"")</f>
        <v/>
      </c>
      <c r="AG253" s="64" t="str">
        <f>IF(AND(Report[[#This Row],[Résultats SE]]="Gagné",Report[[#This Row],[FT]]=Report[[#This Row],[Score 4]]),Report[[#This Row],[FT]],"")</f>
        <v/>
      </c>
    </row>
    <row r="254" spans="1:33" ht="20.100000000000001" customHeight="1" x14ac:dyDescent="0.25">
      <c r="A254" s="11">
        <v>43428</v>
      </c>
      <c r="B254" s="7" t="s">
        <v>89</v>
      </c>
      <c r="C254" s="7" t="s">
        <v>860</v>
      </c>
      <c r="D254" s="10" t="s">
        <v>345</v>
      </c>
      <c r="E254" s="10" t="s">
        <v>354</v>
      </c>
      <c r="F254" s="7" t="s">
        <v>842</v>
      </c>
      <c r="G254" s="8" t="s">
        <v>838</v>
      </c>
      <c r="H254" s="9" t="s">
        <v>831</v>
      </c>
      <c r="I254" s="9" t="s">
        <v>834</v>
      </c>
      <c r="J254" s="9" t="s">
        <v>830</v>
      </c>
      <c r="K254" s="9" t="s">
        <v>345</v>
      </c>
      <c r="L254" s="16" t="str">
        <f>IF(Report[Résultat FT]="","",IF(Report[Résultat FT]=Report[Résultats],"","-"))</f>
        <v>-</v>
      </c>
      <c r="M254" s="16" t="str">
        <f>IF(Report[[#This Row],[Résultat FT]]="","",IF(Report[[#This Row],[Résultats SE]]="Gagné","","-"))</f>
        <v>-</v>
      </c>
      <c r="N254" s="17" t="s">
        <v>837</v>
      </c>
      <c r="O254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254" s="18">
        <f>IF(Report[[#This Row],[FT]]="",,(LEFT(Report[[#This Row],[FT]],SEARCH("-",Report[[#This Row],[FT]])-1)*1))</f>
        <v>2</v>
      </c>
      <c r="Q254" s="22">
        <f>IF(Report[[#This Row],[FT]]="",,(RIGHT(Report[[#This Row],[FT]],SEARCH("-",Report[[#This Row],[FT]])-1)*1))</f>
        <v>2</v>
      </c>
      <c r="R254" s="18" t="str">
        <f>IF(Report[Résultat FT]="","",IF(Report[Résultat FT]=Report[Résultats],"Gagné","Perdu"))</f>
        <v>Perdu</v>
      </c>
      <c r="S254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54" s="53">
        <f>IF(Report[[#This Row],[FT]]="","",IF(Report[[#This Row],[FT]]=Report[[#This Row],[Score 1]],1,0))</f>
        <v>0</v>
      </c>
      <c r="U254" s="53">
        <f>IF(Report[[#This Row],[FT]]="","",IF(Report[ [#This Row],[FT] ]=Report[[#This Row],[Score 2]],1,0))</f>
        <v>0</v>
      </c>
      <c r="V254" s="53">
        <f>IF(Report[[#This Row],[FT]]="","",IF(Report[[#This Row],[FT]]=Report[[#This Row],[Score 3]],1,0))</f>
        <v>0</v>
      </c>
      <c r="W254" s="53">
        <f>IF(Report[[#This Row],[FT]]="","",IF(Report[[#This Row],[FT]]=Report[[#This Row],[Score 4]],1,0))</f>
        <v>0</v>
      </c>
      <c r="X254" s="66">
        <f>IF(Report[[#This Row],[Résultat FT]]="",,IF(Report[[#This Row],[Résultat FT]]=Report[[#This Row],[Résultats]],(Suivi_Gain!$B$1*Report[[#This Row],[Cote FT]])-Suivi_Gain!$B$1,-Suivi_Gain!$B$1))</f>
        <v>-1</v>
      </c>
      <c r="Y254" s="94">
        <f>IF(Report[[#This Row],[FT]]="",,IF(Report[[#This Row],[FT]]=Report[[#This Row],[Score 1]],(Suivi_Gain!$G$1*Report[[#This Row],[Cote SE]])-Suivi_Gain!$G$1,-Suivi_Gain!$G$1))</f>
        <v>-1</v>
      </c>
      <c r="Z254" s="65">
        <f>IF(Report[[#This Row],[FT]]="",,IF(Report[[#This Row],[FT]]=Report[[#This Row],[Score 2]],Suivi_Gain!$G$1*Report[[#This Row],[Cote SE]],-Suivi_Gain!$G$1))</f>
        <v>-1</v>
      </c>
      <c r="AA254" s="65">
        <f>IF(Report[[#This Row],[FT]]="",,IF(Report[[#This Row],[FT]]=Report[[#This Row],[Score 3]],Suivi_Gain!$G$1*Report[[#This Row],[Cote SE]],-Suivi_Gain!$G$1))</f>
        <v>-1</v>
      </c>
      <c r="AB254" s="65">
        <f>IF(Report[[#This Row],[FT]]="",,IF(Report[[#This Row],[FT]]=Report[[#This Row],[Score 4]],Suivi_Gain!$G$1*Report[[#This Row],[Cote SE]],-Suivi_Gain!$G$1))</f>
        <v>-1</v>
      </c>
      <c r="AC254" s="64" t="str">
        <f>IF(Report[[#This Row],[Résultats SE]]="Gagné",Report[[#This Row],[FT]],"")</f>
        <v/>
      </c>
      <c r="AD254" s="64" t="str">
        <f>IF(AND(Report[[#This Row],[Résultats SE]]="Gagné",Report[[#This Row],[FT]]=Report[[#This Row],[Score 1]]),Report[[#This Row],[FT]],"")</f>
        <v/>
      </c>
      <c r="AE254" s="64" t="str">
        <f>IF(AND(Report[[#This Row],[Résultats SE]]="Gagné",Report[[#This Row],[FT]]=Report[[#This Row],[Score 2]]),Report[[#This Row],[FT]],"")</f>
        <v/>
      </c>
      <c r="AF254" s="64" t="str">
        <f>IF(AND(Report[[#This Row],[Résultats SE]]="Gagné",Report[[#This Row],[FT]]=Report[[#This Row],[Score 3]]),Report[[#This Row],[FT]],"")</f>
        <v/>
      </c>
      <c r="AG254" s="64" t="str">
        <f>IF(AND(Report[[#This Row],[Résultats SE]]="Gagné",Report[[#This Row],[FT]]=Report[[#This Row],[Score 4]]),Report[[#This Row],[FT]],"")</f>
        <v/>
      </c>
    </row>
    <row r="255" spans="1:33" ht="20.100000000000001" customHeight="1" x14ac:dyDescent="0.25">
      <c r="A255" s="11">
        <v>43428</v>
      </c>
      <c r="B255" s="7" t="s">
        <v>89</v>
      </c>
      <c r="C255" s="7" t="s">
        <v>860</v>
      </c>
      <c r="D255" s="10" t="s">
        <v>352</v>
      </c>
      <c r="E255" s="10" t="s">
        <v>357</v>
      </c>
      <c r="F255" s="7" t="s">
        <v>861</v>
      </c>
      <c r="G255" s="8" t="s">
        <v>831</v>
      </c>
      <c r="H255" s="9" t="s">
        <v>830</v>
      </c>
      <c r="I255" s="9" t="s">
        <v>832</v>
      </c>
      <c r="J255" s="9" t="s">
        <v>826</v>
      </c>
      <c r="K255" s="9" t="s">
        <v>352</v>
      </c>
      <c r="L255" s="16" t="str">
        <f>IF(Report[Résultat FT]="","",IF(Report[Résultat FT]=Report[Résultats],"","-"))</f>
        <v>-</v>
      </c>
      <c r="M255" s="16" t="str">
        <f>IF(Report[[#This Row],[Résultat FT]]="","",IF(Report[[#This Row],[Résultats SE]]="Gagné","","-"))</f>
        <v>-</v>
      </c>
      <c r="N255" s="17" t="s">
        <v>828</v>
      </c>
      <c r="O255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Slovacko</v>
      </c>
      <c r="P255" s="18">
        <f>IF(Report[[#This Row],[FT]]="",,(LEFT(Report[[#This Row],[FT]],SEARCH("-",Report[[#This Row],[FT]])-1)*1))</f>
        <v>0</v>
      </c>
      <c r="Q255" s="22">
        <f>IF(Report[[#This Row],[FT]]="",,(RIGHT(Report[[#This Row],[FT]],SEARCH("-",Report[[#This Row],[FT]])-1)*1))</f>
        <v>3</v>
      </c>
      <c r="R255" s="18" t="str">
        <f>IF(Report[Résultat FT]="","",IF(Report[Résultat FT]=Report[Résultats],"Gagné","Perdu"))</f>
        <v>Perdu</v>
      </c>
      <c r="S255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55" s="53">
        <f>IF(Report[[#This Row],[FT]]="","",IF(Report[[#This Row],[FT]]=Report[[#This Row],[Score 1]],1,0))</f>
        <v>0</v>
      </c>
      <c r="U255" s="53">
        <f>IF(Report[[#This Row],[FT]]="","",IF(Report[ [#This Row],[FT] ]=Report[[#This Row],[Score 2]],1,0))</f>
        <v>0</v>
      </c>
      <c r="V255" s="53">
        <f>IF(Report[[#This Row],[FT]]="","",IF(Report[[#This Row],[FT]]=Report[[#This Row],[Score 3]],1,0))</f>
        <v>0</v>
      </c>
      <c r="W255" s="53">
        <f>IF(Report[[#This Row],[FT]]="","",IF(Report[[#This Row],[FT]]=Report[[#This Row],[Score 4]],1,0))</f>
        <v>0</v>
      </c>
      <c r="X255" s="66">
        <f>IF(Report[[#This Row],[Résultat FT]]="",,IF(Report[[#This Row],[Résultat FT]]=Report[[#This Row],[Résultats]],(Suivi_Gain!$B$1*Report[[#This Row],[Cote FT]])-Suivi_Gain!$B$1,-Suivi_Gain!$B$1))</f>
        <v>-1</v>
      </c>
      <c r="Y255" s="94">
        <f>IF(Report[[#This Row],[FT]]="",,IF(Report[[#This Row],[FT]]=Report[[#This Row],[Score 1]],(Suivi_Gain!$G$1*Report[[#This Row],[Cote SE]])-Suivi_Gain!$G$1,-Suivi_Gain!$G$1))</f>
        <v>-1</v>
      </c>
      <c r="Z255" s="65">
        <f>IF(Report[[#This Row],[FT]]="",,IF(Report[[#This Row],[FT]]=Report[[#This Row],[Score 2]],Suivi_Gain!$G$1*Report[[#This Row],[Cote SE]],-Suivi_Gain!$G$1))</f>
        <v>-1</v>
      </c>
      <c r="AA255" s="65">
        <f>IF(Report[[#This Row],[FT]]="",,IF(Report[[#This Row],[FT]]=Report[[#This Row],[Score 3]],Suivi_Gain!$G$1*Report[[#This Row],[Cote SE]],-Suivi_Gain!$G$1))</f>
        <v>-1</v>
      </c>
      <c r="AB255" s="65">
        <f>IF(Report[[#This Row],[FT]]="",,IF(Report[[#This Row],[FT]]=Report[[#This Row],[Score 4]],Suivi_Gain!$G$1*Report[[#This Row],[Cote SE]],-Suivi_Gain!$G$1))</f>
        <v>-1</v>
      </c>
      <c r="AC255" s="64" t="str">
        <f>IF(Report[[#This Row],[Résultats SE]]="Gagné",Report[[#This Row],[FT]],"")</f>
        <v/>
      </c>
      <c r="AD255" s="64" t="str">
        <f>IF(AND(Report[[#This Row],[Résultats SE]]="Gagné",Report[[#This Row],[FT]]=Report[[#This Row],[Score 1]]),Report[[#This Row],[FT]],"")</f>
        <v/>
      </c>
      <c r="AE255" s="64" t="str">
        <f>IF(AND(Report[[#This Row],[Résultats SE]]="Gagné",Report[[#This Row],[FT]]=Report[[#This Row],[Score 2]]),Report[[#This Row],[FT]],"")</f>
        <v/>
      </c>
      <c r="AF255" s="64" t="str">
        <f>IF(AND(Report[[#This Row],[Résultats SE]]="Gagné",Report[[#This Row],[FT]]=Report[[#This Row],[Score 3]]),Report[[#This Row],[FT]],"")</f>
        <v/>
      </c>
      <c r="AG255" s="64" t="str">
        <f>IF(AND(Report[[#This Row],[Résultats SE]]="Gagné",Report[[#This Row],[FT]]=Report[[#This Row],[Score 4]]),Report[[#This Row],[FT]],"")</f>
        <v/>
      </c>
    </row>
    <row r="256" spans="1:33" ht="20.100000000000001" customHeight="1" x14ac:dyDescent="0.25">
      <c r="A256" s="11">
        <v>43428</v>
      </c>
      <c r="B256" s="7" t="s">
        <v>89</v>
      </c>
      <c r="C256" s="7" t="s">
        <v>860</v>
      </c>
      <c r="D256" s="10" t="s">
        <v>360</v>
      </c>
      <c r="E256" s="10" t="s">
        <v>351</v>
      </c>
      <c r="F256" s="7" t="s">
        <v>833</v>
      </c>
      <c r="G256" s="8" t="s">
        <v>834</v>
      </c>
      <c r="H256" s="9" t="s">
        <v>830</v>
      </c>
      <c r="I256" s="9" t="s">
        <v>825</v>
      </c>
      <c r="J256" s="9" t="s">
        <v>826</v>
      </c>
      <c r="K256" s="9" t="s">
        <v>233</v>
      </c>
      <c r="L256" s="16" t="str">
        <f>IF(Report[Résultat FT]="","",IF(Report[Résultat FT]=Report[Résultats],"","-"))</f>
        <v>-</v>
      </c>
      <c r="M256" s="16" t="str">
        <f>IF(Report[[#This Row],[Résultat FT]]="","",IF(Report[[#This Row],[Résultats SE]]="Gagné","","-"))</f>
        <v>-</v>
      </c>
      <c r="N256" s="17" t="s">
        <v>831</v>
      </c>
      <c r="O256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Zlin</v>
      </c>
      <c r="P256" s="18">
        <f>IF(Report[[#This Row],[FT]]="",,(LEFT(Report[[#This Row],[FT]],SEARCH("-",Report[[#This Row],[FT]])-1)*1))</f>
        <v>2</v>
      </c>
      <c r="Q256" s="22">
        <f>IF(Report[[#This Row],[FT]]="",,(RIGHT(Report[[#This Row],[FT]],SEARCH("-",Report[[#This Row],[FT]])-1)*1))</f>
        <v>0</v>
      </c>
      <c r="R256" s="18" t="str">
        <f>IF(Report[Résultat FT]="","",IF(Report[Résultat FT]=Report[Résultats],"Gagné","Perdu"))</f>
        <v>Perdu</v>
      </c>
      <c r="S256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56" s="53">
        <f>IF(Report[[#This Row],[FT]]="","",IF(Report[[#This Row],[FT]]=Report[[#This Row],[Score 1]],1,0))</f>
        <v>0</v>
      </c>
      <c r="U256" s="53">
        <f>IF(Report[[#This Row],[FT]]="","",IF(Report[ [#This Row],[FT] ]=Report[[#This Row],[Score 2]],1,0))</f>
        <v>0</v>
      </c>
      <c r="V256" s="53">
        <f>IF(Report[[#This Row],[FT]]="","",IF(Report[[#This Row],[FT]]=Report[[#This Row],[Score 3]],1,0))</f>
        <v>0</v>
      </c>
      <c r="W256" s="53">
        <f>IF(Report[[#This Row],[FT]]="","",IF(Report[[#This Row],[FT]]=Report[[#This Row],[Score 4]],1,0))</f>
        <v>0</v>
      </c>
      <c r="X256" s="66">
        <f>IF(Report[[#This Row],[Résultat FT]]="",,IF(Report[[#This Row],[Résultat FT]]=Report[[#This Row],[Résultats]],(Suivi_Gain!$B$1*Report[[#This Row],[Cote FT]])-Suivi_Gain!$B$1,-Suivi_Gain!$B$1))</f>
        <v>-1</v>
      </c>
      <c r="Y256" s="94">
        <f>IF(Report[[#This Row],[FT]]="",,IF(Report[[#This Row],[FT]]=Report[[#This Row],[Score 1]],(Suivi_Gain!$G$1*Report[[#This Row],[Cote SE]])-Suivi_Gain!$G$1,-Suivi_Gain!$G$1))</f>
        <v>-1</v>
      </c>
      <c r="Z256" s="65">
        <f>IF(Report[[#This Row],[FT]]="",,IF(Report[[#This Row],[FT]]=Report[[#This Row],[Score 2]],Suivi_Gain!$G$1*Report[[#This Row],[Cote SE]],-Suivi_Gain!$G$1))</f>
        <v>-1</v>
      </c>
      <c r="AA256" s="65">
        <f>IF(Report[[#This Row],[FT]]="",,IF(Report[[#This Row],[FT]]=Report[[#This Row],[Score 3]],Suivi_Gain!$G$1*Report[[#This Row],[Cote SE]],-Suivi_Gain!$G$1))</f>
        <v>-1</v>
      </c>
      <c r="AB256" s="65">
        <f>IF(Report[[#This Row],[FT]]="",,IF(Report[[#This Row],[FT]]=Report[[#This Row],[Score 4]],Suivi_Gain!$G$1*Report[[#This Row],[Cote SE]],-Suivi_Gain!$G$1))</f>
        <v>-1</v>
      </c>
      <c r="AC256" s="64" t="str">
        <f>IF(Report[[#This Row],[Résultats SE]]="Gagné",Report[[#This Row],[FT]],"")</f>
        <v/>
      </c>
      <c r="AD256" s="64" t="str">
        <f>IF(AND(Report[[#This Row],[Résultats SE]]="Gagné",Report[[#This Row],[FT]]=Report[[#This Row],[Score 1]]),Report[[#This Row],[FT]],"")</f>
        <v/>
      </c>
      <c r="AE256" s="64" t="str">
        <f>IF(AND(Report[[#This Row],[Résultats SE]]="Gagné",Report[[#This Row],[FT]]=Report[[#This Row],[Score 2]]),Report[[#This Row],[FT]],"")</f>
        <v/>
      </c>
      <c r="AF256" s="64" t="str">
        <f>IF(AND(Report[[#This Row],[Résultats SE]]="Gagné",Report[[#This Row],[FT]]=Report[[#This Row],[Score 3]]),Report[[#This Row],[FT]],"")</f>
        <v/>
      </c>
      <c r="AG256" s="64" t="str">
        <f>IF(AND(Report[[#This Row],[Résultats SE]]="Gagné",Report[[#This Row],[FT]]=Report[[#This Row],[Score 4]]),Report[[#This Row],[FT]],"")</f>
        <v/>
      </c>
    </row>
    <row r="257" spans="1:33" ht="20.100000000000001" customHeight="1" x14ac:dyDescent="0.25">
      <c r="A257" s="11">
        <v>43428</v>
      </c>
      <c r="B257" s="7" t="s">
        <v>90</v>
      </c>
      <c r="C257" s="7" t="s">
        <v>122</v>
      </c>
      <c r="D257" s="10" t="s">
        <v>341</v>
      </c>
      <c r="E257" s="10" t="s">
        <v>331</v>
      </c>
      <c r="F257" s="7" t="s">
        <v>844</v>
      </c>
      <c r="G257" s="8" t="s">
        <v>826</v>
      </c>
      <c r="H257" s="9" t="s">
        <v>845</v>
      </c>
      <c r="I257" s="9" t="s">
        <v>846</v>
      </c>
      <c r="J257" s="9" t="s">
        <v>847</v>
      </c>
      <c r="K257" s="9" t="s">
        <v>233</v>
      </c>
      <c r="L257" s="16" t="str">
        <f>IF(Report[Résultat FT]="","",IF(Report[Résultat FT]=Report[Résultats],"","-"))</f>
        <v>-</v>
      </c>
      <c r="M257" s="16" t="str">
        <f>IF(Report[[#This Row],[Résultat FT]]="","",IF(Report[[#This Row],[Résultats SE]]="Gagné","","-"))</f>
        <v>-</v>
      </c>
      <c r="N257" s="17" t="s">
        <v>830</v>
      </c>
      <c r="O257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Sepsi</v>
      </c>
      <c r="P257" s="18">
        <f>IF(Report[[#This Row],[FT]]="",,(LEFT(Report[[#This Row],[FT]],SEARCH("-",Report[[#This Row],[FT]])-1)*1))</f>
        <v>1</v>
      </c>
      <c r="Q257" s="22">
        <f>IF(Report[[#This Row],[FT]]="",,(RIGHT(Report[[#This Row],[FT]],SEARCH("-",Report[[#This Row],[FT]])-1)*1))</f>
        <v>0</v>
      </c>
      <c r="R257" s="18" t="str">
        <f>IF(Report[Résultat FT]="","",IF(Report[Résultat FT]=Report[Résultats],"Gagné","Perdu"))</f>
        <v>Perdu</v>
      </c>
      <c r="S257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57" s="53">
        <f>IF(Report[[#This Row],[FT]]="","",IF(Report[[#This Row],[FT]]=Report[[#This Row],[Score 1]],1,0))</f>
        <v>0</v>
      </c>
      <c r="U257" s="53">
        <f>IF(Report[[#This Row],[FT]]="","",IF(Report[ [#This Row],[FT] ]=Report[[#This Row],[Score 2]],1,0))</f>
        <v>0</v>
      </c>
      <c r="V257" s="53">
        <f>IF(Report[[#This Row],[FT]]="","",IF(Report[[#This Row],[FT]]=Report[[#This Row],[Score 3]],1,0))</f>
        <v>0</v>
      </c>
      <c r="W257" s="53">
        <f>IF(Report[[#This Row],[FT]]="","",IF(Report[[#This Row],[FT]]=Report[[#This Row],[Score 4]],1,0))</f>
        <v>0</v>
      </c>
      <c r="X257" s="66">
        <f>IF(Report[[#This Row],[Résultat FT]]="",,IF(Report[[#This Row],[Résultat FT]]=Report[[#This Row],[Résultats]],(Suivi_Gain!$B$1*Report[[#This Row],[Cote FT]])-Suivi_Gain!$B$1,-Suivi_Gain!$B$1))</f>
        <v>-1</v>
      </c>
      <c r="Y257" s="94">
        <f>IF(Report[[#This Row],[FT]]="",,IF(Report[[#This Row],[FT]]=Report[[#This Row],[Score 1]],(Suivi_Gain!$G$1*Report[[#This Row],[Cote SE]])-Suivi_Gain!$G$1,-Suivi_Gain!$G$1))</f>
        <v>-1</v>
      </c>
      <c r="Z257" s="65">
        <f>IF(Report[[#This Row],[FT]]="",,IF(Report[[#This Row],[FT]]=Report[[#This Row],[Score 2]],Suivi_Gain!$G$1*Report[[#This Row],[Cote SE]],-Suivi_Gain!$G$1))</f>
        <v>-1</v>
      </c>
      <c r="AA257" s="65">
        <f>IF(Report[[#This Row],[FT]]="",,IF(Report[[#This Row],[FT]]=Report[[#This Row],[Score 3]],Suivi_Gain!$G$1*Report[[#This Row],[Cote SE]],-Suivi_Gain!$G$1))</f>
        <v>-1</v>
      </c>
      <c r="AB257" s="65">
        <f>IF(Report[[#This Row],[FT]]="",,IF(Report[[#This Row],[FT]]=Report[[#This Row],[Score 4]],Suivi_Gain!$G$1*Report[[#This Row],[Cote SE]],-Suivi_Gain!$G$1))</f>
        <v>-1</v>
      </c>
      <c r="AC257" s="64" t="str">
        <f>IF(Report[[#This Row],[Résultats SE]]="Gagné",Report[[#This Row],[FT]],"")</f>
        <v/>
      </c>
      <c r="AD257" s="64" t="str">
        <f>IF(AND(Report[[#This Row],[Résultats SE]]="Gagné",Report[[#This Row],[FT]]=Report[[#This Row],[Score 1]]),Report[[#This Row],[FT]],"")</f>
        <v/>
      </c>
      <c r="AE257" s="64" t="str">
        <f>IF(AND(Report[[#This Row],[Résultats SE]]="Gagné",Report[[#This Row],[FT]]=Report[[#This Row],[Score 2]]),Report[[#This Row],[FT]],"")</f>
        <v/>
      </c>
      <c r="AF257" s="64" t="str">
        <f>IF(AND(Report[[#This Row],[Résultats SE]]="Gagné",Report[[#This Row],[FT]]=Report[[#This Row],[Score 3]]),Report[[#This Row],[FT]],"")</f>
        <v/>
      </c>
      <c r="AG257" s="64" t="str">
        <f>IF(AND(Report[[#This Row],[Résultats SE]]="Gagné",Report[[#This Row],[FT]]=Report[[#This Row],[Score 4]]),Report[[#This Row],[FT]],"")</f>
        <v/>
      </c>
    </row>
    <row r="258" spans="1:33" ht="20.100000000000001" customHeight="1" x14ac:dyDescent="0.25">
      <c r="A258" s="11">
        <v>43428</v>
      </c>
      <c r="B258" s="7" t="s">
        <v>90</v>
      </c>
      <c r="C258" s="7" t="s">
        <v>122</v>
      </c>
      <c r="D258" s="10" t="s">
        <v>335</v>
      </c>
      <c r="E258" s="10" t="s">
        <v>334</v>
      </c>
      <c r="F258" s="7" t="s">
        <v>824</v>
      </c>
      <c r="G258" s="8" t="s">
        <v>825</v>
      </c>
      <c r="H258" s="9" t="s">
        <v>826</v>
      </c>
      <c r="I258" s="9" t="s">
        <v>827</v>
      </c>
      <c r="J258" s="9" t="s">
        <v>828</v>
      </c>
      <c r="K258" s="9" t="s">
        <v>334</v>
      </c>
      <c r="L258" s="16">
        <v>1.64</v>
      </c>
      <c r="M258" s="16">
        <v>5.6</v>
      </c>
      <c r="N258" s="17" t="s">
        <v>825</v>
      </c>
      <c r="O258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CFR Cluj</v>
      </c>
      <c r="P258" s="18">
        <f>IF(Report[[#This Row],[FT]]="",,(LEFT(Report[[#This Row],[FT]],SEARCH("-",Report[[#This Row],[FT]])-1)*1))</f>
        <v>0</v>
      </c>
      <c r="Q258" s="22">
        <f>IF(Report[[#This Row],[FT]]="",,(RIGHT(Report[[#This Row],[FT]],SEARCH("-",Report[[#This Row],[FT]])-1)*1))</f>
        <v>1</v>
      </c>
      <c r="R258" s="18" t="str">
        <f>IF(Report[Résultat FT]="","",IF(Report[Résultat FT]=Report[Résultats],"Gagné","Perdu"))</f>
        <v>Gagné</v>
      </c>
      <c r="S258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258" s="53">
        <f>IF(Report[[#This Row],[FT]]="","",IF(Report[[#This Row],[FT]]=Report[[#This Row],[Score 1]],1,0))</f>
        <v>1</v>
      </c>
      <c r="U258" s="53">
        <f>IF(Report[[#This Row],[FT]]="","",IF(Report[ [#This Row],[FT] ]=Report[[#This Row],[Score 2]],1,0))</f>
        <v>0</v>
      </c>
      <c r="V258" s="53">
        <f>IF(Report[[#This Row],[FT]]="","",IF(Report[[#This Row],[FT]]=Report[[#This Row],[Score 3]],1,0))</f>
        <v>0</v>
      </c>
      <c r="W258" s="53">
        <f>IF(Report[[#This Row],[FT]]="","",IF(Report[[#This Row],[FT]]=Report[[#This Row],[Score 4]],1,0))</f>
        <v>0</v>
      </c>
      <c r="X258" s="66">
        <f>IF(Report[[#This Row],[Résultat FT]]="",,IF(Report[[#This Row],[Résultat FT]]=Report[[#This Row],[Résultats]],(Suivi_Gain!$B$1*Report[[#This Row],[Cote FT]])-Suivi_Gain!$B$1,-Suivi_Gain!$B$1))</f>
        <v>0.6399999999999999</v>
      </c>
      <c r="Y258" s="94">
        <f>IF(Report[[#This Row],[FT]]="",,IF(Report[[#This Row],[FT]]=Report[[#This Row],[Score 1]],(Suivi_Gain!$G$1*Report[[#This Row],[Cote SE]])-Suivi_Gain!$G$1,-Suivi_Gain!$G$1))</f>
        <v>4.5999999999999996</v>
      </c>
      <c r="Z258" s="65">
        <f>IF(Report[[#This Row],[FT]]="",,IF(Report[[#This Row],[FT]]=Report[[#This Row],[Score 2]],Suivi_Gain!$G$1*Report[[#This Row],[Cote SE]],-Suivi_Gain!$G$1))</f>
        <v>-1</v>
      </c>
      <c r="AA258" s="65">
        <f>IF(Report[[#This Row],[FT]]="",,IF(Report[[#This Row],[FT]]=Report[[#This Row],[Score 3]],Suivi_Gain!$G$1*Report[[#This Row],[Cote SE]],-Suivi_Gain!$G$1))</f>
        <v>-1</v>
      </c>
      <c r="AB258" s="65">
        <f>IF(Report[[#This Row],[FT]]="",,IF(Report[[#This Row],[FT]]=Report[[#This Row],[Score 4]],Suivi_Gain!$G$1*Report[[#This Row],[Cote SE]],-Suivi_Gain!$G$1))</f>
        <v>-1</v>
      </c>
      <c r="AC258" s="64" t="str">
        <f>IF(Report[[#This Row],[Résultats SE]]="Gagné",Report[[#This Row],[FT]],"")</f>
        <v>0-1</v>
      </c>
      <c r="AD258" s="64" t="str">
        <f>IF(AND(Report[[#This Row],[Résultats SE]]="Gagné",Report[[#This Row],[FT]]=Report[[#This Row],[Score 1]]),Report[[#This Row],[FT]],"")</f>
        <v>0-1</v>
      </c>
      <c r="AE258" s="64" t="str">
        <f>IF(AND(Report[[#This Row],[Résultats SE]]="Gagné",Report[[#This Row],[FT]]=Report[[#This Row],[Score 2]]),Report[[#This Row],[FT]],"")</f>
        <v/>
      </c>
      <c r="AF258" s="64" t="str">
        <f>IF(AND(Report[[#This Row],[Résultats SE]]="Gagné",Report[[#This Row],[FT]]=Report[[#This Row],[Score 3]]),Report[[#This Row],[FT]],"")</f>
        <v/>
      </c>
      <c r="AG258" s="64" t="str">
        <f>IF(AND(Report[[#This Row],[Résultats SE]]="Gagné",Report[[#This Row],[FT]]=Report[[#This Row],[Score 4]]),Report[[#This Row],[FT]],"")</f>
        <v/>
      </c>
    </row>
    <row r="259" spans="1:33" ht="20.100000000000001" customHeight="1" x14ac:dyDescent="0.25">
      <c r="A259" s="11">
        <v>43428</v>
      </c>
      <c r="B259" s="7" t="s">
        <v>94</v>
      </c>
      <c r="C259" s="7" t="s">
        <v>123</v>
      </c>
      <c r="D259" s="10" t="s">
        <v>301</v>
      </c>
      <c r="E259" s="10" t="s">
        <v>311</v>
      </c>
      <c r="F259" s="7" t="s">
        <v>829</v>
      </c>
      <c r="G259" s="8" t="s">
        <v>830</v>
      </c>
      <c r="H259" s="9" t="s">
        <v>826</v>
      </c>
      <c r="I259" s="9" t="s">
        <v>831</v>
      </c>
      <c r="J259" s="9" t="s">
        <v>832</v>
      </c>
      <c r="K259" s="9" t="s">
        <v>301</v>
      </c>
      <c r="L259" s="16" t="str">
        <f>IF(Report[[#This Row],[Résultat FT]]="","",IF(Report[[#This Row],[Résultats SE]]="Gagné","","-"))</f>
        <v>-</v>
      </c>
      <c r="M259" s="16" t="str">
        <f>IF(Report[[#This Row],[Résultat FT]]="","",IF(Report[[#This Row],[Résultats SE]]="Gagné","","-"))</f>
        <v>-</v>
      </c>
      <c r="N259" s="17" t="s">
        <v>839</v>
      </c>
      <c r="O259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Yenisey</v>
      </c>
      <c r="P259" s="18">
        <f>IF(Report[[#This Row],[FT]]="",,(LEFT(Report[[#This Row],[FT]],SEARCH("-",Report[[#This Row],[FT]])-1)*1))</f>
        <v>1</v>
      </c>
      <c r="Q259" s="22">
        <f>IF(Report[[#This Row],[FT]]="",,(RIGHT(Report[[#This Row],[FT]],SEARCH("-",Report[[#This Row],[FT]])-1)*1))</f>
        <v>2</v>
      </c>
      <c r="R259" s="18" t="str">
        <f>IF(Report[Résultat FT]="","",IF(Report[Résultat FT]=Report[Résultats],"Gagné","Perdu"))</f>
        <v>Perdu</v>
      </c>
      <c r="S259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59" s="53">
        <f>IF(Report[[#This Row],[FT]]="","",IF(Report[[#This Row],[FT]]=Report[[#This Row],[Score 1]],1,0))</f>
        <v>0</v>
      </c>
      <c r="U259" s="53">
        <f>IF(Report[[#This Row],[FT]]="","",IF(Report[ [#This Row],[FT] ]=Report[[#This Row],[Score 2]],1,0))</f>
        <v>0</v>
      </c>
      <c r="V259" s="53">
        <f>IF(Report[[#This Row],[FT]]="","",IF(Report[[#This Row],[FT]]=Report[[#This Row],[Score 3]],1,0))</f>
        <v>0</v>
      </c>
      <c r="W259" s="53">
        <f>IF(Report[[#This Row],[FT]]="","",IF(Report[[#This Row],[FT]]=Report[[#This Row],[Score 4]],1,0))</f>
        <v>0</v>
      </c>
      <c r="X259" s="66">
        <f>IF(Report[[#This Row],[Résultat FT]]="",,IF(Report[[#This Row],[Résultat FT]]=Report[[#This Row],[Résultats]],(Suivi_Gain!$B$1*Report[[#This Row],[Cote FT]])-Suivi_Gain!$B$1,-Suivi_Gain!$B$1))</f>
        <v>-1</v>
      </c>
      <c r="Y259" s="94">
        <f>IF(Report[[#This Row],[FT]]="",,IF(Report[[#This Row],[FT]]=Report[[#This Row],[Score 1]],(Suivi_Gain!$G$1*Report[[#This Row],[Cote SE]])-Suivi_Gain!$G$1,-Suivi_Gain!$G$1))</f>
        <v>-1</v>
      </c>
      <c r="Z259" s="65">
        <f>IF(Report[[#This Row],[FT]]="",,IF(Report[[#This Row],[FT]]=Report[[#This Row],[Score 2]],Suivi_Gain!$G$1*Report[[#This Row],[Cote SE]],-Suivi_Gain!$G$1))</f>
        <v>-1</v>
      </c>
      <c r="AA259" s="65">
        <f>IF(Report[[#This Row],[FT]]="",,IF(Report[[#This Row],[FT]]=Report[[#This Row],[Score 3]],Suivi_Gain!$G$1*Report[[#This Row],[Cote SE]],-Suivi_Gain!$G$1))</f>
        <v>-1</v>
      </c>
      <c r="AB259" s="65">
        <f>IF(Report[[#This Row],[FT]]="",,IF(Report[[#This Row],[FT]]=Report[[#This Row],[Score 4]],Suivi_Gain!$G$1*Report[[#This Row],[Cote SE]],-Suivi_Gain!$G$1))</f>
        <v>-1</v>
      </c>
      <c r="AC259" s="64" t="str">
        <f>IF(Report[[#This Row],[Résultats SE]]="Gagné",Report[[#This Row],[FT]],"")</f>
        <v/>
      </c>
      <c r="AD259" s="64" t="str">
        <f>IF(AND(Report[[#This Row],[Résultats SE]]="Gagné",Report[[#This Row],[FT]]=Report[[#This Row],[Score 1]]),Report[[#This Row],[FT]],"")</f>
        <v/>
      </c>
      <c r="AE259" s="64" t="str">
        <f>IF(AND(Report[[#This Row],[Résultats SE]]="Gagné",Report[[#This Row],[FT]]=Report[[#This Row],[Score 2]]),Report[[#This Row],[FT]],"")</f>
        <v/>
      </c>
      <c r="AF259" s="64" t="str">
        <f>IF(AND(Report[[#This Row],[Résultats SE]]="Gagné",Report[[#This Row],[FT]]=Report[[#This Row],[Score 3]]),Report[[#This Row],[FT]],"")</f>
        <v/>
      </c>
      <c r="AG259" s="64" t="str">
        <f>IF(AND(Report[[#This Row],[Résultats SE]]="Gagné",Report[[#This Row],[FT]]=Report[[#This Row],[Score 4]]),Report[[#This Row],[FT]],"")</f>
        <v/>
      </c>
    </row>
    <row r="260" spans="1:33" ht="20.100000000000001" customHeight="1" x14ac:dyDescent="0.25">
      <c r="A260" s="11">
        <v>43428</v>
      </c>
      <c r="B260" s="7" t="s">
        <v>94</v>
      </c>
      <c r="C260" s="7" t="s">
        <v>123</v>
      </c>
      <c r="D260" s="19" t="s">
        <v>306</v>
      </c>
      <c r="E260" s="19" t="s">
        <v>309</v>
      </c>
      <c r="F260" s="7" t="s">
        <v>829</v>
      </c>
      <c r="G260" s="20" t="s">
        <v>830</v>
      </c>
      <c r="H260" s="20" t="s">
        <v>826</v>
      </c>
      <c r="I260" s="20" t="s">
        <v>831</v>
      </c>
      <c r="J260" s="20" t="s">
        <v>832</v>
      </c>
      <c r="K260" s="21" t="s">
        <v>306</v>
      </c>
      <c r="L260" s="16">
        <v>2.33</v>
      </c>
      <c r="M260" s="16">
        <v>5.6</v>
      </c>
      <c r="N260" s="17" t="s">
        <v>830</v>
      </c>
      <c r="O260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Orenburg</v>
      </c>
      <c r="P260" s="18">
        <f>IF(Report[[#This Row],[FT]]="",,(LEFT(Report[[#This Row],[FT]],SEARCH("-",Report[[#This Row],[FT]])-1)*1))</f>
        <v>1</v>
      </c>
      <c r="Q260" s="22">
        <f>IF(Report[[#This Row],[FT]]="",,(RIGHT(Report[[#This Row],[FT]],SEARCH("-",Report[[#This Row],[FT]])-1)*1))</f>
        <v>0</v>
      </c>
      <c r="R260" s="18" t="str">
        <f>IF(Report[Résultat FT]="","",IF(Report[Résultat FT]=Report[Résultats],"Gagné","Perdu"))</f>
        <v>Gagné</v>
      </c>
      <c r="S260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260" s="53">
        <f>IF(Report[[#This Row],[FT]]="","",IF(Report[[#This Row],[FT]]=Report[[#This Row],[Score 1]],1,0))</f>
        <v>1</v>
      </c>
      <c r="U260" s="53">
        <f>IF(Report[[#This Row],[FT]]="","",IF(Report[ [#This Row],[FT] ]=Report[[#This Row],[Score 2]],1,0))</f>
        <v>0</v>
      </c>
      <c r="V260" s="53">
        <f>IF(Report[[#This Row],[FT]]="","",IF(Report[[#This Row],[FT]]=Report[[#This Row],[Score 3]],1,0))</f>
        <v>0</v>
      </c>
      <c r="W260" s="53">
        <f>IF(Report[[#This Row],[FT]]="","",IF(Report[[#This Row],[FT]]=Report[[#This Row],[Score 4]],1,0))</f>
        <v>0</v>
      </c>
      <c r="X260" s="66">
        <f>IF(Report[[#This Row],[Résultat FT]]="",,IF(Report[[#This Row],[Résultat FT]]=Report[[#This Row],[Résultats]],(Suivi_Gain!$B$1*Report[[#This Row],[Cote FT]])-Suivi_Gain!$B$1,-Suivi_Gain!$B$1))</f>
        <v>1.33</v>
      </c>
      <c r="Y260" s="94">
        <f>IF(Report[[#This Row],[FT]]="",,IF(Report[[#This Row],[FT]]=Report[[#This Row],[Score 1]],(Suivi_Gain!$G$1*Report[[#This Row],[Cote SE]])-Suivi_Gain!$G$1,-Suivi_Gain!$G$1))</f>
        <v>4.5999999999999996</v>
      </c>
      <c r="Z260" s="65">
        <f>IF(Report[[#This Row],[FT]]="",,IF(Report[[#This Row],[FT]]=Report[[#This Row],[Score 2]],Suivi_Gain!$G$1*Report[[#This Row],[Cote SE]],-Suivi_Gain!$G$1))</f>
        <v>-1</v>
      </c>
      <c r="AA260" s="65">
        <f>IF(Report[[#This Row],[FT]]="",,IF(Report[[#This Row],[FT]]=Report[[#This Row],[Score 3]],Suivi_Gain!$G$1*Report[[#This Row],[Cote SE]],-Suivi_Gain!$G$1))</f>
        <v>-1</v>
      </c>
      <c r="AB260" s="65">
        <f>IF(Report[[#This Row],[FT]]="",,IF(Report[[#This Row],[FT]]=Report[[#This Row],[Score 4]],Suivi_Gain!$G$1*Report[[#This Row],[Cote SE]],-Suivi_Gain!$G$1))</f>
        <v>-1</v>
      </c>
      <c r="AC260" s="64" t="str">
        <f>IF(Report[[#This Row],[Résultats SE]]="Gagné",Report[[#This Row],[FT]],"")</f>
        <v>1-0</v>
      </c>
      <c r="AD260" s="64" t="str">
        <f>IF(AND(Report[[#This Row],[Résultats SE]]="Gagné",Report[[#This Row],[FT]]=Report[[#This Row],[Score 1]]),Report[[#This Row],[FT]],"")</f>
        <v>1-0</v>
      </c>
      <c r="AE260" s="64" t="str">
        <f>IF(AND(Report[[#This Row],[Résultats SE]]="Gagné",Report[[#This Row],[FT]]=Report[[#This Row],[Score 2]]),Report[[#This Row],[FT]],"")</f>
        <v/>
      </c>
      <c r="AF260" s="64" t="str">
        <f>IF(AND(Report[[#This Row],[Résultats SE]]="Gagné",Report[[#This Row],[FT]]=Report[[#This Row],[Score 3]]),Report[[#This Row],[FT]],"")</f>
        <v/>
      </c>
      <c r="AG260" s="64" t="str">
        <f>IF(AND(Report[[#This Row],[Résultats SE]]="Gagné",Report[[#This Row],[FT]]=Report[[#This Row],[Score 4]]),Report[[#This Row],[FT]],"")</f>
        <v/>
      </c>
    </row>
    <row r="261" spans="1:33" ht="20.100000000000001" customHeight="1" x14ac:dyDescent="0.25">
      <c r="A261" s="11">
        <v>43428</v>
      </c>
      <c r="B261" s="7" t="s">
        <v>94</v>
      </c>
      <c r="C261" s="7" t="s">
        <v>123</v>
      </c>
      <c r="D261" s="19" t="s">
        <v>298</v>
      </c>
      <c r="E261" s="19" t="s">
        <v>303</v>
      </c>
      <c r="F261" s="7" t="s">
        <v>824</v>
      </c>
      <c r="G261" s="20" t="s">
        <v>825</v>
      </c>
      <c r="H261" s="20" t="s">
        <v>826</v>
      </c>
      <c r="I261" s="20" t="s">
        <v>827</v>
      </c>
      <c r="J261" s="20" t="s">
        <v>828</v>
      </c>
      <c r="K261" s="21" t="s">
        <v>303</v>
      </c>
      <c r="L261" s="16" t="str">
        <f>IF(Report[[#This Row],[Résultat FT]]="","",IF(Report[[#This Row],[Résultats SE]]="Gagné","","-"))</f>
        <v>-</v>
      </c>
      <c r="M261" s="16" t="str">
        <f>IF(Report[[#This Row],[Résultat FT]]="","",IF(Report[[#This Row],[Résultats SE]]="Gagné","","-"))</f>
        <v>-</v>
      </c>
      <c r="N261" s="17" t="s">
        <v>834</v>
      </c>
      <c r="O261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261" s="18">
        <f>IF(Report[[#This Row],[FT]]="",,(LEFT(Report[[#This Row],[FT]],SEARCH("-",Report[[#This Row],[FT]])-1)*1))</f>
        <v>1</v>
      </c>
      <c r="Q261" s="22">
        <f>IF(Report[[#This Row],[FT]]="",,(RIGHT(Report[[#This Row],[FT]],SEARCH("-",Report[[#This Row],[FT]])-1)*1))</f>
        <v>1</v>
      </c>
      <c r="R261" s="18" t="str">
        <f>IF(Report[Résultat FT]="","",IF(Report[Résultat FT]=Report[Résultats],"Gagné","Perdu"))</f>
        <v>Perdu</v>
      </c>
      <c r="S261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61" s="53">
        <f>IF(Report[[#This Row],[FT]]="","",IF(Report[[#This Row],[FT]]=Report[[#This Row],[Score 1]],1,0))</f>
        <v>0</v>
      </c>
      <c r="U261" s="53">
        <f>IF(Report[[#This Row],[FT]]="","",IF(Report[ [#This Row],[FT] ]=Report[[#This Row],[Score 2]],1,0))</f>
        <v>0</v>
      </c>
      <c r="V261" s="53">
        <f>IF(Report[[#This Row],[FT]]="","",IF(Report[[#This Row],[FT]]=Report[[#This Row],[Score 3]],1,0))</f>
        <v>0</v>
      </c>
      <c r="W261" s="53">
        <f>IF(Report[[#This Row],[FT]]="","",IF(Report[[#This Row],[FT]]=Report[[#This Row],[Score 4]],1,0))</f>
        <v>0</v>
      </c>
      <c r="X261" s="66">
        <f>IF(Report[[#This Row],[Résultat FT]]="",,IF(Report[[#This Row],[Résultat FT]]=Report[[#This Row],[Résultats]],(Suivi_Gain!$B$1*Report[[#This Row],[Cote FT]])-Suivi_Gain!$B$1,-Suivi_Gain!$B$1))</f>
        <v>-1</v>
      </c>
      <c r="Y261" s="94">
        <f>IF(Report[[#This Row],[FT]]="",,IF(Report[[#This Row],[FT]]=Report[[#This Row],[Score 1]],(Suivi_Gain!$G$1*Report[[#This Row],[Cote SE]])-Suivi_Gain!$G$1,-Suivi_Gain!$G$1))</f>
        <v>-1</v>
      </c>
      <c r="Z261" s="65">
        <f>IF(Report[[#This Row],[FT]]="",,IF(Report[[#This Row],[FT]]=Report[[#This Row],[Score 2]],Suivi_Gain!$G$1*Report[[#This Row],[Cote SE]],-Suivi_Gain!$G$1))</f>
        <v>-1</v>
      </c>
      <c r="AA261" s="65">
        <f>IF(Report[[#This Row],[FT]]="",,IF(Report[[#This Row],[FT]]=Report[[#This Row],[Score 3]],Suivi_Gain!$G$1*Report[[#This Row],[Cote SE]],-Suivi_Gain!$G$1))</f>
        <v>-1</v>
      </c>
      <c r="AB261" s="65">
        <f>IF(Report[[#This Row],[FT]]="",,IF(Report[[#This Row],[FT]]=Report[[#This Row],[Score 4]],Suivi_Gain!$G$1*Report[[#This Row],[Cote SE]],-Suivi_Gain!$G$1))</f>
        <v>-1</v>
      </c>
      <c r="AC261" s="64" t="str">
        <f>IF(Report[[#This Row],[Résultats SE]]="Gagné",Report[[#This Row],[FT]],"")</f>
        <v/>
      </c>
      <c r="AD261" s="64" t="str">
        <f>IF(AND(Report[[#This Row],[Résultats SE]]="Gagné",Report[[#This Row],[FT]]=Report[[#This Row],[Score 1]]),Report[[#This Row],[FT]],"")</f>
        <v/>
      </c>
      <c r="AE261" s="64" t="str">
        <f>IF(AND(Report[[#This Row],[Résultats SE]]="Gagné",Report[[#This Row],[FT]]=Report[[#This Row],[Score 2]]),Report[[#This Row],[FT]],"")</f>
        <v/>
      </c>
      <c r="AF261" s="64" t="str">
        <f>IF(AND(Report[[#This Row],[Résultats SE]]="Gagné",Report[[#This Row],[FT]]=Report[[#This Row],[Score 3]]),Report[[#This Row],[FT]],"")</f>
        <v/>
      </c>
      <c r="AG261" s="64" t="str">
        <f>IF(AND(Report[[#This Row],[Résultats SE]]="Gagné",Report[[#This Row],[FT]]=Report[[#This Row],[Score 4]]),Report[[#This Row],[FT]],"")</f>
        <v/>
      </c>
    </row>
    <row r="262" spans="1:33" ht="20.100000000000001" customHeight="1" x14ac:dyDescent="0.25">
      <c r="A262" s="11">
        <v>43428</v>
      </c>
      <c r="B262" s="7" t="s">
        <v>91</v>
      </c>
      <c r="C262" s="7" t="s">
        <v>124</v>
      </c>
      <c r="D262" s="10" t="s">
        <v>433</v>
      </c>
      <c r="E262" s="10" t="s">
        <v>420</v>
      </c>
      <c r="F262" s="7" t="s">
        <v>844</v>
      </c>
      <c r="G262" s="8" t="s">
        <v>826</v>
      </c>
      <c r="H262" s="9" t="s">
        <v>845</v>
      </c>
      <c r="I262" s="9" t="s">
        <v>846</v>
      </c>
      <c r="J262" s="9" t="s">
        <v>847</v>
      </c>
      <c r="K262" s="9" t="s">
        <v>233</v>
      </c>
      <c r="L262" s="16" t="str">
        <f>IF(Report[Résultat FT]="","",IF(Report[Résultat FT]=Report[Résultats],"","-"))</f>
        <v>-</v>
      </c>
      <c r="M262" s="16" t="str">
        <f>IF(Report[[#This Row],[Résultat FT]]="","",IF(Report[[#This Row],[Résultats SE]]="Gagné","","-"))</f>
        <v>-</v>
      </c>
      <c r="N262" s="17" t="s">
        <v>832</v>
      </c>
      <c r="O262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Sp. Subotica</v>
      </c>
      <c r="P262" s="18">
        <f>IF(Report[[#This Row],[FT]]="",,(LEFT(Report[[#This Row],[FT]],SEARCH("-",Report[[#This Row],[FT]])-1)*1))</f>
        <v>3</v>
      </c>
      <c r="Q262" s="22">
        <f>IF(Report[[#This Row],[FT]]="",,(RIGHT(Report[[#This Row],[FT]],SEARCH("-",Report[[#This Row],[FT]])-1)*1))</f>
        <v>0</v>
      </c>
      <c r="R262" s="18" t="str">
        <f>IF(Report[Résultat FT]="","",IF(Report[Résultat FT]=Report[Résultats],"Gagné","Perdu"))</f>
        <v>Perdu</v>
      </c>
      <c r="S262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62" s="53">
        <f>IF(Report[[#This Row],[FT]]="","",IF(Report[[#This Row],[FT]]=Report[[#This Row],[Score 1]],1,0))</f>
        <v>0</v>
      </c>
      <c r="U262" s="53">
        <f>IF(Report[[#This Row],[FT]]="","",IF(Report[ [#This Row],[FT] ]=Report[[#This Row],[Score 2]],1,0))</f>
        <v>0</v>
      </c>
      <c r="V262" s="53">
        <f>IF(Report[[#This Row],[FT]]="","",IF(Report[[#This Row],[FT]]=Report[[#This Row],[Score 3]],1,0))</f>
        <v>0</v>
      </c>
      <c r="W262" s="53">
        <f>IF(Report[[#This Row],[FT]]="","",IF(Report[[#This Row],[FT]]=Report[[#This Row],[Score 4]],1,0))</f>
        <v>0</v>
      </c>
      <c r="X262" s="66">
        <f>IF(Report[[#This Row],[Résultat FT]]="",,IF(Report[[#This Row],[Résultat FT]]=Report[[#This Row],[Résultats]],(Suivi_Gain!$B$1*Report[[#This Row],[Cote FT]])-Suivi_Gain!$B$1,-Suivi_Gain!$B$1))</f>
        <v>-1</v>
      </c>
      <c r="Y262" s="94">
        <f>IF(Report[[#This Row],[FT]]="",,IF(Report[[#This Row],[FT]]=Report[[#This Row],[Score 1]],(Suivi_Gain!$G$1*Report[[#This Row],[Cote SE]])-Suivi_Gain!$G$1,-Suivi_Gain!$G$1))</f>
        <v>-1</v>
      </c>
      <c r="Z262" s="65">
        <f>IF(Report[[#This Row],[FT]]="",,IF(Report[[#This Row],[FT]]=Report[[#This Row],[Score 2]],Suivi_Gain!$G$1*Report[[#This Row],[Cote SE]],-Suivi_Gain!$G$1))</f>
        <v>-1</v>
      </c>
      <c r="AA262" s="65">
        <f>IF(Report[[#This Row],[FT]]="",,IF(Report[[#This Row],[FT]]=Report[[#This Row],[Score 3]],Suivi_Gain!$G$1*Report[[#This Row],[Cote SE]],-Suivi_Gain!$G$1))</f>
        <v>-1</v>
      </c>
      <c r="AB262" s="65">
        <f>IF(Report[[#This Row],[FT]]="",,IF(Report[[#This Row],[FT]]=Report[[#This Row],[Score 4]],Suivi_Gain!$G$1*Report[[#This Row],[Cote SE]],-Suivi_Gain!$G$1))</f>
        <v>-1</v>
      </c>
      <c r="AC262" s="64" t="str">
        <f>IF(Report[[#This Row],[Résultats SE]]="Gagné",Report[[#This Row],[FT]],"")</f>
        <v/>
      </c>
      <c r="AD262" s="64" t="str">
        <f>IF(AND(Report[[#This Row],[Résultats SE]]="Gagné",Report[[#This Row],[FT]]=Report[[#This Row],[Score 1]]),Report[[#This Row],[FT]],"")</f>
        <v/>
      </c>
      <c r="AE262" s="64" t="str">
        <f>IF(AND(Report[[#This Row],[Résultats SE]]="Gagné",Report[[#This Row],[FT]]=Report[[#This Row],[Score 2]]),Report[[#This Row],[FT]],"")</f>
        <v/>
      </c>
      <c r="AF262" s="64" t="str">
        <f>IF(AND(Report[[#This Row],[Résultats SE]]="Gagné",Report[[#This Row],[FT]]=Report[[#This Row],[Score 3]]),Report[[#This Row],[FT]],"")</f>
        <v/>
      </c>
      <c r="AG262" s="64" t="str">
        <f>IF(AND(Report[[#This Row],[Résultats SE]]="Gagné",Report[[#This Row],[FT]]=Report[[#This Row],[Score 4]]),Report[[#This Row],[FT]],"")</f>
        <v/>
      </c>
    </row>
    <row r="263" spans="1:33" ht="20.100000000000001" customHeight="1" x14ac:dyDescent="0.25">
      <c r="A263" s="11">
        <v>43428</v>
      </c>
      <c r="B263" s="7" t="s">
        <v>91</v>
      </c>
      <c r="C263" s="7" t="s">
        <v>124</v>
      </c>
      <c r="D263" s="10" t="s">
        <v>427</v>
      </c>
      <c r="E263" s="10" t="s">
        <v>425</v>
      </c>
      <c r="F263" s="7" t="s">
        <v>829</v>
      </c>
      <c r="G263" s="8" t="s">
        <v>830</v>
      </c>
      <c r="H263" s="9" t="s">
        <v>826</v>
      </c>
      <c r="I263" s="9" t="s">
        <v>831</v>
      </c>
      <c r="J263" s="9" t="s">
        <v>832</v>
      </c>
      <c r="K263" s="9" t="s">
        <v>427</v>
      </c>
      <c r="L263" s="16">
        <v>1.46</v>
      </c>
      <c r="M263" s="16">
        <v>5.8</v>
      </c>
      <c r="N263" s="17" t="s">
        <v>831</v>
      </c>
      <c r="O263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Napredak</v>
      </c>
      <c r="P263" s="18">
        <f>IF(Report[[#This Row],[FT]]="",,(LEFT(Report[[#This Row],[FT]],SEARCH("-",Report[[#This Row],[FT]])-1)*1))</f>
        <v>2</v>
      </c>
      <c r="Q263" s="22">
        <f>IF(Report[[#This Row],[FT]]="",,(RIGHT(Report[[#This Row],[FT]],SEARCH("-",Report[[#This Row],[FT]])-1)*1))</f>
        <v>0</v>
      </c>
      <c r="R263" s="18" t="str">
        <f>IF(Report[Résultat FT]="","",IF(Report[Résultat FT]=Report[Résultats],"Gagné","Perdu"))</f>
        <v>Gagné</v>
      </c>
      <c r="S263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263" s="53">
        <f>IF(Report[[#This Row],[FT]]="","",IF(Report[[#This Row],[FT]]=Report[[#This Row],[Score 1]],1,0))</f>
        <v>0</v>
      </c>
      <c r="U263" s="53">
        <f>IF(Report[[#This Row],[FT]]="","",IF(Report[ [#This Row],[FT] ]=Report[[#This Row],[Score 2]],1,0))</f>
        <v>0</v>
      </c>
      <c r="V263" s="53">
        <f>IF(Report[[#This Row],[FT]]="","",IF(Report[[#This Row],[FT]]=Report[[#This Row],[Score 3]],1,0))</f>
        <v>1</v>
      </c>
      <c r="W263" s="53">
        <f>IF(Report[[#This Row],[FT]]="","",IF(Report[[#This Row],[FT]]=Report[[#This Row],[Score 4]],1,0))</f>
        <v>0</v>
      </c>
      <c r="X263" s="66">
        <f>IF(Report[[#This Row],[Résultat FT]]="",,IF(Report[[#This Row],[Résultat FT]]=Report[[#This Row],[Résultats]],(Suivi_Gain!$B$1*Report[[#This Row],[Cote FT]])-Suivi_Gain!$B$1,-Suivi_Gain!$B$1))</f>
        <v>0.45999999999999996</v>
      </c>
      <c r="Y263" s="94">
        <f>IF(Report[[#This Row],[FT]]="",,IF(Report[[#This Row],[FT]]=Report[[#This Row],[Score 1]],(Suivi_Gain!$G$1*Report[[#This Row],[Cote SE]])-Suivi_Gain!$G$1,-Suivi_Gain!$G$1))</f>
        <v>-1</v>
      </c>
      <c r="Z263" s="65">
        <f>IF(Report[[#This Row],[FT]]="",,IF(Report[[#This Row],[FT]]=Report[[#This Row],[Score 2]],Suivi_Gain!$G$1*Report[[#This Row],[Cote SE]],-Suivi_Gain!$G$1))</f>
        <v>-1</v>
      </c>
      <c r="AA263" s="65">
        <f>IF(Report[[#This Row],[FT]]="",,IF(Report[[#This Row],[FT]]=Report[[#This Row],[Score 3]],Suivi_Gain!$G$1*Report[[#This Row],[Cote SE]],-Suivi_Gain!$G$1))</f>
        <v>5.8</v>
      </c>
      <c r="AB263" s="65">
        <f>IF(Report[[#This Row],[FT]]="",,IF(Report[[#This Row],[FT]]=Report[[#This Row],[Score 4]],Suivi_Gain!$G$1*Report[[#This Row],[Cote SE]],-Suivi_Gain!$G$1))</f>
        <v>-1</v>
      </c>
      <c r="AC263" s="64" t="str">
        <f>IF(Report[[#This Row],[Résultats SE]]="Gagné",Report[[#This Row],[FT]],"")</f>
        <v>2-0</v>
      </c>
      <c r="AD263" s="64" t="str">
        <f>IF(AND(Report[[#This Row],[Résultats SE]]="Gagné",Report[[#This Row],[FT]]=Report[[#This Row],[Score 1]]),Report[[#This Row],[FT]],"")</f>
        <v/>
      </c>
      <c r="AE263" s="64" t="str">
        <f>IF(AND(Report[[#This Row],[Résultats SE]]="Gagné",Report[[#This Row],[FT]]=Report[[#This Row],[Score 2]]),Report[[#This Row],[FT]],"")</f>
        <v/>
      </c>
      <c r="AF263" s="64" t="str">
        <f>IF(AND(Report[[#This Row],[Résultats SE]]="Gagné",Report[[#This Row],[FT]]=Report[[#This Row],[Score 3]]),Report[[#This Row],[FT]],"")</f>
        <v>2-0</v>
      </c>
      <c r="AG263" s="64" t="str">
        <f>IF(AND(Report[[#This Row],[Résultats SE]]="Gagné",Report[[#This Row],[FT]]=Report[[#This Row],[Score 4]]),Report[[#This Row],[FT]],"")</f>
        <v/>
      </c>
    </row>
    <row r="264" spans="1:33" ht="20.100000000000001" customHeight="1" x14ac:dyDescent="0.25">
      <c r="A264" s="11">
        <v>43428</v>
      </c>
      <c r="B264" s="7" t="s">
        <v>91</v>
      </c>
      <c r="C264" s="7" t="s">
        <v>124</v>
      </c>
      <c r="D264" s="10" t="s">
        <v>432</v>
      </c>
      <c r="E264" s="10" t="s">
        <v>426</v>
      </c>
      <c r="F264" s="7" t="s">
        <v>824</v>
      </c>
      <c r="G264" s="8" t="s">
        <v>825</v>
      </c>
      <c r="H264" s="9" t="s">
        <v>826</v>
      </c>
      <c r="I264" s="9" t="s">
        <v>827</v>
      </c>
      <c r="J264" s="9" t="s">
        <v>828</v>
      </c>
      <c r="K264" s="9" t="s">
        <v>426</v>
      </c>
      <c r="L264" s="16" t="str">
        <f>IF(Report[Résultat FT]="","",IF(Report[Résultat FT]=Report[Résultats],"","-"))</f>
        <v>-</v>
      </c>
      <c r="M264" s="16" t="str">
        <f>IF(Report[[#This Row],[Résultat FT]]="","",IF(Report[[#This Row],[Résultats SE]]="Gagné","","-"))</f>
        <v>-</v>
      </c>
      <c r="N264" s="17" t="s">
        <v>830</v>
      </c>
      <c r="O264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Radnik</v>
      </c>
      <c r="P264" s="18">
        <f>IF(Report[[#This Row],[FT]]="",,(LEFT(Report[[#This Row],[FT]],SEARCH("-",Report[[#This Row],[FT]])-1)*1))</f>
        <v>1</v>
      </c>
      <c r="Q264" s="22">
        <f>IF(Report[[#This Row],[FT]]="",,(RIGHT(Report[[#This Row],[FT]],SEARCH("-",Report[[#This Row],[FT]])-1)*1))</f>
        <v>0</v>
      </c>
      <c r="R264" s="18" t="str">
        <f>IF(Report[Résultat FT]="","",IF(Report[Résultat FT]=Report[Résultats],"Gagné","Perdu"))</f>
        <v>Perdu</v>
      </c>
      <c r="S264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64" s="53">
        <f>IF(Report[[#This Row],[FT]]="","",IF(Report[[#This Row],[FT]]=Report[[#This Row],[Score 1]],1,0))</f>
        <v>0</v>
      </c>
      <c r="U264" s="53">
        <f>IF(Report[[#This Row],[FT]]="","",IF(Report[ [#This Row],[FT] ]=Report[[#This Row],[Score 2]],1,0))</f>
        <v>0</v>
      </c>
      <c r="V264" s="53">
        <f>IF(Report[[#This Row],[FT]]="","",IF(Report[[#This Row],[FT]]=Report[[#This Row],[Score 3]],1,0))</f>
        <v>0</v>
      </c>
      <c r="W264" s="53">
        <f>IF(Report[[#This Row],[FT]]="","",IF(Report[[#This Row],[FT]]=Report[[#This Row],[Score 4]],1,0))</f>
        <v>0</v>
      </c>
      <c r="X264" s="66">
        <f>IF(Report[[#This Row],[Résultat FT]]="",,IF(Report[[#This Row],[Résultat FT]]=Report[[#This Row],[Résultats]],(Suivi_Gain!$B$1*Report[[#This Row],[Cote FT]])-Suivi_Gain!$B$1,-Suivi_Gain!$B$1))</f>
        <v>-1</v>
      </c>
      <c r="Y264" s="94">
        <f>IF(Report[[#This Row],[FT]]="",,IF(Report[[#This Row],[FT]]=Report[[#This Row],[Score 1]],(Suivi_Gain!$G$1*Report[[#This Row],[Cote SE]])-Suivi_Gain!$G$1,-Suivi_Gain!$G$1))</f>
        <v>-1</v>
      </c>
      <c r="Z264" s="65">
        <f>IF(Report[[#This Row],[FT]]="",,IF(Report[[#This Row],[FT]]=Report[[#This Row],[Score 2]],Suivi_Gain!$G$1*Report[[#This Row],[Cote SE]],-Suivi_Gain!$G$1))</f>
        <v>-1</v>
      </c>
      <c r="AA264" s="65">
        <f>IF(Report[[#This Row],[FT]]="",,IF(Report[[#This Row],[FT]]=Report[[#This Row],[Score 3]],Suivi_Gain!$G$1*Report[[#This Row],[Cote SE]],-Suivi_Gain!$G$1))</f>
        <v>-1</v>
      </c>
      <c r="AB264" s="65">
        <f>IF(Report[[#This Row],[FT]]="",,IF(Report[[#This Row],[FT]]=Report[[#This Row],[Score 4]],Suivi_Gain!$G$1*Report[[#This Row],[Cote SE]],-Suivi_Gain!$G$1))</f>
        <v>-1</v>
      </c>
      <c r="AC264" s="64" t="str">
        <f>IF(Report[[#This Row],[Résultats SE]]="Gagné",Report[[#This Row],[FT]],"")</f>
        <v/>
      </c>
      <c r="AD264" s="64" t="str">
        <f>IF(AND(Report[[#This Row],[Résultats SE]]="Gagné",Report[[#This Row],[FT]]=Report[[#This Row],[Score 1]]),Report[[#This Row],[FT]],"")</f>
        <v/>
      </c>
      <c r="AE264" s="64" t="str">
        <f>IF(AND(Report[[#This Row],[Résultats SE]]="Gagné",Report[[#This Row],[FT]]=Report[[#This Row],[Score 2]]),Report[[#This Row],[FT]],"")</f>
        <v/>
      </c>
      <c r="AF264" s="64" t="str">
        <f>IF(AND(Report[[#This Row],[Résultats SE]]="Gagné",Report[[#This Row],[FT]]=Report[[#This Row],[Score 3]]),Report[[#This Row],[FT]],"")</f>
        <v/>
      </c>
      <c r="AG264" s="64" t="str">
        <f>IF(AND(Report[[#This Row],[Résultats SE]]="Gagné",Report[[#This Row],[FT]]=Report[[#This Row],[Score 4]]),Report[[#This Row],[FT]],"")</f>
        <v/>
      </c>
    </row>
    <row r="265" spans="1:33" ht="20.100000000000001" customHeight="1" x14ac:dyDescent="0.25">
      <c r="A265" s="11">
        <v>43428</v>
      </c>
      <c r="B265" s="7" t="s">
        <v>91</v>
      </c>
      <c r="C265" s="7" t="s">
        <v>124</v>
      </c>
      <c r="D265" s="10" t="s">
        <v>434</v>
      </c>
      <c r="E265" s="10" t="s">
        <v>435</v>
      </c>
      <c r="F265" s="7" t="s">
        <v>829</v>
      </c>
      <c r="G265" s="8" t="s">
        <v>830</v>
      </c>
      <c r="H265" s="9" t="s">
        <v>826</v>
      </c>
      <c r="I265" s="9" t="s">
        <v>831</v>
      </c>
      <c r="J265" s="9" t="s">
        <v>832</v>
      </c>
      <c r="K265" s="9" t="s">
        <v>434</v>
      </c>
      <c r="L265" s="16" t="str">
        <f>IF(Report[Résultat FT]="","",IF(Report[Résultat FT]=Report[Résultats],"","-"))</f>
        <v>-</v>
      </c>
      <c r="M265" s="16">
        <v>9.5</v>
      </c>
      <c r="N265" s="17" t="s">
        <v>826</v>
      </c>
      <c r="O265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265" s="18">
        <f>IF(Report[[#This Row],[FT]]="",,(LEFT(Report[[#This Row],[FT]],SEARCH("-",Report[[#This Row],[FT]])-1)*1))</f>
        <v>0</v>
      </c>
      <c r="Q265" s="22">
        <f>IF(Report[[#This Row],[FT]]="",,(RIGHT(Report[[#This Row],[FT]],SEARCH("-",Report[[#This Row],[FT]])-1)*1))</f>
        <v>0</v>
      </c>
      <c r="R265" s="18" t="str">
        <f>IF(Report[Résultat FT]="","",IF(Report[Résultat FT]=Report[Résultats],"Gagné","Perdu"))</f>
        <v>Perdu</v>
      </c>
      <c r="S265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265" s="53">
        <f>IF(Report[[#This Row],[FT]]="","",IF(Report[[#This Row],[FT]]=Report[[#This Row],[Score 1]],1,0))</f>
        <v>0</v>
      </c>
      <c r="U265" s="53">
        <f>IF(Report[[#This Row],[FT]]="","",IF(Report[ [#This Row],[FT] ]=Report[[#This Row],[Score 2]],1,0))</f>
        <v>1</v>
      </c>
      <c r="V265" s="53">
        <f>IF(Report[[#This Row],[FT]]="","",IF(Report[[#This Row],[FT]]=Report[[#This Row],[Score 3]],1,0))</f>
        <v>0</v>
      </c>
      <c r="W265" s="53">
        <f>IF(Report[[#This Row],[FT]]="","",IF(Report[[#This Row],[FT]]=Report[[#This Row],[Score 4]],1,0))</f>
        <v>0</v>
      </c>
      <c r="X265" s="66">
        <f>IF(Report[[#This Row],[Résultat FT]]="",,IF(Report[[#This Row],[Résultat FT]]=Report[[#This Row],[Résultats]],(Suivi_Gain!$B$1*Report[[#This Row],[Cote FT]])-Suivi_Gain!$B$1,-Suivi_Gain!$B$1))</f>
        <v>-1</v>
      </c>
      <c r="Y265" s="94">
        <f>IF(Report[[#This Row],[FT]]="",,IF(Report[[#This Row],[FT]]=Report[[#This Row],[Score 1]],(Suivi_Gain!$G$1*Report[[#This Row],[Cote SE]])-Suivi_Gain!$G$1,-Suivi_Gain!$G$1))</f>
        <v>-1</v>
      </c>
      <c r="Z265" s="65">
        <f>IF(Report[[#This Row],[FT]]="",,IF(Report[[#This Row],[FT]]=Report[[#This Row],[Score 2]],Suivi_Gain!$G$1*Report[[#This Row],[Cote SE]],-Suivi_Gain!$G$1))</f>
        <v>9.5</v>
      </c>
      <c r="AA265" s="65">
        <f>IF(Report[[#This Row],[FT]]="",,IF(Report[[#This Row],[FT]]=Report[[#This Row],[Score 3]],Suivi_Gain!$G$1*Report[[#This Row],[Cote SE]],-Suivi_Gain!$G$1))</f>
        <v>-1</v>
      </c>
      <c r="AB265" s="65">
        <f>IF(Report[[#This Row],[FT]]="",,IF(Report[[#This Row],[FT]]=Report[[#This Row],[Score 4]],Suivi_Gain!$G$1*Report[[#This Row],[Cote SE]],-Suivi_Gain!$G$1))</f>
        <v>-1</v>
      </c>
      <c r="AC265" s="64" t="str">
        <f>IF(Report[[#This Row],[Résultats SE]]="Gagné",Report[[#This Row],[FT]],"")</f>
        <v>0-0</v>
      </c>
      <c r="AD265" s="64" t="str">
        <f>IF(AND(Report[[#This Row],[Résultats SE]]="Gagné",Report[[#This Row],[FT]]=Report[[#This Row],[Score 1]]),Report[[#This Row],[FT]],"")</f>
        <v/>
      </c>
      <c r="AE265" s="64" t="str">
        <f>IF(AND(Report[[#This Row],[Résultats SE]]="Gagné",Report[[#This Row],[FT]]=Report[[#This Row],[Score 2]]),Report[[#This Row],[FT]],"")</f>
        <v>0-0</v>
      </c>
      <c r="AF265" s="64" t="str">
        <f>IF(AND(Report[[#This Row],[Résultats SE]]="Gagné",Report[[#This Row],[FT]]=Report[[#This Row],[Score 3]]),Report[[#This Row],[FT]],"")</f>
        <v/>
      </c>
      <c r="AG265" s="64" t="str">
        <f>IF(AND(Report[[#This Row],[Résultats SE]]="Gagné",Report[[#This Row],[FT]]=Report[[#This Row],[Score 4]]),Report[[#This Row],[FT]],"")</f>
        <v/>
      </c>
    </row>
    <row r="266" spans="1:33" ht="20.100000000000001" customHeight="1" x14ac:dyDescent="0.25">
      <c r="A266" s="11">
        <v>43428</v>
      </c>
      <c r="B266" s="7" t="s">
        <v>91</v>
      </c>
      <c r="C266" s="7" t="s">
        <v>124</v>
      </c>
      <c r="D266" s="10" t="s">
        <v>424</v>
      </c>
      <c r="E266" s="10" t="s">
        <v>429</v>
      </c>
      <c r="F266" s="7" t="s">
        <v>824</v>
      </c>
      <c r="G266" s="8" t="s">
        <v>825</v>
      </c>
      <c r="H266" s="9" t="s">
        <v>826</v>
      </c>
      <c r="I266" s="9" t="s">
        <v>827</v>
      </c>
      <c r="J266" s="9" t="s">
        <v>828</v>
      </c>
      <c r="K266" s="9" t="s">
        <v>429</v>
      </c>
      <c r="L266" s="16" t="str">
        <f>IF(Report[Résultat FT]="","",IF(Report[Résultat FT]=Report[Résultats],"","-"))</f>
        <v>-</v>
      </c>
      <c r="M266" s="16">
        <v>8.5</v>
      </c>
      <c r="N266" s="17" t="s">
        <v>826</v>
      </c>
      <c r="O266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266" s="18">
        <f>IF(Report[[#This Row],[FT]]="",,(LEFT(Report[[#This Row],[FT]],SEARCH("-",Report[[#This Row],[FT]])-1)*1))</f>
        <v>0</v>
      </c>
      <c r="Q266" s="22">
        <f>IF(Report[[#This Row],[FT]]="",,(RIGHT(Report[[#This Row],[FT]],SEARCH("-",Report[[#This Row],[FT]])-1)*1))</f>
        <v>0</v>
      </c>
      <c r="R266" s="18" t="str">
        <f>IF(Report[Résultat FT]="","",IF(Report[Résultat FT]=Report[Résultats],"Gagné","Perdu"))</f>
        <v>Perdu</v>
      </c>
      <c r="S266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266" s="53">
        <f>IF(Report[[#This Row],[FT]]="","",IF(Report[[#This Row],[FT]]=Report[[#This Row],[Score 1]],1,0))</f>
        <v>0</v>
      </c>
      <c r="U266" s="53">
        <f>IF(Report[[#This Row],[FT]]="","",IF(Report[ [#This Row],[FT] ]=Report[[#This Row],[Score 2]],1,0))</f>
        <v>1</v>
      </c>
      <c r="V266" s="53">
        <f>IF(Report[[#This Row],[FT]]="","",IF(Report[[#This Row],[FT]]=Report[[#This Row],[Score 3]],1,0))</f>
        <v>0</v>
      </c>
      <c r="W266" s="53">
        <f>IF(Report[[#This Row],[FT]]="","",IF(Report[[#This Row],[FT]]=Report[[#This Row],[Score 4]],1,0))</f>
        <v>0</v>
      </c>
      <c r="X266" s="66">
        <f>IF(Report[[#This Row],[Résultat FT]]="",,IF(Report[[#This Row],[Résultat FT]]=Report[[#This Row],[Résultats]],(Suivi_Gain!$B$1*Report[[#This Row],[Cote FT]])-Suivi_Gain!$B$1,-Suivi_Gain!$B$1))</f>
        <v>-1</v>
      </c>
      <c r="Y266" s="94">
        <f>IF(Report[[#This Row],[FT]]="",,IF(Report[[#This Row],[FT]]=Report[[#This Row],[Score 1]],(Suivi_Gain!$G$1*Report[[#This Row],[Cote SE]])-Suivi_Gain!$G$1,-Suivi_Gain!$G$1))</f>
        <v>-1</v>
      </c>
      <c r="Z266" s="65">
        <f>IF(Report[[#This Row],[FT]]="",,IF(Report[[#This Row],[FT]]=Report[[#This Row],[Score 2]],Suivi_Gain!$G$1*Report[[#This Row],[Cote SE]],-Suivi_Gain!$G$1))</f>
        <v>8.5</v>
      </c>
      <c r="AA266" s="65">
        <f>IF(Report[[#This Row],[FT]]="",,IF(Report[[#This Row],[FT]]=Report[[#This Row],[Score 3]],Suivi_Gain!$G$1*Report[[#This Row],[Cote SE]],-Suivi_Gain!$G$1))</f>
        <v>-1</v>
      </c>
      <c r="AB266" s="65">
        <f>IF(Report[[#This Row],[FT]]="",,IF(Report[[#This Row],[FT]]=Report[[#This Row],[Score 4]],Suivi_Gain!$G$1*Report[[#This Row],[Cote SE]],-Suivi_Gain!$G$1))</f>
        <v>-1</v>
      </c>
      <c r="AC266" s="64" t="str">
        <f>IF(Report[[#This Row],[Résultats SE]]="Gagné",Report[[#This Row],[FT]],"")</f>
        <v>0-0</v>
      </c>
      <c r="AD266" s="64" t="str">
        <f>IF(AND(Report[[#This Row],[Résultats SE]]="Gagné",Report[[#This Row],[FT]]=Report[[#This Row],[Score 1]]),Report[[#This Row],[FT]],"")</f>
        <v/>
      </c>
      <c r="AE266" s="64" t="str">
        <f>IF(AND(Report[[#This Row],[Résultats SE]]="Gagné",Report[[#This Row],[FT]]=Report[[#This Row],[Score 2]]),Report[[#This Row],[FT]],"")</f>
        <v>0-0</v>
      </c>
      <c r="AF266" s="64" t="str">
        <f>IF(AND(Report[[#This Row],[Résultats SE]]="Gagné",Report[[#This Row],[FT]]=Report[[#This Row],[Score 3]]),Report[[#This Row],[FT]],"")</f>
        <v/>
      </c>
      <c r="AG266" s="64" t="str">
        <f>IF(AND(Report[[#This Row],[Résultats SE]]="Gagné",Report[[#This Row],[FT]]=Report[[#This Row],[Score 4]]),Report[[#This Row],[FT]],"")</f>
        <v/>
      </c>
    </row>
    <row r="267" spans="1:33" ht="20.100000000000001" customHeight="1" x14ac:dyDescent="0.25">
      <c r="A267" s="11">
        <v>43428</v>
      </c>
      <c r="B267" s="7" t="s">
        <v>91</v>
      </c>
      <c r="C267" s="7" t="s">
        <v>124</v>
      </c>
      <c r="D267" s="10" t="s">
        <v>431</v>
      </c>
      <c r="E267" s="10" t="s">
        <v>423</v>
      </c>
      <c r="F267" s="7" t="s">
        <v>824</v>
      </c>
      <c r="G267" s="8" t="s">
        <v>825</v>
      </c>
      <c r="H267" s="9" t="s">
        <v>826</v>
      </c>
      <c r="I267" s="9" t="s">
        <v>827</v>
      </c>
      <c r="J267" s="9" t="s">
        <v>828</v>
      </c>
      <c r="K267" s="9" t="s">
        <v>423</v>
      </c>
      <c r="L267" s="16" t="str">
        <f>IF(Report[Résultat FT]="","",IF(Report[Résultat FT]=Report[Résultats],"","-"))</f>
        <v>-</v>
      </c>
      <c r="M267" s="16" t="str">
        <f>IF(Report[[#This Row],[Résultat FT]]="","",IF(Report[[#This Row],[Résultats SE]]="Gagné","","-"))</f>
        <v>-</v>
      </c>
      <c r="N267" s="17" t="s">
        <v>837</v>
      </c>
      <c r="O267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267" s="18">
        <f>IF(Report[[#This Row],[FT]]="",,(LEFT(Report[[#This Row],[FT]],SEARCH("-",Report[[#This Row],[FT]])-1)*1))</f>
        <v>2</v>
      </c>
      <c r="Q267" s="22">
        <f>IF(Report[[#This Row],[FT]]="",,(RIGHT(Report[[#This Row],[FT]],SEARCH("-",Report[[#This Row],[FT]])-1)*1))</f>
        <v>2</v>
      </c>
      <c r="R267" s="18" t="str">
        <f>IF(Report[Résultat FT]="","",IF(Report[Résultat FT]=Report[Résultats],"Gagné","Perdu"))</f>
        <v>Perdu</v>
      </c>
      <c r="S267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67" s="53">
        <f>IF(Report[[#This Row],[FT]]="","",IF(Report[[#This Row],[FT]]=Report[[#This Row],[Score 1]],1,0))</f>
        <v>0</v>
      </c>
      <c r="U267" s="53">
        <f>IF(Report[[#This Row],[FT]]="","",IF(Report[ [#This Row],[FT] ]=Report[[#This Row],[Score 2]],1,0))</f>
        <v>0</v>
      </c>
      <c r="V267" s="53">
        <f>IF(Report[[#This Row],[FT]]="","",IF(Report[[#This Row],[FT]]=Report[[#This Row],[Score 3]],1,0))</f>
        <v>0</v>
      </c>
      <c r="W267" s="53">
        <f>IF(Report[[#This Row],[FT]]="","",IF(Report[[#This Row],[FT]]=Report[[#This Row],[Score 4]],1,0))</f>
        <v>0</v>
      </c>
      <c r="X267" s="66">
        <f>IF(Report[[#This Row],[Résultat FT]]="",,IF(Report[[#This Row],[Résultat FT]]=Report[[#This Row],[Résultats]],(Suivi_Gain!$B$1*Report[[#This Row],[Cote FT]])-Suivi_Gain!$B$1,-Suivi_Gain!$B$1))</f>
        <v>-1</v>
      </c>
      <c r="Y267" s="94">
        <f>IF(Report[[#This Row],[FT]]="",,IF(Report[[#This Row],[FT]]=Report[[#This Row],[Score 1]],(Suivi_Gain!$G$1*Report[[#This Row],[Cote SE]])-Suivi_Gain!$G$1,-Suivi_Gain!$G$1))</f>
        <v>-1</v>
      </c>
      <c r="Z267" s="65">
        <f>IF(Report[[#This Row],[FT]]="",,IF(Report[[#This Row],[FT]]=Report[[#This Row],[Score 2]],Suivi_Gain!$G$1*Report[[#This Row],[Cote SE]],-Suivi_Gain!$G$1))</f>
        <v>-1</v>
      </c>
      <c r="AA267" s="65">
        <f>IF(Report[[#This Row],[FT]]="",,IF(Report[[#This Row],[FT]]=Report[[#This Row],[Score 3]],Suivi_Gain!$G$1*Report[[#This Row],[Cote SE]],-Suivi_Gain!$G$1))</f>
        <v>-1</v>
      </c>
      <c r="AB267" s="65">
        <f>IF(Report[[#This Row],[FT]]="",,IF(Report[[#This Row],[FT]]=Report[[#This Row],[Score 4]],Suivi_Gain!$G$1*Report[[#This Row],[Cote SE]],-Suivi_Gain!$G$1))</f>
        <v>-1</v>
      </c>
      <c r="AC267" s="64" t="str">
        <f>IF(Report[[#This Row],[Résultats SE]]="Gagné",Report[[#This Row],[FT]],"")</f>
        <v/>
      </c>
      <c r="AD267" s="64" t="str">
        <f>IF(AND(Report[[#This Row],[Résultats SE]]="Gagné",Report[[#This Row],[FT]]=Report[[#This Row],[Score 1]]),Report[[#This Row],[FT]],"")</f>
        <v/>
      </c>
      <c r="AE267" s="64" t="str">
        <f>IF(AND(Report[[#This Row],[Résultats SE]]="Gagné",Report[[#This Row],[FT]]=Report[[#This Row],[Score 2]]),Report[[#This Row],[FT]],"")</f>
        <v/>
      </c>
      <c r="AF267" s="64" t="str">
        <f>IF(AND(Report[[#This Row],[Résultats SE]]="Gagné",Report[[#This Row],[FT]]=Report[[#This Row],[Score 3]]),Report[[#This Row],[FT]],"")</f>
        <v/>
      </c>
      <c r="AG267" s="64" t="str">
        <f>IF(AND(Report[[#This Row],[Résultats SE]]="Gagné",Report[[#This Row],[FT]]=Report[[#This Row],[Score 4]]),Report[[#This Row],[FT]],"")</f>
        <v/>
      </c>
    </row>
    <row r="268" spans="1:33" ht="20.100000000000001" customHeight="1" x14ac:dyDescent="0.25">
      <c r="A268" s="11">
        <v>43428</v>
      </c>
      <c r="B268" s="7" t="s">
        <v>93</v>
      </c>
      <c r="C268" s="7" t="s">
        <v>125</v>
      </c>
      <c r="D268" s="10" t="s">
        <v>414</v>
      </c>
      <c r="E268" s="10" t="s">
        <v>419</v>
      </c>
      <c r="F268" s="7" t="s">
        <v>843</v>
      </c>
      <c r="G268" s="8" t="s">
        <v>839</v>
      </c>
      <c r="H268" s="9" t="s">
        <v>834</v>
      </c>
      <c r="I268" s="9" t="s">
        <v>827</v>
      </c>
      <c r="J268" s="9" t="s">
        <v>825</v>
      </c>
      <c r="K268" s="9" t="s">
        <v>419</v>
      </c>
      <c r="L268" s="16" t="str">
        <f>IF(Report[Résultat FT]="","",IF(Report[Résultat FT]=Report[Résultats],"","-"))</f>
        <v>-</v>
      </c>
      <c r="M268" s="16">
        <v>7</v>
      </c>
      <c r="N268" s="17" t="s">
        <v>834</v>
      </c>
      <c r="O268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268" s="18">
        <f>IF(Report[[#This Row],[FT]]="",,(LEFT(Report[[#This Row],[FT]],SEARCH("-",Report[[#This Row],[FT]])-1)*1))</f>
        <v>1</v>
      </c>
      <c r="Q268" s="22">
        <f>IF(Report[[#This Row],[FT]]="",,(RIGHT(Report[[#This Row],[FT]],SEARCH("-",Report[[#This Row],[FT]])-1)*1))</f>
        <v>1</v>
      </c>
      <c r="R268" s="18" t="str">
        <f>IF(Report[Résultat FT]="","",IF(Report[Résultat FT]=Report[Résultats],"Gagné","Perdu"))</f>
        <v>Perdu</v>
      </c>
      <c r="S268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268" s="53">
        <f>IF(Report[[#This Row],[FT]]="","",IF(Report[[#This Row],[FT]]=Report[[#This Row],[Score 1]],1,0))</f>
        <v>0</v>
      </c>
      <c r="U268" s="53">
        <f>IF(Report[[#This Row],[FT]]="","",IF(Report[ [#This Row],[FT] ]=Report[[#This Row],[Score 2]],1,0))</f>
        <v>1</v>
      </c>
      <c r="V268" s="53">
        <f>IF(Report[[#This Row],[FT]]="","",IF(Report[[#This Row],[FT]]=Report[[#This Row],[Score 3]],1,0))</f>
        <v>0</v>
      </c>
      <c r="W268" s="53">
        <f>IF(Report[[#This Row],[FT]]="","",IF(Report[[#This Row],[FT]]=Report[[#This Row],[Score 4]],1,0))</f>
        <v>0</v>
      </c>
      <c r="X268" s="66">
        <f>IF(Report[[#This Row],[Résultat FT]]="",,IF(Report[[#This Row],[Résultat FT]]=Report[[#This Row],[Résultats]],(Suivi_Gain!$B$1*Report[[#This Row],[Cote FT]])-Suivi_Gain!$B$1,-Suivi_Gain!$B$1))</f>
        <v>-1</v>
      </c>
      <c r="Y268" s="94">
        <f>IF(Report[[#This Row],[FT]]="",,IF(Report[[#This Row],[FT]]=Report[[#This Row],[Score 1]],(Suivi_Gain!$G$1*Report[[#This Row],[Cote SE]])-Suivi_Gain!$G$1,-Suivi_Gain!$G$1))</f>
        <v>-1</v>
      </c>
      <c r="Z268" s="65">
        <f>IF(Report[[#This Row],[FT]]="",,IF(Report[[#This Row],[FT]]=Report[[#This Row],[Score 2]],Suivi_Gain!$G$1*Report[[#This Row],[Cote SE]],-Suivi_Gain!$G$1))</f>
        <v>7</v>
      </c>
      <c r="AA268" s="65">
        <f>IF(Report[[#This Row],[FT]]="",,IF(Report[[#This Row],[FT]]=Report[[#This Row],[Score 3]],Suivi_Gain!$G$1*Report[[#This Row],[Cote SE]],-Suivi_Gain!$G$1))</f>
        <v>-1</v>
      </c>
      <c r="AB268" s="65">
        <f>IF(Report[[#This Row],[FT]]="",,IF(Report[[#This Row],[FT]]=Report[[#This Row],[Score 4]],Suivi_Gain!$G$1*Report[[#This Row],[Cote SE]],-Suivi_Gain!$G$1))</f>
        <v>-1</v>
      </c>
      <c r="AC268" s="64" t="str">
        <f>IF(Report[[#This Row],[Résultats SE]]="Gagné",Report[[#This Row],[FT]],"")</f>
        <v>1-1</v>
      </c>
      <c r="AD268" s="64" t="str">
        <f>IF(AND(Report[[#This Row],[Résultats SE]]="Gagné",Report[[#This Row],[FT]]=Report[[#This Row],[Score 1]]),Report[[#This Row],[FT]],"")</f>
        <v/>
      </c>
      <c r="AE268" s="64" t="str">
        <f>IF(AND(Report[[#This Row],[Résultats SE]]="Gagné",Report[[#This Row],[FT]]=Report[[#This Row],[Score 2]]),Report[[#This Row],[FT]],"")</f>
        <v>1-1</v>
      </c>
      <c r="AF268" s="64" t="str">
        <f>IF(AND(Report[[#This Row],[Résultats SE]]="Gagné",Report[[#This Row],[FT]]=Report[[#This Row],[Score 3]]),Report[[#This Row],[FT]],"")</f>
        <v/>
      </c>
      <c r="AG268" s="64" t="str">
        <f>IF(AND(Report[[#This Row],[Résultats SE]]="Gagné",Report[[#This Row],[FT]]=Report[[#This Row],[Score 4]]),Report[[#This Row],[FT]],"")</f>
        <v/>
      </c>
    </row>
    <row r="269" spans="1:33" ht="20.100000000000001" customHeight="1" x14ac:dyDescent="0.25">
      <c r="A269" s="11">
        <v>43428</v>
      </c>
      <c r="B269" s="7" t="s">
        <v>93</v>
      </c>
      <c r="C269" s="7" t="s">
        <v>125</v>
      </c>
      <c r="D269" s="10" t="s">
        <v>413</v>
      </c>
      <c r="E269" s="10" t="s">
        <v>409</v>
      </c>
      <c r="F269" s="7" t="s">
        <v>833</v>
      </c>
      <c r="G269" s="8" t="s">
        <v>834</v>
      </c>
      <c r="H269" s="9" t="s">
        <v>830</v>
      </c>
      <c r="I269" s="9" t="s">
        <v>825</v>
      </c>
      <c r="J269" s="9" t="s">
        <v>826</v>
      </c>
      <c r="K269" s="9" t="s">
        <v>233</v>
      </c>
      <c r="L269" s="16" t="str">
        <f>IF(Report[Résultat FT]="","",IF(Report[Résultat FT]=Report[Résultats],"","-"))</f>
        <v>-</v>
      </c>
      <c r="M269" s="16" t="str">
        <f>IF(Report[[#This Row],[Résultat FT]]="","",IF(Report[[#This Row],[Résultats SE]]="Gagné","","-"))</f>
        <v>-</v>
      </c>
      <c r="N269" s="17" t="s">
        <v>922</v>
      </c>
      <c r="O269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Michalovce</v>
      </c>
      <c r="P269" s="18">
        <f>IF(Report[[#This Row],[FT]]="",,(LEFT(Report[[#This Row],[FT]],SEARCH("-",Report[[#This Row],[FT]])-1)*1))</f>
        <v>2</v>
      </c>
      <c r="Q269" s="22">
        <f>IF(Report[[#This Row],[FT]]="",,(RIGHT(Report[[#This Row],[FT]],SEARCH("-",Report[[#This Row],[FT]])-1)*1))</f>
        <v>4</v>
      </c>
      <c r="R269" s="18" t="str">
        <f>IF(Report[Résultat FT]="","",IF(Report[Résultat FT]=Report[Résultats],"Gagné","Perdu"))</f>
        <v>Perdu</v>
      </c>
      <c r="S269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69" s="53">
        <f>IF(Report[[#This Row],[FT]]="","",IF(Report[[#This Row],[FT]]=Report[[#This Row],[Score 1]],1,0))</f>
        <v>0</v>
      </c>
      <c r="U269" s="53">
        <f>IF(Report[[#This Row],[FT]]="","",IF(Report[ [#This Row],[FT] ]=Report[[#This Row],[Score 2]],1,0))</f>
        <v>0</v>
      </c>
      <c r="V269" s="53">
        <f>IF(Report[[#This Row],[FT]]="","",IF(Report[[#This Row],[FT]]=Report[[#This Row],[Score 3]],1,0))</f>
        <v>0</v>
      </c>
      <c r="W269" s="53">
        <f>IF(Report[[#This Row],[FT]]="","",IF(Report[[#This Row],[FT]]=Report[[#This Row],[Score 4]],1,0))</f>
        <v>0</v>
      </c>
      <c r="X269" s="66">
        <f>IF(Report[[#This Row],[Résultat FT]]="",,IF(Report[[#This Row],[Résultat FT]]=Report[[#This Row],[Résultats]],(Suivi_Gain!$B$1*Report[[#This Row],[Cote FT]])-Suivi_Gain!$B$1,-Suivi_Gain!$B$1))</f>
        <v>-1</v>
      </c>
      <c r="Y269" s="94">
        <f>IF(Report[[#This Row],[FT]]="",,IF(Report[[#This Row],[FT]]=Report[[#This Row],[Score 1]],(Suivi_Gain!$G$1*Report[[#This Row],[Cote SE]])-Suivi_Gain!$G$1,-Suivi_Gain!$G$1))</f>
        <v>-1</v>
      </c>
      <c r="Z269" s="65">
        <f>IF(Report[[#This Row],[FT]]="",,IF(Report[[#This Row],[FT]]=Report[[#This Row],[Score 2]],Suivi_Gain!$G$1*Report[[#This Row],[Cote SE]],-Suivi_Gain!$G$1))</f>
        <v>-1</v>
      </c>
      <c r="AA269" s="65">
        <f>IF(Report[[#This Row],[FT]]="",,IF(Report[[#This Row],[FT]]=Report[[#This Row],[Score 3]],Suivi_Gain!$G$1*Report[[#This Row],[Cote SE]],-Suivi_Gain!$G$1))</f>
        <v>-1</v>
      </c>
      <c r="AB269" s="65">
        <f>IF(Report[[#This Row],[FT]]="",,IF(Report[[#This Row],[FT]]=Report[[#This Row],[Score 4]],Suivi_Gain!$G$1*Report[[#This Row],[Cote SE]],-Suivi_Gain!$G$1))</f>
        <v>-1</v>
      </c>
      <c r="AC269" s="64" t="str">
        <f>IF(Report[[#This Row],[Résultats SE]]="Gagné",Report[[#This Row],[FT]],"")</f>
        <v/>
      </c>
      <c r="AD269" s="64" t="str">
        <f>IF(AND(Report[[#This Row],[Résultats SE]]="Gagné",Report[[#This Row],[FT]]=Report[[#This Row],[Score 1]]),Report[[#This Row],[FT]],"")</f>
        <v/>
      </c>
      <c r="AE269" s="64" t="str">
        <f>IF(AND(Report[[#This Row],[Résultats SE]]="Gagné",Report[[#This Row],[FT]]=Report[[#This Row],[Score 2]]),Report[[#This Row],[FT]],"")</f>
        <v/>
      </c>
      <c r="AF269" s="64" t="str">
        <f>IF(AND(Report[[#This Row],[Résultats SE]]="Gagné",Report[[#This Row],[FT]]=Report[[#This Row],[Score 3]]),Report[[#This Row],[FT]],"")</f>
        <v/>
      </c>
      <c r="AG269" s="64" t="str">
        <f>IF(AND(Report[[#This Row],[Résultats SE]]="Gagné",Report[[#This Row],[FT]]=Report[[#This Row],[Score 4]]),Report[[#This Row],[FT]],"")</f>
        <v/>
      </c>
    </row>
    <row r="270" spans="1:33" ht="20.100000000000001" customHeight="1" x14ac:dyDescent="0.25">
      <c r="A270" s="11">
        <v>43428</v>
      </c>
      <c r="B270" s="7" t="s">
        <v>93</v>
      </c>
      <c r="C270" s="7" t="s">
        <v>125</v>
      </c>
      <c r="D270" s="10" t="s">
        <v>415</v>
      </c>
      <c r="E270" s="10" t="s">
        <v>412</v>
      </c>
      <c r="F270" s="7" t="s">
        <v>842</v>
      </c>
      <c r="G270" s="8" t="s">
        <v>838</v>
      </c>
      <c r="H270" s="9" t="s">
        <v>831</v>
      </c>
      <c r="I270" s="9" t="s">
        <v>834</v>
      </c>
      <c r="J270" s="9" t="s">
        <v>830</v>
      </c>
      <c r="K270" s="9" t="s">
        <v>415</v>
      </c>
      <c r="L270" s="16" t="str">
        <f>IF(Report[Résultat FT]="","",IF(Report[Résultat FT]=Report[Résultats],"","-"))</f>
        <v>-</v>
      </c>
      <c r="M270" s="16">
        <v>8</v>
      </c>
      <c r="N270" s="17" t="s">
        <v>834</v>
      </c>
      <c r="O270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270" s="18">
        <f>IF(Report[[#This Row],[FT]]="",,(LEFT(Report[[#This Row],[FT]],SEARCH("-",Report[[#This Row],[FT]])-1)*1))</f>
        <v>1</v>
      </c>
      <c r="Q270" s="22">
        <f>IF(Report[[#This Row],[FT]]="",,(RIGHT(Report[[#This Row],[FT]],SEARCH("-",Report[[#This Row],[FT]])-1)*1))</f>
        <v>1</v>
      </c>
      <c r="R270" s="18" t="str">
        <f>IF(Report[Résultat FT]="","",IF(Report[Résultat FT]=Report[Résultats],"Gagné","Perdu"))</f>
        <v>Perdu</v>
      </c>
      <c r="S270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270" s="53">
        <f>IF(Report[[#This Row],[FT]]="","",IF(Report[[#This Row],[FT]]=Report[[#This Row],[Score 1]],1,0))</f>
        <v>0</v>
      </c>
      <c r="U270" s="53">
        <f>IF(Report[[#This Row],[FT]]="","",IF(Report[ [#This Row],[FT] ]=Report[[#This Row],[Score 2]],1,0))</f>
        <v>0</v>
      </c>
      <c r="V270" s="53">
        <f>IF(Report[[#This Row],[FT]]="","",IF(Report[[#This Row],[FT]]=Report[[#This Row],[Score 3]],1,0))</f>
        <v>1</v>
      </c>
      <c r="W270" s="53">
        <f>IF(Report[[#This Row],[FT]]="","",IF(Report[[#This Row],[FT]]=Report[[#This Row],[Score 4]],1,0))</f>
        <v>0</v>
      </c>
      <c r="X270" s="66">
        <f>IF(Report[[#This Row],[Résultat FT]]="",,IF(Report[[#This Row],[Résultat FT]]=Report[[#This Row],[Résultats]],(Suivi_Gain!$B$1*Report[[#This Row],[Cote FT]])-Suivi_Gain!$B$1,-Suivi_Gain!$B$1))</f>
        <v>-1</v>
      </c>
      <c r="Y270" s="94">
        <f>IF(Report[[#This Row],[FT]]="",,IF(Report[[#This Row],[FT]]=Report[[#This Row],[Score 1]],(Suivi_Gain!$G$1*Report[[#This Row],[Cote SE]])-Suivi_Gain!$G$1,-Suivi_Gain!$G$1))</f>
        <v>-1</v>
      </c>
      <c r="Z270" s="65">
        <f>IF(Report[[#This Row],[FT]]="",,IF(Report[[#This Row],[FT]]=Report[[#This Row],[Score 2]],Suivi_Gain!$G$1*Report[[#This Row],[Cote SE]],-Suivi_Gain!$G$1))</f>
        <v>-1</v>
      </c>
      <c r="AA270" s="65">
        <f>IF(Report[[#This Row],[FT]]="",,IF(Report[[#This Row],[FT]]=Report[[#This Row],[Score 3]],Suivi_Gain!$G$1*Report[[#This Row],[Cote SE]],-Suivi_Gain!$G$1))</f>
        <v>8</v>
      </c>
      <c r="AB270" s="65">
        <f>IF(Report[[#This Row],[FT]]="",,IF(Report[[#This Row],[FT]]=Report[[#This Row],[Score 4]],Suivi_Gain!$G$1*Report[[#This Row],[Cote SE]],-Suivi_Gain!$G$1))</f>
        <v>-1</v>
      </c>
      <c r="AC270" s="64" t="str">
        <f>IF(Report[[#This Row],[Résultats SE]]="Gagné",Report[[#This Row],[FT]],"")</f>
        <v>1-1</v>
      </c>
      <c r="AD270" s="64" t="str">
        <f>IF(AND(Report[[#This Row],[Résultats SE]]="Gagné",Report[[#This Row],[FT]]=Report[[#This Row],[Score 1]]),Report[[#This Row],[FT]],"")</f>
        <v/>
      </c>
      <c r="AE270" s="64" t="str">
        <f>IF(AND(Report[[#This Row],[Résultats SE]]="Gagné",Report[[#This Row],[FT]]=Report[[#This Row],[Score 2]]),Report[[#This Row],[FT]],"")</f>
        <v/>
      </c>
      <c r="AF270" s="64" t="str">
        <f>IF(AND(Report[[#This Row],[Résultats SE]]="Gagné",Report[[#This Row],[FT]]=Report[[#This Row],[Score 3]]),Report[[#This Row],[FT]],"")</f>
        <v>1-1</v>
      </c>
      <c r="AG270" s="64" t="str">
        <f>IF(AND(Report[[#This Row],[Résultats SE]]="Gagné",Report[[#This Row],[FT]]=Report[[#This Row],[Score 4]]),Report[[#This Row],[FT]],"")</f>
        <v/>
      </c>
    </row>
    <row r="271" spans="1:33" ht="20.100000000000001" customHeight="1" x14ac:dyDescent="0.25">
      <c r="A271" s="11">
        <v>43428</v>
      </c>
      <c r="B271" s="7" t="s">
        <v>93</v>
      </c>
      <c r="C271" s="7" t="s">
        <v>125</v>
      </c>
      <c r="D271" s="10" t="s">
        <v>417</v>
      </c>
      <c r="E271" s="10" t="s">
        <v>410</v>
      </c>
      <c r="F271" s="7" t="s">
        <v>833</v>
      </c>
      <c r="G271" s="8" t="s">
        <v>834</v>
      </c>
      <c r="H271" s="9" t="s">
        <v>830</v>
      </c>
      <c r="I271" s="9" t="s">
        <v>825</v>
      </c>
      <c r="J271" s="9" t="s">
        <v>826</v>
      </c>
      <c r="K271" s="9" t="s">
        <v>233</v>
      </c>
      <c r="L271" s="16" t="str">
        <f>IF(Report[Résultat FT]="","",IF(Report[Résultat FT]=Report[Résultats],"","-"))</f>
        <v>-</v>
      </c>
      <c r="M271" s="16" t="str">
        <f>IF(Report[[#This Row],[Résultat FT]]="","",IF(Report[[#This Row],[Résultats SE]]="Gagné","","-"))</f>
        <v>-</v>
      </c>
      <c r="N271" s="17" t="s">
        <v>851</v>
      </c>
      <c r="O271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Nitra</v>
      </c>
      <c r="P271" s="18">
        <f>IF(Report[[#This Row],[FT]]="",,(LEFT(Report[[#This Row],[FT]],SEARCH("-",Report[[#This Row],[FT]])-1)*1))</f>
        <v>2</v>
      </c>
      <c r="Q271" s="22">
        <f>IF(Report[[#This Row],[FT]]="",,(RIGHT(Report[[#This Row],[FT]],SEARCH("-",Report[[#This Row],[FT]])-1)*1))</f>
        <v>3</v>
      </c>
      <c r="R271" s="18" t="str">
        <f>IF(Report[Résultat FT]="","",IF(Report[Résultat FT]=Report[Résultats],"Gagné","Perdu"))</f>
        <v>Perdu</v>
      </c>
      <c r="S271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71" s="53">
        <f>IF(Report[[#This Row],[FT]]="","",IF(Report[[#This Row],[FT]]=Report[[#This Row],[Score 1]],1,0))</f>
        <v>0</v>
      </c>
      <c r="U271" s="53">
        <f>IF(Report[[#This Row],[FT]]="","",IF(Report[ [#This Row],[FT] ]=Report[[#This Row],[Score 2]],1,0))</f>
        <v>0</v>
      </c>
      <c r="V271" s="53">
        <f>IF(Report[[#This Row],[FT]]="","",IF(Report[[#This Row],[FT]]=Report[[#This Row],[Score 3]],1,0))</f>
        <v>0</v>
      </c>
      <c r="W271" s="53">
        <f>IF(Report[[#This Row],[FT]]="","",IF(Report[[#This Row],[FT]]=Report[[#This Row],[Score 4]],1,0))</f>
        <v>0</v>
      </c>
      <c r="X271" s="66">
        <f>IF(Report[[#This Row],[Résultat FT]]="",,IF(Report[[#This Row],[Résultat FT]]=Report[[#This Row],[Résultats]],(Suivi_Gain!$B$1*Report[[#This Row],[Cote FT]])-Suivi_Gain!$B$1,-Suivi_Gain!$B$1))</f>
        <v>-1</v>
      </c>
      <c r="Y271" s="94">
        <f>IF(Report[[#This Row],[FT]]="",,IF(Report[[#This Row],[FT]]=Report[[#This Row],[Score 1]],(Suivi_Gain!$G$1*Report[[#This Row],[Cote SE]])-Suivi_Gain!$G$1,-Suivi_Gain!$G$1))</f>
        <v>-1</v>
      </c>
      <c r="Z271" s="65">
        <f>IF(Report[[#This Row],[FT]]="",,IF(Report[[#This Row],[FT]]=Report[[#This Row],[Score 2]],Suivi_Gain!$G$1*Report[[#This Row],[Cote SE]],-Suivi_Gain!$G$1))</f>
        <v>-1</v>
      </c>
      <c r="AA271" s="65">
        <f>IF(Report[[#This Row],[FT]]="",,IF(Report[[#This Row],[FT]]=Report[[#This Row],[Score 3]],Suivi_Gain!$G$1*Report[[#This Row],[Cote SE]],-Suivi_Gain!$G$1))</f>
        <v>-1</v>
      </c>
      <c r="AB271" s="65">
        <f>IF(Report[[#This Row],[FT]]="",,IF(Report[[#This Row],[FT]]=Report[[#This Row],[Score 4]],Suivi_Gain!$G$1*Report[[#This Row],[Cote SE]],-Suivi_Gain!$G$1))</f>
        <v>-1</v>
      </c>
      <c r="AC271" s="64" t="str">
        <f>IF(Report[[#This Row],[Résultats SE]]="Gagné",Report[[#This Row],[FT]],"")</f>
        <v/>
      </c>
      <c r="AD271" s="64" t="str">
        <f>IF(AND(Report[[#This Row],[Résultats SE]]="Gagné",Report[[#This Row],[FT]]=Report[[#This Row],[Score 1]]),Report[[#This Row],[FT]],"")</f>
        <v/>
      </c>
      <c r="AE271" s="64" t="str">
        <f>IF(AND(Report[[#This Row],[Résultats SE]]="Gagné",Report[[#This Row],[FT]]=Report[[#This Row],[Score 2]]),Report[[#This Row],[FT]],"")</f>
        <v/>
      </c>
      <c r="AF271" s="64" t="str">
        <f>IF(AND(Report[[#This Row],[Résultats SE]]="Gagné",Report[[#This Row],[FT]]=Report[[#This Row],[Score 3]]),Report[[#This Row],[FT]],"")</f>
        <v/>
      </c>
      <c r="AG271" s="64" t="str">
        <f>IF(AND(Report[[#This Row],[Résultats SE]]="Gagné",Report[[#This Row],[FT]]=Report[[#This Row],[Score 4]]),Report[[#This Row],[FT]],"")</f>
        <v/>
      </c>
    </row>
    <row r="272" spans="1:33" ht="20.100000000000001" customHeight="1" x14ac:dyDescent="0.25">
      <c r="A272" s="11">
        <v>43428</v>
      </c>
      <c r="B272" s="7" t="s">
        <v>93</v>
      </c>
      <c r="C272" s="7" t="s">
        <v>125</v>
      </c>
      <c r="D272" s="19" t="s">
        <v>418</v>
      </c>
      <c r="E272" s="19" t="s">
        <v>411</v>
      </c>
      <c r="F272" s="7" t="s">
        <v>833</v>
      </c>
      <c r="G272" s="20" t="s">
        <v>834</v>
      </c>
      <c r="H272" s="20" t="s">
        <v>830</v>
      </c>
      <c r="I272" s="20" t="s">
        <v>825</v>
      </c>
      <c r="J272" s="20" t="s">
        <v>826</v>
      </c>
      <c r="K272" s="21" t="s">
        <v>233</v>
      </c>
      <c r="L272" s="16" t="str">
        <f>IF(Report[Résultat FT]="","",IF(Report[Résultat FT]=Report[Résultats],"","-"))</f>
        <v>-</v>
      </c>
      <c r="M272" s="16">
        <v>9</v>
      </c>
      <c r="N272" s="17" t="s">
        <v>830</v>
      </c>
      <c r="O272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Z. Moravce</v>
      </c>
      <c r="P272" s="18">
        <f>IF(Report[[#This Row],[FT]]="",,(LEFT(Report[[#This Row],[FT]],SEARCH("-",Report[[#This Row],[FT]])-1)*1))</f>
        <v>1</v>
      </c>
      <c r="Q272" s="22">
        <f>IF(Report[[#This Row],[FT]]="",,(RIGHT(Report[[#This Row],[FT]],SEARCH("-",Report[[#This Row],[FT]])-1)*1))</f>
        <v>0</v>
      </c>
      <c r="R272" s="18" t="str">
        <f>IF(Report[Résultat FT]="","",IF(Report[Résultat FT]=Report[Résultats],"Gagné","Perdu"))</f>
        <v>Perdu</v>
      </c>
      <c r="S272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272" s="53">
        <f>IF(Report[[#This Row],[FT]]="","",IF(Report[[#This Row],[FT]]=Report[[#This Row],[Score 1]],1,0))</f>
        <v>0</v>
      </c>
      <c r="U272" s="53">
        <f>IF(Report[[#This Row],[FT]]="","",IF(Report[ [#This Row],[FT] ]=Report[[#This Row],[Score 2]],1,0))</f>
        <v>1</v>
      </c>
      <c r="V272" s="53">
        <f>IF(Report[[#This Row],[FT]]="","",IF(Report[[#This Row],[FT]]=Report[[#This Row],[Score 3]],1,0))</f>
        <v>0</v>
      </c>
      <c r="W272" s="53">
        <f>IF(Report[[#This Row],[FT]]="","",IF(Report[[#This Row],[FT]]=Report[[#This Row],[Score 4]],1,0))</f>
        <v>0</v>
      </c>
      <c r="X272" s="66">
        <f>IF(Report[[#This Row],[Résultat FT]]="",,IF(Report[[#This Row],[Résultat FT]]=Report[[#This Row],[Résultats]],(Suivi_Gain!$B$1*Report[[#This Row],[Cote FT]])-Suivi_Gain!$B$1,-Suivi_Gain!$B$1))</f>
        <v>-1</v>
      </c>
      <c r="Y272" s="94">
        <f>IF(Report[[#This Row],[FT]]="",,IF(Report[[#This Row],[FT]]=Report[[#This Row],[Score 1]],(Suivi_Gain!$G$1*Report[[#This Row],[Cote SE]])-Suivi_Gain!$G$1,-Suivi_Gain!$G$1))</f>
        <v>-1</v>
      </c>
      <c r="Z272" s="65">
        <f>IF(Report[[#This Row],[FT]]="",,IF(Report[[#This Row],[FT]]=Report[[#This Row],[Score 2]],Suivi_Gain!$G$1*Report[[#This Row],[Cote SE]],-Suivi_Gain!$G$1))</f>
        <v>9</v>
      </c>
      <c r="AA272" s="65">
        <f>IF(Report[[#This Row],[FT]]="",,IF(Report[[#This Row],[FT]]=Report[[#This Row],[Score 3]],Suivi_Gain!$G$1*Report[[#This Row],[Cote SE]],-Suivi_Gain!$G$1))</f>
        <v>-1</v>
      </c>
      <c r="AB272" s="65">
        <f>IF(Report[[#This Row],[FT]]="",,IF(Report[[#This Row],[FT]]=Report[[#This Row],[Score 4]],Suivi_Gain!$G$1*Report[[#This Row],[Cote SE]],-Suivi_Gain!$G$1))</f>
        <v>-1</v>
      </c>
      <c r="AC272" s="64" t="str">
        <f>IF(Report[[#This Row],[Résultats SE]]="Gagné",Report[[#This Row],[FT]],"")</f>
        <v>1-0</v>
      </c>
      <c r="AD272" s="64" t="str">
        <f>IF(AND(Report[[#This Row],[Résultats SE]]="Gagné",Report[[#This Row],[FT]]=Report[[#This Row],[Score 1]]),Report[[#This Row],[FT]],"")</f>
        <v/>
      </c>
      <c r="AE272" s="64" t="str">
        <f>IF(AND(Report[[#This Row],[Résultats SE]]="Gagné",Report[[#This Row],[FT]]=Report[[#This Row],[Score 2]]),Report[[#This Row],[FT]],"")</f>
        <v>1-0</v>
      </c>
      <c r="AF272" s="64" t="str">
        <f>IF(AND(Report[[#This Row],[Résultats SE]]="Gagné",Report[[#This Row],[FT]]=Report[[#This Row],[Score 3]]),Report[[#This Row],[FT]],"")</f>
        <v/>
      </c>
      <c r="AG272" s="64" t="str">
        <f>IF(AND(Report[[#This Row],[Résultats SE]]="Gagné",Report[[#This Row],[FT]]=Report[[#This Row],[Score 4]]),Report[[#This Row],[FT]],"")</f>
        <v/>
      </c>
    </row>
    <row r="273" spans="1:33" ht="20.100000000000001" customHeight="1" x14ac:dyDescent="0.25">
      <c r="A273" s="11">
        <v>43428</v>
      </c>
      <c r="B273" s="7" t="s">
        <v>93</v>
      </c>
      <c r="C273" s="7" t="s">
        <v>125</v>
      </c>
      <c r="D273" s="19" t="s">
        <v>408</v>
      </c>
      <c r="E273" s="19" t="s">
        <v>416</v>
      </c>
      <c r="F273" s="7" t="s">
        <v>880</v>
      </c>
      <c r="G273" s="20" t="s">
        <v>853</v>
      </c>
      <c r="H273" s="20" t="s">
        <v>832</v>
      </c>
      <c r="I273" s="20" t="s">
        <v>838</v>
      </c>
      <c r="J273" s="20" t="s">
        <v>831</v>
      </c>
      <c r="K273" s="21" t="s">
        <v>408</v>
      </c>
      <c r="L273" s="16" t="str">
        <f>IF(Report[Résultat FT]="","",IF(Report[Résultat FT]=Report[Résultats],"","-"))</f>
        <v>-</v>
      </c>
      <c r="M273" s="16" t="str">
        <f>IF(Report[[#This Row],[Résultat FT]]="","",IF(Report[[#This Row],[Résultats SE]]="Gagné","","-"))</f>
        <v>-</v>
      </c>
      <c r="N273" s="17" t="s">
        <v>826</v>
      </c>
      <c r="O273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273" s="18">
        <f>IF(Report[[#This Row],[FT]]="",,(LEFT(Report[[#This Row],[FT]],SEARCH("-",Report[[#This Row],[FT]])-1)*1))</f>
        <v>0</v>
      </c>
      <c r="Q273" s="22">
        <f>IF(Report[[#This Row],[FT]]="",,(RIGHT(Report[[#This Row],[FT]],SEARCH("-",Report[[#This Row],[FT]])-1)*1))</f>
        <v>0</v>
      </c>
      <c r="R273" s="18" t="str">
        <f>IF(Report[Résultat FT]="","",IF(Report[Résultat FT]=Report[Résultats],"Gagné","Perdu"))</f>
        <v>Perdu</v>
      </c>
      <c r="S273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73" s="53">
        <f>IF(Report[[#This Row],[FT]]="","",IF(Report[[#This Row],[FT]]=Report[[#This Row],[Score 1]],1,0))</f>
        <v>0</v>
      </c>
      <c r="U273" s="53">
        <f>IF(Report[[#This Row],[FT]]="","",IF(Report[ [#This Row],[FT] ]=Report[[#This Row],[Score 2]],1,0))</f>
        <v>0</v>
      </c>
      <c r="V273" s="53">
        <f>IF(Report[[#This Row],[FT]]="","",IF(Report[[#This Row],[FT]]=Report[[#This Row],[Score 3]],1,0))</f>
        <v>0</v>
      </c>
      <c r="W273" s="53">
        <f>IF(Report[[#This Row],[FT]]="","",IF(Report[[#This Row],[FT]]=Report[[#This Row],[Score 4]],1,0))</f>
        <v>0</v>
      </c>
      <c r="X273" s="66">
        <f>IF(Report[[#This Row],[Résultat FT]]="",,IF(Report[[#This Row],[Résultat FT]]=Report[[#This Row],[Résultats]],(Suivi_Gain!$B$1*Report[[#This Row],[Cote FT]])-Suivi_Gain!$B$1,-Suivi_Gain!$B$1))</f>
        <v>-1</v>
      </c>
      <c r="Y273" s="94">
        <f>IF(Report[[#This Row],[FT]]="",,IF(Report[[#This Row],[FT]]=Report[[#This Row],[Score 1]],(Suivi_Gain!$G$1*Report[[#This Row],[Cote SE]])-Suivi_Gain!$G$1,-Suivi_Gain!$G$1))</f>
        <v>-1</v>
      </c>
      <c r="Z273" s="65">
        <f>IF(Report[[#This Row],[FT]]="",,IF(Report[[#This Row],[FT]]=Report[[#This Row],[Score 2]],Suivi_Gain!$G$1*Report[[#This Row],[Cote SE]],-Suivi_Gain!$G$1))</f>
        <v>-1</v>
      </c>
      <c r="AA273" s="65">
        <f>IF(Report[[#This Row],[FT]]="",,IF(Report[[#This Row],[FT]]=Report[[#This Row],[Score 3]],Suivi_Gain!$G$1*Report[[#This Row],[Cote SE]],-Suivi_Gain!$G$1))</f>
        <v>-1</v>
      </c>
      <c r="AB273" s="65">
        <f>IF(Report[[#This Row],[FT]]="",,IF(Report[[#This Row],[FT]]=Report[[#This Row],[Score 4]],Suivi_Gain!$G$1*Report[[#This Row],[Cote SE]],-Suivi_Gain!$G$1))</f>
        <v>-1</v>
      </c>
      <c r="AC273" s="64" t="str">
        <f>IF(Report[[#This Row],[Résultats SE]]="Gagné",Report[[#This Row],[FT]],"")</f>
        <v/>
      </c>
      <c r="AD273" s="64" t="str">
        <f>IF(AND(Report[[#This Row],[Résultats SE]]="Gagné",Report[[#This Row],[FT]]=Report[[#This Row],[Score 1]]),Report[[#This Row],[FT]],"")</f>
        <v/>
      </c>
      <c r="AE273" s="64" t="str">
        <f>IF(AND(Report[[#This Row],[Résultats SE]]="Gagné",Report[[#This Row],[FT]]=Report[[#This Row],[Score 2]]),Report[[#This Row],[FT]],"")</f>
        <v/>
      </c>
      <c r="AF273" s="64" t="str">
        <f>IF(AND(Report[[#This Row],[Résultats SE]]="Gagné",Report[[#This Row],[FT]]=Report[[#This Row],[Score 3]]),Report[[#This Row],[FT]],"")</f>
        <v/>
      </c>
      <c r="AG273" s="64" t="str">
        <f>IF(AND(Report[[#This Row],[Résultats SE]]="Gagné",Report[[#This Row],[FT]]=Report[[#This Row],[Score 4]]),Report[[#This Row],[FT]],"")</f>
        <v/>
      </c>
    </row>
    <row r="274" spans="1:33" ht="20.100000000000001" customHeight="1" x14ac:dyDescent="0.25">
      <c r="A274" s="11">
        <v>43428</v>
      </c>
      <c r="B274" s="7" t="s">
        <v>92</v>
      </c>
      <c r="C274" s="7" t="s">
        <v>126</v>
      </c>
      <c r="D274" s="10" t="s">
        <v>437</v>
      </c>
      <c r="E274" s="10" t="s">
        <v>444</v>
      </c>
      <c r="F274" s="7" t="s">
        <v>842</v>
      </c>
      <c r="G274" s="8" t="s">
        <v>838</v>
      </c>
      <c r="H274" s="9" t="s">
        <v>831</v>
      </c>
      <c r="I274" s="9" t="s">
        <v>834</v>
      </c>
      <c r="J274" s="9" t="s">
        <v>830</v>
      </c>
      <c r="K274" s="9" t="s">
        <v>437</v>
      </c>
      <c r="L274" s="16">
        <v>2</v>
      </c>
      <c r="M274" s="16">
        <v>10.5</v>
      </c>
      <c r="N274" s="17" t="s">
        <v>831</v>
      </c>
      <c r="O274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Celje</v>
      </c>
      <c r="P274" s="18">
        <f>IF(Report[[#This Row],[FT]]="",,(LEFT(Report[[#This Row],[FT]],SEARCH("-",Report[[#This Row],[FT]])-1)*1))</f>
        <v>2</v>
      </c>
      <c r="Q274" s="22">
        <f>IF(Report[[#This Row],[FT]]="",,(RIGHT(Report[[#This Row],[FT]],SEARCH("-",Report[[#This Row],[FT]])-1)*1))</f>
        <v>0</v>
      </c>
      <c r="R274" s="18" t="str">
        <f>IF(Report[Résultat FT]="","",IF(Report[Résultat FT]=Report[Résultats],"Gagné","Perdu"))</f>
        <v>Gagné</v>
      </c>
      <c r="S274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274" s="53">
        <f>IF(Report[[#This Row],[FT]]="","",IF(Report[[#This Row],[FT]]=Report[[#This Row],[Score 1]],1,0))</f>
        <v>0</v>
      </c>
      <c r="U274" s="53">
        <f>IF(Report[[#This Row],[FT]]="","",IF(Report[ [#This Row],[FT] ]=Report[[#This Row],[Score 2]],1,0))</f>
        <v>1</v>
      </c>
      <c r="V274" s="53">
        <f>IF(Report[[#This Row],[FT]]="","",IF(Report[[#This Row],[FT]]=Report[[#This Row],[Score 3]],1,0))</f>
        <v>0</v>
      </c>
      <c r="W274" s="53">
        <f>IF(Report[[#This Row],[FT]]="","",IF(Report[[#This Row],[FT]]=Report[[#This Row],[Score 4]],1,0))</f>
        <v>0</v>
      </c>
      <c r="X274" s="66">
        <f>IF(Report[[#This Row],[Résultat FT]]="",,IF(Report[[#This Row],[Résultat FT]]=Report[[#This Row],[Résultats]],(Suivi_Gain!$B$1*Report[[#This Row],[Cote FT]])-Suivi_Gain!$B$1,-Suivi_Gain!$B$1))</f>
        <v>1</v>
      </c>
      <c r="Y274" s="94">
        <f>IF(Report[[#This Row],[FT]]="",,IF(Report[[#This Row],[FT]]=Report[[#This Row],[Score 1]],(Suivi_Gain!$G$1*Report[[#This Row],[Cote SE]])-Suivi_Gain!$G$1,-Suivi_Gain!$G$1))</f>
        <v>-1</v>
      </c>
      <c r="Z274" s="65">
        <f>IF(Report[[#This Row],[FT]]="",,IF(Report[[#This Row],[FT]]=Report[[#This Row],[Score 2]],Suivi_Gain!$G$1*Report[[#This Row],[Cote SE]],-Suivi_Gain!$G$1))</f>
        <v>10.5</v>
      </c>
      <c r="AA274" s="65">
        <f>IF(Report[[#This Row],[FT]]="",,IF(Report[[#This Row],[FT]]=Report[[#This Row],[Score 3]],Suivi_Gain!$G$1*Report[[#This Row],[Cote SE]],-Suivi_Gain!$G$1))</f>
        <v>-1</v>
      </c>
      <c r="AB274" s="65">
        <f>IF(Report[[#This Row],[FT]]="",,IF(Report[[#This Row],[FT]]=Report[[#This Row],[Score 4]],Suivi_Gain!$G$1*Report[[#This Row],[Cote SE]],-Suivi_Gain!$G$1))</f>
        <v>-1</v>
      </c>
      <c r="AC274" s="64" t="str">
        <f>IF(Report[[#This Row],[Résultats SE]]="Gagné",Report[[#This Row],[FT]],"")</f>
        <v>2-0</v>
      </c>
      <c r="AD274" s="64" t="str">
        <f>IF(AND(Report[[#This Row],[Résultats SE]]="Gagné",Report[[#This Row],[FT]]=Report[[#This Row],[Score 1]]),Report[[#This Row],[FT]],"")</f>
        <v/>
      </c>
      <c r="AE274" s="64" t="str">
        <f>IF(AND(Report[[#This Row],[Résultats SE]]="Gagné",Report[[#This Row],[FT]]=Report[[#This Row],[Score 2]]),Report[[#This Row],[FT]],"")</f>
        <v>2-0</v>
      </c>
      <c r="AF274" s="64" t="str">
        <f>IF(AND(Report[[#This Row],[Résultats SE]]="Gagné",Report[[#This Row],[FT]]=Report[[#This Row],[Score 3]]),Report[[#This Row],[FT]],"")</f>
        <v/>
      </c>
      <c r="AG274" s="64" t="str">
        <f>IF(AND(Report[[#This Row],[Résultats SE]]="Gagné",Report[[#This Row],[FT]]=Report[[#This Row],[Score 4]]),Report[[#This Row],[FT]],"")</f>
        <v/>
      </c>
    </row>
    <row r="275" spans="1:33" ht="20.100000000000001" customHeight="1" x14ac:dyDescent="0.25">
      <c r="A275" s="11">
        <v>43428</v>
      </c>
      <c r="B275" s="7" t="s">
        <v>92</v>
      </c>
      <c r="C275" s="7" t="s">
        <v>126</v>
      </c>
      <c r="D275" s="10" t="s">
        <v>441</v>
      </c>
      <c r="E275" s="10" t="s">
        <v>440</v>
      </c>
      <c r="F275" s="7" t="s">
        <v>876</v>
      </c>
      <c r="G275" s="8" t="s">
        <v>832</v>
      </c>
      <c r="H275" s="9" t="s">
        <v>831</v>
      </c>
      <c r="I275" s="9" t="s">
        <v>859</v>
      </c>
      <c r="J275" s="9" t="s">
        <v>830</v>
      </c>
      <c r="K275" s="9" t="s">
        <v>441</v>
      </c>
      <c r="L275" s="16">
        <v>1.1299999999999999</v>
      </c>
      <c r="M275" s="16">
        <v>6.5</v>
      </c>
      <c r="N275" s="17" t="s">
        <v>832</v>
      </c>
      <c r="O275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Maribor</v>
      </c>
      <c r="P275" s="18">
        <f>IF(Report[[#This Row],[FT]]="",,(LEFT(Report[[#This Row],[FT]],SEARCH("-",Report[[#This Row],[FT]])-1)*1))</f>
        <v>3</v>
      </c>
      <c r="Q275" s="22">
        <f>IF(Report[[#This Row],[FT]]="",,(RIGHT(Report[[#This Row],[FT]],SEARCH("-",Report[[#This Row],[FT]])-1)*1))</f>
        <v>0</v>
      </c>
      <c r="R275" s="18" t="str">
        <f>IF(Report[Résultat FT]="","",IF(Report[Résultat FT]=Report[Résultats],"Gagné","Perdu"))</f>
        <v>Gagné</v>
      </c>
      <c r="S275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275" s="53">
        <f>IF(Report[[#This Row],[FT]]="","",IF(Report[[#This Row],[FT]]=Report[[#This Row],[Score 1]],1,0))</f>
        <v>1</v>
      </c>
      <c r="U275" s="53">
        <f>IF(Report[[#This Row],[FT]]="","",IF(Report[ [#This Row],[FT] ]=Report[[#This Row],[Score 2]],1,0))</f>
        <v>0</v>
      </c>
      <c r="V275" s="53">
        <f>IF(Report[[#This Row],[FT]]="","",IF(Report[[#This Row],[FT]]=Report[[#This Row],[Score 3]],1,0))</f>
        <v>0</v>
      </c>
      <c r="W275" s="53">
        <f>IF(Report[[#This Row],[FT]]="","",IF(Report[[#This Row],[FT]]=Report[[#This Row],[Score 4]],1,0))</f>
        <v>0</v>
      </c>
      <c r="X275" s="66">
        <f>IF(Report[[#This Row],[Résultat FT]]="",,IF(Report[[#This Row],[Résultat FT]]=Report[[#This Row],[Résultats]],(Suivi_Gain!$B$1*Report[[#This Row],[Cote FT]])-Suivi_Gain!$B$1,-Suivi_Gain!$B$1))</f>
        <v>0.12999999999999989</v>
      </c>
      <c r="Y275" s="94">
        <f>IF(Report[[#This Row],[FT]]="",,IF(Report[[#This Row],[FT]]=Report[[#This Row],[Score 1]],(Suivi_Gain!$G$1*Report[[#This Row],[Cote SE]])-Suivi_Gain!$G$1,-Suivi_Gain!$G$1))</f>
        <v>5.5</v>
      </c>
      <c r="Z275" s="65">
        <f>IF(Report[[#This Row],[FT]]="",,IF(Report[[#This Row],[FT]]=Report[[#This Row],[Score 2]],Suivi_Gain!$G$1*Report[[#This Row],[Cote SE]],-Suivi_Gain!$G$1))</f>
        <v>-1</v>
      </c>
      <c r="AA275" s="65">
        <f>IF(Report[[#This Row],[FT]]="",,IF(Report[[#This Row],[FT]]=Report[[#This Row],[Score 3]],Suivi_Gain!$G$1*Report[[#This Row],[Cote SE]],-Suivi_Gain!$G$1))</f>
        <v>-1</v>
      </c>
      <c r="AB275" s="65">
        <f>IF(Report[[#This Row],[FT]]="",,IF(Report[[#This Row],[FT]]=Report[[#This Row],[Score 4]],Suivi_Gain!$G$1*Report[[#This Row],[Cote SE]],-Suivi_Gain!$G$1))</f>
        <v>-1</v>
      </c>
      <c r="AC275" s="64" t="str">
        <f>IF(Report[[#This Row],[Résultats SE]]="Gagné",Report[[#This Row],[FT]],"")</f>
        <v>3-0</v>
      </c>
      <c r="AD275" s="64" t="str">
        <f>IF(AND(Report[[#This Row],[Résultats SE]]="Gagné",Report[[#This Row],[FT]]=Report[[#This Row],[Score 1]]),Report[[#This Row],[FT]],"")</f>
        <v>3-0</v>
      </c>
      <c r="AE275" s="64" t="str">
        <f>IF(AND(Report[[#This Row],[Résultats SE]]="Gagné",Report[[#This Row],[FT]]=Report[[#This Row],[Score 2]]),Report[[#This Row],[FT]],"")</f>
        <v/>
      </c>
      <c r="AF275" s="64" t="str">
        <f>IF(AND(Report[[#This Row],[Résultats SE]]="Gagné",Report[[#This Row],[FT]]=Report[[#This Row],[Score 3]]),Report[[#This Row],[FT]],"")</f>
        <v/>
      </c>
      <c r="AG275" s="64" t="str">
        <f>IF(AND(Report[[#This Row],[Résultats SE]]="Gagné",Report[[#This Row],[FT]]=Report[[#This Row],[Score 4]]),Report[[#This Row],[FT]],"")</f>
        <v/>
      </c>
    </row>
    <row r="276" spans="1:33" ht="20.100000000000001" customHeight="1" x14ac:dyDescent="0.25">
      <c r="A276" s="11">
        <v>43428</v>
      </c>
      <c r="B276" s="7" t="s">
        <v>96</v>
      </c>
      <c r="C276" s="7" t="s">
        <v>127</v>
      </c>
      <c r="D276" s="10" t="s">
        <v>803</v>
      </c>
      <c r="E276" s="10" t="s">
        <v>805</v>
      </c>
      <c r="F276" s="7" t="s">
        <v>843</v>
      </c>
      <c r="G276" s="8" t="s">
        <v>839</v>
      </c>
      <c r="H276" s="9" t="s">
        <v>834</v>
      </c>
      <c r="I276" s="9" t="s">
        <v>827</v>
      </c>
      <c r="J276" s="9" t="s">
        <v>825</v>
      </c>
      <c r="K276" s="9" t="s">
        <v>805</v>
      </c>
      <c r="L276" s="16" t="str">
        <f>IF(Report[Résultat FT]="","",IF(Report[Résultat FT]=Report[Résultats],"","-"))</f>
        <v>-</v>
      </c>
      <c r="M276" s="16" t="str">
        <f>IF(Report[[#This Row],[Résultat FT]]="","",IF(Report[[#This Row],[Résultats SE]]="Gagné","","-"))</f>
        <v>-</v>
      </c>
      <c r="N276" s="17" t="s">
        <v>890</v>
      </c>
      <c r="O276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276" s="18">
        <f>IF(Report[[#This Row],[FT]]="",,(LEFT(Report[[#This Row],[FT]],SEARCH("-",Report[[#This Row],[FT]])-1)*1))</f>
        <v>3</v>
      </c>
      <c r="Q276" s="22">
        <f>IF(Report[[#This Row],[FT]]="",,(RIGHT(Report[[#This Row],[FT]],SEARCH("-",Report[[#This Row],[FT]])-1)*1))</f>
        <v>3</v>
      </c>
      <c r="R276" s="18" t="str">
        <f>IF(Report[Résultat FT]="","",IF(Report[Résultat FT]=Report[Résultats],"Gagné","Perdu"))</f>
        <v>Perdu</v>
      </c>
      <c r="S276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76" s="53">
        <f>IF(Report[[#This Row],[FT]]="","",IF(Report[[#This Row],[FT]]=Report[[#This Row],[Score 1]],1,0))</f>
        <v>0</v>
      </c>
      <c r="U276" s="53">
        <f>IF(Report[[#This Row],[FT]]="","",IF(Report[ [#This Row],[FT] ]=Report[[#This Row],[Score 2]],1,0))</f>
        <v>0</v>
      </c>
      <c r="V276" s="53">
        <f>IF(Report[[#This Row],[FT]]="","",IF(Report[[#This Row],[FT]]=Report[[#This Row],[Score 3]],1,0))</f>
        <v>0</v>
      </c>
      <c r="W276" s="53">
        <f>IF(Report[[#This Row],[FT]]="","",IF(Report[[#This Row],[FT]]=Report[[#This Row],[Score 4]],1,0))</f>
        <v>0</v>
      </c>
      <c r="X276" s="66">
        <f>IF(Report[[#This Row],[Résultat FT]]="",,IF(Report[[#This Row],[Résultat FT]]=Report[[#This Row],[Résultats]],(Suivi_Gain!$B$1*Report[[#This Row],[Cote FT]])-Suivi_Gain!$B$1,-Suivi_Gain!$B$1))</f>
        <v>-1</v>
      </c>
      <c r="Y276" s="94">
        <f>IF(Report[[#This Row],[FT]]="",,IF(Report[[#This Row],[FT]]=Report[[#This Row],[Score 1]],(Suivi_Gain!$G$1*Report[[#This Row],[Cote SE]])-Suivi_Gain!$G$1,-Suivi_Gain!$G$1))</f>
        <v>-1</v>
      </c>
      <c r="Z276" s="65">
        <f>IF(Report[[#This Row],[FT]]="",,IF(Report[[#This Row],[FT]]=Report[[#This Row],[Score 2]],Suivi_Gain!$G$1*Report[[#This Row],[Cote SE]],-Suivi_Gain!$G$1))</f>
        <v>-1</v>
      </c>
      <c r="AA276" s="65">
        <f>IF(Report[[#This Row],[FT]]="",,IF(Report[[#This Row],[FT]]=Report[[#This Row],[Score 3]],Suivi_Gain!$G$1*Report[[#This Row],[Cote SE]],-Suivi_Gain!$G$1))</f>
        <v>-1</v>
      </c>
      <c r="AB276" s="65">
        <f>IF(Report[[#This Row],[FT]]="",,IF(Report[[#This Row],[FT]]=Report[[#This Row],[Score 4]],Suivi_Gain!$G$1*Report[[#This Row],[Cote SE]],-Suivi_Gain!$G$1))</f>
        <v>-1</v>
      </c>
      <c r="AC276" s="64" t="str">
        <f>IF(Report[[#This Row],[Résultats SE]]="Gagné",Report[[#This Row],[FT]],"")</f>
        <v/>
      </c>
      <c r="AD276" s="64" t="str">
        <f>IF(AND(Report[[#This Row],[Résultats SE]]="Gagné",Report[[#This Row],[FT]]=Report[[#This Row],[Score 1]]),Report[[#This Row],[FT]],"")</f>
        <v/>
      </c>
      <c r="AE276" s="64" t="str">
        <f>IF(AND(Report[[#This Row],[Résultats SE]]="Gagné",Report[[#This Row],[FT]]=Report[[#This Row],[Score 2]]),Report[[#This Row],[FT]],"")</f>
        <v/>
      </c>
      <c r="AF276" s="64" t="str">
        <f>IF(AND(Report[[#This Row],[Résultats SE]]="Gagné",Report[[#This Row],[FT]]=Report[[#This Row],[Score 3]]),Report[[#This Row],[FT]],"")</f>
        <v/>
      </c>
      <c r="AG276" s="64" t="str">
        <f>IF(AND(Report[[#This Row],[Résultats SE]]="Gagné",Report[[#This Row],[FT]]=Report[[#This Row],[Score 4]]),Report[[#This Row],[FT]],"")</f>
        <v/>
      </c>
    </row>
    <row r="277" spans="1:33" ht="20.100000000000001" customHeight="1" x14ac:dyDescent="0.25">
      <c r="A277" s="11">
        <v>43428</v>
      </c>
      <c r="B277" s="7" t="s">
        <v>96</v>
      </c>
      <c r="C277" s="7" t="s">
        <v>127</v>
      </c>
      <c r="D277" s="10" t="s">
        <v>804</v>
      </c>
      <c r="E277" s="10" t="s">
        <v>798</v>
      </c>
      <c r="F277" s="7" t="s">
        <v>855</v>
      </c>
      <c r="G277" s="8" t="s">
        <v>856</v>
      </c>
      <c r="H277" s="9" t="s">
        <v>857</v>
      </c>
      <c r="I277" s="9" t="s">
        <v>858</v>
      </c>
      <c r="J277" s="9" t="s">
        <v>859</v>
      </c>
      <c r="K277" s="9" t="s">
        <v>804</v>
      </c>
      <c r="L277" s="16">
        <v>1.29</v>
      </c>
      <c r="M277" s="16" t="str">
        <f>IF(Report[[#This Row],[Résultat FT]]="","",IF(Report[[#This Row],[Résultats SE]]="Gagné","","-"))</f>
        <v>-</v>
      </c>
      <c r="N277" s="17" t="s">
        <v>830</v>
      </c>
      <c r="O277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Young Boys</v>
      </c>
      <c r="P277" s="18">
        <f>IF(Report[[#This Row],[FT]]="",,(LEFT(Report[[#This Row],[FT]],SEARCH("-",Report[[#This Row],[FT]])-1)*1))</f>
        <v>1</v>
      </c>
      <c r="Q277" s="22">
        <f>IF(Report[[#This Row],[FT]]="",,(RIGHT(Report[[#This Row],[FT]],SEARCH("-",Report[[#This Row],[FT]])-1)*1))</f>
        <v>0</v>
      </c>
      <c r="R277" s="18" t="str">
        <f>IF(Report[Résultat FT]="","",IF(Report[Résultat FT]=Report[Résultats],"Gagné","Perdu"))</f>
        <v>Gagné</v>
      </c>
      <c r="S277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77" s="53">
        <f>IF(Report[[#This Row],[FT]]="","",IF(Report[[#This Row],[FT]]=Report[[#This Row],[Score 1]],1,0))</f>
        <v>0</v>
      </c>
      <c r="U277" s="53">
        <f>IF(Report[[#This Row],[FT]]="","",IF(Report[ [#This Row],[FT] ]=Report[[#This Row],[Score 2]],1,0))</f>
        <v>0</v>
      </c>
      <c r="V277" s="53">
        <f>IF(Report[[#This Row],[FT]]="","",IF(Report[[#This Row],[FT]]=Report[[#This Row],[Score 3]],1,0))</f>
        <v>0</v>
      </c>
      <c r="W277" s="53">
        <f>IF(Report[[#This Row],[FT]]="","",IF(Report[[#This Row],[FT]]=Report[[#This Row],[Score 4]],1,0))</f>
        <v>0</v>
      </c>
      <c r="X277" s="66">
        <f>IF(Report[[#This Row],[Résultat FT]]="",,IF(Report[[#This Row],[Résultat FT]]=Report[[#This Row],[Résultats]],(Suivi_Gain!$B$1*Report[[#This Row],[Cote FT]])-Suivi_Gain!$B$1,-Suivi_Gain!$B$1))</f>
        <v>0.29000000000000004</v>
      </c>
      <c r="Y277" s="94">
        <f>IF(Report[[#This Row],[FT]]="",,IF(Report[[#This Row],[FT]]=Report[[#This Row],[Score 1]],(Suivi_Gain!$G$1*Report[[#This Row],[Cote SE]])-Suivi_Gain!$G$1,-Suivi_Gain!$G$1))</f>
        <v>-1</v>
      </c>
      <c r="Z277" s="65">
        <f>IF(Report[[#This Row],[FT]]="",,IF(Report[[#This Row],[FT]]=Report[[#This Row],[Score 2]],Suivi_Gain!$G$1*Report[[#This Row],[Cote SE]],-Suivi_Gain!$G$1))</f>
        <v>-1</v>
      </c>
      <c r="AA277" s="65">
        <f>IF(Report[[#This Row],[FT]]="",,IF(Report[[#This Row],[FT]]=Report[[#This Row],[Score 3]],Suivi_Gain!$G$1*Report[[#This Row],[Cote SE]],-Suivi_Gain!$G$1))</f>
        <v>-1</v>
      </c>
      <c r="AB277" s="65">
        <f>IF(Report[[#This Row],[FT]]="",,IF(Report[[#This Row],[FT]]=Report[[#This Row],[Score 4]],Suivi_Gain!$G$1*Report[[#This Row],[Cote SE]],-Suivi_Gain!$G$1))</f>
        <v>-1</v>
      </c>
      <c r="AC277" s="64" t="str">
        <f>IF(Report[[#This Row],[Résultats SE]]="Gagné",Report[[#This Row],[FT]],"")</f>
        <v/>
      </c>
      <c r="AD277" s="64" t="str">
        <f>IF(AND(Report[[#This Row],[Résultats SE]]="Gagné",Report[[#This Row],[FT]]=Report[[#This Row],[Score 1]]),Report[[#This Row],[FT]],"")</f>
        <v/>
      </c>
      <c r="AE277" s="64" t="str">
        <f>IF(AND(Report[[#This Row],[Résultats SE]]="Gagné",Report[[#This Row],[FT]]=Report[[#This Row],[Score 2]]),Report[[#This Row],[FT]],"")</f>
        <v/>
      </c>
      <c r="AF277" s="64" t="str">
        <f>IF(AND(Report[[#This Row],[Résultats SE]]="Gagné",Report[[#This Row],[FT]]=Report[[#This Row],[Score 3]]),Report[[#This Row],[FT]],"")</f>
        <v/>
      </c>
      <c r="AG277" s="64" t="str">
        <f>IF(AND(Report[[#This Row],[Résultats SE]]="Gagné",Report[[#This Row],[FT]]=Report[[#This Row],[Score 4]]),Report[[#This Row],[FT]],"")</f>
        <v/>
      </c>
    </row>
    <row r="278" spans="1:33" ht="20.100000000000001" customHeight="1" x14ac:dyDescent="0.25">
      <c r="A278" s="11">
        <v>43428</v>
      </c>
      <c r="B278" s="7" t="s">
        <v>74</v>
      </c>
      <c r="C278" s="7" t="s">
        <v>128</v>
      </c>
      <c r="D278" s="10" t="s">
        <v>813</v>
      </c>
      <c r="E278" s="10" t="s">
        <v>807</v>
      </c>
      <c r="F278" s="7" t="s">
        <v>844</v>
      </c>
      <c r="G278" s="8" t="s">
        <v>826</v>
      </c>
      <c r="H278" s="9" t="s">
        <v>845</v>
      </c>
      <c r="I278" s="9" t="s">
        <v>846</v>
      </c>
      <c r="J278" s="9" t="s">
        <v>847</v>
      </c>
      <c r="K278" s="9" t="s">
        <v>233</v>
      </c>
      <c r="L278" s="16" t="str">
        <f>IF(Report[Résultat FT]="","",IF(Report[Résultat FT]=Report[Résultats],"","-"))</f>
        <v>-</v>
      </c>
      <c r="M278" s="16" t="str">
        <f>IF(Report[[#This Row],[Résultat FT]]="","",IF(Report[[#This Row],[Résultats SE]]="Gagné","","-"))</f>
        <v>-</v>
      </c>
      <c r="N278" s="17" t="s">
        <v>830</v>
      </c>
      <c r="O278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Erzurum BB</v>
      </c>
      <c r="P278" s="18">
        <f>IF(Report[[#This Row],[FT]]="",,(LEFT(Report[[#This Row],[FT]],SEARCH("-",Report[[#This Row],[FT]])-1)*1))</f>
        <v>1</v>
      </c>
      <c r="Q278" s="22">
        <f>IF(Report[[#This Row],[FT]]="",,(RIGHT(Report[[#This Row],[FT]],SEARCH("-",Report[[#This Row],[FT]])-1)*1))</f>
        <v>0</v>
      </c>
      <c r="R278" s="18" t="str">
        <f>IF(Report[Résultat FT]="","",IF(Report[Résultat FT]=Report[Résultats],"Gagné","Perdu"))</f>
        <v>Perdu</v>
      </c>
      <c r="S278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78" s="53">
        <f>IF(Report[[#This Row],[FT]]="","",IF(Report[[#This Row],[FT]]=Report[[#This Row],[Score 1]],1,0))</f>
        <v>0</v>
      </c>
      <c r="U278" s="53">
        <f>IF(Report[[#This Row],[FT]]="","",IF(Report[ [#This Row],[FT] ]=Report[[#This Row],[Score 2]],1,0))</f>
        <v>0</v>
      </c>
      <c r="V278" s="53">
        <f>IF(Report[[#This Row],[FT]]="","",IF(Report[[#This Row],[FT]]=Report[[#This Row],[Score 3]],1,0))</f>
        <v>0</v>
      </c>
      <c r="W278" s="53">
        <f>IF(Report[[#This Row],[FT]]="","",IF(Report[[#This Row],[FT]]=Report[[#This Row],[Score 4]],1,0))</f>
        <v>0</v>
      </c>
      <c r="X278" s="66">
        <f>IF(Report[[#This Row],[Résultat FT]]="",,IF(Report[[#This Row],[Résultat FT]]=Report[[#This Row],[Résultats]],(Suivi_Gain!$B$1*Report[[#This Row],[Cote FT]])-Suivi_Gain!$B$1,-Suivi_Gain!$B$1))</f>
        <v>-1</v>
      </c>
      <c r="Y278" s="94">
        <f>IF(Report[[#This Row],[FT]]="",,IF(Report[[#This Row],[FT]]=Report[[#This Row],[Score 1]],(Suivi_Gain!$G$1*Report[[#This Row],[Cote SE]])-Suivi_Gain!$G$1,-Suivi_Gain!$G$1))</f>
        <v>-1</v>
      </c>
      <c r="Z278" s="65">
        <f>IF(Report[[#This Row],[FT]]="",,IF(Report[[#This Row],[FT]]=Report[[#This Row],[Score 2]],Suivi_Gain!$G$1*Report[[#This Row],[Cote SE]],-Suivi_Gain!$G$1))</f>
        <v>-1</v>
      </c>
      <c r="AA278" s="65">
        <f>IF(Report[[#This Row],[FT]]="",,IF(Report[[#This Row],[FT]]=Report[[#This Row],[Score 3]],Suivi_Gain!$G$1*Report[[#This Row],[Cote SE]],-Suivi_Gain!$G$1))</f>
        <v>-1</v>
      </c>
      <c r="AB278" s="65">
        <f>IF(Report[[#This Row],[FT]]="",,IF(Report[[#This Row],[FT]]=Report[[#This Row],[Score 4]],Suivi_Gain!$G$1*Report[[#This Row],[Cote SE]],-Suivi_Gain!$G$1))</f>
        <v>-1</v>
      </c>
      <c r="AC278" s="64" t="str">
        <f>IF(Report[[#This Row],[Résultats SE]]="Gagné",Report[[#This Row],[FT]],"")</f>
        <v/>
      </c>
      <c r="AD278" s="64" t="str">
        <f>IF(AND(Report[[#This Row],[Résultats SE]]="Gagné",Report[[#This Row],[FT]]=Report[[#This Row],[Score 1]]),Report[[#This Row],[FT]],"")</f>
        <v/>
      </c>
      <c r="AE278" s="64" t="str">
        <f>IF(AND(Report[[#This Row],[Résultats SE]]="Gagné",Report[[#This Row],[FT]]=Report[[#This Row],[Score 2]]),Report[[#This Row],[FT]],"")</f>
        <v/>
      </c>
      <c r="AF278" s="64" t="str">
        <f>IF(AND(Report[[#This Row],[Résultats SE]]="Gagné",Report[[#This Row],[FT]]=Report[[#This Row],[Score 3]]),Report[[#This Row],[FT]],"")</f>
        <v/>
      </c>
      <c r="AG278" s="64" t="str">
        <f>IF(AND(Report[[#This Row],[Résultats SE]]="Gagné",Report[[#This Row],[FT]]=Report[[#This Row],[Score 4]]),Report[[#This Row],[FT]],"")</f>
        <v/>
      </c>
    </row>
    <row r="279" spans="1:33" ht="20.100000000000001" customHeight="1" x14ac:dyDescent="0.25">
      <c r="A279" s="11">
        <v>43428</v>
      </c>
      <c r="B279" s="7" t="s">
        <v>74</v>
      </c>
      <c r="C279" s="7" t="s">
        <v>128</v>
      </c>
      <c r="D279" s="10" t="s">
        <v>807</v>
      </c>
      <c r="E279" s="10" t="s">
        <v>818</v>
      </c>
      <c r="F279" s="7" t="s">
        <v>824</v>
      </c>
      <c r="G279" s="8" t="s">
        <v>825</v>
      </c>
      <c r="H279" s="9" t="s">
        <v>826</v>
      </c>
      <c r="I279" s="9" t="s">
        <v>827</v>
      </c>
      <c r="J279" s="9" t="s">
        <v>828</v>
      </c>
      <c r="K279" s="9" t="s">
        <v>818</v>
      </c>
      <c r="L279" s="16" t="str">
        <f>IF(Report[Résultat FT]="","",IF(Report[Résultat FT]=Report[Résultats],"","-"))</f>
        <v>-</v>
      </c>
      <c r="M279" s="16" t="str">
        <f>IF(Report[[#This Row],[Résultat FT]]="","",IF(Report[[#This Row],[Résultats SE]]="Gagné","","-"))</f>
        <v>-</v>
      </c>
      <c r="N279" s="17" t="s">
        <v>857</v>
      </c>
      <c r="O279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Alanyaspor</v>
      </c>
      <c r="P279" s="18">
        <f>IF(Report[[#This Row],[FT]]="",,(LEFT(Report[[#This Row],[FT]],SEARCH("-",Report[[#This Row],[FT]])-1)*1))</f>
        <v>5</v>
      </c>
      <c r="Q279" s="22">
        <f>IF(Report[[#This Row],[FT]]="",,(RIGHT(Report[[#This Row],[FT]],SEARCH("-",Report[[#This Row],[FT]])-1)*1))</f>
        <v>0</v>
      </c>
      <c r="R279" s="18" t="str">
        <f>IF(Report[Résultat FT]="","",IF(Report[Résultat FT]=Report[Résultats],"Gagné","Perdu"))</f>
        <v>Perdu</v>
      </c>
      <c r="S279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79" s="53">
        <f>IF(Report[[#This Row],[FT]]="","",IF(Report[[#This Row],[FT]]=Report[[#This Row],[Score 1]],1,0))</f>
        <v>0</v>
      </c>
      <c r="U279" s="53">
        <f>IF(Report[[#This Row],[FT]]="","",IF(Report[ [#This Row],[FT] ]=Report[[#This Row],[Score 2]],1,0))</f>
        <v>0</v>
      </c>
      <c r="V279" s="53">
        <f>IF(Report[[#This Row],[FT]]="","",IF(Report[[#This Row],[FT]]=Report[[#This Row],[Score 3]],1,0))</f>
        <v>0</v>
      </c>
      <c r="W279" s="53">
        <f>IF(Report[[#This Row],[FT]]="","",IF(Report[[#This Row],[FT]]=Report[[#This Row],[Score 4]],1,0))</f>
        <v>0</v>
      </c>
      <c r="X279" s="66">
        <f>IF(Report[[#This Row],[Résultat FT]]="",,IF(Report[[#This Row],[Résultat FT]]=Report[[#This Row],[Résultats]],(Suivi_Gain!$B$1*Report[[#This Row],[Cote FT]])-Suivi_Gain!$B$1,-Suivi_Gain!$B$1))</f>
        <v>-1</v>
      </c>
      <c r="Y279" s="94">
        <f>IF(Report[[#This Row],[FT]]="",,IF(Report[[#This Row],[FT]]=Report[[#This Row],[Score 1]],(Suivi_Gain!$G$1*Report[[#This Row],[Cote SE]])-Suivi_Gain!$G$1,-Suivi_Gain!$G$1))</f>
        <v>-1</v>
      </c>
      <c r="Z279" s="65">
        <f>IF(Report[[#This Row],[FT]]="",,IF(Report[[#This Row],[FT]]=Report[[#This Row],[Score 2]],Suivi_Gain!$G$1*Report[[#This Row],[Cote SE]],-Suivi_Gain!$G$1))</f>
        <v>-1</v>
      </c>
      <c r="AA279" s="65">
        <f>IF(Report[[#This Row],[FT]]="",,IF(Report[[#This Row],[FT]]=Report[[#This Row],[Score 3]],Suivi_Gain!$G$1*Report[[#This Row],[Cote SE]],-Suivi_Gain!$G$1))</f>
        <v>-1</v>
      </c>
      <c r="AB279" s="65">
        <f>IF(Report[[#This Row],[FT]]="",,IF(Report[[#This Row],[FT]]=Report[[#This Row],[Score 4]],Suivi_Gain!$G$1*Report[[#This Row],[Cote SE]],-Suivi_Gain!$G$1))</f>
        <v>-1</v>
      </c>
      <c r="AC279" s="64" t="str">
        <f>IF(Report[[#This Row],[Résultats SE]]="Gagné",Report[[#This Row],[FT]],"")</f>
        <v/>
      </c>
      <c r="AD279" s="64" t="str">
        <f>IF(AND(Report[[#This Row],[Résultats SE]]="Gagné",Report[[#This Row],[FT]]=Report[[#This Row],[Score 1]]),Report[[#This Row],[FT]],"")</f>
        <v/>
      </c>
      <c r="AE279" s="64" t="str">
        <f>IF(AND(Report[[#This Row],[Résultats SE]]="Gagné",Report[[#This Row],[FT]]=Report[[#This Row],[Score 2]]),Report[[#This Row],[FT]],"")</f>
        <v/>
      </c>
      <c r="AF279" s="64" t="str">
        <f>IF(AND(Report[[#This Row],[Résultats SE]]="Gagné",Report[[#This Row],[FT]]=Report[[#This Row],[Score 3]]),Report[[#This Row],[FT]],"")</f>
        <v/>
      </c>
      <c r="AG279" s="64" t="str">
        <f>IF(AND(Report[[#This Row],[Résultats SE]]="Gagné",Report[[#This Row],[FT]]=Report[[#This Row],[Score 4]]),Report[[#This Row],[FT]],"")</f>
        <v/>
      </c>
    </row>
    <row r="280" spans="1:33" ht="20.100000000000001" customHeight="1" x14ac:dyDescent="0.25">
      <c r="A280" s="11">
        <v>43428</v>
      </c>
      <c r="B280" s="7" t="s">
        <v>74</v>
      </c>
      <c r="C280" s="7" t="s">
        <v>128</v>
      </c>
      <c r="D280" s="10" t="s">
        <v>808</v>
      </c>
      <c r="E280" s="10" t="s">
        <v>811</v>
      </c>
      <c r="F280" s="7" t="s">
        <v>833</v>
      </c>
      <c r="G280" s="8" t="s">
        <v>834</v>
      </c>
      <c r="H280" s="9" t="s">
        <v>830</v>
      </c>
      <c r="I280" s="9" t="s">
        <v>825</v>
      </c>
      <c r="J280" s="9" t="s">
        <v>826</v>
      </c>
      <c r="K280" s="9" t="s">
        <v>233</v>
      </c>
      <c r="L280" s="16" t="str">
        <f>IF(Report[Résultat FT]="","",IF(Report[Résultat FT]=Report[Résultats],"","-"))</f>
        <v>-</v>
      </c>
      <c r="M280" s="16" t="str">
        <f>IF(Report[[#This Row],[Résultat FT]]="","",IF(Report[[#This Row],[Résultats SE]]="Gagné","","-"))</f>
        <v>-</v>
      </c>
      <c r="N280" s="17" t="s">
        <v>852</v>
      </c>
      <c r="O280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Besiktas</v>
      </c>
      <c r="P280" s="18">
        <f>IF(Report[[#This Row],[FT]]="",,(LEFT(Report[[#This Row],[FT]],SEARCH("-",Report[[#This Row],[FT]])-1)*1))</f>
        <v>1</v>
      </c>
      <c r="Q280" s="22">
        <f>IF(Report[[#This Row],[FT]]="",,(RIGHT(Report[[#This Row],[FT]],SEARCH("-",Report[[#This Row],[FT]])-1)*1))</f>
        <v>4</v>
      </c>
      <c r="R280" s="18" t="str">
        <f>IF(Report[Résultat FT]="","",IF(Report[Résultat FT]=Report[Résultats],"Gagné","Perdu"))</f>
        <v>Perdu</v>
      </c>
      <c r="S280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80" s="53">
        <f>IF(Report[[#This Row],[FT]]="","",IF(Report[[#This Row],[FT]]=Report[[#This Row],[Score 1]],1,0))</f>
        <v>0</v>
      </c>
      <c r="U280" s="53">
        <f>IF(Report[[#This Row],[FT]]="","",IF(Report[ [#This Row],[FT] ]=Report[[#This Row],[Score 2]],1,0))</f>
        <v>0</v>
      </c>
      <c r="V280" s="53">
        <f>IF(Report[[#This Row],[FT]]="","",IF(Report[[#This Row],[FT]]=Report[[#This Row],[Score 3]],1,0))</f>
        <v>0</v>
      </c>
      <c r="W280" s="53">
        <f>IF(Report[[#This Row],[FT]]="","",IF(Report[[#This Row],[FT]]=Report[[#This Row],[Score 4]],1,0))</f>
        <v>0</v>
      </c>
      <c r="X280" s="66">
        <f>IF(Report[[#This Row],[Résultat FT]]="",,IF(Report[[#This Row],[Résultat FT]]=Report[[#This Row],[Résultats]],(Suivi_Gain!$B$1*Report[[#This Row],[Cote FT]])-Suivi_Gain!$B$1,-Suivi_Gain!$B$1))</f>
        <v>-1</v>
      </c>
      <c r="Y280" s="94">
        <f>IF(Report[[#This Row],[FT]]="",,IF(Report[[#This Row],[FT]]=Report[[#This Row],[Score 1]],(Suivi_Gain!$G$1*Report[[#This Row],[Cote SE]])-Suivi_Gain!$G$1,-Suivi_Gain!$G$1))</f>
        <v>-1</v>
      </c>
      <c r="Z280" s="65">
        <f>IF(Report[[#This Row],[FT]]="",,IF(Report[[#This Row],[FT]]=Report[[#This Row],[Score 2]],Suivi_Gain!$G$1*Report[[#This Row],[Cote SE]],-Suivi_Gain!$G$1))</f>
        <v>-1</v>
      </c>
      <c r="AA280" s="65">
        <f>IF(Report[[#This Row],[FT]]="",,IF(Report[[#This Row],[FT]]=Report[[#This Row],[Score 3]],Suivi_Gain!$G$1*Report[[#This Row],[Cote SE]],-Suivi_Gain!$G$1))</f>
        <v>-1</v>
      </c>
      <c r="AB280" s="65">
        <f>IF(Report[[#This Row],[FT]]="",,IF(Report[[#This Row],[FT]]=Report[[#This Row],[Score 4]],Suivi_Gain!$G$1*Report[[#This Row],[Cote SE]],-Suivi_Gain!$G$1))</f>
        <v>-1</v>
      </c>
      <c r="AC280" s="64" t="str">
        <f>IF(Report[[#This Row],[Résultats SE]]="Gagné",Report[[#This Row],[FT]],"")</f>
        <v/>
      </c>
      <c r="AD280" s="64" t="str">
        <f>IF(AND(Report[[#This Row],[Résultats SE]]="Gagné",Report[[#This Row],[FT]]=Report[[#This Row],[Score 1]]),Report[[#This Row],[FT]],"")</f>
        <v/>
      </c>
      <c r="AE280" s="64" t="str">
        <f>IF(AND(Report[[#This Row],[Résultats SE]]="Gagné",Report[[#This Row],[FT]]=Report[[#This Row],[Score 2]]),Report[[#This Row],[FT]],"")</f>
        <v/>
      </c>
      <c r="AF280" s="64" t="str">
        <f>IF(AND(Report[[#This Row],[Résultats SE]]="Gagné",Report[[#This Row],[FT]]=Report[[#This Row],[Score 3]]),Report[[#This Row],[FT]],"")</f>
        <v/>
      </c>
      <c r="AG280" s="64" t="str">
        <f>IF(AND(Report[[#This Row],[Résultats SE]]="Gagné",Report[[#This Row],[FT]]=Report[[#This Row],[Score 4]]),Report[[#This Row],[FT]],"")</f>
        <v/>
      </c>
    </row>
    <row r="281" spans="1:33" ht="20.100000000000001" customHeight="1" x14ac:dyDescent="0.25">
      <c r="A281" s="11">
        <v>43428</v>
      </c>
      <c r="B281" s="7" t="s">
        <v>97</v>
      </c>
      <c r="C281" s="7" t="s">
        <v>129</v>
      </c>
      <c r="D281" s="10" t="s">
        <v>289</v>
      </c>
      <c r="E281" s="10" t="s">
        <v>287</v>
      </c>
      <c r="F281" s="7" t="s">
        <v>833</v>
      </c>
      <c r="G281" s="8" t="s">
        <v>834</v>
      </c>
      <c r="H281" s="9" t="s">
        <v>830</v>
      </c>
      <c r="I281" s="9" t="s">
        <v>825</v>
      </c>
      <c r="J281" s="9" t="s">
        <v>826</v>
      </c>
      <c r="K281" s="9" t="s">
        <v>233</v>
      </c>
      <c r="L281" s="16" t="str">
        <f>IF(Report[Résultat FT]="","",IF(Report[Résultat FT]=Report[Résultats],"","-"))</f>
        <v>-</v>
      </c>
      <c r="M281" s="16" t="str">
        <f>IF(Report[[#This Row],[Résultat FT]]="","",IF(Report[[#This Row],[Résultats SE]]="Gagné","","-"))</f>
        <v>-</v>
      </c>
      <c r="N281" s="17" t="s">
        <v>827</v>
      </c>
      <c r="O281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Desna</v>
      </c>
      <c r="P281" s="18">
        <f>IF(Report[[#This Row],[FT]]="",,(LEFT(Report[[#This Row],[FT]],SEARCH("-",Report[[#This Row],[FT]])-1)*1))</f>
        <v>0</v>
      </c>
      <c r="Q281" s="22">
        <f>IF(Report[[#This Row],[FT]]="",,(RIGHT(Report[[#This Row],[FT]],SEARCH("-",Report[[#This Row],[FT]])-1)*1))</f>
        <v>2</v>
      </c>
      <c r="R281" s="18" t="str">
        <f>IF(Report[Résultat FT]="","",IF(Report[Résultat FT]=Report[Résultats],"Gagné","Perdu"))</f>
        <v>Perdu</v>
      </c>
      <c r="S281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81" s="53">
        <f>IF(Report[[#This Row],[FT]]="","",IF(Report[[#This Row],[FT]]=Report[[#This Row],[Score 1]],1,0))</f>
        <v>0</v>
      </c>
      <c r="U281" s="53">
        <f>IF(Report[[#This Row],[FT]]="","",IF(Report[ [#This Row],[FT] ]=Report[[#This Row],[Score 2]],1,0))</f>
        <v>0</v>
      </c>
      <c r="V281" s="53">
        <f>IF(Report[[#This Row],[FT]]="","",IF(Report[[#This Row],[FT]]=Report[[#This Row],[Score 3]],1,0))</f>
        <v>0</v>
      </c>
      <c r="W281" s="53">
        <f>IF(Report[[#This Row],[FT]]="","",IF(Report[[#This Row],[FT]]=Report[[#This Row],[Score 4]],1,0))</f>
        <v>0</v>
      </c>
      <c r="X281" s="66">
        <f>IF(Report[[#This Row],[Résultat FT]]="",,IF(Report[[#This Row],[Résultat FT]]=Report[[#This Row],[Résultats]],(Suivi_Gain!$B$1*Report[[#This Row],[Cote FT]])-Suivi_Gain!$B$1,-Suivi_Gain!$B$1))</f>
        <v>-1</v>
      </c>
      <c r="Y281" s="94">
        <f>IF(Report[[#This Row],[FT]]="",,IF(Report[[#This Row],[FT]]=Report[[#This Row],[Score 1]],(Suivi_Gain!$G$1*Report[[#This Row],[Cote SE]])-Suivi_Gain!$G$1,-Suivi_Gain!$G$1))</f>
        <v>-1</v>
      </c>
      <c r="Z281" s="65">
        <f>IF(Report[[#This Row],[FT]]="",,IF(Report[[#This Row],[FT]]=Report[[#This Row],[Score 2]],Suivi_Gain!$G$1*Report[[#This Row],[Cote SE]],-Suivi_Gain!$G$1))</f>
        <v>-1</v>
      </c>
      <c r="AA281" s="65">
        <f>IF(Report[[#This Row],[FT]]="",,IF(Report[[#This Row],[FT]]=Report[[#This Row],[Score 3]],Suivi_Gain!$G$1*Report[[#This Row],[Cote SE]],-Suivi_Gain!$G$1))</f>
        <v>-1</v>
      </c>
      <c r="AB281" s="65">
        <f>IF(Report[[#This Row],[FT]]="",,IF(Report[[#This Row],[FT]]=Report[[#This Row],[Score 4]],Suivi_Gain!$G$1*Report[[#This Row],[Cote SE]],-Suivi_Gain!$G$1))</f>
        <v>-1</v>
      </c>
      <c r="AC281" s="64" t="str">
        <f>IF(Report[[#This Row],[Résultats SE]]="Gagné",Report[[#This Row],[FT]],"")</f>
        <v/>
      </c>
      <c r="AD281" s="64" t="str">
        <f>IF(AND(Report[[#This Row],[Résultats SE]]="Gagné",Report[[#This Row],[FT]]=Report[[#This Row],[Score 1]]),Report[[#This Row],[FT]],"")</f>
        <v/>
      </c>
      <c r="AE281" s="64" t="str">
        <f>IF(AND(Report[[#This Row],[Résultats SE]]="Gagné",Report[[#This Row],[FT]]=Report[[#This Row],[Score 2]]),Report[[#This Row],[FT]],"")</f>
        <v/>
      </c>
      <c r="AF281" s="64" t="str">
        <f>IF(AND(Report[[#This Row],[Résultats SE]]="Gagné",Report[[#This Row],[FT]]=Report[[#This Row],[Score 3]]),Report[[#This Row],[FT]],"")</f>
        <v/>
      </c>
      <c r="AG281" s="64" t="str">
        <f>IF(AND(Report[[#This Row],[Résultats SE]]="Gagné",Report[[#This Row],[FT]]=Report[[#This Row],[Score 4]]),Report[[#This Row],[FT]],"")</f>
        <v/>
      </c>
    </row>
    <row r="282" spans="1:33" ht="20.100000000000001" customHeight="1" x14ac:dyDescent="0.25">
      <c r="A282" s="11">
        <v>43428</v>
      </c>
      <c r="B282" s="7" t="s">
        <v>97</v>
      </c>
      <c r="C282" s="7" t="s">
        <v>129</v>
      </c>
      <c r="D282" s="10" t="s">
        <v>291</v>
      </c>
      <c r="E282" s="10" t="s">
        <v>295</v>
      </c>
      <c r="F282" s="7" t="s">
        <v>833</v>
      </c>
      <c r="G282" s="8" t="s">
        <v>834</v>
      </c>
      <c r="H282" s="9" t="s">
        <v>830</v>
      </c>
      <c r="I282" s="9" t="s">
        <v>825</v>
      </c>
      <c r="J282" s="9" t="s">
        <v>826</v>
      </c>
      <c r="K282" s="9" t="s">
        <v>233</v>
      </c>
      <c r="L282" s="16" t="str">
        <f>IF(Report[Résultat FT]="","",IF(Report[Résultat FT]=Report[Résultats],"","-"))</f>
        <v>-</v>
      </c>
      <c r="M282" s="16">
        <v>7.5</v>
      </c>
      <c r="N282" s="17" t="s">
        <v>830</v>
      </c>
      <c r="O282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Mariupol</v>
      </c>
      <c r="P282" s="18">
        <f>IF(Report[[#This Row],[FT]]="",,(LEFT(Report[[#This Row],[FT]],SEARCH("-",Report[[#This Row],[FT]])-1)*1))</f>
        <v>1</v>
      </c>
      <c r="Q282" s="22">
        <f>IF(Report[[#This Row],[FT]]="",,(RIGHT(Report[[#This Row],[FT]],SEARCH("-",Report[[#This Row],[FT]])-1)*1))</f>
        <v>0</v>
      </c>
      <c r="R282" s="18" t="str">
        <f>IF(Report[Résultat FT]="","",IF(Report[Résultat FT]=Report[Résultats],"Gagné","Perdu"))</f>
        <v>Perdu</v>
      </c>
      <c r="S282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282" s="53">
        <f>IF(Report[[#This Row],[FT]]="","",IF(Report[[#This Row],[FT]]=Report[[#This Row],[Score 1]],1,0))</f>
        <v>0</v>
      </c>
      <c r="U282" s="53">
        <f>IF(Report[[#This Row],[FT]]="","",IF(Report[ [#This Row],[FT] ]=Report[[#This Row],[Score 2]],1,0))</f>
        <v>1</v>
      </c>
      <c r="V282" s="53">
        <f>IF(Report[[#This Row],[FT]]="","",IF(Report[[#This Row],[FT]]=Report[[#This Row],[Score 3]],1,0))</f>
        <v>0</v>
      </c>
      <c r="W282" s="53">
        <f>IF(Report[[#This Row],[FT]]="","",IF(Report[[#This Row],[FT]]=Report[[#This Row],[Score 4]],1,0))</f>
        <v>0</v>
      </c>
      <c r="X282" s="66">
        <f>IF(Report[[#This Row],[Résultat FT]]="",,IF(Report[[#This Row],[Résultat FT]]=Report[[#This Row],[Résultats]],(Suivi_Gain!$B$1*Report[[#This Row],[Cote FT]])-Suivi_Gain!$B$1,-Suivi_Gain!$B$1))</f>
        <v>-1</v>
      </c>
      <c r="Y282" s="94">
        <f>IF(Report[[#This Row],[FT]]="",,IF(Report[[#This Row],[FT]]=Report[[#This Row],[Score 1]],(Suivi_Gain!$G$1*Report[[#This Row],[Cote SE]])-Suivi_Gain!$G$1,-Suivi_Gain!$G$1))</f>
        <v>-1</v>
      </c>
      <c r="Z282" s="65">
        <f>IF(Report[[#This Row],[FT]]="",,IF(Report[[#This Row],[FT]]=Report[[#This Row],[Score 2]],Suivi_Gain!$G$1*Report[[#This Row],[Cote SE]],-Suivi_Gain!$G$1))</f>
        <v>7.5</v>
      </c>
      <c r="AA282" s="65">
        <f>IF(Report[[#This Row],[FT]]="",,IF(Report[[#This Row],[FT]]=Report[[#This Row],[Score 3]],Suivi_Gain!$G$1*Report[[#This Row],[Cote SE]],-Suivi_Gain!$G$1))</f>
        <v>-1</v>
      </c>
      <c r="AB282" s="65">
        <f>IF(Report[[#This Row],[FT]]="",,IF(Report[[#This Row],[FT]]=Report[[#This Row],[Score 4]],Suivi_Gain!$G$1*Report[[#This Row],[Cote SE]],-Suivi_Gain!$G$1))</f>
        <v>-1</v>
      </c>
      <c r="AC282" s="64" t="str">
        <f>IF(Report[[#This Row],[Résultats SE]]="Gagné",Report[[#This Row],[FT]],"")</f>
        <v>1-0</v>
      </c>
      <c r="AD282" s="64" t="str">
        <f>IF(AND(Report[[#This Row],[Résultats SE]]="Gagné",Report[[#This Row],[FT]]=Report[[#This Row],[Score 1]]),Report[[#This Row],[FT]],"")</f>
        <v/>
      </c>
      <c r="AE282" s="64" t="str">
        <f>IF(AND(Report[[#This Row],[Résultats SE]]="Gagné",Report[[#This Row],[FT]]=Report[[#This Row],[Score 2]]),Report[[#This Row],[FT]],"")</f>
        <v>1-0</v>
      </c>
      <c r="AF282" s="64" t="str">
        <f>IF(AND(Report[[#This Row],[Résultats SE]]="Gagné",Report[[#This Row],[FT]]=Report[[#This Row],[Score 3]]),Report[[#This Row],[FT]],"")</f>
        <v/>
      </c>
      <c r="AG282" s="64" t="str">
        <f>IF(AND(Report[[#This Row],[Résultats SE]]="Gagné",Report[[#This Row],[FT]]=Report[[#This Row],[Score 4]]),Report[[#This Row],[FT]],"")</f>
        <v/>
      </c>
    </row>
    <row r="283" spans="1:33" ht="20.100000000000001" customHeight="1" x14ac:dyDescent="0.25">
      <c r="A283" s="11">
        <v>43427</v>
      </c>
      <c r="B283" s="7" t="s">
        <v>65</v>
      </c>
      <c r="C283" s="7" t="s">
        <v>98</v>
      </c>
      <c r="D283" s="10" t="s">
        <v>149</v>
      </c>
      <c r="E283" s="10" t="s">
        <v>155</v>
      </c>
      <c r="F283" s="7" t="s">
        <v>842</v>
      </c>
      <c r="G283" s="8" t="s">
        <v>838</v>
      </c>
      <c r="H283" s="9" t="s">
        <v>831</v>
      </c>
      <c r="I283" s="9" t="s">
        <v>834</v>
      </c>
      <c r="J283" s="9" t="s">
        <v>830</v>
      </c>
      <c r="K283" s="9" t="s">
        <v>149</v>
      </c>
      <c r="L283" s="16">
        <v>1.4</v>
      </c>
      <c r="M283" s="16">
        <v>7</v>
      </c>
      <c r="N283" s="17" t="s">
        <v>831</v>
      </c>
      <c r="O283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Leverkusen</v>
      </c>
      <c r="P283" s="18">
        <f>IF(Report[[#This Row],[FT]]="",,(LEFT(Report[[#This Row],[FT]],SEARCH("-",Report[[#This Row],[FT]])-1)*1))</f>
        <v>2</v>
      </c>
      <c r="Q283" s="22">
        <f>IF(Report[[#This Row],[FT]]="",,(RIGHT(Report[[#This Row],[FT]],SEARCH("-",Report[[#This Row],[FT]])-1)*1))</f>
        <v>0</v>
      </c>
      <c r="R283" s="18" t="str">
        <f>IF(Report[Résultat FT]="","",IF(Report[Résultat FT]=Report[Résultats],"Gagné","Perdu"))</f>
        <v>Gagné</v>
      </c>
      <c r="S283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283" s="53">
        <f>IF(Report[[#This Row],[FT]]="","",IF(Report[[#This Row],[FT]]=Report[[#This Row],[Score 1]],1,0))</f>
        <v>0</v>
      </c>
      <c r="U283" s="53">
        <f>IF(Report[[#This Row],[FT]]="","",IF(Report[ [#This Row],[FT] ]=Report[[#This Row],[Score 2]],1,0))</f>
        <v>1</v>
      </c>
      <c r="V283" s="53">
        <f>IF(Report[[#This Row],[FT]]="","",IF(Report[[#This Row],[FT]]=Report[[#This Row],[Score 3]],1,0))</f>
        <v>0</v>
      </c>
      <c r="W283" s="53">
        <f>IF(Report[[#This Row],[FT]]="","",IF(Report[[#This Row],[FT]]=Report[[#This Row],[Score 4]],1,0))</f>
        <v>0</v>
      </c>
      <c r="X283" s="66">
        <f>IF(Report[[#This Row],[Résultat FT]]="",,IF(Report[[#This Row],[Résultat FT]]=Report[[#This Row],[Résultats]],(Suivi_Gain!$B$1*Report[[#This Row],[Cote FT]])-Suivi_Gain!$B$1,-Suivi_Gain!$B$1))</f>
        <v>0.39999999999999991</v>
      </c>
      <c r="Y283" s="94">
        <f>IF(Report[[#This Row],[FT]]="",,IF(Report[[#This Row],[FT]]=Report[[#This Row],[Score 1]],(Suivi_Gain!$G$1*Report[[#This Row],[Cote SE]])-Suivi_Gain!$G$1,-Suivi_Gain!$G$1))</f>
        <v>-1</v>
      </c>
      <c r="Z283" s="65">
        <f>IF(Report[[#This Row],[FT]]="",,IF(Report[[#This Row],[FT]]=Report[[#This Row],[Score 2]],Suivi_Gain!$G$1*Report[[#This Row],[Cote SE]],-Suivi_Gain!$G$1))</f>
        <v>7</v>
      </c>
      <c r="AA283" s="65">
        <f>IF(Report[[#This Row],[FT]]="",,IF(Report[[#This Row],[FT]]=Report[[#This Row],[Score 3]],Suivi_Gain!$G$1*Report[[#This Row],[Cote SE]],-Suivi_Gain!$G$1))</f>
        <v>-1</v>
      </c>
      <c r="AB283" s="65">
        <f>IF(Report[[#This Row],[FT]]="",,IF(Report[[#This Row],[FT]]=Report[[#This Row],[Score 4]],Suivi_Gain!$G$1*Report[[#This Row],[Cote SE]],-Suivi_Gain!$G$1))</f>
        <v>-1</v>
      </c>
      <c r="AC283" s="64" t="str">
        <f>IF(Report[[#This Row],[Résultats SE]]="Gagné",Report[[#This Row],[FT]],"")</f>
        <v>2-0</v>
      </c>
      <c r="AD283" s="64" t="str">
        <f>IF(AND(Report[[#This Row],[Résultats SE]]="Gagné",Report[[#This Row],[FT]]=Report[[#This Row],[Score 1]]),Report[[#This Row],[FT]],"")</f>
        <v/>
      </c>
      <c r="AE283" s="64" t="str">
        <f>IF(AND(Report[[#This Row],[Résultats SE]]="Gagné",Report[[#This Row],[FT]]=Report[[#This Row],[Score 2]]),Report[[#This Row],[FT]],"")</f>
        <v>2-0</v>
      </c>
      <c r="AF283" s="64" t="str">
        <f>IF(AND(Report[[#This Row],[Résultats SE]]="Gagné",Report[[#This Row],[FT]]=Report[[#This Row],[Score 3]]),Report[[#This Row],[FT]],"")</f>
        <v/>
      </c>
      <c r="AG283" s="64" t="str">
        <f>IF(AND(Report[[#This Row],[Résultats SE]]="Gagné",Report[[#This Row],[FT]]=Report[[#This Row],[Score 4]]),Report[[#This Row],[FT]],"")</f>
        <v/>
      </c>
    </row>
    <row r="284" spans="1:33" ht="20.100000000000001" customHeight="1" x14ac:dyDescent="0.25">
      <c r="A284" s="11">
        <v>43427</v>
      </c>
      <c r="B284" s="7" t="s">
        <v>65</v>
      </c>
      <c r="C284" s="7" t="s">
        <v>99</v>
      </c>
      <c r="D284" s="10" t="s">
        <v>158</v>
      </c>
      <c r="E284" s="10" t="s">
        <v>162</v>
      </c>
      <c r="F284" s="7" t="s">
        <v>833</v>
      </c>
      <c r="G284" s="8" t="s">
        <v>834</v>
      </c>
      <c r="H284" s="9" t="s">
        <v>830</v>
      </c>
      <c r="I284" s="9" t="s">
        <v>825</v>
      </c>
      <c r="J284" s="9" t="s">
        <v>826</v>
      </c>
      <c r="K284" s="9" t="s">
        <v>233</v>
      </c>
      <c r="L284" s="16" t="s">
        <v>850</v>
      </c>
      <c r="M284" s="16">
        <v>8.4</v>
      </c>
      <c r="N284" s="17" t="s">
        <v>825</v>
      </c>
      <c r="O284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Duisburg</v>
      </c>
      <c r="P284" s="18">
        <f>IF(Report[[#This Row],[FT]]="",,(LEFT(Report[[#This Row],[FT]],SEARCH("-",Report[[#This Row],[FT]])-1)*1))</f>
        <v>0</v>
      </c>
      <c r="Q284" s="22">
        <f>IF(Report[[#This Row],[FT]]="",,(RIGHT(Report[[#This Row],[FT]],SEARCH("-",Report[[#This Row],[FT]])-1)*1))</f>
        <v>1</v>
      </c>
      <c r="R284" s="18" t="str">
        <f>IF(Report[Résultat FT]="","",IF(Report[Résultat FT]=Report[Résultats],"Gagné","Perdu"))</f>
        <v>Perdu</v>
      </c>
      <c r="S284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284" s="53">
        <f>IF(Report[[#This Row],[FT]]="","",IF(Report[[#This Row],[FT]]=Report[[#This Row],[Score 1]],1,0))</f>
        <v>0</v>
      </c>
      <c r="U284" s="53">
        <f>IF(Report[[#This Row],[FT]]="","",IF(Report[ [#This Row],[FT] ]=Report[[#This Row],[Score 2]],1,0))</f>
        <v>0</v>
      </c>
      <c r="V284" s="53">
        <f>IF(Report[[#This Row],[FT]]="","",IF(Report[[#This Row],[FT]]=Report[[#This Row],[Score 3]],1,0))</f>
        <v>1</v>
      </c>
      <c r="W284" s="53">
        <f>IF(Report[[#This Row],[FT]]="","",IF(Report[[#This Row],[FT]]=Report[[#This Row],[Score 4]],1,0))</f>
        <v>0</v>
      </c>
      <c r="X284" s="66">
        <f>IF(Report[[#This Row],[Résultat FT]]="",,IF(Report[[#This Row],[Résultat FT]]=Report[[#This Row],[Résultats]],(Suivi_Gain!$B$1*Report[[#This Row],[Cote FT]])-Suivi_Gain!$B$1,-Suivi_Gain!$B$1))</f>
        <v>-1</v>
      </c>
      <c r="Y284" s="94">
        <f>IF(Report[[#This Row],[FT]]="",,IF(Report[[#This Row],[FT]]=Report[[#This Row],[Score 1]],(Suivi_Gain!$G$1*Report[[#This Row],[Cote SE]])-Suivi_Gain!$G$1,-Suivi_Gain!$G$1))</f>
        <v>-1</v>
      </c>
      <c r="Z284" s="65">
        <f>IF(Report[[#This Row],[FT]]="",,IF(Report[[#This Row],[FT]]=Report[[#This Row],[Score 2]],Suivi_Gain!$G$1*Report[[#This Row],[Cote SE]],-Suivi_Gain!$G$1))</f>
        <v>-1</v>
      </c>
      <c r="AA284" s="65">
        <f>IF(Report[[#This Row],[FT]]="",,IF(Report[[#This Row],[FT]]=Report[[#This Row],[Score 3]],Suivi_Gain!$G$1*Report[[#This Row],[Cote SE]],-Suivi_Gain!$G$1))</f>
        <v>8.4</v>
      </c>
      <c r="AB284" s="65">
        <f>IF(Report[[#This Row],[FT]]="",,IF(Report[[#This Row],[FT]]=Report[[#This Row],[Score 4]],Suivi_Gain!$G$1*Report[[#This Row],[Cote SE]],-Suivi_Gain!$G$1))</f>
        <v>-1</v>
      </c>
      <c r="AC284" s="64" t="str">
        <f>IF(Report[[#This Row],[Résultats SE]]="Gagné",Report[[#This Row],[FT]],"")</f>
        <v>0-1</v>
      </c>
      <c r="AD284" s="64" t="str">
        <f>IF(AND(Report[[#This Row],[Résultats SE]]="Gagné",Report[[#This Row],[FT]]=Report[[#This Row],[Score 1]]),Report[[#This Row],[FT]],"")</f>
        <v/>
      </c>
      <c r="AE284" s="64" t="str">
        <f>IF(AND(Report[[#This Row],[Résultats SE]]="Gagné",Report[[#This Row],[FT]]=Report[[#This Row],[Score 2]]),Report[[#This Row],[FT]],"")</f>
        <v/>
      </c>
      <c r="AF284" s="64" t="str">
        <f>IF(AND(Report[[#This Row],[Résultats SE]]="Gagné",Report[[#This Row],[FT]]=Report[[#This Row],[Score 3]]),Report[[#This Row],[FT]],"")</f>
        <v>0-1</v>
      </c>
      <c r="AG284" s="64" t="str">
        <f>IF(AND(Report[[#This Row],[Résultats SE]]="Gagné",Report[[#This Row],[FT]]=Report[[#This Row],[Score 4]]),Report[[#This Row],[FT]],"")</f>
        <v/>
      </c>
    </row>
    <row r="285" spans="1:33" ht="20.100000000000001" customHeight="1" x14ac:dyDescent="0.25">
      <c r="A285" s="11">
        <v>43427</v>
      </c>
      <c r="B285" s="7" t="s">
        <v>65</v>
      </c>
      <c r="C285" s="7" t="s">
        <v>99</v>
      </c>
      <c r="D285" s="10" t="s">
        <v>164</v>
      </c>
      <c r="E285" s="10" t="s">
        <v>169</v>
      </c>
      <c r="F285" s="7" t="s">
        <v>833</v>
      </c>
      <c r="G285" s="8" t="s">
        <v>834</v>
      </c>
      <c r="H285" s="9" t="s">
        <v>830</v>
      </c>
      <c r="I285" s="9" t="s">
        <v>825</v>
      </c>
      <c r="J285" s="9" t="s">
        <v>826</v>
      </c>
      <c r="K285" s="9" t="s">
        <v>233</v>
      </c>
      <c r="L285" s="16" t="s">
        <v>850</v>
      </c>
      <c r="M285" s="16" t="s">
        <v>850</v>
      </c>
      <c r="N285" s="17" t="s">
        <v>891</v>
      </c>
      <c r="O285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Furth</v>
      </c>
      <c r="P285" s="18">
        <f>IF(Report[[#This Row],[FT]]="",,(LEFT(Report[[#This Row],[FT]],SEARCH("-",Report[[#This Row],[FT]])-1)*1))</f>
        <v>3</v>
      </c>
      <c r="Q285" s="22">
        <f>IF(Report[[#This Row],[FT]]="",,(RIGHT(Report[[#This Row],[FT]],SEARCH("-",Report[[#This Row],[FT]])-1)*1))</f>
        <v>2</v>
      </c>
      <c r="R285" s="18" t="str">
        <f>IF(Report[Résultat FT]="","",IF(Report[Résultat FT]=Report[Résultats],"Gagné","Perdu"))</f>
        <v>Perdu</v>
      </c>
      <c r="S285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85" s="53">
        <f>IF(Report[[#This Row],[FT]]="","",IF(Report[[#This Row],[FT]]=Report[[#This Row],[Score 1]],1,0))</f>
        <v>0</v>
      </c>
      <c r="U285" s="53">
        <f>IF(Report[[#This Row],[FT]]="","",IF(Report[ [#This Row],[FT] ]=Report[[#This Row],[Score 2]],1,0))</f>
        <v>0</v>
      </c>
      <c r="V285" s="53">
        <f>IF(Report[[#This Row],[FT]]="","",IF(Report[[#This Row],[FT]]=Report[[#This Row],[Score 3]],1,0))</f>
        <v>0</v>
      </c>
      <c r="W285" s="53">
        <f>IF(Report[[#This Row],[FT]]="","",IF(Report[[#This Row],[FT]]=Report[[#This Row],[Score 4]],1,0))</f>
        <v>0</v>
      </c>
      <c r="X285" s="66">
        <f>IF(Report[[#This Row],[Résultat FT]]="",,IF(Report[[#This Row],[Résultat FT]]=Report[[#This Row],[Résultats]],(Suivi_Gain!$B$1*Report[[#This Row],[Cote FT]])-Suivi_Gain!$B$1,-Suivi_Gain!$B$1))</f>
        <v>-1</v>
      </c>
      <c r="Y285" s="94">
        <f>IF(Report[[#This Row],[FT]]="",,IF(Report[[#This Row],[FT]]=Report[[#This Row],[Score 1]],(Suivi_Gain!$G$1*Report[[#This Row],[Cote SE]])-Suivi_Gain!$G$1,-Suivi_Gain!$G$1))</f>
        <v>-1</v>
      </c>
      <c r="Z285" s="65">
        <f>IF(Report[[#This Row],[FT]]="",,IF(Report[[#This Row],[FT]]=Report[[#This Row],[Score 2]],Suivi_Gain!$G$1*Report[[#This Row],[Cote SE]],-Suivi_Gain!$G$1))</f>
        <v>-1</v>
      </c>
      <c r="AA285" s="65">
        <f>IF(Report[[#This Row],[FT]]="",,IF(Report[[#This Row],[FT]]=Report[[#This Row],[Score 3]],Suivi_Gain!$G$1*Report[[#This Row],[Cote SE]],-Suivi_Gain!$G$1))</f>
        <v>-1</v>
      </c>
      <c r="AB285" s="65">
        <f>IF(Report[[#This Row],[FT]]="",,IF(Report[[#This Row],[FT]]=Report[[#This Row],[Score 4]],Suivi_Gain!$G$1*Report[[#This Row],[Cote SE]],-Suivi_Gain!$G$1))</f>
        <v>-1</v>
      </c>
      <c r="AC285" s="64" t="str">
        <f>IF(Report[[#This Row],[Résultats SE]]="Gagné",Report[[#This Row],[FT]],"")</f>
        <v/>
      </c>
      <c r="AD285" s="64" t="str">
        <f>IF(AND(Report[[#This Row],[Résultats SE]]="Gagné",Report[[#This Row],[FT]]=Report[[#This Row],[Score 1]]),Report[[#This Row],[FT]],"")</f>
        <v/>
      </c>
      <c r="AE285" s="64" t="str">
        <f>IF(AND(Report[[#This Row],[Résultats SE]]="Gagné",Report[[#This Row],[FT]]=Report[[#This Row],[Score 2]]),Report[[#This Row],[FT]],"")</f>
        <v/>
      </c>
      <c r="AF285" s="64" t="str">
        <f>IF(AND(Report[[#This Row],[Résultats SE]]="Gagné",Report[[#This Row],[FT]]=Report[[#This Row],[Score 3]]),Report[[#This Row],[FT]],"")</f>
        <v/>
      </c>
      <c r="AG285" s="64" t="str">
        <f>IF(AND(Report[[#This Row],[Résultats SE]]="Gagné",Report[[#This Row],[FT]]=Report[[#This Row],[Score 4]]),Report[[#This Row],[FT]],"")</f>
        <v/>
      </c>
    </row>
    <row r="286" spans="1:33" ht="20.100000000000001" customHeight="1" x14ac:dyDescent="0.25">
      <c r="A286" s="11">
        <v>43427</v>
      </c>
      <c r="B286" s="7" t="s">
        <v>66</v>
      </c>
      <c r="C286" s="7" t="s">
        <v>101</v>
      </c>
      <c r="D286" s="10" t="s">
        <v>204</v>
      </c>
      <c r="E286" s="10" t="s">
        <v>218</v>
      </c>
      <c r="F286" s="7" t="s">
        <v>840</v>
      </c>
      <c r="G286" s="8" t="s">
        <v>841</v>
      </c>
      <c r="H286" s="9" t="s">
        <v>839</v>
      </c>
      <c r="I286" s="9" t="s">
        <v>828</v>
      </c>
      <c r="J286" s="9" t="s">
        <v>827</v>
      </c>
      <c r="K286" s="9" t="s">
        <v>218</v>
      </c>
      <c r="L286" s="16">
        <v>1.85</v>
      </c>
      <c r="M286" s="16">
        <v>7.2</v>
      </c>
      <c r="N286" s="17" t="s">
        <v>839</v>
      </c>
      <c r="O286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West Brom</v>
      </c>
      <c r="P286" s="18">
        <f>IF(Report[[#This Row],[FT]]="",,(LEFT(Report[[#This Row],[FT]],SEARCH("-",Report[[#This Row],[FT]])-1)*1))</f>
        <v>1</v>
      </c>
      <c r="Q286" s="22">
        <f>IF(Report[[#This Row],[FT]]="",,(RIGHT(Report[[#This Row],[FT]],SEARCH("-",Report[[#This Row],[FT]])-1)*1))</f>
        <v>2</v>
      </c>
      <c r="R286" s="18" t="str">
        <f>IF(Report[Résultat FT]="","",IF(Report[Résultat FT]=Report[Résultats],"Gagné","Perdu"))</f>
        <v>Gagné</v>
      </c>
      <c r="S286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286" s="53">
        <f>IF(Report[[#This Row],[FT]]="","",IF(Report[[#This Row],[FT]]=Report[[#This Row],[Score 1]],1,0))</f>
        <v>0</v>
      </c>
      <c r="U286" s="53">
        <f>IF(Report[[#This Row],[FT]]="","",IF(Report[ [#This Row],[FT] ]=Report[[#This Row],[Score 2]],1,0))</f>
        <v>1</v>
      </c>
      <c r="V286" s="53">
        <f>IF(Report[[#This Row],[FT]]="","",IF(Report[[#This Row],[FT]]=Report[[#This Row],[Score 3]],1,0))</f>
        <v>0</v>
      </c>
      <c r="W286" s="53">
        <f>IF(Report[[#This Row],[FT]]="","",IF(Report[[#This Row],[FT]]=Report[[#This Row],[Score 4]],1,0))</f>
        <v>0</v>
      </c>
      <c r="X286" s="66">
        <f>IF(Report[[#This Row],[Résultat FT]]="",,IF(Report[[#This Row],[Résultat FT]]=Report[[#This Row],[Résultats]],(Suivi_Gain!$B$1*Report[[#This Row],[Cote FT]])-Suivi_Gain!$B$1,-Suivi_Gain!$B$1))</f>
        <v>0.85000000000000009</v>
      </c>
      <c r="Y286" s="94">
        <f>IF(Report[[#This Row],[FT]]="",,IF(Report[[#This Row],[FT]]=Report[[#This Row],[Score 1]],(Suivi_Gain!$G$1*Report[[#This Row],[Cote SE]])-Suivi_Gain!$G$1,-Suivi_Gain!$G$1))</f>
        <v>-1</v>
      </c>
      <c r="Z286" s="65">
        <f>IF(Report[[#This Row],[FT]]="",,IF(Report[[#This Row],[FT]]=Report[[#This Row],[Score 2]],Suivi_Gain!$G$1*Report[[#This Row],[Cote SE]],-Suivi_Gain!$G$1))</f>
        <v>7.2</v>
      </c>
      <c r="AA286" s="65">
        <f>IF(Report[[#This Row],[FT]]="",,IF(Report[[#This Row],[FT]]=Report[[#This Row],[Score 3]],Suivi_Gain!$G$1*Report[[#This Row],[Cote SE]],-Suivi_Gain!$G$1))</f>
        <v>-1</v>
      </c>
      <c r="AB286" s="65">
        <f>IF(Report[[#This Row],[FT]]="",,IF(Report[[#This Row],[FT]]=Report[[#This Row],[Score 4]],Suivi_Gain!$G$1*Report[[#This Row],[Cote SE]],-Suivi_Gain!$G$1))</f>
        <v>-1</v>
      </c>
      <c r="AC286" s="64" t="str">
        <f>IF(Report[[#This Row],[Résultats SE]]="Gagné",Report[[#This Row],[FT]],"")</f>
        <v>1-2</v>
      </c>
      <c r="AD286" s="64" t="str">
        <f>IF(AND(Report[[#This Row],[Résultats SE]]="Gagné",Report[[#This Row],[FT]]=Report[[#This Row],[Score 1]]),Report[[#This Row],[FT]],"")</f>
        <v/>
      </c>
      <c r="AE286" s="64" t="str">
        <f>IF(AND(Report[[#This Row],[Résultats SE]]="Gagné",Report[[#This Row],[FT]]=Report[[#This Row],[Score 2]]),Report[[#This Row],[FT]],"")</f>
        <v>1-2</v>
      </c>
      <c r="AF286" s="64" t="str">
        <f>IF(AND(Report[[#This Row],[Résultats SE]]="Gagné",Report[[#This Row],[FT]]=Report[[#This Row],[Score 3]]),Report[[#This Row],[FT]],"")</f>
        <v/>
      </c>
      <c r="AG286" s="64" t="str">
        <f>IF(AND(Report[[#This Row],[Résultats SE]]="Gagné",Report[[#This Row],[FT]]=Report[[#This Row],[Score 4]]),Report[[#This Row],[FT]],"")</f>
        <v/>
      </c>
    </row>
    <row r="287" spans="1:33" ht="20.100000000000001" customHeight="1" x14ac:dyDescent="0.25">
      <c r="A287" s="11">
        <v>43427</v>
      </c>
      <c r="B287" s="7" t="s">
        <v>72</v>
      </c>
      <c r="C287" s="7" t="s">
        <v>107</v>
      </c>
      <c r="D287" s="10" t="s">
        <v>462</v>
      </c>
      <c r="E287" s="10" t="s">
        <v>473</v>
      </c>
      <c r="F287" s="7" t="s">
        <v>855</v>
      </c>
      <c r="G287" s="8" t="s">
        <v>856</v>
      </c>
      <c r="H287" s="9" t="s">
        <v>857</v>
      </c>
      <c r="I287" s="9" t="s">
        <v>858</v>
      </c>
      <c r="J287" s="9" t="s">
        <v>859</v>
      </c>
      <c r="K287" s="9" t="s">
        <v>462</v>
      </c>
      <c r="L287" s="16" t="s">
        <v>850</v>
      </c>
      <c r="M287" s="16" t="s">
        <v>850</v>
      </c>
      <c r="N287" s="17" t="s">
        <v>841</v>
      </c>
      <c r="O287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Zulte-Waregem</v>
      </c>
      <c r="P287" s="18">
        <f>IF(Report[[#This Row],[FT]]="",,(LEFT(Report[[#This Row],[FT]],SEARCH("-",Report[[#This Row],[FT]])-1)*1))</f>
        <v>1</v>
      </c>
      <c r="Q287" s="22">
        <f>IF(Report[[#This Row],[FT]]="",,(RIGHT(Report[[#This Row],[FT]],SEARCH("-",Report[[#This Row],[FT]])-1)*1))</f>
        <v>3</v>
      </c>
      <c r="R287" s="18" t="str">
        <f>IF(Report[Résultat FT]="","",IF(Report[Résultat FT]=Report[Résultats],"Gagné","Perdu"))</f>
        <v>Perdu</v>
      </c>
      <c r="S287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87" s="53">
        <f>IF(Report[[#This Row],[FT]]="","",IF(Report[[#This Row],[FT]]=Report[[#This Row],[Score 1]],1,0))</f>
        <v>0</v>
      </c>
      <c r="U287" s="53">
        <f>IF(Report[[#This Row],[FT]]="","",IF(Report[ [#This Row],[FT] ]=Report[[#This Row],[Score 2]],1,0))</f>
        <v>0</v>
      </c>
      <c r="V287" s="53">
        <f>IF(Report[[#This Row],[FT]]="","",IF(Report[[#This Row],[FT]]=Report[[#This Row],[Score 3]],1,0))</f>
        <v>0</v>
      </c>
      <c r="W287" s="53">
        <f>IF(Report[[#This Row],[FT]]="","",IF(Report[[#This Row],[FT]]=Report[[#This Row],[Score 4]],1,0))</f>
        <v>0</v>
      </c>
      <c r="X287" s="66">
        <f>IF(Report[[#This Row],[Résultat FT]]="",,IF(Report[[#This Row],[Résultat FT]]=Report[[#This Row],[Résultats]],(Suivi_Gain!$B$1*Report[[#This Row],[Cote FT]])-Suivi_Gain!$B$1,-Suivi_Gain!$B$1))</f>
        <v>-1</v>
      </c>
      <c r="Y287" s="94">
        <f>IF(Report[[#This Row],[FT]]="",,IF(Report[[#This Row],[FT]]=Report[[#This Row],[Score 1]],(Suivi_Gain!$G$1*Report[[#This Row],[Cote SE]])-Suivi_Gain!$G$1,-Suivi_Gain!$G$1))</f>
        <v>-1</v>
      </c>
      <c r="Z287" s="65">
        <f>IF(Report[[#This Row],[FT]]="",,IF(Report[[#This Row],[FT]]=Report[[#This Row],[Score 2]],Suivi_Gain!$G$1*Report[[#This Row],[Cote SE]],-Suivi_Gain!$G$1))</f>
        <v>-1</v>
      </c>
      <c r="AA287" s="65">
        <f>IF(Report[[#This Row],[FT]]="",,IF(Report[[#This Row],[FT]]=Report[[#This Row],[Score 3]],Suivi_Gain!$G$1*Report[[#This Row],[Cote SE]],-Suivi_Gain!$G$1))</f>
        <v>-1</v>
      </c>
      <c r="AB287" s="65">
        <f>IF(Report[[#This Row],[FT]]="",,IF(Report[[#This Row],[FT]]=Report[[#This Row],[Score 4]],Suivi_Gain!$G$1*Report[[#This Row],[Cote SE]],-Suivi_Gain!$G$1))</f>
        <v>-1</v>
      </c>
      <c r="AC287" s="64" t="str">
        <f>IF(Report[[#This Row],[Résultats SE]]="Gagné",Report[[#This Row],[FT]],"")</f>
        <v/>
      </c>
      <c r="AD287" s="64" t="str">
        <f>IF(AND(Report[[#This Row],[Résultats SE]]="Gagné",Report[[#This Row],[FT]]=Report[[#This Row],[Score 1]]),Report[[#This Row],[FT]],"")</f>
        <v/>
      </c>
      <c r="AE287" s="64" t="str">
        <f>IF(AND(Report[[#This Row],[Résultats SE]]="Gagné",Report[[#This Row],[FT]]=Report[[#This Row],[Score 2]]),Report[[#This Row],[FT]],"")</f>
        <v/>
      </c>
      <c r="AF287" s="64" t="str">
        <f>IF(AND(Report[[#This Row],[Résultats SE]]="Gagné",Report[[#This Row],[FT]]=Report[[#This Row],[Score 3]]),Report[[#This Row],[FT]],"")</f>
        <v/>
      </c>
      <c r="AG287" s="64" t="str">
        <f>IF(AND(Report[[#This Row],[Résultats SE]]="Gagné",Report[[#This Row],[FT]]=Report[[#This Row],[Score 4]]),Report[[#This Row],[FT]],"")</f>
        <v/>
      </c>
    </row>
    <row r="288" spans="1:33" ht="20.100000000000001" customHeight="1" x14ac:dyDescent="0.25">
      <c r="A288" s="11">
        <v>43427</v>
      </c>
      <c r="B288" s="7" t="s">
        <v>221</v>
      </c>
      <c r="C288" s="7" t="s">
        <v>104</v>
      </c>
      <c r="D288" s="10" t="s">
        <v>523</v>
      </c>
      <c r="E288" s="10" t="s">
        <v>524</v>
      </c>
      <c r="F288" s="7" t="s">
        <v>829</v>
      </c>
      <c r="G288" s="8" t="s">
        <v>830</v>
      </c>
      <c r="H288" s="9" t="s">
        <v>826</v>
      </c>
      <c r="I288" s="9" t="s">
        <v>831</v>
      </c>
      <c r="J288" s="9" t="s">
        <v>832</v>
      </c>
      <c r="K288" s="9" t="s">
        <v>523</v>
      </c>
      <c r="L288" s="16">
        <v>1.5</v>
      </c>
      <c r="M288" s="16">
        <v>5</v>
      </c>
      <c r="N288" s="17" t="s">
        <v>831</v>
      </c>
      <c r="O288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Bahia</v>
      </c>
      <c r="P288" s="18">
        <f>IF(Report[[#This Row],[FT]]="",,(LEFT(Report[[#This Row],[FT]],SEARCH("-",Report[[#This Row],[FT]])-1)*1))</f>
        <v>2</v>
      </c>
      <c r="Q288" s="22">
        <f>IF(Report[[#This Row],[FT]]="",,(RIGHT(Report[[#This Row],[FT]],SEARCH("-",Report[[#This Row],[FT]])-1)*1))</f>
        <v>0</v>
      </c>
      <c r="R288" s="18" t="str">
        <f>IF(Report[Résultat FT]="","",IF(Report[Résultat FT]=Report[Résultats],"Gagné","Perdu"))</f>
        <v>Gagné</v>
      </c>
      <c r="S288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288" s="53">
        <f>IF(Report[[#This Row],[FT]]="","",IF(Report[[#This Row],[FT]]=Report[[#This Row],[Score 1]],1,0))</f>
        <v>0</v>
      </c>
      <c r="U288" s="53">
        <f>IF(Report[[#This Row],[FT]]="","",IF(Report[ [#This Row],[FT] ]=Report[[#This Row],[Score 2]],1,0))</f>
        <v>0</v>
      </c>
      <c r="V288" s="53">
        <f>IF(Report[[#This Row],[FT]]="","",IF(Report[[#This Row],[FT]]=Report[[#This Row],[Score 3]],1,0))</f>
        <v>1</v>
      </c>
      <c r="W288" s="53">
        <f>IF(Report[[#This Row],[FT]]="","",IF(Report[[#This Row],[FT]]=Report[[#This Row],[Score 4]],1,0))</f>
        <v>0</v>
      </c>
      <c r="X288" s="94">
        <f>IF(Report[[#This Row],[Résultat FT]]="",,IF(Report[[#This Row],[Résultat FT]]=Report[[#This Row],[Résultats]],(Suivi_Gain!$B$1*Report[[#This Row],[Cote FT]])-Suivi_Gain!$B$1,-Suivi_Gain!$B$1))</f>
        <v>0.5</v>
      </c>
      <c r="Y288" s="94">
        <f>IF(Report[[#This Row],[FT]]="",,IF(Report[[#This Row],[FT]]=Report[[#This Row],[Score 1]],(Suivi_Gain!$G$1*Report[[#This Row],[Cote SE]])-Suivi_Gain!$G$1,-Suivi_Gain!$G$1))</f>
        <v>-1</v>
      </c>
      <c r="Z288" s="65">
        <f>IF(Report[[#This Row],[FT]]="",,IF(Report[[#This Row],[FT]]=Report[[#This Row],[Score 2]],Suivi_Gain!$G$1*Report[[#This Row],[Cote SE]],-Suivi_Gain!$G$1))</f>
        <v>-1</v>
      </c>
      <c r="AA288" s="65">
        <f>IF(Report[[#This Row],[FT]]="",,IF(Report[[#This Row],[FT]]=Report[[#This Row],[Score 3]],Suivi_Gain!$G$1*Report[[#This Row],[Cote SE]],-Suivi_Gain!$G$1))</f>
        <v>5</v>
      </c>
      <c r="AB288" s="65">
        <f>IF(Report[[#This Row],[FT]]="",,IF(Report[[#This Row],[FT]]=Report[[#This Row],[Score 4]],Suivi_Gain!$G$1*Report[[#This Row],[Cote SE]],-Suivi_Gain!$G$1))</f>
        <v>-1</v>
      </c>
      <c r="AC288" s="80" t="str">
        <f>IF(Report[[#This Row],[Résultats SE]]="Gagné",Report[[#This Row],[FT]],"")</f>
        <v>2-0</v>
      </c>
      <c r="AD288" s="80" t="str">
        <f>IF(AND(Report[[#This Row],[Résultats SE]]="Gagné",Report[[#This Row],[FT]]=Report[[#This Row],[Score 1]]),Report[[#This Row],[FT]],"")</f>
        <v/>
      </c>
      <c r="AE288" s="80" t="str">
        <f>IF(AND(Report[[#This Row],[Résultats SE]]="Gagné",Report[[#This Row],[FT]]=Report[[#This Row],[Score 2]]),Report[[#This Row],[FT]],"")</f>
        <v/>
      </c>
      <c r="AF288" s="80" t="str">
        <f>IF(AND(Report[[#This Row],[Résultats SE]]="Gagné",Report[[#This Row],[FT]]=Report[[#This Row],[Score 3]]),Report[[#This Row],[FT]],"")</f>
        <v>2-0</v>
      </c>
      <c r="AG288" s="80" t="str">
        <f>IF(AND(Report[[#This Row],[Résultats SE]]="Gagné",Report[[#This Row],[FT]]=Report[[#This Row],[Score 4]]),Report[[#This Row],[FT]],"")</f>
        <v/>
      </c>
    </row>
    <row r="289" spans="1:33" ht="20.100000000000001" customHeight="1" x14ac:dyDescent="0.25">
      <c r="A289" s="11">
        <v>43427</v>
      </c>
      <c r="B289" s="7" t="s">
        <v>221</v>
      </c>
      <c r="C289" s="7" t="s">
        <v>104</v>
      </c>
      <c r="D289" s="10" t="s">
        <v>529</v>
      </c>
      <c r="E289" s="10" t="s">
        <v>533</v>
      </c>
      <c r="F289" s="7" t="s">
        <v>829</v>
      </c>
      <c r="G289" s="8" t="s">
        <v>830</v>
      </c>
      <c r="H289" s="9" t="s">
        <v>826</v>
      </c>
      <c r="I289" s="9" t="s">
        <v>831</v>
      </c>
      <c r="J289" s="9" t="s">
        <v>832</v>
      </c>
      <c r="K289" s="9" t="s">
        <v>529</v>
      </c>
      <c r="L289" s="16">
        <v>1.29</v>
      </c>
      <c r="M289" s="16">
        <v>4.2</v>
      </c>
      <c r="N289" s="17" t="s">
        <v>830</v>
      </c>
      <c r="O289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Ceara</v>
      </c>
      <c r="P289" s="18">
        <f>IF(Report[[#This Row],[FT]]="",,(LEFT(Report[[#This Row],[FT]],SEARCH("-",Report[[#This Row],[FT]])-1)*1))</f>
        <v>1</v>
      </c>
      <c r="Q289" s="22">
        <f>IF(Report[[#This Row],[FT]]="",,(RIGHT(Report[[#This Row],[FT]],SEARCH("-",Report[[#This Row],[FT]])-1)*1))</f>
        <v>0</v>
      </c>
      <c r="R289" s="18" t="str">
        <f>IF(Report[Résultat FT]="","",IF(Report[Résultat FT]=Report[Résultats],"Gagné","Perdu"))</f>
        <v>Gagné</v>
      </c>
      <c r="S289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289" s="53">
        <f>IF(Report[[#This Row],[FT]]="","",IF(Report[[#This Row],[FT]]=Report[[#This Row],[Score 1]],1,0))</f>
        <v>1</v>
      </c>
      <c r="U289" s="53">
        <f>IF(Report[[#This Row],[FT]]="","",IF(Report[ [#This Row],[FT] ]=Report[[#This Row],[Score 2]],1,0))</f>
        <v>0</v>
      </c>
      <c r="V289" s="53">
        <f>IF(Report[[#This Row],[FT]]="","",IF(Report[[#This Row],[FT]]=Report[[#This Row],[Score 3]],1,0))</f>
        <v>0</v>
      </c>
      <c r="W289" s="53">
        <f>IF(Report[[#This Row],[FT]]="","",IF(Report[[#This Row],[FT]]=Report[[#This Row],[Score 4]],1,0))</f>
        <v>0</v>
      </c>
      <c r="X289" s="94">
        <f>IF(Report[[#This Row],[Résultat FT]]="",,IF(Report[[#This Row],[Résultat FT]]=Report[[#This Row],[Résultats]],(Suivi_Gain!$B$1*Report[[#This Row],[Cote FT]])-Suivi_Gain!$B$1,-Suivi_Gain!$B$1))</f>
        <v>0.29000000000000004</v>
      </c>
      <c r="Y289" s="94">
        <f>IF(Report[[#This Row],[FT]]="",,IF(Report[[#This Row],[FT]]=Report[[#This Row],[Score 1]],(Suivi_Gain!$G$1*Report[[#This Row],[Cote SE]])-Suivi_Gain!$G$1,-Suivi_Gain!$G$1))</f>
        <v>3.2</v>
      </c>
      <c r="Z289" s="65">
        <f>IF(Report[[#This Row],[FT]]="",,IF(Report[[#This Row],[FT]]=Report[[#This Row],[Score 2]],Suivi_Gain!$G$1*Report[[#This Row],[Cote SE]],-Suivi_Gain!$G$1))</f>
        <v>-1</v>
      </c>
      <c r="AA289" s="65">
        <f>IF(Report[[#This Row],[FT]]="",,IF(Report[[#This Row],[FT]]=Report[[#This Row],[Score 3]],Suivi_Gain!$G$1*Report[[#This Row],[Cote SE]],-Suivi_Gain!$G$1))</f>
        <v>-1</v>
      </c>
      <c r="AB289" s="65">
        <f>IF(Report[[#This Row],[FT]]="",,IF(Report[[#This Row],[FT]]=Report[[#This Row],[Score 4]],Suivi_Gain!$G$1*Report[[#This Row],[Cote SE]],-Suivi_Gain!$G$1))</f>
        <v>-1</v>
      </c>
      <c r="AC289" s="80" t="str">
        <f>IF(Report[[#This Row],[Résultats SE]]="Gagné",Report[[#This Row],[FT]],"")</f>
        <v>1-0</v>
      </c>
      <c r="AD289" s="80" t="str">
        <f>IF(AND(Report[[#This Row],[Résultats SE]]="Gagné",Report[[#This Row],[FT]]=Report[[#This Row],[Score 1]]),Report[[#This Row],[FT]],"")</f>
        <v>1-0</v>
      </c>
      <c r="AE289" s="80" t="str">
        <f>IF(AND(Report[[#This Row],[Résultats SE]]="Gagné",Report[[#This Row],[FT]]=Report[[#This Row],[Score 2]]),Report[[#This Row],[FT]],"")</f>
        <v/>
      </c>
      <c r="AF289" s="80" t="str">
        <f>IF(AND(Report[[#This Row],[Résultats SE]]="Gagné",Report[[#This Row],[FT]]=Report[[#This Row],[Score 3]]),Report[[#This Row],[FT]],"")</f>
        <v/>
      </c>
      <c r="AG289" s="80" t="str">
        <f>IF(AND(Report[[#This Row],[Résultats SE]]="Gagné",Report[[#This Row],[FT]]=Report[[#This Row],[Score 4]]),Report[[#This Row],[FT]],"")</f>
        <v/>
      </c>
    </row>
    <row r="290" spans="1:33" ht="20.100000000000001" customHeight="1" x14ac:dyDescent="0.25">
      <c r="A290" s="11">
        <v>43427</v>
      </c>
      <c r="B290" s="7" t="s">
        <v>221</v>
      </c>
      <c r="C290" s="7" t="s">
        <v>104</v>
      </c>
      <c r="D290" s="10" t="s">
        <v>530</v>
      </c>
      <c r="E290" s="10" t="s">
        <v>528</v>
      </c>
      <c r="F290" s="7" t="s">
        <v>833</v>
      </c>
      <c r="G290" s="8" t="s">
        <v>834</v>
      </c>
      <c r="H290" s="9" t="s">
        <v>830</v>
      </c>
      <c r="I290" s="9" t="s">
        <v>825</v>
      </c>
      <c r="J290" s="9" t="s">
        <v>826</v>
      </c>
      <c r="K290" s="9" t="s">
        <v>233</v>
      </c>
      <c r="L290" s="16" t="s">
        <v>850</v>
      </c>
      <c r="M290" s="16" t="s">
        <v>850</v>
      </c>
      <c r="N290" s="17" t="s">
        <v>838</v>
      </c>
      <c r="O290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Chapecoense-SC</v>
      </c>
      <c r="P290" s="18">
        <f>IF(Report[[#This Row],[FT]]="",,(LEFT(Report[[#This Row],[FT]],SEARCH("-",Report[[#This Row],[FT]])-1)*1))</f>
        <v>2</v>
      </c>
      <c r="Q290" s="22">
        <f>IF(Report[[#This Row],[FT]]="",,(RIGHT(Report[[#This Row],[FT]],SEARCH("-",Report[[#This Row],[FT]])-1)*1))</f>
        <v>1</v>
      </c>
      <c r="R290" s="18" t="str">
        <f>IF(Report[Résultat FT]="","",IF(Report[Résultat FT]=Report[Résultats],"Gagné","Perdu"))</f>
        <v>Perdu</v>
      </c>
      <c r="S290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90" s="53">
        <f>IF(Report[[#This Row],[FT]]="","",IF(Report[[#This Row],[FT]]=Report[[#This Row],[Score 1]],1,0))</f>
        <v>0</v>
      </c>
      <c r="U290" s="53">
        <f>IF(Report[[#This Row],[FT]]="","",IF(Report[ [#This Row],[FT] ]=Report[[#This Row],[Score 2]],1,0))</f>
        <v>0</v>
      </c>
      <c r="V290" s="53">
        <f>IF(Report[[#This Row],[FT]]="","",IF(Report[[#This Row],[FT]]=Report[[#This Row],[Score 3]],1,0))</f>
        <v>0</v>
      </c>
      <c r="W290" s="53">
        <f>IF(Report[[#This Row],[FT]]="","",IF(Report[[#This Row],[FT]]=Report[[#This Row],[Score 4]],1,0))</f>
        <v>0</v>
      </c>
      <c r="X290" s="66">
        <f>IF(Report[[#This Row],[Résultat FT]]="",,IF(Report[[#This Row],[Résultat FT]]=Report[[#This Row],[Résultats]],(Suivi_Gain!$B$1*Report[[#This Row],[Cote FT]])-Suivi_Gain!$B$1,-Suivi_Gain!$B$1))</f>
        <v>-1</v>
      </c>
      <c r="Y290" s="94">
        <f>IF(Report[[#This Row],[FT]]="",,IF(Report[[#This Row],[FT]]=Report[[#This Row],[Score 1]],(Suivi_Gain!$G$1*Report[[#This Row],[Cote SE]])-Suivi_Gain!$G$1,-Suivi_Gain!$G$1))</f>
        <v>-1</v>
      </c>
      <c r="Z290" s="65">
        <f>IF(Report[[#This Row],[FT]]="",,IF(Report[[#This Row],[FT]]=Report[[#This Row],[Score 2]],Suivi_Gain!$G$1*Report[[#This Row],[Cote SE]],-Suivi_Gain!$G$1))</f>
        <v>-1</v>
      </c>
      <c r="AA290" s="65">
        <f>IF(Report[[#This Row],[FT]]="",,IF(Report[[#This Row],[FT]]=Report[[#This Row],[Score 3]],Suivi_Gain!$G$1*Report[[#This Row],[Cote SE]],-Suivi_Gain!$G$1))</f>
        <v>-1</v>
      </c>
      <c r="AB290" s="65">
        <f>IF(Report[[#This Row],[FT]]="",,IF(Report[[#This Row],[FT]]=Report[[#This Row],[Score 4]],Suivi_Gain!$G$1*Report[[#This Row],[Cote SE]],-Suivi_Gain!$G$1))</f>
        <v>-1</v>
      </c>
      <c r="AC290" s="64" t="str">
        <f>IF(Report[[#This Row],[Résultats SE]]="Gagné",Report[[#This Row],[FT]],"")</f>
        <v/>
      </c>
      <c r="AD290" s="64" t="str">
        <f>IF(AND(Report[[#This Row],[Résultats SE]]="Gagné",Report[[#This Row],[FT]]=Report[[#This Row],[Score 1]]),Report[[#This Row],[FT]],"")</f>
        <v/>
      </c>
      <c r="AE290" s="64" t="str">
        <f>IF(AND(Report[[#This Row],[Résultats SE]]="Gagné",Report[[#This Row],[FT]]=Report[[#This Row],[Score 2]]),Report[[#This Row],[FT]],"")</f>
        <v/>
      </c>
      <c r="AF290" s="64" t="str">
        <f>IF(AND(Report[[#This Row],[Résultats SE]]="Gagné",Report[[#This Row],[FT]]=Report[[#This Row],[Score 3]]),Report[[#This Row],[FT]],"")</f>
        <v/>
      </c>
      <c r="AG290" s="64" t="str">
        <f>IF(AND(Report[[#This Row],[Résultats SE]]="Gagné",Report[[#This Row],[FT]]=Report[[#This Row],[Score 4]]),Report[[#This Row],[FT]],"")</f>
        <v/>
      </c>
    </row>
    <row r="291" spans="1:33" ht="20.100000000000001" customHeight="1" x14ac:dyDescent="0.25">
      <c r="A291" s="11">
        <v>43427</v>
      </c>
      <c r="B291" s="7" t="s">
        <v>75</v>
      </c>
      <c r="C291" s="7" t="s">
        <v>112</v>
      </c>
      <c r="D291" s="10" t="s">
        <v>380</v>
      </c>
      <c r="E291" s="10" t="s">
        <v>391</v>
      </c>
      <c r="F291" s="7" t="s">
        <v>824</v>
      </c>
      <c r="G291" s="8" t="s">
        <v>825</v>
      </c>
      <c r="H291" s="9" t="s">
        <v>826</v>
      </c>
      <c r="I291" s="9" t="s">
        <v>827</v>
      </c>
      <c r="J291" s="9" t="s">
        <v>828</v>
      </c>
      <c r="K291" s="9" t="s">
        <v>391</v>
      </c>
      <c r="L291" s="16" t="s">
        <v>850</v>
      </c>
      <c r="M291" s="16" t="s">
        <v>850</v>
      </c>
      <c r="N291" s="17" t="s">
        <v>830</v>
      </c>
      <c r="O291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Bistritsa</v>
      </c>
      <c r="P291" s="18">
        <f>IF(Report[[#This Row],[FT]]="",,(LEFT(Report[[#This Row],[FT]],SEARCH("-",Report[[#This Row],[FT]])-1)*1))</f>
        <v>1</v>
      </c>
      <c r="Q291" s="22">
        <f>IF(Report[[#This Row],[FT]]="",,(RIGHT(Report[[#This Row],[FT]],SEARCH("-",Report[[#This Row],[FT]])-1)*1))</f>
        <v>0</v>
      </c>
      <c r="R291" s="18" t="str">
        <f>IF(Report[Résultat FT]="","",IF(Report[Résultat FT]=Report[Résultats],"Gagné","Perdu"))</f>
        <v>Perdu</v>
      </c>
      <c r="S291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91" s="53">
        <f>IF(Report[[#This Row],[FT]]="","",IF(Report[[#This Row],[FT]]=Report[[#This Row],[Score 1]],1,0))</f>
        <v>0</v>
      </c>
      <c r="U291" s="53">
        <f>IF(Report[[#This Row],[FT]]="","",IF(Report[ [#This Row],[FT] ]=Report[[#This Row],[Score 2]],1,0))</f>
        <v>0</v>
      </c>
      <c r="V291" s="53">
        <f>IF(Report[[#This Row],[FT]]="","",IF(Report[[#This Row],[FT]]=Report[[#This Row],[Score 3]],1,0))</f>
        <v>0</v>
      </c>
      <c r="W291" s="53">
        <f>IF(Report[[#This Row],[FT]]="","",IF(Report[[#This Row],[FT]]=Report[[#This Row],[Score 4]],1,0))</f>
        <v>0</v>
      </c>
      <c r="X291" s="66">
        <f>IF(Report[[#This Row],[Résultat FT]]="",,IF(Report[[#This Row],[Résultat FT]]=Report[[#This Row],[Résultats]],(Suivi_Gain!$B$1*Report[[#This Row],[Cote FT]])-Suivi_Gain!$B$1,-Suivi_Gain!$B$1))</f>
        <v>-1</v>
      </c>
      <c r="Y291" s="94">
        <f>IF(Report[[#This Row],[FT]]="",,IF(Report[[#This Row],[FT]]=Report[[#This Row],[Score 1]],(Suivi_Gain!$G$1*Report[[#This Row],[Cote SE]])-Suivi_Gain!$G$1,-Suivi_Gain!$G$1))</f>
        <v>-1</v>
      </c>
      <c r="Z291" s="65">
        <f>IF(Report[[#This Row],[FT]]="",,IF(Report[[#This Row],[FT]]=Report[[#This Row],[Score 2]],Suivi_Gain!$G$1*Report[[#This Row],[Cote SE]],-Suivi_Gain!$G$1))</f>
        <v>-1</v>
      </c>
      <c r="AA291" s="65">
        <f>IF(Report[[#This Row],[FT]]="",,IF(Report[[#This Row],[FT]]=Report[[#This Row],[Score 3]],Suivi_Gain!$G$1*Report[[#This Row],[Cote SE]],-Suivi_Gain!$G$1))</f>
        <v>-1</v>
      </c>
      <c r="AB291" s="65">
        <f>IF(Report[[#This Row],[FT]]="",,IF(Report[[#This Row],[FT]]=Report[[#This Row],[Score 4]],Suivi_Gain!$G$1*Report[[#This Row],[Cote SE]],-Suivi_Gain!$G$1))</f>
        <v>-1</v>
      </c>
      <c r="AC291" s="64" t="str">
        <f>IF(Report[[#This Row],[Résultats SE]]="Gagné",Report[[#This Row],[FT]],"")</f>
        <v/>
      </c>
      <c r="AD291" s="64" t="str">
        <f>IF(AND(Report[[#This Row],[Résultats SE]]="Gagné",Report[[#This Row],[FT]]=Report[[#This Row],[Score 1]]),Report[[#This Row],[FT]],"")</f>
        <v/>
      </c>
      <c r="AE291" s="64" t="str">
        <f>IF(AND(Report[[#This Row],[Résultats SE]]="Gagné",Report[[#This Row],[FT]]=Report[[#This Row],[Score 2]]),Report[[#This Row],[FT]],"")</f>
        <v/>
      </c>
      <c r="AF291" s="64" t="str">
        <f>IF(AND(Report[[#This Row],[Résultats SE]]="Gagné",Report[[#This Row],[FT]]=Report[[#This Row],[Score 3]]),Report[[#This Row],[FT]],"")</f>
        <v/>
      </c>
      <c r="AG291" s="64" t="str">
        <f>IF(AND(Report[[#This Row],[Résultats SE]]="Gagné",Report[[#This Row],[FT]]=Report[[#This Row],[Score 4]]),Report[[#This Row],[FT]],"")</f>
        <v/>
      </c>
    </row>
    <row r="292" spans="1:33" ht="20.100000000000001" customHeight="1" x14ac:dyDescent="0.25">
      <c r="A292" s="11">
        <v>43427</v>
      </c>
      <c r="B292" s="7" t="s">
        <v>77</v>
      </c>
      <c r="C292" s="7" t="s">
        <v>854</v>
      </c>
      <c r="D292" s="19" t="s">
        <v>562</v>
      </c>
      <c r="E292" s="19" t="s">
        <v>564</v>
      </c>
      <c r="F292" s="7" t="s">
        <v>843</v>
      </c>
      <c r="G292" s="20" t="s">
        <v>839</v>
      </c>
      <c r="H292" s="20" t="s">
        <v>834</v>
      </c>
      <c r="I292" s="20" t="s">
        <v>827</v>
      </c>
      <c r="J292" s="20" t="s">
        <v>825</v>
      </c>
      <c r="K292" s="21" t="s">
        <v>564</v>
      </c>
      <c r="L292" s="16">
        <v>1.52</v>
      </c>
      <c r="M292" s="16">
        <v>6.2</v>
      </c>
      <c r="N292" s="17" t="s">
        <v>825</v>
      </c>
      <c r="O292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Zapresic</v>
      </c>
      <c r="P292" s="18">
        <f>IF(Report[[#This Row],[FT]]="",,(LEFT(Report[[#This Row],[FT]],SEARCH("-",Report[[#This Row],[FT]])-1)*1))</f>
        <v>0</v>
      </c>
      <c r="Q292" s="22">
        <f>IF(Report[[#This Row],[FT]]="",,(RIGHT(Report[[#This Row],[FT]],SEARCH("-",Report[[#This Row],[FT]])-1)*1))</f>
        <v>1</v>
      </c>
      <c r="R292" s="18" t="str">
        <f>IF(Report[Résultat FT]="","",IF(Report[Résultat FT]=Report[Résultats],"Gagné","Perdu"))</f>
        <v>Gagné</v>
      </c>
      <c r="S292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292" s="53">
        <f>IF(Report[[#This Row],[FT]]="","",IF(Report[[#This Row],[FT]]=Report[[#This Row],[Score 1]],1,0))</f>
        <v>0</v>
      </c>
      <c r="U292" s="53">
        <f>IF(Report[[#This Row],[FT]]="","",IF(Report[ [#This Row],[FT] ]=Report[[#This Row],[Score 2]],1,0))</f>
        <v>0</v>
      </c>
      <c r="V292" s="53">
        <f>IF(Report[[#This Row],[FT]]="","",IF(Report[[#This Row],[FT]]=Report[[#This Row],[Score 3]],1,0))</f>
        <v>0</v>
      </c>
      <c r="W292" s="53">
        <f>IF(Report[[#This Row],[FT]]="","",IF(Report[[#This Row],[FT]]=Report[[#This Row],[Score 4]],1,0))</f>
        <v>1</v>
      </c>
      <c r="X292" s="66">
        <f>IF(Report[[#This Row],[Résultat FT]]="",,IF(Report[[#This Row],[Résultat FT]]=Report[[#This Row],[Résultats]],(Suivi_Gain!$B$1*Report[[#This Row],[Cote FT]])-Suivi_Gain!$B$1,-Suivi_Gain!$B$1))</f>
        <v>0.52</v>
      </c>
      <c r="Y292" s="94">
        <f>IF(Report[[#This Row],[FT]]="",,IF(Report[[#This Row],[FT]]=Report[[#This Row],[Score 1]],(Suivi_Gain!$G$1*Report[[#This Row],[Cote SE]])-Suivi_Gain!$G$1,-Suivi_Gain!$G$1))</f>
        <v>-1</v>
      </c>
      <c r="Z292" s="65">
        <f>IF(Report[[#This Row],[FT]]="",,IF(Report[[#This Row],[FT]]=Report[[#This Row],[Score 2]],Suivi_Gain!$G$1*Report[[#This Row],[Cote SE]],-Suivi_Gain!$G$1))</f>
        <v>-1</v>
      </c>
      <c r="AA292" s="65">
        <f>IF(Report[[#This Row],[FT]]="",,IF(Report[[#This Row],[FT]]=Report[[#This Row],[Score 3]],Suivi_Gain!$G$1*Report[[#This Row],[Cote SE]],-Suivi_Gain!$G$1))</f>
        <v>-1</v>
      </c>
      <c r="AB292" s="65">
        <f>IF(Report[[#This Row],[FT]]="",,IF(Report[[#This Row],[FT]]=Report[[#This Row],[Score 4]],Suivi_Gain!$G$1*Report[[#This Row],[Cote SE]],-Suivi_Gain!$G$1))</f>
        <v>6.2</v>
      </c>
      <c r="AC292" s="64" t="str">
        <f>IF(Report[[#This Row],[Résultats SE]]="Gagné",Report[[#This Row],[FT]],"")</f>
        <v>0-1</v>
      </c>
      <c r="AD292" s="64" t="str">
        <f>IF(AND(Report[[#This Row],[Résultats SE]]="Gagné",Report[[#This Row],[FT]]=Report[[#This Row],[Score 1]]),Report[[#This Row],[FT]],"")</f>
        <v/>
      </c>
      <c r="AE292" s="64" t="str">
        <f>IF(AND(Report[[#This Row],[Résultats SE]]="Gagné",Report[[#This Row],[FT]]=Report[[#This Row],[Score 2]]),Report[[#This Row],[FT]],"")</f>
        <v/>
      </c>
      <c r="AF292" s="64" t="str">
        <f>IF(AND(Report[[#This Row],[Résultats SE]]="Gagné",Report[[#This Row],[FT]]=Report[[#This Row],[Score 3]]),Report[[#This Row],[FT]],"")</f>
        <v/>
      </c>
      <c r="AG292" s="64" t="str">
        <f>IF(AND(Report[[#This Row],[Résultats SE]]="Gagné",Report[[#This Row],[FT]]=Report[[#This Row],[Score 4]]),Report[[#This Row],[FT]],"")</f>
        <v>0-1</v>
      </c>
    </row>
    <row r="293" spans="1:33" ht="20.100000000000001" customHeight="1" x14ac:dyDescent="0.25">
      <c r="A293" s="11">
        <v>43427</v>
      </c>
      <c r="B293" s="7" t="s">
        <v>78</v>
      </c>
      <c r="C293" s="19" t="s">
        <v>114</v>
      </c>
      <c r="D293" s="19" t="s">
        <v>577</v>
      </c>
      <c r="E293" s="19" t="s">
        <v>565</v>
      </c>
      <c r="F293" s="7" t="s">
        <v>824</v>
      </c>
      <c r="G293" s="20" t="s">
        <v>825</v>
      </c>
      <c r="H293" s="20" t="s">
        <v>826</v>
      </c>
      <c r="I293" s="20" t="s">
        <v>827</v>
      </c>
      <c r="J293" s="20" t="s">
        <v>828</v>
      </c>
      <c r="K293" s="21" t="s">
        <v>565</v>
      </c>
      <c r="L293" s="16" t="s">
        <v>850</v>
      </c>
      <c r="M293" s="16" t="s">
        <v>850</v>
      </c>
      <c r="N293" s="17" t="s">
        <v>834</v>
      </c>
      <c r="O293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293" s="18">
        <f>IF(Report[[#This Row],[FT]]="",,(LEFT(Report[[#This Row],[FT]],SEARCH("-",Report[[#This Row],[FT]])-1)*1))</f>
        <v>1</v>
      </c>
      <c r="Q293" s="22">
        <f>IF(Report[[#This Row],[FT]]="",,(RIGHT(Report[[#This Row],[FT]],SEARCH("-",Report[[#This Row],[FT]])-1)*1))</f>
        <v>1</v>
      </c>
      <c r="R293" s="18" t="str">
        <f>IF(Report[Résultat FT]="","",IF(Report[Résultat FT]=Report[Résultats],"Gagné","Perdu"))</f>
        <v>Perdu</v>
      </c>
      <c r="S293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93" s="53">
        <f>IF(Report[[#This Row],[FT]]="","",IF(Report[[#This Row],[FT]]=Report[[#This Row],[Score 1]],1,0))</f>
        <v>0</v>
      </c>
      <c r="U293" s="53">
        <f>IF(Report[[#This Row],[FT]]="","",IF(Report[ [#This Row],[FT] ]=Report[[#This Row],[Score 2]],1,0))</f>
        <v>0</v>
      </c>
      <c r="V293" s="53">
        <f>IF(Report[[#This Row],[FT]]="","",IF(Report[[#This Row],[FT]]=Report[[#This Row],[Score 3]],1,0))</f>
        <v>0</v>
      </c>
      <c r="W293" s="53">
        <f>IF(Report[[#This Row],[FT]]="","",IF(Report[[#This Row],[FT]]=Report[[#This Row],[Score 4]],1,0))</f>
        <v>0</v>
      </c>
      <c r="X293" s="66">
        <f>IF(Report[[#This Row],[Résultat FT]]="",,IF(Report[[#This Row],[Résultat FT]]=Report[[#This Row],[Résultats]],(Suivi_Gain!$B$1*Report[[#This Row],[Cote FT]])-Suivi_Gain!$B$1,-Suivi_Gain!$B$1))</f>
        <v>-1</v>
      </c>
      <c r="Y293" s="94">
        <f>IF(Report[[#This Row],[FT]]="",,IF(Report[[#This Row],[FT]]=Report[[#This Row],[Score 1]],(Suivi_Gain!$G$1*Report[[#This Row],[Cote SE]])-Suivi_Gain!$G$1,-Suivi_Gain!$G$1))</f>
        <v>-1</v>
      </c>
      <c r="Z293" s="65">
        <f>IF(Report[[#This Row],[FT]]="",,IF(Report[[#This Row],[FT]]=Report[[#This Row],[Score 2]],Suivi_Gain!$G$1*Report[[#This Row],[Cote SE]],-Suivi_Gain!$G$1))</f>
        <v>-1</v>
      </c>
      <c r="AA293" s="65">
        <f>IF(Report[[#This Row],[FT]]="",,IF(Report[[#This Row],[FT]]=Report[[#This Row],[Score 3]],Suivi_Gain!$G$1*Report[[#This Row],[Cote SE]],-Suivi_Gain!$G$1))</f>
        <v>-1</v>
      </c>
      <c r="AB293" s="65">
        <f>IF(Report[[#This Row],[FT]]="",,IF(Report[[#This Row],[FT]]=Report[[#This Row],[Score 4]],Suivi_Gain!$G$1*Report[[#This Row],[Cote SE]],-Suivi_Gain!$G$1))</f>
        <v>-1</v>
      </c>
      <c r="AC293" s="64" t="str">
        <f>IF(Report[[#This Row],[Résultats SE]]="Gagné",Report[[#This Row],[FT]],"")</f>
        <v/>
      </c>
      <c r="AD293" s="64" t="str">
        <f>IF(AND(Report[[#This Row],[Résultats SE]]="Gagné",Report[[#This Row],[FT]]=Report[[#This Row],[Score 1]]),Report[[#This Row],[FT]],"")</f>
        <v/>
      </c>
      <c r="AE293" s="64" t="str">
        <f>IF(AND(Report[[#This Row],[Résultats SE]]="Gagné",Report[[#This Row],[FT]]=Report[[#This Row],[Score 2]]),Report[[#This Row],[FT]],"")</f>
        <v/>
      </c>
      <c r="AF293" s="64" t="str">
        <f>IF(AND(Report[[#This Row],[Résultats SE]]="Gagné",Report[[#This Row],[FT]]=Report[[#This Row],[Score 3]]),Report[[#This Row],[FT]],"")</f>
        <v/>
      </c>
      <c r="AG293" s="64" t="str">
        <f>IF(AND(Report[[#This Row],[Résultats SE]]="Gagné",Report[[#This Row],[FT]]=Report[[#This Row],[Score 4]]),Report[[#This Row],[FT]],"")</f>
        <v/>
      </c>
    </row>
    <row r="294" spans="1:33" ht="20.100000000000001" customHeight="1" x14ac:dyDescent="0.25">
      <c r="A294" s="11">
        <v>43427</v>
      </c>
      <c r="B294" s="7" t="s">
        <v>67</v>
      </c>
      <c r="C294" s="7" t="s">
        <v>102</v>
      </c>
      <c r="D294" s="10" t="s">
        <v>603</v>
      </c>
      <c r="E294" s="10" t="s">
        <v>591</v>
      </c>
      <c r="F294" s="7" t="s">
        <v>824</v>
      </c>
      <c r="G294" s="8" t="s">
        <v>825</v>
      </c>
      <c r="H294" s="9" t="s">
        <v>826</v>
      </c>
      <c r="I294" s="9" t="s">
        <v>827</v>
      </c>
      <c r="J294" s="9" t="s">
        <v>828</v>
      </c>
      <c r="K294" s="9" t="s">
        <v>591</v>
      </c>
      <c r="L294" s="16" t="s">
        <v>850</v>
      </c>
      <c r="M294" s="16" t="s">
        <v>850</v>
      </c>
      <c r="N294" s="17" t="s">
        <v>830</v>
      </c>
      <c r="O294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Leganes</v>
      </c>
      <c r="P294" s="18">
        <f>IF(Report[[#This Row],[FT]]="",,(LEFT(Report[[#This Row],[FT]],SEARCH("-",Report[[#This Row],[FT]])-1)*1))</f>
        <v>1</v>
      </c>
      <c r="Q294" s="22">
        <f>IF(Report[[#This Row],[FT]]="",,(RIGHT(Report[[#This Row],[FT]],SEARCH("-",Report[[#This Row],[FT]])-1)*1))</f>
        <v>0</v>
      </c>
      <c r="R294" s="18" t="str">
        <f>IF(Report[Résultat FT]="","",IF(Report[Résultat FT]=Report[Résultats],"Gagné","Perdu"))</f>
        <v>Perdu</v>
      </c>
      <c r="S294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94" s="53">
        <f>IF(Report[[#This Row],[FT]]="","",IF(Report[[#This Row],[FT]]=Report[[#This Row],[Score 1]],1,0))</f>
        <v>0</v>
      </c>
      <c r="U294" s="53">
        <f>IF(Report[[#This Row],[FT]]="","",IF(Report[ [#This Row],[FT] ]=Report[[#This Row],[Score 2]],1,0))</f>
        <v>0</v>
      </c>
      <c r="V294" s="53">
        <f>IF(Report[[#This Row],[FT]]="","",IF(Report[[#This Row],[FT]]=Report[[#This Row],[Score 3]],1,0))</f>
        <v>0</v>
      </c>
      <c r="W294" s="53">
        <f>IF(Report[[#This Row],[FT]]="","",IF(Report[[#This Row],[FT]]=Report[[#This Row],[Score 4]],1,0))</f>
        <v>0</v>
      </c>
      <c r="X294" s="66">
        <f>IF(Report[[#This Row],[Résultat FT]]="",,IF(Report[[#This Row],[Résultat FT]]=Report[[#This Row],[Résultats]],(Suivi_Gain!$B$1*Report[[#This Row],[Cote FT]])-Suivi_Gain!$B$1,-Suivi_Gain!$B$1))</f>
        <v>-1</v>
      </c>
      <c r="Y294" s="94">
        <f>IF(Report[[#This Row],[FT]]="",,IF(Report[[#This Row],[FT]]=Report[[#This Row],[Score 1]],(Suivi_Gain!$G$1*Report[[#This Row],[Cote SE]])-Suivi_Gain!$G$1,-Suivi_Gain!$G$1))</f>
        <v>-1</v>
      </c>
      <c r="Z294" s="65">
        <f>IF(Report[[#This Row],[FT]]="",,IF(Report[[#This Row],[FT]]=Report[[#This Row],[Score 2]],Suivi_Gain!$G$1*Report[[#This Row],[Cote SE]],-Suivi_Gain!$G$1))</f>
        <v>-1</v>
      </c>
      <c r="AA294" s="65">
        <f>IF(Report[[#This Row],[FT]]="",,IF(Report[[#This Row],[FT]]=Report[[#This Row],[Score 3]],Suivi_Gain!$G$1*Report[[#This Row],[Cote SE]],-Suivi_Gain!$G$1))</f>
        <v>-1</v>
      </c>
      <c r="AB294" s="65">
        <f>IF(Report[[#This Row],[FT]]="",,IF(Report[[#This Row],[FT]]=Report[[#This Row],[Score 4]],Suivi_Gain!$G$1*Report[[#This Row],[Cote SE]],-Suivi_Gain!$G$1))</f>
        <v>-1</v>
      </c>
      <c r="AC294" s="64" t="str">
        <f>IF(Report[[#This Row],[Résultats SE]]="Gagné",Report[[#This Row],[FT]],"")</f>
        <v/>
      </c>
      <c r="AD294" s="64" t="str">
        <f>IF(AND(Report[[#This Row],[Résultats SE]]="Gagné",Report[[#This Row],[FT]]=Report[[#This Row],[Score 1]]),Report[[#This Row],[FT]],"")</f>
        <v/>
      </c>
      <c r="AE294" s="64" t="str">
        <f>IF(AND(Report[[#This Row],[Résultats SE]]="Gagné",Report[[#This Row],[FT]]=Report[[#This Row],[Score 2]]),Report[[#This Row],[FT]],"")</f>
        <v/>
      </c>
      <c r="AF294" s="64" t="str">
        <f>IF(AND(Report[[#This Row],[Résultats SE]]="Gagné",Report[[#This Row],[FT]]=Report[[#This Row],[Score 3]]),Report[[#This Row],[FT]],"")</f>
        <v/>
      </c>
      <c r="AG294" s="64" t="str">
        <f>IF(AND(Report[[#This Row],[Résultats SE]]="Gagné",Report[[#This Row],[FT]]=Report[[#This Row],[Score 4]]),Report[[#This Row],[FT]],"")</f>
        <v/>
      </c>
    </row>
    <row r="295" spans="1:33" ht="20.100000000000001" customHeight="1" x14ac:dyDescent="0.25">
      <c r="A295" s="11">
        <v>43427</v>
      </c>
      <c r="B295" s="7" t="s">
        <v>67</v>
      </c>
      <c r="C295" s="7" t="s">
        <v>103</v>
      </c>
      <c r="D295" s="10" t="s">
        <v>620</v>
      </c>
      <c r="E295" s="10" t="s">
        <v>618</v>
      </c>
      <c r="F295" s="7" t="s">
        <v>829</v>
      </c>
      <c r="G295" s="8" t="s">
        <v>830</v>
      </c>
      <c r="H295" s="9" t="s">
        <v>826</v>
      </c>
      <c r="I295" s="9" t="s">
        <v>831</v>
      </c>
      <c r="J295" s="9" t="s">
        <v>832</v>
      </c>
      <c r="K295" s="9" t="s">
        <v>620</v>
      </c>
      <c r="L295" s="16" t="s">
        <v>850</v>
      </c>
      <c r="M295" s="16" t="s">
        <v>850</v>
      </c>
      <c r="N295" s="17" t="s">
        <v>839</v>
      </c>
      <c r="O295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Gijon</v>
      </c>
      <c r="P295" s="18">
        <f>IF(Report[[#This Row],[FT]]="",,(LEFT(Report[[#This Row],[FT]],SEARCH("-",Report[[#This Row],[FT]])-1)*1))</f>
        <v>1</v>
      </c>
      <c r="Q295" s="22">
        <f>IF(Report[[#This Row],[FT]]="",,(RIGHT(Report[[#This Row],[FT]],SEARCH("-",Report[[#This Row],[FT]])-1)*1))</f>
        <v>2</v>
      </c>
      <c r="R295" s="18" t="str">
        <f>IF(Report[Résultat FT]="","",IF(Report[Résultat FT]=Report[Résultats],"Gagné","Perdu"))</f>
        <v>Perdu</v>
      </c>
      <c r="S295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95" s="53">
        <f>IF(Report[[#This Row],[FT]]="","",IF(Report[[#This Row],[FT]]=Report[[#This Row],[Score 1]],1,0))</f>
        <v>0</v>
      </c>
      <c r="U295" s="53">
        <f>IF(Report[[#This Row],[FT]]="","",IF(Report[ [#This Row],[FT] ]=Report[[#This Row],[Score 2]],1,0))</f>
        <v>0</v>
      </c>
      <c r="V295" s="53">
        <f>IF(Report[[#This Row],[FT]]="","",IF(Report[[#This Row],[FT]]=Report[[#This Row],[Score 3]],1,0))</f>
        <v>0</v>
      </c>
      <c r="W295" s="53">
        <f>IF(Report[[#This Row],[FT]]="","",IF(Report[[#This Row],[FT]]=Report[[#This Row],[Score 4]],1,0))</f>
        <v>0</v>
      </c>
      <c r="X295" s="66">
        <f>IF(Report[[#This Row],[Résultat FT]]="",,IF(Report[[#This Row],[Résultat FT]]=Report[[#This Row],[Résultats]],(Suivi_Gain!$B$1*Report[[#This Row],[Cote FT]])-Suivi_Gain!$B$1,-Suivi_Gain!$B$1))</f>
        <v>-1</v>
      </c>
      <c r="Y295" s="94">
        <f>IF(Report[[#This Row],[FT]]="",,IF(Report[[#This Row],[FT]]=Report[[#This Row],[Score 1]],(Suivi_Gain!$G$1*Report[[#This Row],[Cote SE]])-Suivi_Gain!$G$1,-Suivi_Gain!$G$1))</f>
        <v>-1</v>
      </c>
      <c r="Z295" s="65">
        <f>IF(Report[[#This Row],[FT]]="",,IF(Report[[#This Row],[FT]]=Report[[#This Row],[Score 2]],Suivi_Gain!$G$1*Report[[#This Row],[Cote SE]],-Suivi_Gain!$G$1))</f>
        <v>-1</v>
      </c>
      <c r="AA295" s="65">
        <f>IF(Report[[#This Row],[FT]]="",,IF(Report[[#This Row],[FT]]=Report[[#This Row],[Score 3]],Suivi_Gain!$G$1*Report[[#This Row],[Cote SE]],-Suivi_Gain!$G$1))</f>
        <v>-1</v>
      </c>
      <c r="AB295" s="65">
        <f>IF(Report[[#This Row],[FT]]="",,IF(Report[[#This Row],[FT]]=Report[[#This Row],[Score 4]],Suivi_Gain!$G$1*Report[[#This Row],[Cote SE]],-Suivi_Gain!$G$1))</f>
        <v>-1</v>
      </c>
      <c r="AC295" s="64" t="str">
        <f>IF(Report[[#This Row],[Résultats SE]]="Gagné",Report[[#This Row],[FT]],"")</f>
        <v/>
      </c>
      <c r="AD295" s="64" t="str">
        <f>IF(AND(Report[[#This Row],[Résultats SE]]="Gagné",Report[[#This Row],[FT]]=Report[[#This Row],[Score 1]]),Report[[#This Row],[FT]],"")</f>
        <v/>
      </c>
      <c r="AE295" s="64" t="str">
        <f>IF(AND(Report[[#This Row],[Résultats SE]]="Gagné",Report[[#This Row],[FT]]=Report[[#This Row],[Score 2]]),Report[[#This Row],[FT]],"")</f>
        <v/>
      </c>
      <c r="AF295" s="64" t="str">
        <f>IF(AND(Report[[#This Row],[Résultats SE]]="Gagné",Report[[#This Row],[FT]]=Report[[#This Row],[Score 3]]),Report[[#This Row],[FT]],"")</f>
        <v/>
      </c>
      <c r="AG295" s="64" t="str">
        <f>IF(AND(Report[[#This Row],[Résultats SE]]="Gagné",Report[[#This Row],[FT]]=Report[[#This Row],[Score 4]]),Report[[#This Row],[FT]],"")</f>
        <v/>
      </c>
    </row>
    <row r="296" spans="1:33" ht="20.100000000000001" customHeight="1" x14ac:dyDescent="0.25">
      <c r="A296" s="11">
        <v>43427</v>
      </c>
      <c r="B296" s="7" t="s">
        <v>36</v>
      </c>
      <c r="C296" s="7" t="s">
        <v>37</v>
      </c>
      <c r="D296" s="10" t="s">
        <v>1</v>
      </c>
      <c r="E296" s="10" t="s">
        <v>18</v>
      </c>
      <c r="F296" s="7" t="s">
        <v>833</v>
      </c>
      <c r="G296" s="8" t="s">
        <v>834</v>
      </c>
      <c r="H296" s="9" t="s">
        <v>830</v>
      </c>
      <c r="I296" s="9" t="s">
        <v>825</v>
      </c>
      <c r="J296" s="9" t="s">
        <v>826</v>
      </c>
      <c r="K296" s="9" t="s">
        <v>233</v>
      </c>
      <c r="L296" s="16" t="s">
        <v>850</v>
      </c>
      <c r="M296" s="16">
        <v>8.6</v>
      </c>
      <c r="N296" s="17" t="s">
        <v>830</v>
      </c>
      <c r="O296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Lyon</v>
      </c>
      <c r="P296" s="18">
        <f>IF(Report[[#This Row],[FT]]="",,(LEFT(Report[[#This Row],[FT]],SEARCH("-",Report[[#This Row],[FT]])-1)*1))</f>
        <v>1</v>
      </c>
      <c r="Q296" s="22">
        <f>IF(Report[[#This Row],[FT]]="",,(RIGHT(Report[[#This Row],[FT]],SEARCH("-",Report[[#This Row],[FT]])-1)*1))</f>
        <v>0</v>
      </c>
      <c r="R296" s="18" t="str">
        <f>IF(Report[Résultat FT]="","",IF(Report[Résultat FT]=Report[Résultats],"Gagné","Perdu"))</f>
        <v>Perdu</v>
      </c>
      <c r="S296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296" s="53">
        <f>IF(Report[[#This Row],[FT]]="","",IF(Report[[#This Row],[FT]]=Report[[#This Row],[Score 1]],1,0))</f>
        <v>0</v>
      </c>
      <c r="U296" s="53">
        <f>IF(Report[[#This Row],[FT]]="","",IF(Report[ [#This Row],[FT] ]=Report[[#This Row],[Score 2]],1,0))</f>
        <v>1</v>
      </c>
      <c r="V296" s="53">
        <f>IF(Report[[#This Row],[FT]]="","",IF(Report[[#This Row],[FT]]=Report[[#This Row],[Score 3]],1,0))</f>
        <v>0</v>
      </c>
      <c r="W296" s="53">
        <f>IF(Report[[#This Row],[FT]]="","",IF(Report[[#This Row],[FT]]=Report[[#This Row],[Score 4]],1,0))</f>
        <v>0</v>
      </c>
      <c r="X296" s="66">
        <f>IF(Report[[#This Row],[Résultat FT]]="",,IF(Report[[#This Row],[Résultat FT]]=Report[[#This Row],[Résultats]],(Suivi_Gain!$B$1*Report[[#This Row],[Cote FT]])-Suivi_Gain!$B$1,-Suivi_Gain!$B$1))</f>
        <v>-1</v>
      </c>
      <c r="Y296" s="94">
        <f>IF(Report[[#This Row],[FT]]="",,IF(Report[[#This Row],[FT]]=Report[[#This Row],[Score 1]],(Suivi_Gain!$G$1*Report[[#This Row],[Cote SE]])-Suivi_Gain!$G$1,-Suivi_Gain!$G$1))</f>
        <v>-1</v>
      </c>
      <c r="Z296" s="65">
        <f>IF(Report[[#This Row],[FT]]="",,IF(Report[[#This Row],[FT]]=Report[[#This Row],[Score 2]],Suivi_Gain!$G$1*Report[[#This Row],[Cote SE]],-Suivi_Gain!$G$1))</f>
        <v>8.6</v>
      </c>
      <c r="AA296" s="65">
        <f>IF(Report[[#This Row],[FT]]="",,IF(Report[[#This Row],[FT]]=Report[[#This Row],[Score 3]],Suivi_Gain!$G$1*Report[[#This Row],[Cote SE]],-Suivi_Gain!$G$1))</f>
        <v>-1</v>
      </c>
      <c r="AB296" s="65">
        <f>IF(Report[[#This Row],[FT]]="",,IF(Report[[#This Row],[FT]]=Report[[#This Row],[Score 4]],Suivi_Gain!$G$1*Report[[#This Row],[Cote SE]],-Suivi_Gain!$G$1))</f>
        <v>-1</v>
      </c>
      <c r="AC296" s="64" t="str">
        <f>IF(Report[[#This Row],[Résultats SE]]="Gagné",Report[[#This Row],[FT]],"")</f>
        <v>1-0</v>
      </c>
      <c r="AD296" s="64" t="str">
        <f>IF(AND(Report[[#This Row],[Résultats SE]]="Gagné",Report[[#This Row],[FT]]=Report[[#This Row],[Score 1]]),Report[[#This Row],[FT]],"")</f>
        <v/>
      </c>
      <c r="AE296" s="64" t="str">
        <f>IF(AND(Report[[#This Row],[Résultats SE]]="Gagné",Report[[#This Row],[FT]]=Report[[#This Row],[Score 2]]),Report[[#This Row],[FT]],"")</f>
        <v>1-0</v>
      </c>
      <c r="AF296" s="64" t="str">
        <f>IF(AND(Report[[#This Row],[Résultats SE]]="Gagné",Report[[#This Row],[FT]]=Report[[#This Row],[Score 3]]),Report[[#This Row],[FT]],"")</f>
        <v/>
      </c>
      <c r="AG296" s="64" t="str">
        <f>IF(AND(Report[[#This Row],[Résultats SE]]="Gagné",Report[[#This Row],[FT]]=Report[[#This Row],[Score 4]]),Report[[#This Row],[FT]],"")</f>
        <v/>
      </c>
    </row>
    <row r="297" spans="1:33" ht="20.100000000000001" customHeight="1" x14ac:dyDescent="0.25">
      <c r="A297" s="11">
        <v>43427</v>
      </c>
      <c r="B297" s="7" t="s">
        <v>36</v>
      </c>
      <c r="C297" s="7" t="s">
        <v>38</v>
      </c>
      <c r="D297" s="10" t="s">
        <v>45</v>
      </c>
      <c r="E297" s="10" t="s">
        <v>50</v>
      </c>
      <c r="F297" s="7" t="s">
        <v>824</v>
      </c>
      <c r="G297" s="8" t="s">
        <v>825</v>
      </c>
      <c r="H297" s="9" t="s">
        <v>826</v>
      </c>
      <c r="I297" s="9" t="s">
        <v>827</v>
      </c>
      <c r="J297" s="9" t="s">
        <v>828</v>
      </c>
      <c r="K297" s="9" t="s">
        <v>50</v>
      </c>
      <c r="L297" s="16" t="s">
        <v>850</v>
      </c>
      <c r="M297" s="16">
        <v>6.8</v>
      </c>
      <c r="N297" s="17" t="s">
        <v>826</v>
      </c>
      <c r="O297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297" s="18">
        <f>IF(Report[[#This Row],[FT]]="",,(LEFT(Report[[#This Row],[FT]],SEARCH("-",Report[[#This Row],[FT]])-1)*1))</f>
        <v>0</v>
      </c>
      <c r="Q297" s="22">
        <f>IF(Report[[#This Row],[FT]]="",,(RIGHT(Report[[#This Row],[FT]],SEARCH("-",Report[[#This Row],[FT]])-1)*1))</f>
        <v>0</v>
      </c>
      <c r="R297" s="18" t="str">
        <f>IF(Report[Résultat FT]="","",IF(Report[Résultat FT]=Report[Résultats],"Gagné","Perdu"))</f>
        <v>Perdu</v>
      </c>
      <c r="S297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297" s="53">
        <f>IF(Report[[#This Row],[FT]]="","",IF(Report[[#This Row],[FT]]=Report[[#This Row],[Score 1]],1,0))</f>
        <v>0</v>
      </c>
      <c r="U297" s="53">
        <f>IF(Report[[#This Row],[FT]]="","",IF(Report[ [#This Row],[FT] ]=Report[[#This Row],[Score 2]],1,0))</f>
        <v>1</v>
      </c>
      <c r="V297" s="53">
        <f>IF(Report[[#This Row],[FT]]="","",IF(Report[[#This Row],[FT]]=Report[[#This Row],[Score 3]],1,0))</f>
        <v>0</v>
      </c>
      <c r="W297" s="53">
        <f>IF(Report[[#This Row],[FT]]="","",IF(Report[[#This Row],[FT]]=Report[[#This Row],[Score 4]],1,0))</f>
        <v>0</v>
      </c>
      <c r="X297" s="66">
        <f>IF(Report[[#This Row],[Résultat FT]]="",,IF(Report[[#This Row],[Résultat FT]]=Report[[#This Row],[Résultats]],(Suivi_Gain!$B$1*Report[[#This Row],[Cote FT]])-Suivi_Gain!$B$1,-Suivi_Gain!$B$1))</f>
        <v>-1</v>
      </c>
      <c r="Y297" s="94">
        <f>IF(Report[[#This Row],[FT]]="",,IF(Report[[#This Row],[FT]]=Report[[#This Row],[Score 1]],(Suivi_Gain!$G$1*Report[[#This Row],[Cote SE]])-Suivi_Gain!$G$1,-Suivi_Gain!$G$1))</f>
        <v>-1</v>
      </c>
      <c r="Z297" s="65">
        <f>IF(Report[[#This Row],[FT]]="",,IF(Report[[#This Row],[FT]]=Report[[#This Row],[Score 2]],Suivi_Gain!$G$1*Report[[#This Row],[Cote SE]],-Suivi_Gain!$G$1))</f>
        <v>6.8</v>
      </c>
      <c r="AA297" s="65">
        <f>IF(Report[[#This Row],[FT]]="",,IF(Report[[#This Row],[FT]]=Report[[#This Row],[Score 3]],Suivi_Gain!$G$1*Report[[#This Row],[Cote SE]],-Suivi_Gain!$G$1))</f>
        <v>-1</v>
      </c>
      <c r="AB297" s="65">
        <f>IF(Report[[#This Row],[FT]]="",,IF(Report[[#This Row],[FT]]=Report[[#This Row],[Score 4]],Suivi_Gain!$G$1*Report[[#This Row],[Cote SE]],-Suivi_Gain!$G$1))</f>
        <v>-1</v>
      </c>
      <c r="AC297" s="64" t="str">
        <f>IF(Report[[#This Row],[Résultats SE]]="Gagné",Report[[#This Row],[FT]],"")</f>
        <v>0-0</v>
      </c>
      <c r="AD297" s="64" t="str">
        <f>IF(AND(Report[[#This Row],[Résultats SE]]="Gagné",Report[[#This Row],[FT]]=Report[[#This Row],[Score 1]]),Report[[#This Row],[FT]],"")</f>
        <v/>
      </c>
      <c r="AE297" s="64" t="str">
        <f>IF(AND(Report[[#This Row],[Résultats SE]]="Gagné",Report[[#This Row],[FT]]=Report[[#This Row],[Score 2]]),Report[[#This Row],[FT]],"")</f>
        <v>0-0</v>
      </c>
      <c r="AF297" s="64" t="str">
        <f>IF(AND(Report[[#This Row],[Résultats SE]]="Gagné",Report[[#This Row],[FT]]=Report[[#This Row],[Score 3]]),Report[[#This Row],[FT]],"")</f>
        <v/>
      </c>
      <c r="AG297" s="64" t="str">
        <f>IF(AND(Report[[#This Row],[Résultats SE]]="Gagné",Report[[#This Row],[FT]]=Report[[#This Row],[Score 4]]),Report[[#This Row],[FT]],"")</f>
        <v/>
      </c>
    </row>
    <row r="298" spans="1:33" ht="20.100000000000001" customHeight="1" x14ac:dyDescent="0.25">
      <c r="A298" s="11">
        <v>43427</v>
      </c>
      <c r="B298" s="7" t="s">
        <v>36</v>
      </c>
      <c r="C298" s="7" t="s">
        <v>38</v>
      </c>
      <c r="D298" s="10" t="s">
        <v>47</v>
      </c>
      <c r="E298" s="10" t="s">
        <v>64</v>
      </c>
      <c r="F298" s="7" t="s">
        <v>833</v>
      </c>
      <c r="G298" s="8" t="s">
        <v>834</v>
      </c>
      <c r="H298" s="9" t="s">
        <v>830</v>
      </c>
      <c r="I298" s="9" t="s">
        <v>825</v>
      </c>
      <c r="J298" s="9" t="s">
        <v>826</v>
      </c>
      <c r="K298" s="9" t="s">
        <v>233</v>
      </c>
      <c r="L298" s="16">
        <v>2</v>
      </c>
      <c r="M298" s="16">
        <v>5</v>
      </c>
      <c r="N298" s="17" t="s">
        <v>834</v>
      </c>
      <c r="O298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298" s="18">
        <f>IF(Report[[#This Row],[FT]]="",,(LEFT(Report[[#This Row],[FT]],SEARCH("-",Report[[#This Row],[FT]])-1)*1))</f>
        <v>1</v>
      </c>
      <c r="Q298" s="22">
        <f>IF(Report[[#This Row],[FT]]="",,(RIGHT(Report[[#This Row],[FT]],SEARCH("-",Report[[#This Row],[FT]])-1)*1))</f>
        <v>1</v>
      </c>
      <c r="R298" s="18" t="str">
        <f>IF(Report[Résultat FT]="","",IF(Report[Résultat FT]=Report[Résultats],"Gagné","Perdu"))</f>
        <v>Gagné</v>
      </c>
      <c r="S298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298" s="53">
        <f>IF(Report[[#This Row],[FT]]="","",IF(Report[[#This Row],[FT]]=Report[[#This Row],[Score 1]],1,0))</f>
        <v>1</v>
      </c>
      <c r="U298" s="53">
        <f>IF(Report[[#This Row],[FT]]="","",IF(Report[ [#This Row],[FT] ]=Report[[#This Row],[Score 2]],1,0))</f>
        <v>0</v>
      </c>
      <c r="V298" s="53">
        <f>IF(Report[[#This Row],[FT]]="","",IF(Report[[#This Row],[FT]]=Report[[#This Row],[Score 3]],1,0))</f>
        <v>0</v>
      </c>
      <c r="W298" s="53">
        <f>IF(Report[[#This Row],[FT]]="","",IF(Report[[#This Row],[FT]]=Report[[#This Row],[Score 4]],1,0))</f>
        <v>0</v>
      </c>
      <c r="X298" s="66">
        <f>IF(Report[[#This Row],[Résultat FT]]="",,IF(Report[[#This Row],[Résultat FT]]=Report[[#This Row],[Résultats]],(Suivi_Gain!$B$1*Report[[#This Row],[Cote FT]])-Suivi_Gain!$B$1,-Suivi_Gain!$B$1))</f>
        <v>1</v>
      </c>
      <c r="Y298" s="94">
        <f>IF(Report[[#This Row],[FT]]="",,IF(Report[[#This Row],[FT]]=Report[[#This Row],[Score 1]],(Suivi_Gain!$G$1*Report[[#This Row],[Cote SE]])-Suivi_Gain!$G$1,-Suivi_Gain!$G$1))</f>
        <v>4</v>
      </c>
      <c r="Z298" s="65">
        <f>IF(Report[[#This Row],[FT]]="",,IF(Report[[#This Row],[FT]]=Report[[#This Row],[Score 2]],Suivi_Gain!$G$1*Report[[#This Row],[Cote SE]],-Suivi_Gain!$G$1))</f>
        <v>-1</v>
      </c>
      <c r="AA298" s="65">
        <f>IF(Report[[#This Row],[FT]]="",,IF(Report[[#This Row],[FT]]=Report[[#This Row],[Score 3]],Suivi_Gain!$G$1*Report[[#This Row],[Cote SE]],-Suivi_Gain!$G$1))</f>
        <v>-1</v>
      </c>
      <c r="AB298" s="65">
        <f>IF(Report[[#This Row],[FT]]="",,IF(Report[[#This Row],[FT]]=Report[[#This Row],[Score 4]],Suivi_Gain!$G$1*Report[[#This Row],[Cote SE]],-Suivi_Gain!$G$1))</f>
        <v>-1</v>
      </c>
      <c r="AC298" s="64" t="str">
        <f>IF(Report[[#This Row],[Résultats SE]]="Gagné",Report[[#This Row],[FT]],"")</f>
        <v>1-1</v>
      </c>
      <c r="AD298" s="64" t="str">
        <f>IF(AND(Report[[#This Row],[Résultats SE]]="Gagné",Report[[#This Row],[FT]]=Report[[#This Row],[Score 1]]),Report[[#This Row],[FT]],"")</f>
        <v>1-1</v>
      </c>
      <c r="AE298" s="64" t="str">
        <f>IF(AND(Report[[#This Row],[Résultats SE]]="Gagné",Report[[#This Row],[FT]]=Report[[#This Row],[Score 2]]),Report[[#This Row],[FT]],"")</f>
        <v/>
      </c>
      <c r="AF298" s="64" t="str">
        <f>IF(AND(Report[[#This Row],[Résultats SE]]="Gagné",Report[[#This Row],[FT]]=Report[[#This Row],[Score 3]]),Report[[#This Row],[FT]],"")</f>
        <v/>
      </c>
      <c r="AG298" s="64" t="str">
        <f>IF(AND(Report[[#This Row],[Résultats SE]]="Gagné",Report[[#This Row],[FT]]=Report[[#This Row],[Score 4]]),Report[[#This Row],[FT]],"")</f>
        <v/>
      </c>
    </row>
    <row r="299" spans="1:33" ht="20.100000000000001" customHeight="1" x14ac:dyDescent="0.25">
      <c r="A299" s="11">
        <v>43427</v>
      </c>
      <c r="B299" s="7" t="s">
        <v>36</v>
      </c>
      <c r="C299" s="7" t="s">
        <v>38</v>
      </c>
      <c r="D299" s="10" t="s">
        <v>57</v>
      </c>
      <c r="E299" s="10" t="s">
        <v>61</v>
      </c>
      <c r="F299" s="7" t="s">
        <v>844</v>
      </c>
      <c r="G299" s="8" t="s">
        <v>826</v>
      </c>
      <c r="H299" s="9" t="s">
        <v>845</v>
      </c>
      <c r="I299" s="9" t="s">
        <v>846</v>
      </c>
      <c r="J299" s="9" t="s">
        <v>847</v>
      </c>
      <c r="K299" s="9" t="s">
        <v>233</v>
      </c>
      <c r="L299" s="16" t="s">
        <v>850</v>
      </c>
      <c r="M299" s="16" t="s">
        <v>850</v>
      </c>
      <c r="N299" s="17" t="s">
        <v>830</v>
      </c>
      <c r="O299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Nancy</v>
      </c>
      <c r="P299" s="18">
        <f>IF(Report[[#This Row],[FT]]="",,(LEFT(Report[[#This Row],[FT]],SEARCH("-",Report[[#This Row],[FT]])-1)*1))</f>
        <v>1</v>
      </c>
      <c r="Q299" s="22">
        <f>IF(Report[[#This Row],[FT]]="",,(RIGHT(Report[[#This Row],[FT]],SEARCH("-",Report[[#This Row],[FT]])-1)*1))</f>
        <v>0</v>
      </c>
      <c r="R299" s="18" t="str">
        <f>IF(Report[Résultat FT]="","",IF(Report[Résultat FT]=Report[Résultats],"Gagné","Perdu"))</f>
        <v>Perdu</v>
      </c>
      <c r="S299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299" s="53">
        <f>IF(Report[[#This Row],[FT]]="","",IF(Report[[#This Row],[FT]]=Report[[#This Row],[Score 1]],1,0))</f>
        <v>0</v>
      </c>
      <c r="U299" s="53">
        <f>IF(Report[[#This Row],[FT]]="","",IF(Report[ [#This Row],[FT] ]=Report[[#This Row],[Score 2]],1,0))</f>
        <v>0</v>
      </c>
      <c r="V299" s="53">
        <f>IF(Report[[#This Row],[FT]]="","",IF(Report[[#This Row],[FT]]=Report[[#This Row],[Score 3]],1,0))</f>
        <v>0</v>
      </c>
      <c r="W299" s="53">
        <f>IF(Report[[#This Row],[FT]]="","",IF(Report[[#This Row],[FT]]=Report[[#This Row],[Score 4]],1,0))</f>
        <v>0</v>
      </c>
      <c r="X299" s="66">
        <f>IF(Report[[#This Row],[Résultat FT]]="",,IF(Report[[#This Row],[Résultat FT]]=Report[[#This Row],[Résultats]],(Suivi_Gain!$B$1*Report[[#This Row],[Cote FT]])-Suivi_Gain!$B$1,-Suivi_Gain!$B$1))</f>
        <v>-1</v>
      </c>
      <c r="Y299" s="94">
        <f>IF(Report[[#This Row],[FT]]="",,IF(Report[[#This Row],[FT]]=Report[[#This Row],[Score 1]],(Suivi_Gain!$G$1*Report[[#This Row],[Cote SE]])-Suivi_Gain!$G$1,-Suivi_Gain!$G$1))</f>
        <v>-1</v>
      </c>
      <c r="Z299" s="65">
        <f>IF(Report[[#This Row],[FT]]="",,IF(Report[[#This Row],[FT]]=Report[[#This Row],[Score 2]],Suivi_Gain!$G$1*Report[[#This Row],[Cote SE]],-Suivi_Gain!$G$1))</f>
        <v>-1</v>
      </c>
      <c r="AA299" s="65">
        <f>IF(Report[[#This Row],[FT]]="",,IF(Report[[#This Row],[FT]]=Report[[#This Row],[Score 3]],Suivi_Gain!$G$1*Report[[#This Row],[Cote SE]],-Suivi_Gain!$G$1))</f>
        <v>-1</v>
      </c>
      <c r="AB299" s="65">
        <f>IF(Report[[#This Row],[FT]]="",,IF(Report[[#This Row],[FT]]=Report[[#This Row],[Score 4]],Suivi_Gain!$G$1*Report[[#This Row],[Cote SE]],-Suivi_Gain!$G$1))</f>
        <v>-1</v>
      </c>
      <c r="AC299" s="64" t="str">
        <f>IF(Report[[#This Row],[Résultats SE]]="Gagné",Report[[#This Row],[FT]],"")</f>
        <v/>
      </c>
      <c r="AD299" s="64" t="str">
        <f>IF(AND(Report[[#This Row],[Résultats SE]]="Gagné",Report[[#This Row],[FT]]=Report[[#This Row],[Score 1]]),Report[[#This Row],[FT]],"")</f>
        <v/>
      </c>
      <c r="AE299" s="64" t="str">
        <f>IF(AND(Report[[#This Row],[Résultats SE]]="Gagné",Report[[#This Row],[FT]]=Report[[#This Row],[Score 2]]),Report[[#This Row],[FT]],"")</f>
        <v/>
      </c>
      <c r="AF299" s="64" t="str">
        <f>IF(AND(Report[[#This Row],[Résultats SE]]="Gagné",Report[[#This Row],[FT]]=Report[[#This Row],[Score 3]]),Report[[#This Row],[FT]],"")</f>
        <v/>
      </c>
      <c r="AG299" s="64" t="str">
        <f>IF(AND(Report[[#This Row],[Résultats SE]]="Gagné",Report[[#This Row],[FT]]=Report[[#This Row],[Score 4]]),Report[[#This Row],[FT]],"")</f>
        <v/>
      </c>
    </row>
    <row r="300" spans="1:33" ht="20.100000000000001" customHeight="1" x14ac:dyDescent="0.25">
      <c r="A300" s="11">
        <v>43427</v>
      </c>
      <c r="B300" s="7" t="s">
        <v>36</v>
      </c>
      <c r="C300" s="7" t="s">
        <v>38</v>
      </c>
      <c r="D300" s="10" t="s">
        <v>59</v>
      </c>
      <c r="E300" s="10" t="s">
        <v>48</v>
      </c>
      <c r="F300" s="7" t="s">
        <v>843</v>
      </c>
      <c r="G300" s="8" t="s">
        <v>839</v>
      </c>
      <c r="H300" s="9" t="s">
        <v>834</v>
      </c>
      <c r="I300" s="9" t="s">
        <v>827</v>
      </c>
      <c r="J300" s="9" t="s">
        <v>825</v>
      </c>
      <c r="K300" s="9" t="s">
        <v>48</v>
      </c>
      <c r="L300" s="16" t="s">
        <v>850</v>
      </c>
      <c r="M300" s="16" t="s">
        <v>850</v>
      </c>
      <c r="N300" s="17" t="s">
        <v>826</v>
      </c>
      <c r="O300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300" s="18">
        <f>IF(Report[[#This Row],[FT]]="",,(LEFT(Report[[#This Row],[FT]],SEARCH("-",Report[[#This Row],[FT]])-1)*1))</f>
        <v>0</v>
      </c>
      <c r="Q300" s="22">
        <f>IF(Report[[#This Row],[FT]]="",,(RIGHT(Report[[#This Row],[FT]],SEARCH("-",Report[[#This Row],[FT]])-1)*1))</f>
        <v>0</v>
      </c>
      <c r="R300" s="18" t="str">
        <f>IF(Report[Résultat FT]="","",IF(Report[Résultat FT]=Report[Résultats],"Gagné","Perdu"))</f>
        <v>Perdu</v>
      </c>
      <c r="S300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300" s="53">
        <f>IF(Report[[#This Row],[FT]]="","",IF(Report[[#This Row],[FT]]=Report[[#This Row],[Score 1]],1,0))</f>
        <v>0</v>
      </c>
      <c r="U300" s="53">
        <f>IF(Report[[#This Row],[FT]]="","",IF(Report[ [#This Row],[FT] ]=Report[[#This Row],[Score 2]],1,0))</f>
        <v>0</v>
      </c>
      <c r="V300" s="53">
        <f>IF(Report[[#This Row],[FT]]="","",IF(Report[[#This Row],[FT]]=Report[[#This Row],[Score 3]],1,0))</f>
        <v>0</v>
      </c>
      <c r="W300" s="53">
        <f>IF(Report[[#This Row],[FT]]="","",IF(Report[[#This Row],[FT]]=Report[[#This Row],[Score 4]],1,0))</f>
        <v>0</v>
      </c>
      <c r="X300" s="66">
        <f>IF(Report[[#This Row],[Résultat FT]]="",,IF(Report[[#This Row],[Résultat FT]]=Report[[#This Row],[Résultats]],(Suivi_Gain!$B$1*Report[[#This Row],[Cote FT]])-Suivi_Gain!$B$1,-Suivi_Gain!$B$1))</f>
        <v>-1</v>
      </c>
      <c r="Y300" s="94">
        <f>IF(Report[[#This Row],[FT]]="",,IF(Report[[#This Row],[FT]]=Report[[#This Row],[Score 1]],(Suivi_Gain!$G$1*Report[[#This Row],[Cote SE]])-Suivi_Gain!$G$1,-Suivi_Gain!$G$1))</f>
        <v>-1</v>
      </c>
      <c r="Z300" s="65">
        <f>IF(Report[[#This Row],[FT]]="",,IF(Report[[#This Row],[FT]]=Report[[#This Row],[Score 2]],Suivi_Gain!$G$1*Report[[#This Row],[Cote SE]],-Suivi_Gain!$G$1))</f>
        <v>-1</v>
      </c>
      <c r="AA300" s="65">
        <f>IF(Report[[#This Row],[FT]]="",,IF(Report[[#This Row],[FT]]=Report[[#This Row],[Score 3]],Suivi_Gain!$G$1*Report[[#This Row],[Cote SE]],-Suivi_Gain!$G$1))</f>
        <v>-1</v>
      </c>
      <c r="AB300" s="65">
        <f>IF(Report[[#This Row],[FT]]="",,IF(Report[[#This Row],[FT]]=Report[[#This Row],[Score 4]],Suivi_Gain!$G$1*Report[[#This Row],[Cote SE]],-Suivi_Gain!$G$1))</f>
        <v>-1</v>
      </c>
      <c r="AC300" s="64" t="str">
        <f>IF(Report[[#This Row],[Résultats SE]]="Gagné",Report[[#This Row],[FT]],"")</f>
        <v/>
      </c>
      <c r="AD300" s="64" t="str">
        <f>IF(AND(Report[[#This Row],[Résultats SE]]="Gagné",Report[[#This Row],[FT]]=Report[[#This Row],[Score 1]]),Report[[#This Row],[FT]],"")</f>
        <v/>
      </c>
      <c r="AE300" s="64" t="str">
        <f>IF(AND(Report[[#This Row],[Résultats SE]]="Gagné",Report[[#This Row],[FT]]=Report[[#This Row],[Score 2]]),Report[[#This Row],[FT]],"")</f>
        <v/>
      </c>
      <c r="AF300" s="64" t="str">
        <f>IF(AND(Report[[#This Row],[Résultats SE]]="Gagné",Report[[#This Row],[FT]]=Report[[#This Row],[Score 3]]),Report[[#This Row],[FT]],"")</f>
        <v/>
      </c>
      <c r="AG300" s="64" t="str">
        <f>IF(AND(Report[[#This Row],[Résultats SE]]="Gagné",Report[[#This Row],[FT]]=Report[[#This Row],[Score 4]]),Report[[#This Row],[FT]],"")</f>
        <v/>
      </c>
    </row>
    <row r="301" spans="1:33" ht="20.100000000000001" customHeight="1" x14ac:dyDescent="0.25">
      <c r="A301" s="11">
        <v>43427</v>
      </c>
      <c r="B301" s="7" t="s">
        <v>36</v>
      </c>
      <c r="C301" s="7" t="s">
        <v>38</v>
      </c>
      <c r="D301" s="10" t="s">
        <v>60</v>
      </c>
      <c r="E301" s="10" t="s">
        <v>53</v>
      </c>
      <c r="F301" s="7" t="s">
        <v>844</v>
      </c>
      <c r="G301" s="8" t="s">
        <v>826</v>
      </c>
      <c r="H301" s="9" t="s">
        <v>845</v>
      </c>
      <c r="I301" s="9" t="s">
        <v>846</v>
      </c>
      <c r="J301" s="9" t="s">
        <v>847</v>
      </c>
      <c r="K301" s="9" t="s">
        <v>233</v>
      </c>
      <c r="L301" s="16" t="s">
        <v>850</v>
      </c>
      <c r="M301" s="16" t="s">
        <v>850</v>
      </c>
      <c r="N301" s="17" t="s">
        <v>830</v>
      </c>
      <c r="O301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Paris FC</v>
      </c>
      <c r="P301" s="18">
        <f>IF(Report[[#This Row],[FT]]="",,(LEFT(Report[[#This Row],[FT]],SEARCH("-",Report[[#This Row],[FT]])-1)*1))</f>
        <v>1</v>
      </c>
      <c r="Q301" s="22">
        <f>IF(Report[[#This Row],[FT]]="",,(RIGHT(Report[[#This Row],[FT]],SEARCH("-",Report[[#This Row],[FT]])-1)*1))</f>
        <v>0</v>
      </c>
      <c r="R301" s="18" t="str">
        <f>IF(Report[Résultat FT]="","",IF(Report[Résultat FT]=Report[Résultats],"Gagné","Perdu"))</f>
        <v>Perdu</v>
      </c>
      <c r="S301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301" s="53">
        <f>IF(Report[[#This Row],[FT]]="","",IF(Report[[#This Row],[FT]]=Report[[#This Row],[Score 1]],1,0))</f>
        <v>0</v>
      </c>
      <c r="U301" s="53">
        <f>IF(Report[[#This Row],[FT]]="","",IF(Report[ [#This Row],[FT] ]=Report[[#This Row],[Score 2]],1,0))</f>
        <v>0</v>
      </c>
      <c r="V301" s="53">
        <f>IF(Report[[#This Row],[FT]]="","",IF(Report[[#This Row],[FT]]=Report[[#This Row],[Score 3]],1,0))</f>
        <v>0</v>
      </c>
      <c r="W301" s="53">
        <f>IF(Report[[#This Row],[FT]]="","",IF(Report[[#This Row],[FT]]=Report[[#This Row],[Score 4]],1,0))</f>
        <v>0</v>
      </c>
      <c r="X301" s="66">
        <f>IF(Report[[#This Row],[Résultat FT]]="",,IF(Report[[#This Row],[Résultat FT]]=Report[[#This Row],[Résultats]],(Suivi_Gain!$B$1*Report[[#This Row],[Cote FT]])-Suivi_Gain!$B$1,-Suivi_Gain!$B$1))</f>
        <v>-1</v>
      </c>
      <c r="Y301" s="94">
        <f>IF(Report[[#This Row],[FT]]="",,IF(Report[[#This Row],[FT]]=Report[[#This Row],[Score 1]],(Suivi_Gain!$G$1*Report[[#This Row],[Cote SE]])-Suivi_Gain!$G$1,-Suivi_Gain!$G$1))</f>
        <v>-1</v>
      </c>
      <c r="Z301" s="65">
        <f>IF(Report[[#This Row],[FT]]="",,IF(Report[[#This Row],[FT]]=Report[[#This Row],[Score 2]],Suivi_Gain!$G$1*Report[[#This Row],[Cote SE]],-Suivi_Gain!$G$1))</f>
        <v>-1</v>
      </c>
      <c r="AA301" s="65">
        <f>IF(Report[[#This Row],[FT]]="",,IF(Report[[#This Row],[FT]]=Report[[#This Row],[Score 3]],Suivi_Gain!$G$1*Report[[#This Row],[Cote SE]],-Suivi_Gain!$G$1))</f>
        <v>-1</v>
      </c>
      <c r="AB301" s="65">
        <f>IF(Report[[#This Row],[FT]]="",,IF(Report[[#This Row],[FT]]=Report[[#This Row],[Score 4]],Suivi_Gain!$G$1*Report[[#This Row],[Cote SE]],-Suivi_Gain!$G$1))</f>
        <v>-1</v>
      </c>
      <c r="AC301" s="64" t="str">
        <f>IF(Report[[#This Row],[Résultats SE]]="Gagné",Report[[#This Row],[FT]],"")</f>
        <v/>
      </c>
      <c r="AD301" s="64" t="str">
        <f>IF(AND(Report[[#This Row],[Résultats SE]]="Gagné",Report[[#This Row],[FT]]=Report[[#This Row],[Score 1]]),Report[[#This Row],[FT]],"")</f>
        <v/>
      </c>
      <c r="AE301" s="64" t="str">
        <f>IF(AND(Report[[#This Row],[Résultats SE]]="Gagné",Report[[#This Row],[FT]]=Report[[#This Row],[Score 2]]),Report[[#This Row],[FT]],"")</f>
        <v/>
      </c>
      <c r="AF301" s="64" t="str">
        <f>IF(AND(Report[[#This Row],[Résultats SE]]="Gagné",Report[[#This Row],[FT]]=Report[[#This Row],[Score 3]]),Report[[#This Row],[FT]],"")</f>
        <v/>
      </c>
      <c r="AG301" s="64" t="str">
        <f>IF(AND(Report[[#This Row],[Résultats SE]]="Gagné",Report[[#This Row],[FT]]=Report[[#This Row],[Score 4]]),Report[[#This Row],[FT]],"")</f>
        <v/>
      </c>
    </row>
    <row r="302" spans="1:33" ht="20.100000000000001" customHeight="1" x14ac:dyDescent="0.25">
      <c r="A302" s="11">
        <v>43427</v>
      </c>
      <c r="B302" s="7" t="s">
        <v>36</v>
      </c>
      <c r="C302" s="7" t="s">
        <v>38</v>
      </c>
      <c r="D302" s="10" t="s">
        <v>62</v>
      </c>
      <c r="E302" s="10" t="s">
        <v>46</v>
      </c>
      <c r="F302" s="7" t="s">
        <v>844</v>
      </c>
      <c r="G302" s="8" t="s">
        <v>826</v>
      </c>
      <c r="H302" s="9" t="s">
        <v>845</v>
      </c>
      <c r="I302" s="9" t="s">
        <v>846</v>
      </c>
      <c r="J302" s="9" t="s">
        <v>847</v>
      </c>
      <c r="K302" s="9" t="s">
        <v>233</v>
      </c>
      <c r="L302" s="16" t="s">
        <v>850</v>
      </c>
      <c r="M302" s="16" t="s">
        <v>850</v>
      </c>
      <c r="N302" s="17" t="s">
        <v>852</v>
      </c>
      <c r="O302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Auxerre</v>
      </c>
      <c r="P302" s="18">
        <f>IF(Report[[#This Row],[FT]]="",,(LEFT(Report[[#This Row],[FT]],SEARCH("-",Report[[#This Row],[FT]])-1)*1))</f>
        <v>1</v>
      </c>
      <c r="Q302" s="22">
        <f>IF(Report[[#This Row],[FT]]="",,(RIGHT(Report[[#This Row],[FT]],SEARCH("-",Report[[#This Row],[FT]])-1)*1))</f>
        <v>4</v>
      </c>
      <c r="R302" s="18" t="str">
        <f>IF(Report[Résultat FT]="","",IF(Report[Résultat FT]=Report[Résultats],"Gagné","Perdu"))</f>
        <v>Perdu</v>
      </c>
      <c r="S302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302" s="53">
        <f>IF(Report[[#This Row],[FT]]="","",IF(Report[[#This Row],[FT]]=Report[[#This Row],[Score 1]],1,0))</f>
        <v>0</v>
      </c>
      <c r="U302" s="53">
        <f>IF(Report[[#This Row],[FT]]="","",IF(Report[ [#This Row],[FT] ]=Report[[#This Row],[Score 2]],1,0))</f>
        <v>0</v>
      </c>
      <c r="V302" s="53">
        <f>IF(Report[[#This Row],[FT]]="","",IF(Report[[#This Row],[FT]]=Report[[#This Row],[Score 3]],1,0))</f>
        <v>0</v>
      </c>
      <c r="W302" s="53">
        <f>IF(Report[[#This Row],[FT]]="","",IF(Report[[#This Row],[FT]]=Report[[#This Row],[Score 4]],1,0))</f>
        <v>0</v>
      </c>
      <c r="X302" s="66">
        <f>IF(Report[[#This Row],[Résultat FT]]="",,IF(Report[[#This Row],[Résultat FT]]=Report[[#This Row],[Résultats]],(Suivi_Gain!$B$1*Report[[#This Row],[Cote FT]])-Suivi_Gain!$B$1,-Suivi_Gain!$B$1))</f>
        <v>-1</v>
      </c>
      <c r="Y302" s="94">
        <f>IF(Report[[#This Row],[FT]]="",,IF(Report[[#This Row],[FT]]=Report[[#This Row],[Score 1]],(Suivi_Gain!$G$1*Report[[#This Row],[Cote SE]])-Suivi_Gain!$G$1,-Suivi_Gain!$G$1))</f>
        <v>-1</v>
      </c>
      <c r="Z302" s="65">
        <f>IF(Report[[#This Row],[FT]]="",,IF(Report[[#This Row],[FT]]=Report[[#This Row],[Score 2]],Suivi_Gain!$G$1*Report[[#This Row],[Cote SE]],-Suivi_Gain!$G$1))</f>
        <v>-1</v>
      </c>
      <c r="AA302" s="65">
        <f>IF(Report[[#This Row],[FT]]="",,IF(Report[[#This Row],[FT]]=Report[[#This Row],[Score 3]],Suivi_Gain!$G$1*Report[[#This Row],[Cote SE]],-Suivi_Gain!$G$1))</f>
        <v>-1</v>
      </c>
      <c r="AB302" s="65">
        <f>IF(Report[[#This Row],[FT]]="",,IF(Report[[#This Row],[FT]]=Report[[#This Row],[Score 4]],Suivi_Gain!$G$1*Report[[#This Row],[Cote SE]],-Suivi_Gain!$G$1))</f>
        <v>-1</v>
      </c>
      <c r="AC302" s="64" t="str">
        <f>IF(Report[[#This Row],[Résultats SE]]="Gagné",Report[[#This Row],[FT]],"")</f>
        <v/>
      </c>
      <c r="AD302" s="64" t="str">
        <f>IF(AND(Report[[#This Row],[Résultats SE]]="Gagné",Report[[#This Row],[FT]]=Report[[#This Row],[Score 1]]),Report[[#This Row],[FT]],"")</f>
        <v/>
      </c>
      <c r="AE302" s="64" t="str">
        <f>IF(AND(Report[[#This Row],[Résultats SE]]="Gagné",Report[[#This Row],[FT]]=Report[[#This Row],[Score 2]]),Report[[#This Row],[FT]],"")</f>
        <v/>
      </c>
      <c r="AF302" s="64" t="str">
        <f>IF(AND(Report[[#This Row],[Résultats SE]]="Gagné",Report[[#This Row],[FT]]=Report[[#This Row],[Score 3]]),Report[[#This Row],[FT]],"")</f>
        <v/>
      </c>
      <c r="AG302" s="64" t="str">
        <f>IF(AND(Report[[#This Row],[Résultats SE]]="Gagné",Report[[#This Row],[FT]]=Report[[#This Row],[Score 4]]),Report[[#This Row],[FT]],"")</f>
        <v/>
      </c>
    </row>
    <row r="303" spans="1:33" ht="20.100000000000001" customHeight="1" x14ac:dyDescent="0.25">
      <c r="A303" s="11">
        <v>43427</v>
      </c>
      <c r="B303" s="7" t="s">
        <v>36</v>
      </c>
      <c r="C303" s="7" t="s">
        <v>38</v>
      </c>
      <c r="D303" s="10" t="s">
        <v>63</v>
      </c>
      <c r="E303" s="10" t="s">
        <v>55</v>
      </c>
      <c r="F303" s="7" t="s">
        <v>824</v>
      </c>
      <c r="G303" s="8" t="s">
        <v>825</v>
      </c>
      <c r="H303" s="9" t="s">
        <v>826</v>
      </c>
      <c r="I303" s="9" t="s">
        <v>827</v>
      </c>
      <c r="J303" s="9" t="s">
        <v>828</v>
      </c>
      <c r="K303" s="9" t="s">
        <v>55</v>
      </c>
      <c r="L303" s="16" t="s">
        <v>850</v>
      </c>
      <c r="M303" s="16" t="s">
        <v>850</v>
      </c>
      <c r="N303" s="17" t="s">
        <v>831</v>
      </c>
      <c r="O303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Troyes</v>
      </c>
      <c r="P303" s="18">
        <f>IF(Report[[#This Row],[FT]]="",,(LEFT(Report[[#This Row],[FT]],SEARCH("-",Report[[#This Row],[FT]])-1)*1))</f>
        <v>2</v>
      </c>
      <c r="Q303" s="22">
        <f>IF(Report[[#This Row],[FT]]="",,(RIGHT(Report[[#This Row],[FT]],SEARCH("-",Report[[#This Row],[FT]])-1)*1))</f>
        <v>0</v>
      </c>
      <c r="R303" s="18" t="str">
        <f>IF(Report[Résultat FT]="","",IF(Report[Résultat FT]=Report[Résultats],"Gagné","Perdu"))</f>
        <v>Perdu</v>
      </c>
      <c r="S303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303" s="53">
        <f>IF(Report[[#This Row],[FT]]="","",IF(Report[[#This Row],[FT]]=Report[[#This Row],[Score 1]],1,0))</f>
        <v>0</v>
      </c>
      <c r="U303" s="53">
        <f>IF(Report[[#This Row],[FT]]="","",IF(Report[ [#This Row],[FT] ]=Report[[#This Row],[Score 2]],1,0))</f>
        <v>0</v>
      </c>
      <c r="V303" s="53">
        <f>IF(Report[[#This Row],[FT]]="","",IF(Report[[#This Row],[FT]]=Report[[#This Row],[Score 3]],1,0))</f>
        <v>0</v>
      </c>
      <c r="W303" s="53">
        <f>IF(Report[[#This Row],[FT]]="","",IF(Report[[#This Row],[FT]]=Report[[#This Row],[Score 4]],1,0))</f>
        <v>0</v>
      </c>
      <c r="X303" s="66">
        <f>IF(Report[[#This Row],[Résultat FT]]="",,IF(Report[[#This Row],[Résultat FT]]=Report[[#This Row],[Résultats]],(Suivi_Gain!$B$1*Report[[#This Row],[Cote FT]])-Suivi_Gain!$B$1,-Suivi_Gain!$B$1))</f>
        <v>-1</v>
      </c>
      <c r="Y303" s="94">
        <f>IF(Report[[#This Row],[FT]]="",,IF(Report[[#This Row],[FT]]=Report[[#This Row],[Score 1]],(Suivi_Gain!$G$1*Report[[#This Row],[Cote SE]])-Suivi_Gain!$G$1,-Suivi_Gain!$G$1))</f>
        <v>-1</v>
      </c>
      <c r="Z303" s="65">
        <f>IF(Report[[#This Row],[FT]]="",,IF(Report[[#This Row],[FT]]=Report[[#This Row],[Score 2]],Suivi_Gain!$G$1*Report[[#This Row],[Cote SE]],-Suivi_Gain!$G$1))</f>
        <v>-1</v>
      </c>
      <c r="AA303" s="65">
        <f>IF(Report[[#This Row],[FT]]="",,IF(Report[[#This Row],[FT]]=Report[[#This Row],[Score 3]],Suivi_Gain!$G$1*Report[[#This Row],[Cote SE]],-Suivi_Gain!$G$1))</f>
        <v>-1</v>
      </c>
      <c r="AB303" s="65">
        <f>IF(Report[[#This Row],[FT]]="",,IF(Report[[#This Row],[FT]]=Report[[#This Row],[Score 4]],Suivi_Gain!$G$1*Report[[#This Row],[Cote SE]],-Suivi_Gain!$G$1))</f>
        <v>-1</v>
      </c>
      <c r="AC303" s="64" t="str">
        <f>IF(Report[[#This Row],[Résultats SE]]="Gagné",Report[[#This Row],[FT]],"")</f>
        <v/>
      </c>
      <c r="AD303" s="64" t="str">
        <f>IF(AND(Report[[#This Row],[Résultats SE]]="Gagné",Report[[#This Row],[FT]]=Report[[#This Row],[Score 1]]),Report[[#This Row],[FT]],"")</f>
        <v/>
      </c>
      <c r="AE303" s="64" t="str">
        <f>IF(AND(Report[[#This Row],[Résultats SE]]="Gagné",Report[[#This Row],[FT]]=Report[[#This Row],[Score 2]]),Report[[#This Row],[FT]],"")</f>
        <v/>
      </c>
      <c r="AF303" s="64" t="str">
        <f>IF(AND(Report[[#This Row],[Résultats SE]]="Gagné",Report[[#This Row],[FT]]=Report[[#This Row],[Score 3]]),Report[[#This Row],[FT]],"")</f>
        <v/>
      </c>
      <c r="AG303" s="64" t="str">
        <f>IF(AND(Report[[#This Row],[Résultats SE]]="Gagné",Report[[#This Row],[FT]]=Report[[#This Row],[Score 4]]),Report[[#This Row],[FT]],"")</f>
        <v/>
      </c>
    </row>
    <row r="304" spans="1:33" ht="20.100000000000001" customHeight="1" x14ac:dyDescent="0.25">
      <c r="A304" s="11">
        <v>43427</v>
      </c>
      <c r="B304" s="7" t="s">
        <v>36</v>
      </c>
      <c r="C304" s="7" t="s">
        <v>38</v>
      </c>
      <c r="D304" s="10" t="s">
        <v>58</v>
      </c>
      <c r="E304" s="10" t="s">
        <v>49</v>
      </c>
      <c r="F304" s="7" t="s">
        <v>829</v>
      </c>
      <c r="G304" s="8" t="s">
        <v>830</v>
      </c>
      <c r="H304" s="9" t="s">
        <v>826</v>
      </c>
      <c r="I304" s="9" t="s">
        <v>831</v>
      </c>
      <c r="J304" s="9" t="s">
        <v>832</v>
      </c>
      <c r="K304" s="9" t="s">
        <v>58</v>
      </c>
      <c r="L304" s="16" t="s">
        <v>850</v>
      </c>
      <c r="M304" s="16" t="s">
        <v>850</v>
      </c>
      <c r="N304" s="17" t="s">
        <v>825</v>
      </c>
      <c r="O304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Chateauroux</v>
      </c>
      <c r="P304" s="18">
        <f>IF(Report[[#This Row],[FT]]="",,(LEFT(Report[[#This Row],[FT]],SEARCH("-",Report[[#This Row],[FT]])-1)*1))</f>
        <v>0</v>
      </c>
      <c r="Q304" s="22">
        <f>IF(Report[[#This Row],[FT]]="",,(RIGHT(Report[[#This Row],[FT]],SEARCH("-",Report[[#This Row],[FT]])-1)*1))</f>
        <v>1</v>
      </c>
      <c r="R304" s="18" t="str">
        <f>IF(Report[Résultat FT]="","",IF(Report[Résultat FT]=Report[Résultats],"Gagné","Perdu"))</f>
        <v>Perdu</v>
      </c>
      <c r="S304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304" s="53">
        <f>IF(Report[[#This Row],[FT]]="","",IF(Report[[#This Row],[FT]]=Report[[#This Row],[Score 1]],1,0))</f>
        <v>0</v>
      </c>
      <c r="U304" s="53">
        <f>IF(Report[[#This Row],[FT]]="","",IF(Report[ [#This Row],[FT] ]=Report[[#This Row],[Score 2]],1,0))</f>
        <v>0</v>
      </c>
      <c r="V304" s="53">
        <f>IF(Report[[#This Row],[FT]]="","",IF(Report[[#This Row],[FT]]=Report[[#This Row],[Score 3]],1,0))</f>
        <v>0</v>
      </c>
      <c r="W304" s="53">
        <f>IF(Report[[#This Row],[FT]]="","",IF(Report[[#This Row],[FT]]=Report[[#This Row],[Score 4]],1,0))</f>
        <v>0</v>
      </c>
      <c r="X304" s="66">
        <f>IF(Report[[#This Row],[Résultat FT]]="",,IF(Report[[#This Row],[Résultat FT]]=Report[[#This Row],[Résultats]],(Suivi_Gain!$B$1*Report[[#This Row],[Cote FT]])-Suivi_Gain!$B$1,-Suivi_Gain!$B$1))</f>
        <v>-1</v>
      </c>
      <c r="Y304" s="94">
        <f>IF(Report[[#This Row],[FT]]="",,IF(Report[[#This Row],[FT]]=Report[[#This Row],[Score 1]],(Suivi_Gain!$G$1*Report[[#This Row],[Cote SE]])-Suivi_Gain!$G$1,-Suivi_Gain!$G$1))</f>
        <v>-1</v>
      </c>
      <c r="Z304" s="65">
        <f>IF(Report[[#This Row],[FT]]="",,IF(Report[[#This Row],[FT]]=Report[[#This Row],[Score 2]],Suivi_Gain!$G$1*Report[[#This Row],[Cote SE]],-Suivi_Gain!$G$1))</f>
        <v>-1</v>
      </c>
      <c r="AA304" s="65">
        <f>IF(Report[[#This Row],[FT]]="",,IF(Report[[#This Row],[FT]]=Report[[#This Row],[Score 3]],Suivi_Gain!$G$1*Report[[#This Row],[Cote SE]],-Suivi_Gain!$G$1))</f>
        <v>-1</v>
      </c>
      <c r="AB304" s="65">
        <f>IF(Report[[#This Row],[FT]]="",,IF(Report[[#This Row],[FT]]=Report[[#This Row],[Score 4]],Suivi_Gain!$G$1*Report[[#This Row],[Cote SE]],-Suivi_Gain!$G$1))</f>
        <v>-1</v>
      </c>
      <c r="AC304" s="64" t="str">
        <f>IF(Report[[#This Row],[Résultats SE]]="Gagné",Report[[#This Row],[FT]],"")</f>
        <v/>
      </c>
      <c r="AD304" s="64" t="str">
        <f>IF(AND(Report[[#This Row],[Résultats SE]]="Gagné",Report[[#This Row],[FT]]=Report[[#This Row],[Score 1]]),Report[[#This Row],[FT]],"")</f>
        <v/>
      </c>
      <c r="AE304" s="64" t="str">
        <f>IF(AND(Report[[#This Row],[Résultats SE]]="Gagné",Report[[#This Row],[FT]]=Report[[#This Row],[Score 2]]),Report[[#This Row],[FT]],"")</f>
        <v/>
      </c>
      <c r="AF304" s="64" t="str">
        <f>IF(AND(Report[[#This Row],[Résultats SE]]="Gagné",Report[[#This Row],[FT]]=Report[[#This Row],[Score 3]]),Report[[#This Row],[FT]],"")</f>
        <v/>
      </c>
      <c r="AG304" s="64" t="str">
        <f>IF(AND(Report[[#This Row],[Résultats SE]]="Gagné",Report[[#This Row],[FT]]=Report[[#This Row],[Score 4]]),Report[[#This Row],[FT]],"")</f>
        <v/>
      </c>
    </row>
    <row r="305" spans="1:33" ht="20.100000000000001" customHeight="1" x14ac:dyDescent="0.25">
      <c r="A305" s="11">
        <v>43427</v>
      </c>
      <c r="B305" s="7" t="s">
        <v>81</v>
      </c>
      <c r="C305" s="7" t="s">
        <v>108</v>
      </c>
      <c r="D305" s="10" t="s">
        <v>681</v>
      </c>
      <c r="E305" s="10" t="s">
        <v>672</v>
      </c>
      <c r="F305" s="7" t="s">
        <v>877</v>
      </c>
      <c r="G305" s="8" t="s">
        <v>828</v>
      </c>
      <c r="H305" s="9" t="s">
        <v>827</v>
      </c>
      <c r="I305" s="9" t="s">
        <v>878</v>
      </c>
      <c r="J305" s="9" t="s">
        <v>825</v>
      </c>
      <c r="K305" s="9" t="s">
        <v>672</v>
      </c>
      <c r="L305" s="16">
        <v>1.46</v>
      </c>
      <c r="M305" s="16" t="s">
        <v>850</v>
      </c>
      <c r="N305" s="17" t="s">
        <v>839</v>
      </c>
      <c r="O305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Ballymena</v>
      </c>
      <c r="P305" s="18">
        <f>IF(Report[[#This Row],[FT]]="",,(LEFT(Report[[#This Row],[FT]],SEARCH("-",Report[[#This Row],[FT]])-1)*1))</f>
        <v>1</v>
      </c>
      <c r="Q305" s="22">
        <f>IF(Report[[#This Row],[FT]]="",,(RIGHT(Report[[#This Row],[FT]],SEARCH("-",Report[[#This Row],[FT]])-1)*1))</f>
        <v>2</v>
      </c>
      <c r="R305" s="18" t="str">
        <f>IF(Report[Résultat FT]="","",IF(Report[Résultat FT]=Report[Résultats],"Gagné","Perdu"))</f>
        <v>Gagné</v>
      </c>
      <c r="S305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305" s="53">
        <f>IF(Report[[#This Row],[FT]]="","",IF(Report[[#This Row],[FT]]=Report[[#This Row],[Score 1]],1,0))</f>
        <v>0</v>
      </c>
      <c r="U305" s="53">
        <f>IF(Report[[#This Row],[FT]]="","",IF(Report[ [#This Row],[FT] ]=Report[[#This Row],[Score 2]],1,0))</f>
        <v>0</v>
      </c>
      <c r="V305" s="53">
        <f>IF(Report[[#This Row],[FT]]="","",IF(Report[[#This Row],[FT]]=Report[[#This Row],[Score 3]],1,0))</f>
        <v>0</v>
      </c>
      <c r="W305" s="53">
        <f>IF(Report[[#This Row],[FT]]="","",IF(Report[[#This Row],[FT]]=Report[[#This Row],[Score 4]],1,0))</f>
        <v>0</v>
      </c>
      <c r="X305" s="94">
        <f>IF(Report[[#This Row],[Résultat FT]]="",,IF(Report[[#This Row],[Résultat FT]]=Report[[#This Row],[Résultats]],(Suivi_Gain!$B$1*Report[[#This Row],[Cote FT]])-Suivi_Gain!$B$1,-Suivi_Gain!$B$1))</f>
        <v>0.45999999999999996</v>
      </c>
      <c r="Y305" s="94">
        <f>IF(Report[[#This Row],[FT]]="",,IF(Report[[#This Row],[FT]]=Report[[#This Row],[Score 1]],(Suivi_Gain!$G$1*Report[[#This Row],[Cote SE]])-Suivi_Gain!$G$1,-Suivi_Gain!$G$1))</f>
        <v>-1</v>
      </c>
      <c r="Z305" s="65">
        <f>IF(Report[[#This Row],[FT]]="",,IF(Report[[#This Row],[FT]]=Report[[#This Row],[Score 2]],Suivi_Gain!$G$1*Report[[#This Row],[Cote SE]],-Suivi_Gain!$G$1))</f>
        <v>-1</v>
      </c>
      <c r="AA305" s="65">
        <f>IF(Report[[#This Row],[FT]]="",,IF(Report[[#This Row],[FT]]=Report[[#This Row],[Score 3]],Suivi_Gain!$G$1*Report[[#This Row],[Cote SE]],-Suivi_Gain!$G$1))</f>
        <v>-1</v>
      </c>
      <c r="AB305" s="65">
        <f>IF(Report[[#This Row],[FT]]="",,IF(Report[[#This Row],[FT]]=Report[[#This Row],[Score 4]],Suivi_Gain!$G$1*Report[[#This Row],[Cote SE]],-Suivi_Gain!$G$1))</f>
        <v>-1</v>
      </c>
      <c r="AC305" s="80" t="str">
        <f>IF(Report[[#This Row],[Résultats SE]]="Gagné",Report[[#This Row],[FT]],"")</f>
        <v/>
      </c>
      <c r="AD305" s="80" t="str">
        <f>IF(AND(Report[[#This Row],[Résultats SE]]="Gagné",Report[[#This Row],[FT]]=Report[[#This Row],[Score 1]]),Report[[#This Row],[FT]],"")</f>
        <v/>
      </c>
      <c r="AE305" s="80" t="str">
        <f>IF(AND(Report[[#This Row],[Résultats SE]]="Gagné",Report[[#This Row],[FT]]=Report[[#This Row],[Score 2]]),Report[[#This Row],[FT]],"")</f>
        <v/>
      </c>
      <c r="AF305" s="80" t="str">
        <f>IF(AND(Report[[#This Row],[Résultats SE]]="Gagné",Report[[#This Row],[FT]]=Report[[#This Row],[Score 3]]),Report[[#This Row],[FT]],"")</f>
        <v/>
      </c>
      <c r="AG305" s="80" t="str">
        <f>IF(AND(Report[[#This Row],[Résultats SE]]="Gagné",Report[[#This Row],[FT]]=Report[[#This Row],[Score 4]]),Report[[#This Row],[FT]],"")</f>
        <v/>
      </c>
    </row>
    <row r="306" spans="1:33" ht="20.100000000000001" customHeight="1" x14ac:dyDescent="0.25">
      <c r="A306" s="11">
        <v>43427</v>
      </c>
      <c r="B306" s="7" t="s">
        <v>69</v>
      </c>
      <c r="C306" s="7" t="s">
        <v>494</v>
      </c>
      <c r="D306" s="10" t="s">
        <v>504</v>
      </c>
      <c r="E306" s="10" t="s">
        <v>508</v>
      </c>
      <c r="F306" s="7" t="s">
        <v>843</v>
      </c>
      <c r="G306" s="8" t="s">
        <v>839</v>
      </c>
      <c r="H306" s="9" t="s">
        <v>834</v>
      </c>
      <c r="I306" s="9" t="s">
        <v>827</v>
      </c>
      <c r="J306" s="9" t="s">
        <v>825</v>
      </c>
      <c r="K306" s="9" t="s">
        <v>508</v>
      </c>
      <c r="L306" s="16" t="s">
        <v>850</v>
      </c>
      <c r="M306" s="16">
        <v>4.7</v>
      </c>
      <c r="N306" s="17" t="s">
        <v>834</v>
      </c>
      <c r="O306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306" s="18">
        <f>IF(Report[[#This Row],[FT]]="",,(LEFT(Report[[#This Row],[FT]],SEARCH("-",Report[[#This Row],[FT]])-1)*1))</f>
        <v>1</v>
      </c>
      <c r="Q306" s="22">
        <f>IF(Report[[#This Row],[FT]]="",,(RIGHT(Report[[#This Row],[FT]],SEARCH("-",Report[[#This Row],[FT]])-1)*1))</f>
        <v>1</v>
      </c>
      <c r="R306" s="18" t="str">
        <f>IF(Report[Résultat FT]="","",IF(Report[Résultat FT]=Report[Résultats],"Gagné","Perdu"))</f>
        <v>Perdu</v>
      </c>
      <c r="S306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306" s="53">
        <f>IF(Report[[#This Row],[FT]]="","",IF(Report[[#This Row],[FT]]=Report[[#This Row],[Score 1]],1,0))</f>
        <v>0</v>
      </c>
      <c r="U306" s="53">
        <f>IF(Report[[#This Row],[FT]]="","",IF(Report[ [#This Row],[FT] ]=Report[[#This Row],[Score 2]],1,0))</f>
        <v>1</v>
      </c>
      <c r="V306" s="53">
        <f>IF(Report[[#This Row],[FT]]="","",IF(Report[[#This Row],[FT]]=Report[[#This Row],[Score 3]],1,0))</f>
        <v>0</v>
      </c>
      <c r="W306" s="53">
        <f>IF(Report[[#This Row],[FT]]="","",IF(Report[[#This Row],[FT]]=Report[[#This Row],[Score 4]],1,0))</f>
        <v>0</v>
      </c>
      <c r="X306" s="66">
        <f>IF(Report[[#This Row],[Résultat FT]]="",,IF(Report[[#This Row],[Résultat FT]]=Report[[#This Row],[Résultats]],(Suivi_Gain!$B$1*Report[[#This Row],[Cote FT]])-Suivi_Gain!$B$1,-Suivi_Gain!$B$1))</f>
        <v>-1</v>
      </c>
      <c r="Y306" s="94">
        <f>IF(Report[[#This Row],[FT]]="",,IF(Report[[#This Row],[FT]]=Report[[#This Row],[Score 1]],(Suivi_Gain!$G$1*Report[[#This Row],[Cote SE]])-Suivi_Gain!$G$1,-Suivi_Gain!$G$1))</f>
        <v>-1</v>
      </c>
      <c r="Z306" s="65">
        <f>IF(Report[[#This Row],[FT]]="",,IF(Report[[#This Row],[FT]]=Report[[#This Row],[Score 2]],Suivi_Gain!$G$1*Report[[#This Row],[Cote SE]],-Suivi_Gain!$G$1))</f>
        <v>4.7</v>
      </c>
      <c r="AA306" s="65">
        <f>IF(Report[[#This Row],[FT]]="",,IF(Report[[#This Row],[FT]]=Report[[#This Row],[Score 3]],Suivi_Gain!$G$1*Report[[#This Row],[Cote SE]],-Suivi_Gain!$G$1))</f>
        <v>-1</v>
      </c>
      <c r="AB306" s="65">
        <f>IF(Report[[#This Row],[FT]]="",,IF(Report[[#This Row],[FT]]=Report[[#This Row],[Score 4]],Suivi_Gain!$G$1*Report[[#This Row],[Cote SE]],-Suivi_Gain!$G$1))</f>
        <v>-1</v>
      </c>
      <c r="AC306" s="64" t="str">
        <f>IF(Report[[#This Row],[Résultats SE]]="Gagné",Report[[#This Row],[FT]],"")</f>
        <v>1-1</v>
      </c>
      <c r="AD306" s="64" t="str">
        <f>IF(AND(Report[[#This Row],[Résultats SE]]="Gagné",Report[[#This Row],[FT]]=Report[[#This Row],[Score 1]]),Report[[#This Row],[FT]],"")</f>
        <v/>
      </c>
      <c r="AE306" s="64" t="str">
        <f>IF(AND(Report[[#This Row],[Résultats SE]]="Gagné",Report[[#This Row],[FT]]=Report[[#This Row],[Score 2]]),Report[[#This Row],[FT]],"")</f>
        <v>1-1</v>
      </c>
      <c r="AF306" s="64" t="str">
        <f>IF(AND(Report[[#This Row],[Résultats SE]]="Gagné",Report[[#This Row],[FT]]=Report[[#This Row],[Score 3]]),Report[[#This Row],[FT]],"")</f>
        <v/>
      </c>
      <c r="AG306" s="64" t="str">
        <f>IF(AND(Report[[#This Row],[Résultats SE]]="Gagné",Report[[#This Row],[FT]]=Report[[#This Row],[Score 4]]),Report[[#This Row],[FT]],"")</f>
        <v/>
      </c>
    </row>
    <row r="307" spans="1:33" ht="20.100000000000001" customHeight="1" x14ac:dyDescent="0.25">
      <c r="A307" s="11">
        <v>43427</v>
      </c>
      <c r="B307" s="7" t="s">
        <v>88</v>
      </c>
      <c r="C307" s="7" t="s">
        <v>121</v>
      </c>
      <c r="D307" s="10" t="s">
        <v>773</v>
      </c>
      <c r="E307" s="10" t="s">
        <v>777</v>
      </c>
      <c r="F307" s="7" t="s">
        <v>842</v>
      </c>
      <c r="G307" s="8" t="s">
        <v>838</v>
      </c>
      <c r="H307" s="9" t="s">
        <v>831</v>
      </c>
      <c r="I307" s="9" t="s">
        <v>834</v>
      </c>
      <c r="J307" s="9" t="s">
        <v>830</v>
      </c>
      <c r="K307" s="9" t="s">
        <v>773</v>
      </c>
      <c r="L307" s="16" t="s">
        <v>850</v>
      </c>
      <c r="M307" s="16" t="s">
        <v>850</v>
      </c>
      <c r="N307" s="17" t="s">
        <v>826</v>
      </c>
      <c r="O307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307" s="18">
        <f>IF(Report[[#This Row],[FT]]="",,(LEFT(Report[[#This Row],[FT]],SEARCH("-",Report[[#This Row],[FT]])-1)*1))</f>
        <v>0</v>
      </c>
      <c r="Q307" s="22">
        <f>IF(Report[[#This Row],[FT]]="",,(RIGHT(Report[[#This Row],[FT]],SEARCH("-",Report[[#This Row],[FT]])-1)*1))</f>
        <v>0</v>
      </c>
      <c r="R307" s="18" t="str">
        <f>IF(Report[Résultat FT]="","",IF(Report[Résultat FT]=Report[Résultats],"Gagné","Perdu"))</f>
        <v>Perdu</v>
      </c>
      <c r="S307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307" s="53">
        <f>IF(Report[[#This Row],[FT]]="","",IF(Report[[#This Row],[FT]]=Report[[#This Row],[Score 1]],1,0))</f>
        <v>0</v>
      </c>
      <c r="U307" s="53">
        <f>IF(Report[[#This Row],[FT]]="","",IF(Report[ [#This Row],[FT] ]=Report[[#This Row],[Score 2]],1,0))</f>
        <v>0</v>
      </c>
      <c r="V307" s="53">
        <f>IF(Report[[#This Row],[FT]]="","",IF(Report[[#This Row],[FT]]=Report[[#This Row],[Score 3]],1,0))</f>
        <v>0</v>
      </c>
      <c r="W307" s="53">
        <f>IF(Report[[#This Row],[FT]]="","",IF(Report[[#This Row],[FT]]=Report[[#This Row],[Score 4]],1,0))</f>
        <v>0</v>
      </c>
      <c r="X307" s="66">
        <f>IF(Report[[#This Row],[Résultat FT]]="",,IF(Report[[#This Row],[Résultat FT]]=Report[[#This Row],[Résultats]],(Suivi_Gain!$B$1*Report[[#This Row],[Cote FT]])-Suivi_Gain!$B$1,-Suivi_Gain!$B$1))</f>
        <v>-1</v>
      </c>
      <c r="Y307" s="94">
        <f>IF(Report[[#This Row],[FT]]="",,IF(Report[[#This Row],[FT]]=Report[[#This Row],[Score 1]],(Suivi_Gain!$G$1*Report[[#This Row],[Cote SE]])-Suivi_Gain!$G$1,-Suivi_Gain!$G$1))</f>
        <v>-1</v>
      </c>
      <c r="Z307" s="65">
        <f>IF(Report[[#This Row],[FT]]="",,IF(Report[[#This Row],[FT]]=Report[[#This Row],[Score 2]],Suivi_Gain!$G$1*Report[[#This Row],[Cote SE]],-Suivi_Gain!$G$1))</f>
        <v>-1</v>
      </c>
      <c r="AA307" s="65">
        <f>IF(Report[[#This Row],[FT]]="",,IF(Report[[#This Row],[FT]]=Report[[#This Row],[Score 3]],Suivi_Gain!$G$1*Report[[#This Row],[Cote SE]],-Suivi_Gain!$G$1))</f>
        <v>-1</v>
      </c>
      <c r="AB307" s="65">
        <f>IF(Report[[#This Row],[FT]]="",,IF(Report[[#This Row],[FT]]=Report[[#This Row],[Score 4]],Suivi_Gain!$G$1*Report[[#This Row],[Cote SE]],-Suivi_Gain!$G$1))</f>
        <v>-1</v>
      </c>
      <c r="AC307" s="64" t="str">
        <f>IF(Report[[#This Row],[Résultats SE]]="Gagné",Report[[#This Row],[FT]],"")</f>
        <v/>
      </c>
      <c r="AD307" s="64" t="str">
        <f>IF(AND(Report[[#This Row],[Résultats SE]]="Gagné",Report[[#This Row],[FT]]=Report[[#This Row],[Score 1]]),Report[[#This Row],[FT]],"")</f>
        <v/>
      </c>
      <c r="AE307" s="64" t="str">
        <f>IF(AND(Report[[#This Row],[Résultats SE]]="Gagné",Report[[#This Row],[FT]]=Report[[#This Row],[Score 2]]),Report[[#This Row],[FT]],"")</f>
        <v/>
      </c>
      <c r="AF307" s="64" t="str">
        <f>IF(AND(Report[[#This Row],[Résultats SE]]="Gagné",Report[[#This Row],[FT]]=Report[[#This Row],[Score 3]]),Report[[#This Row],[FT]],"")</f>
        <v/>
      </c>
      <c r="AG307" s="64" t="str">
        <f>IF(AND(Report[[#This Row],[Résultats SE]]="Gagné",Report[[#This Row],[FT]]=Report[[#This Row],[Score 4]]),Report[[#This Row],[FT]],"")</f>
        <v/>
      </c>
    </row>
    <row r="308" spans="1:33" ht="20.100000000000001" customHeight="1" x14ac:dyDescent="0.25">
      <c r="A308" s="11">
        <v>43427</v>
      </c>
      <c r="B308" s="7" t="s">
        <v>89</v>
      </c>
      <c r="C308" s="7" t="s">
        <v>860</v>
      </c>
      <c r="D308" s="19" t="s">
        <v>346</v>
      </c>
      <c r="E308" s="19" t="s">
        <v>359</v>
      </c>
      <c r="F308" s="7" t="s">
        <v>843</v>
      </c>
      <c r="G308" s="20" t="s">
        <v>839</v>
      </c>
      <c r="H308" s="20" t="s">
        <v>834</v>
      </c>
      <c r="I308" s="20" t="s">
        <v>827</v>
      </c>
      <c r="J308" s="20" t="s">
        <v>825</v>
      </c>
      <c r="K308" s="21" t="s">
        <v>359</v>
      </c>
      <c r="L308" s="16" t="s">
        <v>850</v>
      </c>
      <c r="M308" s="16" t="s">
        <v>850</v>
      </c>
      <c r="N308" s="17" t="s">
        <v>830</v>
      </c>
      <c r="O308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Dukla Prague</v>
      </c>
      <c r="P308" s="18">
        <f>IF(Report[[#This Row],[FT]]="",,(LEFT(Report[[#This Row],[FT]],SEARCH("-",Report[[#This Row],[FT]])-1)*1))</f>
        <v>1</v>
      </c>
      <c r="Q308" s="22">
        <f>IF(Report[[#This Row],[FT]]="",,(RIGHT(Report[[#This Row],[FT]],SEARCH("-",Report[[#This Row],[FT]])-1)*1))</f>
        <v>0</v>
      </c>
      <c r="R308" s="18" t="str">
        <f>IF(Report[Résultat FT]="","",IF(Report[Résultat FT]=Report[Résultats],"Gagné","Perdu"))</f>
        <v>Perdu</v>
      </c>
      <c r="S308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308" s="53">
        <f>IF(Report[[#This Row],[FT]]="","",IF(Report[[#This Row],[FT]]=Report[[#This Row],[Score 1]],1,0))</f>
        <v>0</v>
      </c>
      <c r="U308" s="53">
        <f>IF(Report[[#This Row],[FT]]="","",IF(Report[ [#This Row],[FT] ]=Report[[#This Row],[Score 2]],1,0))</f>
        <v>0</v>
      </c>
      <c r="V308" s="53">
        <f>IF(Report[[#This Row],[FT]]="","",IF(Report[[#This Row],[FT]]=Report[[#This Row],[Score 3]],1,0))</f>
        <v>0</v>
      </c>
      <c r="W308" s="53">
        <f>IF(Report[[#This Row],[FT]]="","",IF(Report[[#This Row],[FT]]=Report[[#This Row],[Score 4]],1,0))</f>
        <v>0</v>
      </c>
      <c r="X308" s="66">
        <f>IF(Report[[#This Row],[Résultat FT]]="",,IF(Report[[#This Row],[Résultat FT]]=Report[[#This Row],[Résultats]],(Suivi_Gain!$B$1*Report[[#This Row],[Cote FT]])-Suivi_Gain!$B$1,-Suivi_Gain!$B$1))</f>
        <v>-1</v>
      </c>
      <c r="Y308" s="94">
        <f>IF(Report[[#This Row],[FT]]="",,IF(Report[[#This Row],[FT]]=Report[[#This Row],[Score 1]],(Suivi_Gain!$G$1*Report[[#This Row],[Cote SE]])-Suivi_Gain!$G$1,-Suivi_Gain!$G$1))</f>
        <v>-1</v>
      </c>
      <c r="Z308" s="65">
        <f>IF(Report[[#This Row],[FT]]="",,IF(Report[[#This Row],[FT]]=Report[[#This Row],[Score 2]],Suivi_Gain!$G$1*Report[[#This Row],[Cote SE]],-Suivi_Gain!$G$1))</f>
        <v>-1</v>
      </c>
      <c r="AA308" s="65">
        <f>IF(Report[[#This Row],[FT]]="",,IF(Report[[#This Row],[FT]]=Report[[#This Row],[Score 3]],Suivi_Gain!$G$1*Report[[#This Row],[Cote SE]],-Suivi_Gain!$G$1))</f>
        <v>-1</v>
      </c>
      <c r="AB308" s="65">
        <f>IF(Report[[#This Row],[FT]]="",,IF(Report[[#This Row],[FT]]=Report[[#This Row],[Score 4]],Suivi_Gain!$G$1*Report[[#This Row],[Cote SE]],-Suivi_Gain!$G$1))</f>
        <v>-1</v>
      </c>
      <c r="AC308" s="64" t="str">
        <f>IF(Report[[#This Row],[Résultats SE]]="Gagné",Report[[#This Row],[FT]],"")</f>
        <v/>
      </c>
      <c r="AD308" s="64" t="str">
        <f>IF(AND(Report[[#This Row],[Résultats SE]]="Gagné",Report[[#This Row],[FT]]=Report[[#This Row],[Score 1]]),Report[[#This Row],[FT]],"")</f>
        <v/>
      </c>
      <c r="AE308" s="64" t="str">
        <f>IF(AND(Report[[#This Row],[Résultats SE]]="Gagné",Report[[#This Row],[FT]]=Report[[#This Row],[Score 2]]),Report[[#This Row],[FT]],"")</f>
        <v/>
      </c>
      <c r="AF308" s="64" t="str">
        <f>IF(AND(Report[[#This Row],[Résultats SE]]="Gagné",Report[[#This Row],[FT]]=Report[[#This Row],[Score 3]]),Report[[#This Row],[FT]],"")</f>
        <v/>
      </c>
      <c r="AG308" s="64" t="str">
        <f>IF(AND(Report[[#This Row],[Résultats SE]]="Gagné",Report[[#This Row],[FT]]=Report[[#This Row],[Score 4]]),Report[[#This Row],[FT]],"")</f>
        <v/>
      </c>
    </row>
    <row r="309" spans="1:33" ht="20.100000000000001" customHeight="1" x14ac:dyDescent="0.25">
      <c r="A309" s="11">
        <v>43427</v>
      </c>
      <c r="B309" s="7" t="s">
        <v>89</v>
      </c>
      <c r="C309" s="7" t="s">
        <v>860</v>
      </c>
      <c r="D309" s="19" t="s">
        <v>349</v>
      </c>
      <c r="E309" s="19" t="s">
        <v>353</v>
      </c>
      <c r="F309" s="7" t="s">
        <v>824</v>
      </c>
      <c r="G309" s="20" t="s">
        <v>825</v>
      </c>
      <c r="H309" s="20" t="s">
        <v>826</v>
      </c>
      <c r="I309" s="20" t="s">
        <v>827</v>
      </c>
      <c r="J309" s="20" t="s">
        <v>828</v>
      </c>
      <c r="K309" s="21" t="s">
        <v>353</v>
      </c>
      <c r="L309" s="16" t="s">
        <v>850</v>
      </c>
      <c r="M309" s="16" t="s">
        <v>850</v>
      </c>
      <c r="N309" s="17" t="s">
        <v>834</v>
      </c>
      <c r="O309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309" s="18">
        <f>IF(Report[[#This Row],[FT]]="",,(LEFT(Report[[#This Row],[FT]],SEARCH("-",Report[[#This Row],[FT]])-1)*1))</f>
        <v>1</v>
      </c>
      <c r="Q309" s="22">
        <f>IF(Report[[#This Row],[FT]]="",,(RIGHT(Report[[#This Row],[FT]],SEARCH("-",Report[[#This Row],[FT]])-1)*1))</f>
        <v>1</v>
      </c>
      <c r="R309" s="18" t="str">
        <f>IF(Report[Résultat FT]="","",IF(Report[Résultat FT]=Report[Résultats],"Gagné","Perdu"))</f>
        <v>Perdu</v>
      </c>
      <c r="S309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309" s="53">
        <f>IF(Report[[#This Row],[FT]]="","",IF(Report[[#This Row],[FT]]=Report[[#This Row],[Score 1]],1,0))</f>
        <v>0</v>
      </c>
      <c r="U309" s="53">
        <f>IF(Report[[#This Row],[FT]]="","",IF(Report[ [#This Row],[FT] ]=Report[[#This Row],[Score 2]],1,0))</f>
        <v>0</v>
      </c>
      <c r="V309" s="53">
        <f>IF(Report[[#This Row],[FT]]="","",IF(Report[[#This Row],[FT]]=Report[[#This Row],[Score 3]],1,0))</f>
        <v>0</v>
      </c>
      <c r="W309" s="53">
        <f>IF(Report[[#This Row],[FT]]="","",IF(Report[[#This Row],[FT]]=Report[[#This Row],[Score 4]],1,0))</f>
        <v>0</v>
      </c>
      <c r="X309" s="66">
        <f>IF(Report[[#This Row],[Résultat FT]]="",,IF(Report[[#This Row],[Résultat FT]]=Report[[#This Row],[Résultats]],(Suivi_Gain!$B$1*Report[[#This Row],[Cote FT]])-Suivi_Gain!$B$1,-Suivi_Gain!$B$1))</f>
        <v>-1</v>
      </c>
      <c r="Y309" s="94">
        <f>IF(Report[[#This Row],[FT]]="",,IF(Report[[#This Row],[FT]]=Report[[#This Row],[Score 1]],(Suivi_Gain!$G$1*Report[[#This Row],[Cote SE]])-Suivi_Gain!$G$1,-Suivi_Gain!$G$1))</f>
        <v>-1</v>
      </c>
      <c r="Z309" s="65">
        <f>IF(Report[[#This Row],[FT]]="",,IF(Report[[#This Row],[FT]]=Report[[#This Row],[Score 2]],Suivi_Gain!$G$1*Report[[#This Row],[Cote SE]],-Suivi_Gain!$G$1))</f>
        <v>-1</v>
      </c>
      <c r="AA309" s="65">
        <f>IF(Report[[#This Row],[FT]]="",,IF(Report[[#This Row],[FT]]=Report[[#This Row],[Score 3]],Suivi_Gain!$G$1*Report[[#This Row],[Cote SE]],-Suivi_Gain!$G$1))</f>
        <v>-1</v>
      </c>
      <c r="AB309" s="65">
        <f>IF(Report[[#This Row],[FT]]="",,IF(Report[[#This Row],[FT]]=Report[[#This Row],[Score 4]],Suivi_Gain!$G$1*Report[[#This Row],[Cote SE]],-Suivi_Gain!$G$1))</f>
        <v>-1</v>
      </c>
      <c r="AC309" s="64" t="str">
        <f>IF(Report[[#This Row],[Résultats SE]]="Gagné",Report[[#This Row],[FT]],"")</f>
        <v/>
      </c>
      <c r="AD309" s="64" t="str">
        <f>IF(AND(Report[[#This Row],[Résultats SE]]="Gagné",Report[[#This Row],[FT]]=Report[[#This Row],[Score 1]]),Report[[#This Row],[FT]],"")</f>
        <v/>
      </c>
      <c r="AE309" s="64" t="str">
        <f>IF(AND(Report[[#This Row],[Résultats SE]]="Gagné",Report[[#This Row],[FT]]=Report[[#This Row],[Score 2]]),Report[[#This Row],[FT]],"")</f>
        <v/>
      </c>
      <c r="AF309" s="64" t="str">
        <f>IF(AND(Report[[#This Row],[Résultats SE]]="Gagné",Report[[#This Row],[FT]]=Report[[#This Row],[Score 3]]),Report[[#This Row],[FT]],"")</f>
        <v/>
      </c>
      <c r="AG309" s="64" t="str">
        <f>IF(AND(Report[[#This Row],[Résultats SE]]="Gagné",Report[[#This Row],[FT]]=Report[[#This Row],[Score 4]]),Report[[#This Row],[FT]],"")</f>
        <v/>
      </c>
    </row>
    <row r="310" spans="1:33" ht="20.100000000000001" customHeight="1" x14ac:dyDescent="0.25">
      <c r="A310" s="11">
        <v>43427</v>
      </c>
      <c r="B310" s="7" t="s">
        <v>90</v>
      </c>
      <c r="C310" s="7" t="s">
        <v>122</v>
      </c>
      <c r="D310" s="10" t="s">
        <v>336</v>
      </c>
      <c r="E310" s="10" t="s">
        <v>339</v>
      </c>
      <c r="F310" s="7" t="s">
        <v>824</v>
      </c>
      <c r="G310" s="8" t="s">
        <v>825</v>
      </c>
      <c r="H310" s="9" t="s">
        <v>826</v>
      </c>
      <c r="I310" s="9" t="s">
        <v>827</v>
      </c>
      <c r="J310" s="9" t="s">
        <v>828</v>
      </c>
      <c r="K310" s="9" t="s">
        <v>339</v>
      </c>
      <c r="L310" s="16" t="s">
        <v>850</v>
      </c>
      <c r="M310" s="16" t="s">
        <v>850</v>
      </c>
      <c r="N310" s="17" t="s">
        <v>834</v>
      </c>
      <c r="O310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310" s="18">
        <f>IF(Report[[#This Row],[FT]]="",,(LEFT(Report[[#This Row],[FT]],SEARCH("-",Report[[#This Row],[FT]])-1)*1))</f>
        <v>1</v>
      </c>
      <c r="Q310" s="22">
        <f>IF(Report[[#This Row],[FT]]="",,(RIGHT(Report[[#This Row],[FT]],SEARCH("-",Report[[#This Row],[FT]])-1)*1))</f>
        <v>1</v>
      </c>
      <c r="R310" s="18" t="str">
        <f>IF(Report[Résultat FT]="","",IF(Report[Résultat FT]=Report[Résultats],"Gagné","Perdu"))</f>
        <v>Perdu</v>
      </c>
      <c r="S310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310" s="53">
        <f>IF(Report[[#This Row],[FT]]="","",IF(Report[[#This Row],[FT]]=Report[[#This Row],[Score 1]],1,0))</f>
        <v>0</v>
      </c>
      <c r="U310" s="53">
        <f>IF(Report[[#This Row],[FT]]="","",IF(Report[ [#This Row],[FT] ]=Report[[#This Row],[Score 2]],1,0))</f>
        <v>0</v>
      </c>
      <c r="V310" s="53">
        <f>IF(Report[[#This Row],[FT]]="","",IF(Report[[#This Row],[FT]]=Report[[#This Row],[Score 3]],1,0))</f>
        <v>0</v>
      </c>
      <c r="W310" s="53">
        <f>IF(Report[[#This Row],[FT]]="","",IF(Report[[#This Row],[FT]]=Report[[#This Row],[Score 4]],1,0))</f>
        <v>0</v>
      </c>
      <c r="X310" s="66">
        <f>IF(Report[[#This Row],[Résultat FT]]="",,IF(Report[[#This Row],[Résultat FT]]=Report[[#This Row],[Résultats]],(Suivi_Gain!$B$1*Report[[#This Row],[Cote FT]])-Suivi_Gain!$B$1,-Suivi_Gain!$B$1))</f>
        <v>-1</v>
      </c>
      <c r="Y310" s="94">
        <f>IF(Report[[#This Row],[FT]]="",,IF(Report[[#This Row],[FT]]=Report[[#This Row],[Score 1]],(Suivi_Gain!$G$1*Report[[#This Row],[Cote SE]])-Suivi_Gain!$G$1,-Suivi_Gain!$G$1))</f>
        <v>-1</v>
      </c>
      <c r="Z310" s="65">
        <f>IF(Report[[#This Row],[FT]]="",,IF(Report[[#This Row],[FT]]=Report[[#This Row],[Score 2]],Suivi_Gain!$G$1*Report[[#This Row],[Cote SE]],-Suivi_Gain!$G$1))</f>
        <v>-1</v>
      </c>
      <c r="AA310" s="65">
        <f>IF(Report[[#This Row],[FT]]="",,IF(Report[[#This Row],[FT]]=Report[[#This Row],[Score 3]],Suivi_Gain!$G$1*Report[[#This Row],[Cote SE]],-Suivi_Gain!$G$1))</f>
        <v>-1</v>
      </c>
      <c r="AB310" s="65">
        <f>IF(Report[[#This Row],[FT]]="",,IF(Report[[#This Row],[FT]]=Report[[#This Row],[Score 4]],Suivi_Gain!$G$1*Report[[#This Row],[Cote SE]],-Suivi_Gain!$G$1))</f>
        <v>-1</v>
      </c>
      <c r="AC310" s="64" t="str">
        <f>IF(Report[[#This Row],[Résultats SE]]="Gagné",Report[[#This Row],[FT]],"")</f>
        <v/>
      </c>
      <c r="AD310" s="64" t="str">
        <f>IF(AND(Report[[#This Row],[Résultats SE]]="Gagné",Report[[#This Row],[FT]]=Report[[#This Row],[Score 1]]),Report[[#This Row],[FT]],"")</f>
        <v/>
      </c>
      <c r="AE310" s="64" t="str">
        <f>IF(AND(Report[[#This Row],[Résultats SE]]="Gagné",Report[[#This Row],[FT]]=Report[[#This Row],[Score 2]]),Report[[#This Row],[FT]],"")</f>
        <v/>
      </c>
      <c r="AF310" s="64" t="str">
        <f>IF(AND(Report[[#This Row],[Résultats SE]]="Gagné",Report[[#This Row],[FT]]=Report[[#This Row],[Score 3]]),Report[[#This Row],[FT]],"")</f>
        <v/>
      </c>
      <c r="AG310" s="64" t="str">
        <f>IF(AND(Report[[#This Row],[Résultats SE]]="Gagné",Report[[#This Row],[FT]]=Report[[#This Row],[Score 4]]),Report[[#This Row],[FT]],"")</f>
        <v/>
      </c>
    </row>
    <row r="311" spans="1:33" ht="20.100000000000001" customHeight="1" x14ac:dyDescent="0.25">
      <c r="A311" s="11">
        <v>43427</v>
      </c>
      <c r="B311" s="7" t="s">
        <v>94</v>
      </c>
      <c r="C311" s="7" t="s">
        <v>123</v>
      </c>
      <c r="D311" s="10" t="s">
        <v>297</v>
      </c>
      <c r="E311" s="10" t="s">
        <v>300</v>
      </c>
      <c r="F311" s="7" t="s">
        <v>824</v>
      </c>
      <c r="G311" s="8" t="s">
        <v>825</v>
      </c>
      <c r="H311" s="9" t="s">
        <v>826</v>
      </c>
      <c r="I311" s="9" t="s">
        <v>827</v>
      </c>
      <c r="J311" s="9" t="s">
        <v>828</v>
      </c>
      <c r="K311" s="9" t="s">
        <v>300</v>
      </c>
      <c r="L311" s="16">
        <v>2.1</v>
      </c>
      <c r="M311" s="16">
        <v>7.2</v>
      </c>
      <c r="N311" s="17" t="s">
        <v>827</v>
      </c>
      <c r="O311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CSKA Moscou</v>
      </c>
      <c r="P311" s="18">
        <f>IF(Report[[#This Row],[FT]]="",,(LEFT(Report[[#This Row],[FT]],SEARCH("-",Report[[#This Row],[FT]])-1)*1))</f>
        <v>0</v>
      </c>
      <c r="Q311" s="22">
        <f>IF(Report[[#This Row],[FT]]="",,(RIGHT(Report[[#This Row],[FT]],SEARCH("-",Report[[#This Row],[FT]])-1)*1))</f>
        <v>2</v>
      </c>
      <c r="R311" s="18" t="str">
        <f>IF(Report[Résultat FT]="","",IF(Report[Résultat FT]=Report[Résultats],"Gagné","Perdu"))</f>
        <v>Gagné</v>
      </c>
      <c r="S311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311" s="53">
        <f>IF(Report[[#This Row],[FT]]="","",IF(Report[[#This Row],[FT]]=Report[[#This Row],[Score 1]],1,0))</f>
        <v>0</v>
      </c>
      <c r="U311" s="53">
        <f>IF(Report[[#This Row],[FT]]="","",IF(Report[ [#This Row],[FT] ]=Report[[#This Row],[Score 2]],1,0))</f>
        <v>0</v>
      </c>
      <c r="V311" s="53">
        <f>IF(Report[[#This Row],[FT]]="","",IF(Report[[#This Row],[FT]]=Report[[#This Row],[Score 3]],1,0))</f>
        <v>1</v>
      </c>
      <c r="W311" s="53">
        <f>IF(Report[[#This Row],[FT]]="","",IF(Report[[#This Row],[FT]]=Report[[#This Row],[Score 4]],1,0))</f>
        <v>0</v>
      </c>
      <c r="X311" s="66">
        <f>IF(Report[[#This Row],[Résultat FT]]="",,IF(Report[[#This Row],[Résultat FT]]=Report[[#This Row],[Résultats]],(Suivi_Gain!$B$1*Report[[#This Row],[Cote FT]])-Suivi_Gain!$B$1,-Suivi_Gain!$B$1))</f>
        <v>1.1000000000000001</v>
      </c>
      <c r="Y311" s="94">
        <f>IF(Report[[#This Row],[FT]]="",,IF(Report[[#This Row],[FT]]=Report[[#This Row],[Score 1]],(Suivi_Gain!$G$1*Report[[#This Row],[Cote SE]])-Suivi_Gain!$G$1,-Suivi_Gain!$G$1))</f>
        <v>-1</v>
      </c>
      <c r="Z311" s="65">
        <f>IF(Report[[#This Row],[FT]]="",,IF(Report[[#This Row],[FT]]=Report[[#This Row],[Score 2]],Suivi_Gain!$G$1*Report[[#This Row],[Cote SE]],-Suivi_Gain!$G$1))</f>
        <v>-1</v>
      </c>
      <c r="AA311" s="65">
        <f>IF(Report[[#This Row],[FT]]="",,IF(Report[[#This Row],[FT]]=Report[[#This Row],[Score 3]],Suivi_Gain!$G$1*Report[[#This Row],[Cote SE]],-Suivi_Gain!$G$1))</f>
        <v>7.2</v>
      </c>
      <c r="AB311" s="65">
        <f>IF(Report[[#This Row],[FT]]="",,IF(Report[[#This Row],[FT]]=Report[[#This Row],[Score 4]],Suivi_Gain!$G$1*Report[[#This Row],[Cote SE]],-Suivi_Gain!$G$1))</f>
        <v>-1</v>
      </c>
      <c r="AC311" s="64" t="str">
        <f>IF(Report[[#This Row],[Résultats SE]]="Gagné",Report[[#This Row],[FT]],"")</f>
        <v>0-2</v>
      </c>
      <c r="AD311" s="64" t="str">
        <f>IF(AND(Report[[#This Row],[Résultats SE]]="Gagné",Report[[#This Row],[FT]]=Report[[#This Row],[Score 1]]),Report[[#This Row],[FT]],"")</f>
        <v/>
      </c>
      <c r="AE311" s="64" t="str">
        <f>IF(AND(Report[[#This Row],[Résultats SE]]="Gagné",Report[[#This Row],[FT]]=Report[[#This Row],[Score 2]]),Report[[#This Row],[FT]],"")</f>
        <v/>
      </c>
      <c r="AF311" s="64" t="str">
        <f>IF(AND(Report[[#This Row],[Résultats SE]]="Gagné",Report[[#This Row],[FT]]=Report[[#This Row],[Score 3]]),Report[[#This Row],[FT]],"")</f>
        <v>0-2</v>
      </c>
      <c r="AG311" s="64" t="str">
        <f>IF(AND(Report[[#This Row],[Résultats SE]]="Gagné",Report[[#This Row],[FT]]=Report[[#This Row],[Score 4]]),Report[[#This Row],[FT]],"")</f>
        <v/>
      </c>
    </row>
    <row r="312" spans="1:33" ht="20.100000000000001" customHeight="1" x14ac:dyDescent="0.25">
      <c r="A312" s="11">
        <v>43427</v>
      </c>
      <c r="B312" s="7" t="s">
        <v>94</v>
      </c>
      <c r="C312" s="7" t="s">
        <v>123</v>
      </c>
      <c r="D312" s="10" t="s">
        <v>305</v>
      </c>
      <c r="E312" s="10" t="s">
        <v>310</v>
      </c>
      <c r="F312" s="7" t="s">
        <v>829</v>
      </c>
      <c r="G312" s="8" t="s">
        <v>830</v>
      </c>
      <c r="H312" s="9" t="s">
        <v>826</v>
      </c>
      <c r="I312" s="9" t="s">
        <v>831</v>
      </c>
      <c r="J312" s="9" t="s">
        <v>832</v>
      </c>
      <c r="K312" s="9" t="s">
        <v>305</v>
      </c>
      <c r="L312" s="16" t="s">
        <v>850</v>
      </c>
      <c r="M312" s="16" t="s">
        <v>850</v>
      </c>
      <c r="N312" s="17" t="s">
        <v>839</v>
      </c>
      <c r="O312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Ural</v>
      </c>
      <c r="P312" s="18">
        <f>IF(Report[[#This Row],[FT]]="",,(LEFT(Report[[#This Row],[FT]],SEARCH("-",Report[[#This Row],[FT]])-1)*1))</f>
        <v>1</v>
      </c>
      <c r="Q312" s="22">
        <f>IF(Report[[#This Row],[FT]]="",,(RIGHT(Report[[#This Row],[FT]],SEARCH("-",Report[[#This Row],[FT]])-1)*1))</f>
        <v>2</v>
      </c>
      <c r="R312" s="18" t="str">
        <f>IF(Report[Résultat FT]="","",IF(Report[Résultat FT]=Report[Résultats],"Gagné","Perdu"))</f>
        <v>Perdu</v>
      </c>
      <c r="S312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312" s="53">
        <f>IF(Report[[#This Row],[FT]]="","",IF(Report[[#This Row],[FT]]=Report[[#This Row],[Score 1]],1,0))</f>
        <v>0</v>
      </c>
      <c r="U312" s="53">
        <f>IF(Report[[#This Row],[FT]]="","",IF(Report[ [#This Row],[FT] ]=Report[[#This Row],[Score 2]],1,0))</f>
        <v>0</v>
      </c>
      <c r="V312" s="53">
        <f>IF(Report[[#This Row],[FT]]="","",IF(Report[[#This Row],[FT]]=Report[[#This Row],[Score 3]],1,0))</f>
        <v>0</v>
      </c>
      <c r="W312" s="53">
        <f>IF(Report[[#This Row],[FT]]="","",IF(Report[[#This Row],[FT]]=Report[[#This Row],[Score 4]],1,0))</f>
        <v>0</v>
      </c>
      <c r="X312" s="66">
        <f>IF(Report[[#This Row],[Résultat FT]]="",,IF(Report[[#This Row],[Résultat FT]]=Report[[#This Row],[Résultats]],(Suivi_Gain!$B$1*Report[[#This Row],[Cote FT]])-Suivi_Gain!$B$1,-Suivi_Gain!$B$1))</f>
        <v>-1</v>
      </c>
      <c r="Y312" s="94">
        <f>IF(Report[[#This Row],[FT]]="",,IF(Report[[#This Row],[FT]]=Report[[#This Row],[Score 1]],(Suivi_Gain!$G$1*Report[[#This Row],[Cote SE]])-Suivi_Gain!$G$1,-Suivi_Gain!$G$1))</f>
        <v>-1</v>
      </c>
      <c r="Z312" s="65">
        <f>IF(Report[[#This Row],[FT]]="",,IF(Report[[#This Row],[FT]]=Report[[#This Row],[Score 2]],Suivi_Gain!$G$1*Report[[#This Row],[Cote SE]],-Suivi_Gain!$G$1))</f>
        <v>-1</v>
      </c>
      <c r="AA312" s="65">
        <f>IF(Report[[#This Row],[FT]]="",,IF(Report[[#This Row],[FT]]=Report[[#This Row],[Score 3]],Suivi_Gain!$G$1*Report[[#This Row],[Cote SE]],-Suivi_Gain!$G$1))</f>
        <v>-1</v>
      </c>
      <c r="AB312" s="65">
        <f>IF(Report[[#This Row],[FT]]="",,IF(Report[[#This Row],[FT]]=Report[[#This Row],[Score 4]],Suivi_Gain!$G$1*Report[[#This Row],[Cote SE]],-Suivi_Gain!$G$1))</f>
        <v>-1</v>
      </c>
      <c r="AC312" s="64" t="str">
        <f>IF(Report[[#This Row],[Résultats SE]]="Gagné",Report[[#This Row],[FT]],"")</f>
        <v/>
      </c>
      <c r="AD312" s="64" t="str">
        <f>IF(AND(Report[[#This Row],[Résultats SE]]="Gagné",Report[[#This Row],[FT]]=Report[[#This Row],[Score 1]]),Report[[#This Row],[FT]],"")</f>
        <v/>
      </c>
      <c r="AE312" s="64" t="str">
        <f>IF(AND(Report[[#This Row],[Résultats SE]]="Gagné",Report[[#This Row],[FT]]=Report[[#This Row],[Score 2]]),Report[[#This Row],[FT]],"")</f>
        <v/>
      </c>
      <c r="AF312" s="64" t="str">
        <f>IF(AND(Report[[#This Row],[Résultats SE]]="Gagné",Report[[#This Row],[FT]]=Report[[#This Row],[Score 3]]),Report[[#This Row],[FT]],"")</f>
        <v/>
      </c>
      <c r="AG312" s="64" t="str">
        <f>IF(AND(Report[[#This Row],[Résultats SE]]="Gagné",Report[[#This Row],[FT]]=Report[[#This Row],[Score 4]]),Report[[#This Row],[FT]],"")</f>
        <v/>
      </c>
    </row>
    <row r="313" spans="1:33" ht="20.100000000000001" customHeight="1" x14ac:dyDescent="0.25">
      <c r="A313" s="11">
        <v>43427</v>
      </c>
      <c r="B313" s="7" t="s">
        <v>91</v>
      </c>
      <c r="C313" s="7" t="s">
        <v>124</v>
      </c>
      <c r="D313" s="10" t="s">
        <v>421</v>
      </c>
      <c r="E313" s="10" t="s">
        <v>430</v>
      </c>
      <c r="F313" s="7" t="s">
        <v>861</v>
      </c>
      <c r="G313" s="8" t="s">
        <v>831</v>
      </c>
      <c r="H313" s="9" t="s">
        <v>830</v>
      </c>
      <c r="I313" s="9" t="s">
        <v>832</v>
      </c>
      <c r="J313" s="9" t="s">
        <v>826</v>
      </c>
      <c r="K313" s="9" t="s">
        <v>421</v>
      </c>
      <c r="L313" s="16">
        <v>1.35</v>
      </c>
      <c r="M313" s="16" t="s">
        <v>850</v>
      </c>
      <c r="N313" s="17" t="s">
        <v>838</v>
      </c>
      <c r="O313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Cukaricki</v>
      </c>
      <c r="P313" s="18">
        <f>IF(Report[[#This Row],[FT]]="",,(LEFT(Report[[#This Row],[FT]],SEARCH("-",Report[[#This Row],[FT]])-1)*1))</f>
        <v>2</v>
      </c>
      <c r="Q313" s="22">
        <f>IF(Report[[#This Row],[FT]]="",,(RIGHT(Report[[#This Row],[FT]],SEARCH("-",Report[[#This Row],[FT]])-1)*1))</f>
        <v>1</v>
      </c>
      <c r="R313" s="18" t="str">
        <f>IF(Report[Résultat FT]="","",IF(Report[Résultat FT]=Report[Résultats],"Gagné","Perdu"))</f>
        <v>Gagné</v>
      </c>
      <c r="S313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313" s="53">
        <f>IF(Report[[#This Row],[FT]]="","",IF(Report[[#This Row],[FT]]=Report[[#This Row],[Score 1]],1,0))</f>
        <v>0</v>
      </c>
      <c r="U313" s="53">
        <f>IF(Report[[#This Row],[FT]]="","",IF(Report[ [#This Row],[FT] ]=Report[[#This Row],[Score 2]],1,0))</f>
        <v>0</v>
      </c>
      <c r="V313" s="53">
        <f>IF(Report[[#This Row],[FT]]="","",IF(Report[[#This Row],[FT]]=Report[[#This Row],[Score 3]],1,0))</f>
        <v>0</v>
      </c>
      <c r="W313" s="53">
        <f>IF(Report[[#This Row],[FT]]="","",IF(Report[[#This Row],[FT]]=Report[[#This Row],[Score 4]],1,0))</f>
        <v>0</v>
      </c>
      <c r="X313" s="66">
        <f>IF(Report[[#This Row],[Résultat FT]]="",,IF(Report[[#This Row],[Résultat FT]]=Report[[#This Row],[Résultats]],(Suivi_Gain!$B$1*Report[[#This Row],[Cote FT]])-Suivi_Gain!$B$1,-Suivi_Gain!$B$1))</f>
        <v>0.35000000000000009</v>
      </c>
      <c r="Y313" s="94">
        <f>IF(Report[[#This Row],[FT]]="",,IF(Report[[#This Row],[FT]]=Report[[#This Row],[Score 1]],(Suivi_Gain!$G$1*Report[[#This Row],[Cote SE]])-Suivi_Gain!$G$1,-Suivi_Gain!$G$1))</f>
        <v>-1</v>
      </c>
      <c r="Z313" s="65">
        <f>IF(Report[[#This Row],[FT]]="",,IF(Report[[#This Row],[FT]]=Report[[#This Row],[Score 2]],Suivi_Gain!$G$1*Report[[#This Row],[Cote SE]],-Suivi_Gain!$G$1))</f>
        <v>-1</v>
      </c>
      <c r="AA313" s="65">
        <f>IF(Report[[#This Row],[FT]]="",,IF(Report[[#This Row],[FT]]=Report[[#This Row],[Score 3]],Suivi_Gain!$G$1*Report[[#This Row],[Cote SE]],-Suivi_Gain!$G$1))</f>
        <v>-1</v>
      </c>
      <c r="AB313" s="65">
        <f>IF(Report[[#This Row],[FT]]="",,IF(Report[[#This Row],[FT]]=Report[[#This Row],[Score 4]],Suivi_Gain!$G$1*Report[[#This Row],[Cote SE]],-Suivi_Gain!$G$1))</f>
        <v>-1</v>
      </c>
      <c r="AC313" s="64" t="str">
        <f>IF(Report[[#This Row],[Résultats SE]]="Gagné",Report[[#This Row],[FT]],"")</f>
        <v/>
      </c>
      <c r="AD313" s="64" t="str">
        <f>IF(AND(Report[[#This Row],[Résultats SE]]="Gagné",Report[[#This Row],[FT]]=Report[[#This Row],[Score 1]]),Report[[#This Row],[FT]],"")</f>
        <v/>
      </c>
      <c r="AE313" s="64" t="str">
        <f>IF(AND(Report[[#This Row],[Résultats SE]]="Gagné",Report[[#This Row],[FT]]=Report[[#This Row],[Score 2]]),Report[[#This Row],[FT]],"")</f>
        <v/>
      </c>
      <c r="AF313" s="64" t="str">
        <f>IF(AND(Report[[#This Row],[Résultats SE]]="Gagné",Report[[#This Row],[FT]]=Report[[#This Row],[Score 3]]),Report[[#This Row],[FT]],"")</f>
        <v/>
      </c>
      <c r="AG313" s="64" t="str">
        <f>IF(AND(Report[[#This Row],[Résultats SE]]="Gagné",Report[[#This Row],[FT]]=Report[[#This Row],[Score 4]]),Report[[#This Row],[FT]],"")</f>
        <v/>
      </c>
    </row>
    <row r="314" spans="1:33" ht="20.100000000000001" customHeight="1" x14ac:dyDescent="0.25">
      <c r="A314" s="11">
        <v>43427</v>
      </c>
      <c r="B314" s="7" t="s">
        <v>92</v>
      </c>
      <c r="C314" s="7" t="s">
        <v>126</v>
      </c>
      <c r="D314" s="10" t="s">
        <v>443</v>
      </c>
      <c r="E314" s="10" t="s">
        <v>442</v>
      </c>
      <c r="F314" s="7" t="s">
        <v>842</v>
      </c>
      <c r="G314" s="8" t="s">
        <v>838</v>
      </c>
      <c r="H314" s="9" t="s">
        <v>831</v>
      </c>
      <c r="I314" s="9" t="s">
        <v>834</v>
      </c>
      <c r="J314" s="9" t="s">
        <v>830</v>
      </c>
      <c r="K314" s="9" t="s">
        <v>443</v>
      </c>
      <c r="L314" s="16" t="s">
        <v>850</v>
      </c>
      <c r="M314" s="16" t="s">
        <v>850</v>
      </c>
      <c r="N314" s="17" t="s">
        <v>837</v>
      </c>
      <c r="O314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314" s="18">
        <f>IF(Report[[#This Row],[FT]]="",,(LEFT(Report[[#This Row],[FT]],SEARCH("-",Report[[#This Row],[FT]])-1)*1))</f>
        <v>2</v>
      </c>
      <c r="Q314" s="22">
        <f>IF(Report[[#This Row],[FT]]="",,(RIGHT(Report[[#This Row],[FT]],SEARCH("-",Report[[#This Row],[FT]])-1)*1))</f>
        <v>2</v>
      </c>
      <c r="R314" s="18" t="str">
        <f>IF(Report[Résultat FT]="","",IF(Report[Résultat FT]=Report[Résultats],"Gagné","Perdu"))</f>
        <v>Perdu</v>
      </c>
      <c r="S314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314" s="53">
        <f>IF(Report[[#This Row],[FT]]="","",IF(Report[[#This Row],[FT]]=Report[[#This Row],[Score 1]],1,0))</f>
        <v>0</v>
      </c>
      <c r="U314" s="53">
        <f>IF(Report[[#This Row],[FT]]="","",IF(Report[ [#This Row],[FT] ]=Report[[#This Row],[Score 2]],1,0))</f>
        <v>0</v>
      </c>
      <c r="V314" s="53">
        <f>IF(Report[[#This Row],[FT]]="","",IF(Report[[#This Row],[FT]]=Report[[#This Row],[Score 3]],1,0))</f>
        <v>0</v>
      </c>
      <c r="W314" s="53">
        <f>IF(Report[[#This Row],[FT]]="","",IF(Report[[#This Row],[FT]]=Report[[#This Row],[Score 4]],1,0))</f>
        <v>0</v>
      </c>
      <c r="X314" s="66">
        <f>IF(Report[[#This Row],[Résultat FT]]="",,IF(Report[[#This Row],[Résultat FT]]=Report[[#This Row],[Résultats]],(Suivi_Gain!$B$1*Report[[#This Row],[Cote FT]])-Suivi_Gain!$B$1,-Suivi_Gain!$B$1))</f>
        <v>-1</v>
      </c>
      <c r="Y314" s="94">
        <f>IF(Report[[#This Row],[FT]]="",,IF(Report[[#This Row],[FT]]=Report[[#This Row],[Score 1]],(Suivi_Gain!$G$1*Report[[#This Row],[Cote SE]])-Suivi_Gain!$G$1,-Suivi_Gain!$G$1))</f>
        <v>-1</v>
      </c>
      <c r="Z314" s="65">
        <f>IF(Report[[#This Row],[FT]]="",,IF(Report[[#This Row],[FT]]=Report[[#This Row],[Score 2]],Suivi_Gain!$G$1*Report[[#This Row],[Cote SE]],-Suivi_Gain!$G$1))</f>
        <v>-1</v>
      </c>
      <c r="AA314" s="65">
        <f>IF(Report[[#This Row],[FT]]="",,IF(Report[[#This Row],[FT]]=Report[[#This Row],[Score 3]],Suivi_Gain!$G$1*Report[[#This Row],[Cote SE]],-Suivi_Gain!$G$1))</f>
        <v>-1</v>
      </c>
      <c r="AB314" s="65">
        <f>IF(Report[[#This Row],[FT]]="",,IF(Report[[#This Row],[FT]]=Report[[#This Row],[Score 4]],Suivi_Gain!$G$1*Report[[#This Row],[Cote SE]],-Suivi_Gain!$G$1))</f>
        <v>-1</v>
      </c>
      <c r="AC314" s="64" t="str">
        <f>IF(Report[[#This Row],[Résultats SE]]="Gagné",Report[[#This Row],[FT]],"")</f>
        <v/>
      </c>
      <c r="AD314" s="64" t="str">
        <f>IF(AND(Report[[#This Row],[Résultats SE]]="Gagné",Report[[#This Row],[FT]]=Report[[#This Row],[Score 1]]),Report[[#This Row],[FT]],"")</f>
        <v/>
      </c>
      <c r="AE314" s="64" t="str">
        <f>IF(AND(Report[[#This Row],[Résultats SE]]="Gagné",Report[[#This Row],[FT]]=Report[[#This Row],[Score 2]]),Report[[#This Row],[FT]],"")</f>
        <v/>
      </c>
      <c r="AF314" s="64" t="str">
        <f>IF(AND(Report[[#This Row],[Résultats SE]]="Gagné",Report[[#This Row],[FT]]=Report[[#This Row],[Score 3]]),Report[[#This Row],[FT]],"")</f>
        <v/>
      </c>
      <c r="AG314" s="64" t="str">
        <f>IF(AND(Report[[#This Row],[Résultats SE]]="Gagné",Report[[#This Row],[FT]]=Report[[#This Row],[Score 4]]),Report[[#This Row],[FT]],"")</f>
        <v/>
      </c>
    </row>
    <row r="315" spans="1:33" ht="20.100000000000001" customHeight="1" x14ac:dyDescent="0.25">
      <c r="A315" s="11">
        <v>43427</v>
      </c>
      <c r="B315" s="7" t="s">
        <v>74</v>
      </c>
      <c r="C315" s="7" t="s">
        <v>128</v>
      </c>
      <c r="D315" s="10" t="s">
        <v>815</v>
      </c>
      <c r="E315" s="10" t="s">
        <v>819</v>
      </c>
      <c r="F315" s="7" t="s">
        <v>833</v>
      </c>
      <c r="G315" s="8" t="s">
        <v>834</v>
      </c>
      <c r="H315" s="9" t="s">
        <v>830</v>
      </c>
      <c r="I315" s="9" t="s">
        <v>825</v>
      </c>
      <c r="J315" s="9" t="s">
        <v>826</v>
      </c>
      <c r="K315" s="9" t="s">
        <v>233</v>
      </c>
      <c r="L315" s="16">
        <v>3.15</v>
      </c>
      <c r="M315" s="16">
        <v>5</v>
      </c>
      <c r="N315" s="17" t="s">
        <v>834</v>
      </c>
      <c r="O315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315" s="18">
        <f>IF(Report[[#This Row],[FT]]="",,(LEFT(Report[[#This Row],[FT]],SEARCH("-",Report[[#This Row],[FT]])-1)*1))</f>
        <v>1</v>
      </c>
      <c r="Q315" s="22">
        <f>IF(Report[[#This Row],[FT]]="",,(RIGHT(Report[[#This Row],[FT]],SEARCH("-",Report[[#This Row],[FT]])-1)*1))</f>
        <v>1</v>
      </c>
      <c r="R315" s="18" t="str">
        <f>IF(Report[Résultat FT]="","",IF(Report[Résultat FT]=Report[Résultats],"Gagné","Perdu"))</f>
        <v>Gagné</v>
      </c>
      <c r="S315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315" s="53">
        <f>IF(Report[[#This Row],[FT]]="","",IF(Report[[#This Row],[FT]]=Report[[#This Row],[Score 1]],1,0))</f>
        <v>1</v>
      </c>
      <c r="U315" s="53">
        <f>IF(Report[[#This Row],[FT]]="","",IF(Report[ [#This Row],[FT] ]=Report[[#This Row],[Score 2]],1,0))</f>
        <v>0</v>
      </c>
      <c r="V315" s="53">
        <f>IF(Report[[#This Row],[FT]]="","",IF(Report[[#This Row],[FT]]=Report[[#This Row],[Score 3]],1,0))</f>
        <v>0</v>
      </c>
      <c r="W315" s="53">
        <f>IF(Report[[#This Row],[FT]]="","",IF(Report[[#This Row],[FT]]=Report[[#This Row],[Score 4]],1,0))</f>
        <v>0</v>
      </c>
      <c r="X315" s="66">
        <f>IF(Report[[#This Row],[Résultat FT]]="",,IF(Report[[#This Row],[Résultat FT]]=Report[[#This Row],[Résultats]],(Suivi_Gain!$B$1*Report[[#This Row],[Cote FT]])-Suivi_Gain!$B$1,-Suivi_Gain!$B$1))</f>
        <v>2.15</v>
      </c>
      <c r="Y315" s="94">
        <f>IF(Report[[#This Row],[FT]]="",,IF(Report[[#This Row],[FT]]=Report[[#This Row],[Score 1]],(Suivi_Gain!$G$1*Report[[#This Row],[Cote SE]])-Suivi_Gain!$G$1,-Suivi_Gain!$G$1))</f>
        <v>4</v>
      </c>
      <c r="Z315" s="65">
        <f>IF(Report[[#This Row],[FT]]="",,IF(Report[[#This Row],[FT]]=Report[[#This Row],[Score 2]],Suivi_Gain!$G$1*Report[[#This Row],[Cote SE]],-Suivi_Gain!$G$1))</f>
        <v>-1</v>
      </c>
      <c r="AA315" s="65">
        <f>IF(Report[[#This Row],[FT]]="",,IF(Report[[#This Row],[FT]]=Report[[#This Row],[Score 3]],Suivi_Gain!$G$1*Report[[#This Row],[Cote SE]],-Suivi_Gain!$G$1))</f>
        <v>-1</v>
      </c>
      <c r="AB315" s="65">
        <f>IF(Report[[#This Row],[FT]]="",,IF(Report[[#This Row],[FT]]=Report[[#This Row],[Score 4]],Suivi_Gain!$G$1*Report[[#This Row],[Cote SE]],-Suivi_Gain!$G$1))</f>
        <v>-1</v>
      </c>
      <c r="AC315" s="64" t="str">
        <f>IF(Report[[#This Row],[Résultats SE]]="Gagné",Report[[#This Row],[FT]],"")</f>
        <v>1-1</v>
      </c>
      <c r="AD315" s="64" t="str">
        <f>IF(AND(Report[[#This Row],[Résultats SE]]="Gagné",Report[[#This Row],[FT]]=Report[[#This Row],[Score 1]]),Report[[#This Row],[FT]],"")</f>
        <v>1-1</v>
      </c>
      <c r="AE315" s="64" t="str">
        <f>IF(AND(Report[[#This Row],[Résultats SE]]="Gagné",Report[[#This Row],[FT]]=Report[[#This Row],[Score 2]]),Report[[#This Row],[FT]],"")</f>
        <v/>
      </c>
      <c r="AF315" s="64" t="str">
        <f>IF(AND(Report[[#This Row],[Résultats SE]]="Gagné",Report[[#This Row],[FT]]=Report[[#This Row],[Score 3]]),Report[[#This Row],[FT]],"")</f>
        <v/>
      </c>
      <c r="AG315" s="64" t="str">
        <f>IF(AND(Report[[#This Row],[Résultats SE]]="Gagné",Report[[#This Row],[FT]]=Report[[#This Row],[Score 4]]),Report[[#This Row],[FT]],"")</f>
        <v/>
      </c>
    </row>
    <row r="316" spans="1:33" ht="20.100000000000001" customHeight="1" x14ac:dyDescent="0.25">
      <c r="A316" s="11">
        <v>43427</v>
      </c>
      <c r="B316" s="7" t="s">
        <v>97</v>
      </c>
      <c r="C316" s="7" t="s">
        <v>129</v>
      </c>
      <c r="D316" s="10" t="s">
        <v>294</v>
      </c>
      <c r="E316" s="10" t="s">
        <v>290</v>
      </c>
      <c r="F316" s="7" t="s">
        <v>861</v>
      </c>
      <c r="G316" s="8" t="s">
        <v>831</v>
      </c>
      <c r="H316" s="9" t="s">
        <v>830</v>
      </c>
      <c r="I316" s="9" t="s">
        <v>832</v>
      </c>
      <c r="J316" s="9" t="s">
        <v>826</v>
      </c>
      <c r="K316" s="9" t="s">
        <v>294</v>
      </c>
      <c r="L316" s="16" t="s">
        <v>850</v>
      </c>
      <c r="M316" s="16">
        <v>19</v>
      </c>
      <c r="N316" s="17" t="s">
        <v>826</v>
      </c>
      <c r="O316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316" s="18">
        <f>IF(Report[[#This Row],[FT]]="",,(LEFT(Report[[#This Row],[FT]],SEARCH("-",Report[[#This Row],[FT]])-1)*1))</f>
        <v>0</v>
      </c>
      <c r="Q316" s="22">
        <f>IF(Report[[#This Row],[FT]]="",,(RIGHT(Report[[#This Row],[FT]],SEARCH("-",Report[[#This Row],[FT]])-1)*1))</f>
        <v>0</v>
      </c>
      <c r="R316" s="18" t="str">
        <f>IF(Report[Résultat FT]="","",IF(Report[Résultat FT]=Report[Résultats],"Gagné","Perdu"))</f>
        <v>Perdu</v>
      </c>
      <c r="S316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316" s="53">
        <f>IF(Report[[#This Row],[FT]]="","",IF(Report[[#This Row],[FT]]=Report[[#This Row],[Score 1]],1,0))</f>
        <v>0</v>
      </c>
      <c r="U316" s="53">
        <f>IF(Report[[#This Row],[FT]]="","",IF(Report[ [#This Row],[FT] ]=Report[[#This Row],[Score 2]],1,0))</f>
        <v>0</v>
      </c>
      <c r="V316" s="53">
        <f>IF(Report[[#This Row],[FT]]="","",IF(Report[[#This Row],[FT]]=Report[[#This Row],[Score 3]],1,0))</f>
        <v>0</v>
      </c>
      <c r="W316" s="53">
        <f>IF(Report[[#This Row],[FT]]="","",IF(Report[[#This Row],[FT]]=Report[[#This Row],[Score 4]],1,0))</f>
        <v>1</v>
      </c>
      <c r="X316" s="66">
        <f>IF(Report[[#This Row],[Résultat FT]]="",,IF(Report[[#This Row],[Résultat FT]]=Report[[#This Row],[Résultats]],(Suivi_Gain!$B$1*Report[[#This Row],[Cote FT]])-Suivi_Gain!$B$1,-Suivi_Gain!$B$1))</f>
        <v>-1</v>
      </c>
      <c r="Y316" s="94">
        <f>IF(Report[[#This Row],[FT]]="",,IF(Report[[#This Row],[FT]]=Report[[#This Row],[Score 1]],(Suivi_Gain!$G$1*Report[[#This Row],[Cote SE]])-Suivi_Gain!$G$1,-Suivi_Gain!$G$1))</f>
        <v>-1</v>
      </c>
      <c r="Z316" s="65">
        <f>IF(Report[[#This Row],[FT]]="",,IF(Report[[#This Row],[FT]]=Report[[#This Row],[Score 2]],Suivi_Gain!$G$1*Report[[#This Row],[Cote SE]],-Suivi_Gain!$G$1))</f>
        <v>-1</v>
      </c>
      <c r="AA316" s="65">
        <f>IF(Report[[#This Row],[FT]]="",,IF(Report[[#This Row],[FT]]=Report[[#This Row],[Score 3]],Suivi_Gain!$G$1*Report[[#This Row],[Cote SE]],-Suivi_Gain!$G$1))</f>
        <v>-1</v>
      </c>
      <c r="AB316" s="65">
        <f>IF(Report[[#This Row],[FT]]="",,IF(Report[[#This Row],[FT]]=Report[[#This Row],[Score 4]],Suivi_Gain!$G$1*Report[[#This Row],[Cote SE]],-Suivi_Gain!$G$1))</f>
        <v>19</v>
      </c>
      <c r="AC316" s="64" t="str">
        <f>IF(Report[[#This Row],[Résultats SE]]="Gagné",Report[[#This Row],[FT]],"")</f>
        <v>0-0</v>
      </c>
      <c r="AD316" s="64" t="str">
        <f>IF(AND(Report[[#This Row],[Résultats SE]]="Gagné",Report[[#This Row],[FT]]=Report[[#This Row],[Score 1]]),Report[[#This Row],[FT]],"")</f>
        <v/>
      </c>
      <c r="AE316" s="64" t="str">
        <f>IF(AND(Report[[#This Row],[Résultats SE]]="Gagné",Report[[#This Row],[FT]]=Report[[#This Row],[Score 2]]),Report[[#This Row],[FT]],"")</f>
        <v/>
      </c>
      <c r="AF316" s="64" t="str">
        <f>IF(AND(Report[[#This Row],[Résultats SE]]="Gagné",Report[[#This Row],[FT]]=Report[[#This Row],[Score 3]]),Report[[#This Row],[FT]],"")</f>
        <v/>
      </c>
      <c r="AG316" s="64" t="str">
        <f>IF(AND(Report[[#This Row],[Résultats SE]]="Gagné",Report[[#This Row],[FT]]=Report[[#This Row],[Score 4]]),Report[[#This Row],[FT]],"")</f>
        <v>0-0</v>
      </c>
    </row>
    <row r="317" spans="1:33" ht="20.100000000000001" customHeight="1" x14ac:dyDescent="0.25">
      <c r="A317" s="11">
        <v>43426</v>
      </c>
      <c r="B317" s="7" t="s">
        <v>221</v>
      </c>
      <c r="C317" s="7" t="s">
        <v>104</v>
      </c>
      <c r="D317" s="10" t="s">
        <v>522</v>
      </c>
      <c r="E317" s="10" t="s">
        <v>525</v>
      </c>
      <c r="F317" s="7" t="s">
        <v>829</v>
      </c>
      <c r="G317" s="8" t="s">
        <v>830</v>
      </c>
      <c r="H317" s="9" t="s">
        <v>826</v>
      </c>
      <c r="I317" s="9" t="s">
        <v>831</v>
      </c>
      <c r="J317" s="9" t="s">
        <v>832</v>
      </c>
      <c r="K317" s="9" t="s">
        <v>522</v>
      </c>
      <c r="L317" s="16" t="s">
        <v>850</v>
      </c>
      <c r="M317" s="16" t="s">
        <v>850</v>
      </c>
      <c r="N317" s="17" t="s">
        <v>834</v>
      </c>
      <c r="O317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317" s="18">
        <f>IF(Report[[#This Row],[FT]]="",,(LEFT(Report[[#This Row],[FT]],SEARCH("-",Report[[#This Row],[FT]])-1)*1))</f>
        <v>1</v>
      </c>
      <c r="Q317" s="22">
        <f>IF(Report[[#This Row],[FT]]="",,(RIGHT(Report[[#This Row],[FT]],SEARCH("-",Report[[#This Row],[FT]])-1)*1))</f>
        <v>1</v>
      </c>
      <c r="R317" s="18" t="str">
        <f>IF(Report[Résultat FT]="","",IF(Report[Résultat FT]=Report[Résultats],"Gagné","Perdu"))</f>
        <v>Perdu</v>
      </c>
      <c r="S317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317" s="53">
        <f>IF(Report[[#This Row],[FT]]="","",IF(Report[[#This Row],[FT]]=Report[[#This Row],[Score 1]],1,0))</f>
        <v>0</v>
      </c>
      <c r="U317" s="53">
        <f>IF(Report[[#This Row],[FT]]="","",IF(Report[ [#This Row],[FT] ]=Report[[#This Row],[Score 2]],1,0))</f>
        <v>0</v>
      </c>
      <c r="V317" s="53">
        <f>IF(Report[[#This Row],[FT]]="","",IF(Report[[#This Row],[FT]]=Report[[#This Row],[Score 3]],1,0))</f>
        <v>0</v>
      </c>
      <c r="W317" s="53">
        <f>IF(Report[[#This Row],[FT]]="","",IF(Report[[#This Row],[FT]]=Report[[#This Row],[Score 4]],1,0))</f>
        <v>0</v>
      </c>
      <c r="X317" s="66">
        <f>IF(Report[[#This Row],[Résultat FT]]="",,IF(Report[[#This Row],[Résultat FT]]=Report[[#This Row],[Résultats]],(Suivi_Gain!$B$1*Report[[#This Row],[Cote FT]])-Suivi_Gain!$B$1,-Suivi_Gain!$B$1))</f>
        <v>-1</v>
      </c>
      <c r="Y317" s="94">
        <f>IF(Report[[#This Row],[FT]]="",,IF(Report[[#This Row],[FT]]=Report[[#This Row],[Score 1]],(Suivi_Gain!$G$1*Report[[#This Row],[Cote SE]])-Suivi_Gain!$G$1,-Suivi_Gain!$G$1))</f>
        <v>-1</v>
      </c>
      <c r="Z317" s="65">
        <f>IF(Report[[#This Row],[FT]]="",,IF(Report[[#This Row],[FT]]=Report[[#This Row],[Score 2]],Suivi_Gain!$G$1*Report[[#This Row],[Cote SE]],-Suivi_Gain!$G$1))</f>
        <v>-1</v>
      </c>
      <c r="AA317" s="65">
        <f>IF(Report[[#This Row],[FT]]="",,IF(Report[[#This Row],[FT]]=Report[[#This Row],[Score 3]],Suivi_Gain!$G$1*Report[[#This Row],[Cote SE]],-Suivi_Gain!$G$1))</f>
        <v>-1</v>
      </c>
      <c r="AB317" s="65">
        <f>IF(Report[[#This Row],[FT]]="",,IF(Report[[#This Row],[FT]]=Report[[#This Row],[Score 4]],Suivi_Gain!$G$1*Report[[#This Row],[Cote SE]],-Suivi_Gain!$G$1))</f>
        <v>-1</v>
      </c>
      <c r="AC317" s="64" t="str">
        <f>IF(Report[[#This Row],[Résultats SE]]="Gagné",Report[[#This Row],[FT]],"")</f>
        <v/>
      </c>
      <c r="AD317" s="64" t="str">
        <f>IF(AND(Report[[#This Row],[Résultats SE]]="Gagné",Report[[#This Row],[FT]]=Report[[#This Row],[Score 1]]),Report[[#This Row],[FT]],"")</f>
        <v/>
      </c>
      <c r="AE317" s="64" t="str">
        <f>IF(AND(Report[[#This Row],[Résultats SE]]="Gagné",Report[[#This Row],[FT]]=Report[[#This Row],[Score 2]]),Report[[#This Row],[FT]],"")</f>
        <v/>
      </c>
      <c r="AF317" s="64" t="str">
        <f>IF(AND(Report[[#This Row],[Résultats SE]]="Gagné",Report[[#This Row],[FT]]=Report[[#This Row],[Score 3]]),Report[[#This Row],[FT]],"")</f>
        <v/>
      </c>
      <c r="AG317" s="64" t="str">
        <f>IF(AND(Report[[#This Row],[Résultats SE]]="Gagné",Report[[#This Row],[FT]]=Report[[#This Row],[Score 4]]),Report[[#This Row],[FT]],"")</f>
        <v/>
      </c>
    </row>
    <row r="318" spans="1:33" ht="20.100000000000001" customHeight="1" x14ac:dyDescent="0.25">
      <c r="A318" s="11">
        <v>43426</v>
      </c>
      <c r="B318" s="7" t="s">
        <v>221</v>
      </c>
      <c r="C318" s="7" t="s">
        <v>104</v>
      </c>
      <c r="D318" s="10" t="s">
        <v>521</v>
      </c>
      <c r="E318" s="10" t="s">
        <v>526</v>
      </c>
      <c r="F318" s="7" t="s">
        <v>829</v>
      </c>
      <c r="G318" s="8" t="s">
        <v>830</v>
      </c>
      <c r="H318" s="9" t="s">
        <v>826</v>
      </c>
      <c r="I318" s="9" t="s">
        <v>831</v>
      </c>
      <c r="J318" s="9" t="s">
        <v>832</v>
      </c>
      <c r="K318" s="9" t="s">
        <v>521</v>
      </c>
      <c r="L318" s="16">
        <v>1.38</v>
      </c>
      <c r="M318" s="16">
        <v>4.0999999999999996</v>
      </c>
      <c r="N318" s="17" t="s">
        <v>830</v>
      </c>
      <c r="O318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Atletico-PR</v>
      </c>
      <c r="P318" s="18">
        <f>IF(Report[[#This Row],[FT]]="",,(LEFT(Report[[#This Row],[FT]],SEARCH("-",Report[[#This Row],[FT]])-1)*1))</f>
        <v>1</v>
      </c>
      <c r="Q318" s="22">
        <f>IF(Report[[#This Row],[FT]]="",,(RIGHT(Report[[#This Row],[FT]],SEARCH("-",Report[[#This Row],[FT]])-1)*1))</f>
        <v>0</v>
      </c>
      <c r="R318" s="18" t="str">
        <f>IF(Report[Résultat FT]="","",IF(Report[Résultat FT]=Report[Résultats],"Gagné","Perdu"))</f>
        <v>Gagné</v>
      </c>
      <c r="S318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318" s="53">
        <f>IF(Report[[#This Row],[FT]]="","",IF(Report[[#This Row],[FT]]=Report[[#This Row],[Score 1]],1,0))</f>
        <v>1</v>
      </c>
      <c r="U318" s="53">
        <f>IF(Report[[#This Row],[FT]]="","",IF(Report[ [#This Row],[FT] ]=Report[[#This Row],[Score 2]],1,0))</f>
        <v>0</v>
      </c>
      <c r="V318" s="53">
        <f>IF(Report[[#This Row],[FT]]="","",IF(Report[[#This Row],[FT]]=Report[[#This Row],[Score 3]],1,0))</f>
        <v>0</v>
      </c>
      <c r="W318" s="53">
        <f>IF(Report[[#This Row],[FT]]="","",IF(Report[[#This Row],[FT]]=Report[[#This Row],[Score 4]],1,0))</f>
        <v>0</v>
      </c>
      <c r="X318" s="66">
        <f>IF(Report[[#This Row],[Résultat FT]]="",,IF(Report[[#This Row],[Résultat FT]]=Report[[#This Row],[Résultats]],(Suivi_Gain!$B$1*Report[[#This Row],[Cote FT]])-Suivi_Gain!$B$1,-Suivi_Gain!$B$1))</f>
        <v>0.37999999999999989</v>
      </c>
      <c r="Y318" s="94">
        <f>IF(Report[[#This Row],[FT]]="",,IF(Report[[#This Row],[FT]]=Report[[#This Row],[Score 1]],(Suivi_Gain!$G$1*Report[[#This Row],[Cote SE]])-Suivi_Gain!$G$1,-Suivi_Gain!$G$1))</f>
        <v>3.0999999999999996</v>
      </c>
      <c r="Z318" s="65">
        <f>IF(Report[[#This Row],[FT]]="",,IF(Report[[#This Row],[FT]]=Report[[#This Row],[Score 2]],Suivi_Gain!$G$1*Report[[#This Row],[Cote SE]],-Suivi_Gain!$G$1))</f>
        <v>-1</v>
      </c>
      <c r="AA318" s="65">
        <f>IF(Report[[#This Row],[FT]]="",,IF(Report[[#This Row],[FT]]=Report[[#This Row],[Score 3]],Suivi_Gain!$G$1*Report[[#This Row],[Cote SE]],-Suivi_Gain!$G$1))</f>
        <v>-1</v>
      </c>
      <c r="AB318" s="65">
        <f>IF(Report[[#This Row],[FT]]="",,IF(Report[[#This Row],[FT]]=Report[[#This Row],[Score 4]],Suivi_Gain!$G$1*Report[[#This Row],[Cote SE]],-Suivi_Gain!$G$1))</f>
        <v>-1</v>
      </c>
      <c r="AC318" s="64" t="str">
        <f>IF(Report[[#This Row],[Résultats SE]]="Gagné",Report[[#This Row],[FT]],"")</f>
        <v>1-0</v>
      </c>
      <c r="AD318" s="64" t="str">
        <f>IF(AND(Report[[#This Row],[Résultats SE]]="Gagné",Report[[#This Row],[FT]]=Report[[#This Row],[Score 1]]),Report[[#This Row],[FT]],"")</f>
        <v>1-0</v>
      </c>
      <c r="AE318" s="64" t="str">
        <f>IF(AND(Report[[#This Row],[Résultats SE]]="Gagné",Report[[#This Row],[FT]]=Report[[#This Row],[Score 2]]),Report[[#This Row],[FT]],"")</f>
        <v/>
      </c>
      <c r="AF318" s="64" t="str">
        <f>IF(AND(Report[[#This Row],[Résultats SE]]="Gagné",Report[[#This Row],[FT]]=Report[[#This Row],[Score 3]]),Report[[#This Row],[FT]],"")</f>
        <v/>
      </c>
      <c r="AG318" s="64" t="str">
        <f>IF(AND(Report[[#This Row],[Résultats SE]]="Gagné",Report[[#This Row],[FT]]=Report[[#This Row],[Score 4]]),Report[[#This Row],[FT]],"")</f>
        <v/>
      </c>
    </row>
    <row r="319" spans="1:33" ht="20.100000000000001" customHeight="1" x14ac:dyDescent="0.25">
      <c r="A319" s="11">
        <v>43426</v>
      </c>
      <c r="B319" s="7" t="s">
        <v>221</v>
      </c>
      <c r="C319" s="7" t="s">
        <v>104</v>
      </c>
      <c r="D319" s="10" t="s">
        <v>520</v>
      </c>
      <c r="E319" s="10" t="s">
        <v>531</v>
      </c>
      <c r="F319" s="7" t="s">
        <v>829</v>
      </c>
      <c r="G319" s="8" t="s">
        <v>830</v>
      </c>
      <c r="H319" s="9" t="s">
        <v>826</v>
      </c>
      <c r="I319" s="9" t="s">
        <v>831</v>
      </c>
      <c r="J319" s="9" t="s">
        <v>832</v>
      </c>
      <c r="K319" s="9" t="s">
        <v>520</v>
      </c>
      <c r="L319" s="16">
        <v>1.6</v>
      </c>
      <c r="M319" s="16">
        <v>10</v>
      </c>
      <c r="N319" s="17" t="s">
        <v>832</v>
      </c>
      <c r="O319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Cruzeiro</v>
      </c>
      <c r="P319" s="18">
        <f>IF(Report[[#This Row],[FT]]="",,(LEFT(Report[[#This Row],[FT]],SEARCH("-",Report[[#This Row],[FT]])-1)*1))</f>
        <v>3</v>
      </c>
      <c r="Q319" s="22">
        <f>IF(Report[[#This Row],[FT]]="",,(RIGHT(Report[[#This Row],[FT]],SEARCH("-",Report[[#This Row],[FT]])-1)*1))</f>
        <v>0</v>
      </c>
      <c r="R319" s="18" t="str">
        <f>IF(Report[Résultat FT]="","",IF(Report[Résultat FT]=Report[Résultats],"Gagné","Perdu"))</f>
        <v>Gagné</v>
      </c>
      <c r="S319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319" s="53">
        <f>IF(Report[[#This Row],[FT]]="","",IF(Report[[#This Row],[FT]]=Report[[#This Row],[Score 1]],1,0))</f>
        <v>0</v>
      </c>
      <c r="U319" s="53">
        <f>IF(Report[[#This Row],[FT]]="","",IF(Report[ [#This Row],[FT] ]=Report[[#This Row],[Score 2]],1,0))</f>
        <v>0</v>
      </c>
      <c r="V319" s="53">
        <f>IF(Report[[#This Row],[FT]]="","",IF(Report[[#This Row],[FT]]=Report[[#This Row],[Score 3]],1,0))</f>
        <v>0</v>
      </c>
      <c r="W319" s="53">
        <f>IF(Report[[#This Row],[FT]]="","",IF(Report[[#This Row],[FT]]=Report[[#This Row],[Score 4]],1,0))</f>
        <v>1</v>
      </c>
      <c r="X319" s="66">
        <f>IF(Report[[#This Row],[Résultat FT]]="",,IF(Report[[#This Row],[Résultat FT]]=Report[[#This Row],[Résultats]],(Suivi_Gain!$B$1*Report[[#This Row],[Cote FT]])-Suivi_Gain!$B$1,-Suivi_Gain!$B$1))</f>
        <v>0.60000000000000009</v>
      </c>
      <c r="Y319" s="94">
        <f>IF(Report[[#This Row],[FT]]="",,IF(Report[[#This Row],[FT]]=Report[[#This Row],[Score 1]],(Suivi_Gain!$G$1*Report[[#This Row],[Cote SE]])-Suivi_Gain!$G$1,-Suivi_Gain!$G$1))</f>
        <v>-1</v>
      </c>
      <c r="Z319" s="65">
        <f>IF(Report[[#This Row],[FT]]="",,IF(Report[[#This Row],[FT]]=Report[[#This Row],[Score 2]],Suivi_Gain!$G$1*Report[[#This Row],[Cote SE]],-Suivi_Gain!$G$1))</f>
        <v>-1</v>
      </c>
      <c r="AA319" s="65">
        <f>IF(Report[[#This Row],[FT]]="",,IF(Report[[#This Row],[FT]]=Report[[#This Row],[Score 3]],Suivi_Gain!$G$1*Report[[#This Row],[Cote SE]],-Suivi_Gain!$G$1))</f>
        <v>-1</v>
      </c>
      <c r="AB319" s="65">
        <f>IF(Report[[#This Row],[FT]]="",,IF(Report[[#This Row],[FT]]=Report[[#This Row],[Score 4]],Suivi_Gain!$G$1*Report[[#This Row],[Cote SE]],-Suivi_Gain!$G$1))</f>
        <v>10</v>
      </c>
      <c r="AC319" s="64" t="str">
        <f>IF(Report[[#This Row],[Résultats SE]]="Gagné",Report[[#This Row],[FT]],"")</f>
        <v>3-0</v>
      </c>
      <c r="AD319" s="64" t="str">
        <f>IF(AND(Report[[#This Row],[Résultats SE]]="Gagné",Report[[#This Row],[FT]]=Report[[#This Row],[Score 1]]),Report[[#This Row],[FT]],"")</f>
        <v/>
      </c>
      <c r="AE319" s="64" t="str">
        <f>IF(AND(Report[[#This Row],[Résultats SE]]="Gagné",Report[[#This Row],[FT]]=Report[[#This Row],[Score 2]]),Report[[#This Row],[FT]],"")</f>
        <v/>
      </c>
      <c r="AF319" s="64" t="str">
        <f>IF(AND(Report[[#This Row],[Résultats SE]]="Gagné",Report[[#This Row],[FT]]=Report[[#This Row],[Score 3]]),Report[[#This Row],[FT]],"")</f>
        <v/>
      </c>
      <c r="AG319" s="64" t="str">
        <f>IF(AND(Report[[#This Row],[Résultats SE]]="Gagné",Report[[#This Row],[FT]]=Report[[#This Row],[Score 4]]),Report[[#This Row],[FT]],"")</f>
        <v>3-0</v>
      </c>
    </row>
    <row r="320" spans="1:33" ht="20.100000000000001" customHeight="1" x14ac:dyDescent="0.25">
      <c r="A320" s="11">
        <v>43426</v>
      </c>
      <c r="B320" s="7" t="s">
        <v>221</v>
      </c>
      <c r="C320" s="7" t="s">
        <v>104</v>
      </c>
      <c r="D320" s="10" t="s">
        <v>516</v>
      </c>
      <c r="E320" s="10" t="s">
        <v>517</v>
      </c>
      <c r="F320" s="7" t="s">
        <v>833</v>
      </c>
      <c r="G320" s="8" t="s">
        <v>834</v>
      </c>
      <c r="H320" s="9" t="s">
        <v>830</v>
      </c>
      <c r="I320" s="9" t="s">
        <v>825</v>
      </c>
      <c r="J320" s="9" t="s">
        <v>826</v>
      </c>
      <c r="K320" s="9" t="s">
        <v>233</v>
      </c>
      <c r="L320" s="16" t="s">
        <v>850</v>
      </c>
      <c r="M320" s="16" t="s">
        <v>850</v>
      </c>
      <c r="N320" s="17" t="s">
        <v>831</v>
      </c>
      <c r="O320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Flamengo</v>
      </c>
      <c r="P320" s="18">
        <f>IF(Report[[#This Row],[FT]]="",,(LEFT(Report[[#This Row],[FT]],SEARCH("-",Report[[#This Row],[FT]])-1)*1))</f>
        <v>2</v>
      </c>
      <c r="Q320" s="22">
        <f>IF(Report[[#This Row],[FT]]="",,(RIGHT(Report[[#This Row],[FT]],SEARCH("-",Report[[#This Row],[FT]])-1)*1))</f>
        <v>0</v>
      </c>
      <c r="R320" s="18" t="str">
        <f>IF(Report[Résultat FT]="","",IF(Report[Résultat FT]=Report[Résultats],"Gagné","Perdu"))</f>
        <v>Perdu</v>
      </c>
      <c r="S320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320" s="53">
        <f>IF(Report[[#This Row],[FT]]="","",IF(Report[[#This Row],[FT]]=Report[[#This Row],[Score 1]],1,0))</f>
        <v>0</v>
      </c>
      <c r="U320" s="53">
        <f>IF(Report[[#This Row],[FT]]="","",IF(Report[ [#This Row],[FT] ]=Report[[#This Row],[Score 2]],1,0))</f>
        <v>0</v>
      </c>
      <c r="V320" s="53">
        <f>IF(Report[[#This Row],[FT]]="","",IF(Report[[#This Row],[FT]]=Report[[#This Row],[Score 3]],1,0))</f>
        <v>0</v>
      </c>
      <c r="W320" s="53">
        <f>IF(Report[[#This Row],[FT]]="","",IF(Report[[#This Row],[FT]]=Report[[#This Row],[Score 4]],1,0))</f>
        <v>0</v>
      </c>
      <c r="X320" s="66">
        <f>IF(Report[[#This Row],[Résultat FT]]="",,IF(Report[[#This Row],[Résultat FT]]=Report[[#This Row],[Résultats]],(Suivi_Gain!$B$1*Report[[#This Row],[Cote FT]])-Suivi_Gain!$B$1,-Suivi_Gain!$B$1))</f>
        <v>-1</v>
      </c>
      <c r="Y320" s="94">
        <f>IF(Report[[#This Row],[FT]]="",,IF(Report[[#This Row],[FT]]=Report[[#This Row],[Score 1]],(Suivi_Gain!$G$1*Report[[#This Row],[Cote SE]])-Suivi_Gain!$G$1,-Suivi_Gain!$G$1))</f>
        <v>-1</v>
      </c>
      <c r="Z320" s="65">
        <f>IF(Report[[#This Row],[FT]]="",,IF(Report[[#This Row],[FT]]=Report[[#This Row],[Score 2]],Suivi_Gain!$G$1*Report[[#This Row],[Cote SE]],-Suivi_Gain!$G$1))</f>
        <v>-1</v>
      </c>
      <c r="AA320" s="65">
        <f>IF(Report[[#This Row],[FT]]="",,IF(Report[[#This Row],[FT]]=Report[[#This Row],[Score 3]],Suivi_Gain!$G$1*Report[[#This Row],[Cote SE]],-Suivi_Gain!$G$1))</f>
        <v>-1</v>
      </c>
      <c r="AB320" s="65">
        <f>IF(Report[[#This Row],[FT]]="",,IF(Report[[#This Row],[FT]]=Report[[#This Row],[Score 4]],Suivi_Gain!$G$1*Report[[#This Row],[Cote SE]],-Suivi_Gain!$G$1))</f>
        <v>-1</v>
      </c>
      <c r="AC320" s="64" t="str">
        <f>IF(Report[[#This Row],[Résultats SE]]="Gagné",Report[[#This Row],[FT]],"")</f>
        <v/>
      </c>
      <c r="AD320" s="64" t="str">
        <f>IF(AND(Report[[#This Row],[Résultats SE]]="Gagné",Report[[#This Row],[FT]]=Report[[#This Row],[Score 1]]),Report[[#This Row],[FT]],"")</f>
        <v/>
      </c>
      <c r="AE320" s="64" t="str">
        <f>IF(AND(Report[[#This Row],[Résultats SE]]="Gagné",Report[[#This Row],[FT]]=Report[[#This Row],[Score 2]]),Report[[#This Row],[FT]],"")</f>
        <v/>
      </c>
      <c r="AF320" s="64" t="str">
        <f>IF(AND(Report[[#This Row],[Résultats SE]]="Gagné",Report[[#This Row],[FT]]=Report[[#This Row],[Score 3]]),Report[[#This Row],[FT]],"")</f>
        <v/>
      </c>
      <c r="AG320" s="64" t="str">
        <f>IF(AND(Report[[#This Row],[Résultats SE]]="Gagné",Report[[#This Row],[FT]]=Report[[#This Row],[Score 4]]),Report[[#This Row],[FT]],"")</f>
        <v/>
      </c>
    </row>
    <row r="321" spans="1:33" ht="20.100000000000001" customHeight="1" x14ac:dyDescent="0.25">
      <c r="A321" s="11">
        <v>43426</v>
      </c>
      <c r="B321" s="7" t="s">
        <v>221</v>
      </c>
      <c r="C321" s="7" t="s">
        <v>104</v>
      </c>
      <c r="D321" s="10" t="s">
        <v>514</v>
      </c>
      <c r="E321" s="10" t="s">
        <v>532</v>
      </c>
      <c r="F321" s="7" t="s">
        <v>829</v>
      </c>
      <c r="G321" s="8" t="s">
        <v>830</v>
      </c>
      <c r="H321" s="9" t="s">
        <v>826</v>
      </c>
      <c r="I321" s="9" t="s">
        <v>831</v>
      </c>
      <c r="J321" s="9" t="s">
        <v>832</v>
      </c>
      <c r="K321" s="9" t="s">
        <v>514</v>
      </c>
      <c r="L321" s="16">
        <v>1.25</v>
      </c>
      <c r="M321" s="16" t="s">
        <v>850</v>
      </c>
      <c r="N321" s="17" t="s">
        <v>859</v>
      </c>
      <c r="O321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Palmeiras</v>
      </c>
      <c r="P321" s="18">
        <f>IF(Report[[#This Row],[FT]]="",,(LEFT(Report[[#This Row],[FT]],SEARCH("-",Report[[#This Row],[FT]])-1)*1))</f>
        <v>4</v>
      </c>
      <c r="Q321" s="22">
        <f>IF(Report[[#This Row],[FT]]="",,(RIGHT(Report[[#This Row],[FT]],SEARCH("-",Report[[#This Row],[FT]])-1)*1))</f>
        <v>0</v>
      </c>
      <c r="R321" s="18" t="str">
        <f>IF(Report[Résultat FT]="","",IF(Report[Résultat FT]=Report[Résultats],"Gagné","Perdu"))</f>
        <v>Gagné</v>
      </c>
      <c r="S321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321" s="53">
        <f>IF(Report[[#This Row],[FT]]="","",IF(Report[[#This Row],[FT]]=Report[[#This Row],[Score 1]],1,0))</f>
        <v>0</v>
      </c>
      <c r="U321" s="53">
        <f>IF(Report[[#This Row],[FT]]="","",IF(Report[ [#This Row],[FT] ]=Report[[#This Row],[Score 2]],1,0))</f>
        <v>0</v>
      </c>
      <c r="V321" s="53">
        <f>IF(Report[[#This Row],[FT]]="","",IF(Report[[#This Row],[FT]]=Report[[#This Row],[Score 3]],1,0))</f>
        <v>0</v>
      </c>
      <c r="W321" s="53">
        <f>IF(Report[[#This Row],[FT]]="","",IF(Report[[#This Row],[FT]]=Report[[#This Row],[Score 4]],1,0))</f>
        <v>0</v>
      </c>
      <c r="X321" s="66">
        <f>IF(Report[[#This Row],[Résultat FT]]="",,IF(Report[[#This Row],[Résultat FT]]=Report[[#This Row],[Résultats]],(Suivi_Gain!$B$1*Report[[#This Row],[Cote FT]])-Suivi_Gain!$B$1,-Suivi_Gain!$B$1))</f>
        <v>0.25</v>
      </c>
      <c r="Y321" s="94">
        <f>IF(Report[[#This Row],[FT]]="",,IF(Report[[#This Row],[FT]]=Report[[#This Row],[Score 1]],(Suivi_Gain!$G$1*Report[[#This Row],[Cote SE]])-Suivi_Gain!$G$1,-Suivi_Gain!$G$1))</f>
        <v>-1</v>
      </c>
      <c r="Z321" s="65">
        <f>IF(Report[[#This Row],[FT]]="",,IF(Report[[#This Row],[FT]]=Report[[#This Row],[Score 2]],Suivi_Gain!$G$1*Report[[#This Row],[Cote SE]],-Suivi_Gain!$G$1))</f>
        <v>-1</v>
      </c>
      <c r="AA321" s="65">
        <f>IF(Report[[#This Row],[FT]]="",,IF(Report[[#This Row],[FT]]=Report[[#This Row],[Score 3]],Suivi_Gain!$G$1*Report[[#This Row],[Cote SE]],-Suivi_Gain!$G$1))</f>
        <v>-1</v>
      </c>
      <c r="AB321" s="65">
        <f>IF(Report[[#This Row],[FT]]="",,IF(Report[[#This Row],[FT]]=Report[[#This Row],[Score 4]],Suivi_Gain!$G$1*Report[[#This Row],[Cote SE]],-Suivi_Gain!$G$1))</f>
        <v>-1</v>
      </c>
      <c r="AC321" s="64" t="str">
        <f>IF(Report[[#This Row],[Résultats SE]]="Gagné",Report[[#This Row],[FT]],"")</f>
        <v/>
      </c>
      <c r="AD321" s="64" t="str">
        <f>IF(AND(Report[[#This Row],[Résultats SE]]="Gagné",Report[[#This Row],[FT]]=Report[[#This Row],[Score 1]]),Report[[#This Row],[FT]],"")</f>
        <v/>
      </c>
      <c r="AE321" s="64" t="str">
        <f>IF(AND(Report[[#This Row],[Résultats SE]]="Gagné",Report[[#This Row],[FT]]=Report[[#This Row],[Score 2]]),Report[[#This Row],[FT]],"")</f>
        <v/>
      </c>
      <c r="AF321" s="64" t="str">
        <f>IF(AND(Report[[#This Row],[Résultats SE]]="Gagné",Report[[#This Row],[FT]]=Report[[#This Row],[Score 3]]),Report[[#This Row],[FT]],"")</f>
        <v/>
      </c>
      <c r="AG321" s="64" t="str">
        <f>IF(AND(Report[[#This Row],[Résultats SE]]="Gagné",Report[[#This Row],[FT]]=Report[[#This Row],[Score 4]]),Report[[#This Row],[FT]],"")</f>
        <v/>
      </c>
    </row>
    <row r="322" spans="1:33" ht="20.100000000000001" customHeight="1" x14ac:dyDescent="0.25">
      <c r="A322" s="11">
        <v>43426</v>
      </c>
      <c r="B322" s="7" t="s">
        <v>221</v>
      </c>
      <c r="C322" s="7" t="s">
        <v>104</v>
      </c>
      <c r="D322" s="19" t="s">
        <v>527</v>
      </c>
      <c r="E322" s="19" t="s">
        <v>518</v>
      </c>
      <c r="F322" s="7" t="s">
        <v>824</v>
      </c>
      <c r="G322" s="20" t="s">
        <v>825</v>
      </c>
      <c r="H322" s="20" t="s">
        <v>826</v>
      </c>
      <c r="I322" s="20" t="s">
        <v>827</v>
      </c>
      <c r="J322" s="20" t="s">
        <v>828</v>
      </c>
      <c r="K322" s="21" t="s">
        <v>518</v>
      </c>
      <c r="L322" s="16" t="s">
        <v>850</v>
      </c>
      <c r="M322" s="16" t="s">
        <v>850</v>
      </c>
      <c r="N322" s="17" t="s">
        <v>831</v>
      </c>
      <c r="O322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Vasco</v>
      </c>
      <c r="P322" s="18">
        <f>IF(Report[[#This Row],[FT]]="",,(LEFT(Report[[#This Row],[FT]],SEARCH("-",Report[[#This Row],[FT]])-1)*1))</f>
        <v>2</v>
      </c>
      <c r="Q322" s="22">
        <f>IF(Report[[#This Row],[FT]]="",,(RIGHT(Report[[#This Row],[FT]],SEARCH("-",Report[[#This Row],[FT]])-1)*1))</f>
        <v>0</v>
      </c>
      <c r="R322" s="18" t="str">
        <f>IF(Report[Résultat FT]="","",IF(Report[Résultat FT]=Report[Résultats],"Gagné","Perdu"))</f>
        <v>Perdu</v>
      </c>
      <c r="S322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322" s="53">
        <f>IF(Report[[#This Row],[FT]]="","",IF(Report[[#This Row],[FT]]=Report[[#This Row],[Score 1]],1,0))</f>
        <v>0</v>
      </c>
      <c r="U322" s="53">
        <f>IF(Report[[#This Row],[FT]]="","",IF(Report[ [#This Row],[FT] ]=Report[[#This Row],[Score 2]],1,0))</f>
        <v>0</v>
      </c>
      <c r="V322" s="53">
        <f>IF(Report[[#This Row],[FT]]="","",IF(Report[[#This Row],[FT]]=Report[[#This Row],[Score 3]],1,0))</f>
        <v>0</v>
      </c>
      <c r="W322" s="53">
        <f>IF(Report[[#This Row],[FT]]="","",IF(Report[[#This Row],[FT]]=Report[[#This Row],[Score 4]],1,0))</f>
        <v>0</v>
      </c>
      <c r="X322" s="66">
        <f>IF(Report[[#This Row],[Résultat FT]]="",,IF(Report[[#This Row],[Résultat FT]]=Report[[#This Row],[Résultats]],(Suivi_Gain!$B$1*Report[[#This Row],[Cote FT]])-Suivi_Gain!$B$1,-Suivi_Gain!$B$1))</f>
        <v>-1</v>
      </c>
      <c r="Y322" s="94">
        <f>IF(Report[[#This Row],[FT]]="",,IF(Report[[#This Row],[FT]]=Report[[#This Row],[Score 1]],(Suivi_Gain!$G$1*Report[[#This Row],[Cote SE]])-Suivi_Gain!$G$1,-Suivi_Gain!$G$1))</f>
        <v>-1</v>
      </c>
      <c r="Z322" s="65">
        <f>IF(Report[[#This Row],[FT]]="",,IF(Report[[#This Row],[FT]]=Report[[#This Row],[Score 2]],Suivi_Gain!$G$1*Report[[#This Row],[Cote SE]],-Suivi_Gain!$G$1))</f>
        <v>-1</v>
      </c>
      <c r="AA322" s="65">
        <f>IF(Report[[#This Row],[FT]]="",,IF(Report[[#This Row],[FT]]=Report[[#This Row],[Score 3]],Suivi_Gain!$G$1*Report[[#This Row],[Cote SE]],-Suivi_Gain!$G$1))</f>
        <v>-1</v>
      </c>
      <c r="AB322" s="65">
        <f>IF(Report[[#This Row],[FT]]="",,IF(Report[[#This Row],[FT]]=Report[[#This Row],[Score 4]],Suivi_Gain!$G$1*Report[[#This Row],[Cote SE]],-Suivi_Gain!$G$1))</f>
        <v>-1</v>
      </c>
      <c r="AC322" s="64" t="str">
        <f>IF(Report[[#This Row],[Résultats SE]]="Gagné",Report[[#This Row],[FT]],"")</f>
        <v/>
      </c>
      <c r="AD322" s="64" t="str">
        <f>IF(AND(Report[[#This Row],[Résultats SE]]="Gagné",Report[[#This Row],[FT]]=Report[[#This Row],[Score 1]]),Report[[#This Row],[FT]],"")</f>
        <v/>
      </c>
      <c r="AE322" s="64" t="str">
        <f>IF(AND(Report[[#This Row],[Résultats SE]]="Gagné",Report[[#This Row],[FT]]=Report[[#This Row],[Score 2]]),Report[[#This Row],[FT]],"")</f>
        <v/>
      </c>
      <c r="AF322" s="64" t="str">
        <f>IF(AND(Report[[#This Row],[Résultats SE]]="Gagné",Report[[#This Row],[FT]]=Report[[#This Row],[Score 3]]),Report[[#This Row],[FT]],"")</f>
        <v/>
      </c>
      <c r="AG322" s="64" t="str">
        <f>IF(AND(Report[[#This Row],[Résultats SE]]="Gagné",Report[[#This Row],[FT]]=Report[[#This Row],[Score 4]]),Report[[#This Row],[FT]],"")</f>
        <v/>
      </c>
    </row>
    <row r="323" spans="1:33" ht="20.100000000000001" customHeight="1" x14ac:dyDescent="0.25">
      <c r="A323" s="11">
        <v>43425</v>
      </c>
      <c r="B323" s="7" t="s">
        <v>220</v>
      </c>
      <c r="C323" s="7" t="s">
        <v>110</v>
      </c>
      <c r="D323" s="10" t="s">
        <v>404</v>
      </c>
      <c r="E323" s="10" t="s">
        <v>393</v>
      </c>
      <c r="F323" s="7" t="s">
        <v>844</v>
      </c>
      <c r="G323" s="8" t="s">
        <v>826</v>
      </c>
      <c r="H323" s="9" t="s">
        <v>845</v>
      </c>
      <c r="I323" s="9" t="s">
        <v>846</v>
      </c>
      <c r="J323" s="9" t="s">
        <v>847</v>
      </c>
      <c r="K323" s="9" t="s">
        <v>233</v>
      </c>
      <c r="L323" s="16" t="s">
        <v>850</v>
      </c>
      <c r="M323" s="16" t="s">
        <v>850</v>
      </c>
      <c r="N323" s="17" t="s">
        <v>832</v>
      </c>
      <c r="O323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Soligorsk</v>
      </c>
      <c r="P323" s="18">
        <f>IF(Report[[#This Row],[FT]]="",,(LEFT(Report[[#This Row],[FT]],SEARCH("-",Report[[#This Row],[FT]])-1)*1))</f>
        <v>3</v>
      </c>
      <c r="Q323" s="22">
        <f>IF(Report[[#This Row],[FT]]="",,(RIGHT(Report[[#This Row],[FT]],SEARCH("-",Report[[#This Row],[FT]])-1)*1))</f>
        <v>0</v>
      </c>
      <c r="R323" s="18" t="str">
        <f>IF(Report[Résultat FT]="","",IF(Report[Résultat FT]=Report[Résultats],"Gagné","Perdu"))</f>
        <v>Perdu</v>
      </c>
      <c r="S323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323" s="53">
        <f>IF(Report[[#This Row],[FT]]="","",IF(Report[[#This Row],[FT]]=Report[[#This Row],[Score 1]],1,0))</f>
        <v>0</v>
      </c>
      <c r="U323" s="53">
        <f>IF(Report[[#This Row],[FT]]="","",IF(Report[ [#This Row],[FT] ]=Report[[#This Row],[Score 2]],1,0))</f>
        <v>0</v>
      </c>
      <c r="V323" s="53">
        <f>IF(Report[[#This Row],[FT]]="","",IF(Report[[#This Row],[FT]]=Report[[#This Row],[Score 3]],1,0))</f>
        <v>0</v>
      </c>
      <c r="W323" s="53">
        <f>IF(Report[[#This Row],[FT]]="","",IF(Report[[#This Row],[FT]]=Report[[#This Row],[Score 4]],1,0))</f>
        <v>0</v>
      </c>
      <c r="X323" s="94">
        <f>IF(Report[[#This Row],[Résultat FT]]="",,IF(Report[[#This Row],[Résultat FT]]=Report[[#This Row],[Résultats]],(Suivi_Gain!$B$1*Report[[#This Row],[Cote FT]])-Suivi_Gain!$B$1,-Suivi_Gain!$B$1))</f>
        <v>-1</v>
      </c>
      <c r="Y323" s="94">
        <f>IF(Report[[#This Row],[FT]]="",,IF(Report[[#This Row],[FT]]=Report[[#This Row],[Score 1]],(Suivi_Gain!$G$1*Report[[#This Row],[Cote SE]])-Suivi_Gain!$G$1,-Suivi_Gain!$G$1))</f>
        <v>-1</v>
      </c>
      <c r="Z323" s="65">
        <f>IF(Report[[#This Row],[FT]]="",,IF(Report[[#This Row],[FT]]=Report[[#This Row],[Score 2]],Suivi_Gain!$G$1*Report[[#This Row],[Cote SE]],-Suivi_Gain!$G$1))</f>
        <v>-1</v>
      </c>
      <c r="AA323" s="65">
        <f>IF(Report[[#This Row],[FT]]="",,IF(Report[[#This Row],[FT]]=Report[[#This Row],[Score 3]],Suivi_Gain!$G$1*Report[[#This Row],[Cote SE]],-Suivi_Gain!$G$1))</f>
        <v>-1</v>
      </c>
      <c r="AB323" s="65">
        <f>IF(Report[[#This Row],[FT]]="",,IF(Report[[#This Row],[FT]]=Report[[#This Row],[Score 4]],Suivi_Gain!$G$1*Report[[#This Row],[Cote SE]],-Suivi_Gain!$G$1))</f>
        <v>-1</v>
      </c>
      <c r="AC323" s="80" t="str">
        <f>IF(Report[[#This Row],[Résultats SE]]="Gagné",Report[[#This Row],[FT]],"")</f>
        <v/>
      </c>
      <c r="AD323" s="80" t="str">
        <f>IF(AND(Report[[#This Row],[Résultats SE]]="Gagné",Report[[#This Row],[FT]]=Report[[#This Row],[Score 1]]),Report[[#This Row],[FT]],"")</f>
        <v/>
      </c>
      <c r="AE323" s="80" t="str">
        <f>IF(AND(Report[[#This Row],[Résultats SE]]="Gagné",Report[[#This Row],[FT]]=Report[[#This Row],[Score 2]]),Report[[#This Row],[FT]],"")</f>
        <v/>
      </c>
      <c r="AF323" s="80" t="str">
        <f>IF(AND(Report[[#This Row],[Résultats SE]]="Gagné",Report[[#This Row],[FT]]=Report[[#This Row],[Score 3]]),Report[[#This Row],[FT]],"")</f>
        <v/>
      </c>
      <c r="AG323" s="80" t="str">
        <f>IF(AND(Report[[#This Row],[Résultats SE]]="Gagné",Report[[#This Row],[FT]]=Report[[#This Row],[Score 4]]),Report[[#This Row],[FT]],"")</f>
        <v/>
      </c>
    </row>
    <row r="324" spans="1:33" ht="20.100000000000001" customHeight="1" x14ac:dyDescent="0.25">
      <c r="A324" s="11">
        <v>43425</v>
      </c>
      <c r="B324" s="7" t="s">
        <v>221</v>
      </c>
      <c r="C324" s="7" t="s">
        <v>104</v>
      </c>
      <c r="D324" s="10" t="s">
        <v>515</v>
      </c>
      <c r="E324" s="10" t="s">
        <v>519</v>
      </c>
      <c r="F324" s="7" t="s">
        <v>833</v>
      </c>
      <c r="G324" s="8" t="s">
        <v>834</v>
      </c>
      <c r="H324" s="9" t="s">
        <v>830</v>
      </c>
      <c r="I324" s="9" t="s">
        <v>825</v>
      </c>
      <c r="J324" s="9" t="s">
        <v>826</v>
      </c>
      <c r="K324" s="9" t="s">
        <v>233</v>
      </c>
      <c r="L324" s="16" t="s">
        <v>850</v>
      </c>
      <c r="M324" s="16" t="s">
        <v>850</v>
      </c>
      <c r="N324" s="17" t="s">
        <v>839</v>
      </c>
      <c r="O324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Atletico-MG</v>
      </c>
      <c r="P324" s="18">
        <f>IF(Report[[#This Row],[FT]]="",,(LEFT(Report[[#This Row],[FT]],SEARCH("-",Report[[#This Row],[FT]])-1)*1))</f>
        <v>1</v>
      </c>
      <c r="Q324" s="22">
        <f>IF(Report[[#This Row],[FT]]="",,(RIGHT(Report[[#This Row],[FT]],SEARCH("-",Report[[#This Row],[FT]])-1)*1))</f>
        <v>2</v>
      </c>
      <c r="R324" s="18" t="str">
        <f>IF(Report[Résultat FT]="","",IF(Report[Résultat FT]=Report[Résultats],"Gagné","Perdu"))</f>
        <v>Perdu</v>
      </c>
      <c r="S324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324" s="53">
        <f>IF(Report[[#This Row],[FT]]="","",IF(Report[[#This Row],[FT]]=Report[[#This Row],[Score 1]],1,0))</f>
        <v>0</v>
      </c>
      <c r="U324" s="53">
        <f>IF(Report[[#This Row],[FT]]="","",IF(Report[ [#This Row],[FT] ]=Report[[#This Row],[Score 2]],1,0))</f>
        <v>0</v>
      </c>
      <c r="V324" s="53">
        <f>IF(Report[[#This Row],[FT]]="","",IF(Report[[#This Row],[FT]]=Report[[#This Row],[Score 3]],1,0))</f>
        <v>0</v>
      </c>
      <c r="W324" s="53">
        <f>IF(Report[[#This Row],[FT]]="","",IF(Report[[#This Row],[FT]]=Report[[#This Row],[Score 4]],1,0))</f>
        <v>0</v>
      </c>
      <c r="X324" s="66">
        <f>IF(Report[[#This Row],[Résultat FT]]="",,IF(Report[[#This Row],[Résultat FT]]=Report[[#This Row],[Résultats]],(Suivi_Gain!$B$1*Report[[#This Row],[Cote FT]])-Suivi_Gain!$B$1,-Suivi_Gain!$B$1))</f>
        <v>-1</v>
      </c>
      <c r="Y324" s="94">
        <f>IF(Report[[#This Row],[FT]]="",,IF(Report[[#This Row],[FT]]=Report[[#This Row],[Score 1]],(Suivi_Gain!$G$1*Report[[#This Row],[Cote SE]])-Suivi_Gain!$G$1,-Suivi_Gain!$G$1))</f>
        <v>-1</v>
      </c>
      <c r="Z324" s="65">
        <f>IF(Report[[#This Row],[FT]]="",,IF(Report[[#This Row],[FT]]=Report[[#This Row],[Score 2]],Suivi_Gain!$G$1*Report[[#This Row],[Cote SE]],-Suivi_Gain!$G$1))</f>
        <v>-1</v>
      </c>
      <c r="AA324" s="65">
        <f>IF(Report[[#This Row],[FT]]="",,IF(Report[[#This Row],[FT]]=Report[[#This Row],[Score 3]],Suivi_Gain!$G$1*Report[[#This Row],[Cote SE]],-Suivi_Gain!$G$1))</f>
        <v>-1</v>
      </c>
      <c r="AB324" s="65">
        <f>IF(Report[[#This Row],[FT]]="",,IF(Report[[#This Row],[FT]]=Report[[#This Row],[Score 4]],Suivi_Gain!$G$1*Report[[#This Row],[Cote SE]],-Suivi_Gain!$G$1))</f>
        <v>-1</v>
      </c>
      <c r="AC324" s="64" t="str">
        <f>IF(Report[[#This Row],[Résultats SE]]="Gagné",Report[[#This Row],[FT]],"")</f>
        <v/>
      </c>
      <c r="AD324" s="64" t="str">
        <f>IF(AND(Report[[#This Row],[Résultats SE]]="Gagné",Report[[#This Row],[FT]]=Report[[#This Row],[Score 1]]),Report[[#This Row],[FT]],"")</f>
        <v/>
      </c>
      <c r="AE324" s="64" t="str">
        <f>IF(AND(Report[[#This Row],[Résultats SE]]="Gagné",Report[[#This Row],[FT]]=Report[[#This Row],[Score 2]]),Report[[#This Row],[FT]],"")</f>
        <v/>
      </c>
      <c r="AF324" s="64" t="str">
        <f>IF(AND(Report[[#This Row],[Résultats SE]]="Gagné",Report[[#This Row],[FT]]=Report[[#This Row],[Score 3]]),Report[[#This Row],[FT]],"")</f>
        <v/>
      </c>
      <c r="AG324" s="64" t="str">
        <f>IF(AND(Report[[#This Row],[Résultats SE]]="Gagné",Report[[#This Row],[FT]]=Report[[#This Row],[Score 4]]),Report[[#This Row],[FT]],"")</f>
        <v/>
      </c>
    </row>
    <row r="325" spans="1:33" ht="20.100000000000001" customHeight="1" x14ac:dyDescent="0.25">
      <c r="A325" s="11">
        <v>43425</v>
      </c>
      <c r="B325" s="7" t="s">
        <v>863</v>
      </c>
      <c r="C325" s="7" t="s">
        <v>862</v>
      </c>
      <c r="D325" s="10" t="s">
        <v>871</v>
      </c>
      <c r="E325" s="10" t="s">
        <v>875</v>
      </c>
      <c r="F325" s="7" t="s">
        <v>833</v>
      </c>
      <c r="G325" s="8" t="s">
        <v>834</v>
      </c>
      <c r="H325" s="9" t="s">
        <v>830</v>
      </c>
      <c r="I325" s="9" t="s">
        <v>825</v>
      </c>
      <c r="J325" s="9" t="s">
        <v>826</v>
      </c>
      <c r="K325" s="9" t="s">
        <v>233</v>
      </c>
      <c r="L325" s="16" t="s">
        <v>850</v>
      </c>
      <c r="M325" s="16">
        <v>6</v>
      </c>
      <c r="N325" s="17" t="s">
        <v>830</v>
      </c>
      <c r="O325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MOL Vidi</v>
      </c>
      <c r="P325" s="18">
        <f>IF(Report[[#This Row],[FT]]="",,(LEFT(Report[[#This Row],[FT]],SEARCH("-",Report[[#This Row],[FT]])-1)*1))</f>
        <v>1</v>
      </c>
      <c r="Q325" s="22">
        <f>IF(Report[[#This Row],[FT]]="",,(RIGHT(Report[[#This Row],[FT]],SEARCH("-",Report[[#This Row],[FT]])-1)*1))</f>
        <v>0</v>
      </c>
      <c r="R325" s="18" t="str">
        <f>IF(Report[Résultat FT]="","",IF(Report[Résultat FT]=Report[Résultats],"Gagné","Perdu"))</f>
        <v>Perdu</v>
      </c>
      <c r="S325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325" s="53">
        <f>IF(Report[[#This Row],[FT]]="","",IF(Report[[#This Row],[FT]]=Report[[#This Row],[Score 1]],1,0))</f>
        <v>0</v>
      </c>
      <c r="U325" s="53">
        <f>IF(Report[[#This Row],[FT]]="","",IF(Report[ [#This Row],[FT] ]=Report[[#This Row],[Score 2]],1,0))</f>
        <v>1</v>
      </c>
      <c r="V325" s="53">
        <f>IF(Report[[#This Row],[FT]]="","",IF(Report[[#This Row],[FT]]=Report[[#This Row],[Score 3]],1,0))</f>
        <v>0</v>
      </c>
      <c r="W325" s="53">
        <f>IF(Report[[#This Row],[FT]]="","",IF(Report[[#This Row],[FT]]=Report[[#This Row],[Score 4]],1,0))</f>
        <v>0</v>
      </c>
      <c r="X325" s="66">
        <f>IF(Report[[#This Row],[Résultat FT]]="",,IF(Report[[#This Row],[Résultat FT]]=Report[[#This Row],[Résultats]],(Suivi_Gain!$B$1*Report[[#This Row],[Cote FT]])-Suivi_Gain!$B$1,-Suivi_Gain!$B$1))</f>
        <v>-1</v>
      </c>
      <c r="Y325" s="94">
        <f>IF(Report[[#This Row],[FT]]="",,IF(Report[[#This Row],[FT]]=Report[[#This Row],[Score 1]],(Suivi_Gain!$G$1*Report[[#This Row],[Cote SE]])-Suivi_Gain!$G$1,-Suivi_Gain!$G$1))</f>
        <v>-1</v>
      </c>
      <c r="Z325" s="65">
        <f>IF(Report[[#This Row],[FT]]="",,IF(Report[[#This Row],[FT]]=Report[[#This Row],[Score 2]],Suivi_Gain!$G$1*Report[[#This Row],[Cote SE]],-Suivi_Gain!$G$1))</f>
        <v>6</v>
      </c>
      <c r="AA325" s="65">
        <f>IF(Report[[#This Row],[FT]]="",,IF(Report[[#This Row],[FT]]=Report[[#This Row],[Score 3]],Suivi_Gain!$G$1*Report[[#This Row],[Cote SE]],-Suivi_Gain!$G$1))</f>
        <v>-1</v>
      </c>
      <c r="AB325" s="65">
        <f>IF(Report[[#This Row],[FT]]="",,IF(Report[[#This Row],[FT]]=Report[[#This Row],[Score 4]],Suivi_Gain!$G$1*Report[[#This Row],[Cote SE]],-Suivi_Gain!$G$1))</f>
        <v>-1</v>
      </c>
      <c r="AC325" s="64" t="str">
        <f>IF(Report[[#This Row],[Résultats SE]]="Gagné",Report[[#This Row],[FT]],"")</f>
        <v>1-0</v>
      </c>
      <c r="AD325" s="64" t="str">
        <f>IF(AND(Report[[#This Row],[Résultats SE]]="Gagné",Report[[#This Row],[FT]]=Report[[#This Row],[Score 1]]),Report[[#This Row],[FT]],"")</f>
        <v/>
      </c>
      <c r="AE325" s="64" t="str">
        <f>IF(AND(Report[[#This Row],[Résultats SE]]="Gagné",Report[[#This Row],[FT]]=Report[[#This Row],[Score 2]]),Report[[#This Row],[FT]],"")</f>
        <v>1-0</v>
      </c>
      <c r="AF325" s="64" t="str">
        <f>IF(AND(Report[[#This Row],[Résultats SE]]="Gagné",Report[[#This Row],[FT]]=Report[[#This Row],[Score 3]]),Report[[#This Row],[FT]],"")</f>
        <v/>
      </c>
      <c r="AG325" s="64" t="str">
        <f>IF(AND(Report[[#This Row],[Résultats SE]]="Gagné",Report[[#This Row],[FT]]=Report[[#This Row],[Score 4]]),Report[[#This Row],[FT]],"")</f>
        <v/>
      </c>
    </row>
    <row r="326" spans="1:33" ht="20.100000000000001" customHeight="1" x14ac:dyDescent="0.25">
      <c r="A326" s="11">
        <v>43425</v>
      </c>
      <c r="B326" s="7" t="s">
        <v>86</v>
      </c>
      <c r="C326" s="7" t="s">
        <v>119</v>
      </c>
      <c r="D326" s="10" t="s">
        <v>283</v>
      </c>
      <c r="E326" s="10" t="s">
        <v>279</v>
      </c>
      <c r="F326" s="7" t="s">
        <v>843</v>
      </c>
      <c r="G326" s="8" t="s">
        <v>839</v>
      </c>
      <c r="H326" s="9" t="s">
        <v>834</v>
      </c>
      <c r="I326" s="9" t="s">
        <v>827</v>
      </c>
      <c r="J326" s="9" t="s">
        <v>825</v>
      </c>
      <c r="K326" s="9" t="s">
        <v>279</v>
      </c>
      <c r="L326" s="16" t="s">
        <v>850</v>
      </c>
      <c r="M326" s="16">
        <v>6</v>
      </c>
      <c r="N326" s="17" t="s">
        <v>834</v>
      </c>
      <c r="O326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326" s="18">
        <f>IF(Report[[#This Row],[FT]]="",,(LEFT(Report[[#This Row],[FT]],SEARCH("-",Report[[#This Row],[FT]])-1)*1))</f>
        <v>1</v>
      </c>
      <c r="Q326" s="22">
        <f>IF(Report[[#This Row],[FT]]="",,(RIGHT(Report[[#This Row],[FT]],SEARCH("-",Report[[#This Row],[FT]])-1)*1))</f>
        <v>1</v>
      </c>
      <c r="R326" s="18" t="str">
        <f>IF(Report[Résultat FT]="","",IF(Report[Résultat FT]=Report[Résultats],"Gagné","Perdu"))</f>
        <v>Perdu</v>
      </c>
      <c r="S326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326" s="53">
        <f>IF(Report[[#This Row],[FT]]="","",IF(Report[[#This Row],[FT]]=Report[[#This Row],[Score 1]],1,0))</f>
        <v>0</v>
      </c>
      <c r="U326" s="53">
        <f>IF(Report[[#This Row],[FT]]="","",IF(Report[ [#This Row],[FT] ]=Report[[#This Row],[Score 2]],1,0))</f>
        <v>1</v>
      </c>
      <c r="V326" s="53">
        <f>IF(Report[[#This Row],[FT]]="","",IF(Report[[#This Row],[FT]]=Report[[#This Row],[Score 3]],1,0))</f>
        <v>0</v>
      </c>
      <c r="W326" s="53">
        <f>IF(Report[[#This Row],[FT]]="","",IF(Report[[#This Row],[FT]]=Report[[#This Row],[Score 4]],1,0))</f>
        <v>0</v>
      </c>
      <c r="X326" s="66">
        <f>IF(Report[[#This Row],[Résultat FT]]="",,IF(Report[[#This Row],[Résultat FT]]=Report[[#This Row],[Résultats]],(Suivi_Gain!$B$1*Report[[#This Row],[Cote FT]])-Suivi_Gain!$B$1,-Suivi_Gain!$B$1))</f>
        <v>-1</v>
      </c>
      <c r="Y326" s="94">
        <f>IF(Report[[#This Row],[FT]]="",,IF(Report[[#This Row],[FT]]=Report[[#This Row],[Score 1]],(Suivi_Gain!$G$1*Report[[#This Row],[Cote SE]])-Suivi_Gain!$G$1,-Suivi_Gain!$G$1))</f>
        <v>-1</v>
      </c>
      <c r="Z326" s="65">
        <f>IF(Report[[#This Row],[FT]]="",,IF(Report[[#This Row],[FT]]=Report[[#This Row],[Score 2]],Suivi_Gain!$G$1*Report[[#This Row],[Cote SE]],-Suivi_Gain!$G$1))</f>
        <v>6</v>
      </c>
      <c r="AA326" s="65">
        <f>IF(Report[[#This Row],[FT]]="",,IF(Report[[#This Row],[FT]]=Report[[#This Row],[Score 3]],Suivi_Gain!$G$1*Report[[#This Row],[Cote SE]],-Suivi_Gain!$G$1))</f>
        <v>-1</v>
      </c>
      <c r="AB326" s="65">
        <f>IF(Report[[#This Row],[FT]]="",,IF(Report[[#This Row],[FT]]=Report[[#This Row],[Score 4]],Suivi_Gain!$G$1*Report[[#This Row],[Cote SE]],-Suivi_Gain!$G$1))</f>
        <v>-1</v>
      </c>
      <c r="AC326" s="64" t="str">
        <f>IF(Report[[#This Row],[Résultats SE]]="Gagné",Report[[#This Row],[FT]],"")</f>
        <v>1-1</v>
      </c>
      <c r="AD326" s="64" t="str">
        <f>IF(AND(Report[[#This Row],[Résultats SE]]="Gagné",Report[[#This Row],[FT]]=Report[[#This Row],[Score 1]]),Report[[#This Row],[FT]],"")</f>
        <v/>
      </c>
      <c r="AE326" s="64" t="str">
        <f>IF(AND(Report[[#This Row],[Résultats SE]]="Gagné",Report[[#This Row],[FT]]=Report[[#This Row],[Score 2]]),Report[[#This Row],[FT]],"")</f>
        <v>1-1</v>
      </c>
      <c r="AF326" s="64" t="str">
        <f>IF(AND(Report[[#This Row],[Résultats SE]]="Gagné",Report[[#This Row],[FT]]=Report[[#This Row],[Score 3]]),Report[[#This Row],[FT]],"")</f>
        <v/>
      </c>
      <c r="AG326" s="64" t="str">
        <f>IF(AND(Report[[#This Row],[Résultats SE]]="Gagné",Report[[#This Row],[FT]]=Report[[#This Row],[Score 4]]),Report[[#This Row],[FT]],"")</f>
        <v/>
      </c>
    </row>
    <row r="327" spans="1:33" ht="20.100000000000001" customHeight="1" x14ac:dyDescent="0.25">
      <c r="A327" s="11">
        <v>43424</v>
      </c>
      <c r="B327" s="7" t="s">
        <v>81</v>
      </c>
      <c r="C327" s="7" t="s">
        <v>108</v>
      </c>
      <c r="D327" s="10" t="s">
        <v>672</v>
      </c>
      <c r="E327" s="10" t="s">
        <v>678</v>
      </c>
      <c r="F327" s="7" t="s">
        <v>842</v>
      </c>
      <c r="G327" s="8" t="s">
        <v>838</v>
      </c>
      <c r="H327" s="9" t="s">
        <v>831</v>
      </c>
      <c r="I327" s="9" t="s">
        <v>834</v>
      </c>
      <c r="J327" s="9" t="s">
        <v>830</v>
      </c>
      <c r="K327" s="9" t="s">
        <v>672</v>
      </c>
      <c r="L327" s="16">
        <v>1.42</v>
      </c>
      <c r="M327" s="16">
        <v>6.4</v>
      </c>
      <c r="N327" s="17" t="s">
        <v>838</v>
      </c>
      <c r="O327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Ballymena</v>
      </c>
      <c r="P327" s="18">
        <f>IF(Report[[#This Row],[FT]]="",,(LEFT(Report[[#This Row],[FT]],SEARCH("-",Report[[#This Row],[FT]])-1)*1))</f>
        <v>2</v>
      </c>
      <c r="Q327" s="22">
        <f>IF(Report[[#This Row],[FT]]="",,(RIGHT(Report[[#This Row],[FT]],SEARCH("-",Report[[#This Row],[FT]])-1)*1))</f>
        <v>1</v>
      </c>
      <c r="R327" s="18" t="str">
        <f>IF(Report[Résultat FT]="","",IF(Report[Résultat FT]=Report[Résultats],"Gagné","Perdu"))</f>
        <v>Gagné</v>
      </c>
      <c r="S327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327" s="53">
        <f>IF(Report[[#This Row],[FT]]="","",IF(Report[[#This Row],[FT]]=Report[[#This Row],[Score 1]],1,0))</f>
        <v>1</v>
      </c>
      <c r="U327" s="53">
        <f>IF(Report[[#This Row],[FT]]="","",IF(Report[ [#This Row],[FT] ]=Report[[#This Row],[Score 2]],1,0))</f>
        <v>0</v>
      </c>
      <c r="V327" s="53">
        <f>IF(Report[[#This Row],[FT]]="","",IF(Report[[#This Row],[FT]]=Report[[#This Row],[Score 3]],1,0))</f>
        <v>0</v>
      </c>
      <c r="W327" s="53">
        <f>IF(Report[[#This Row],[FT]]="","",IF(Report[[#This Row],[FT]]=Report[[#This Row],[Score 4]],1,0))</f>
        <v>0</v>
      </c>
      <c r="X327" s="66">
        <f>IF(Report[[#This Row],[Résultat FT]]="",,IF(Report[[#This Row],[Résultat FT]]=Report[[#This Row],[Résultats]],(Suivi_Gain!$B$1*Report[[#This Row],[Cote FT]])-Suivi_Gain!$B$1,-Suivi_Gain!$B$1))</f>
        <v>0.41999999999999993</v>
      </c>
      <c r="Y327" s="94">
        <f>IF(Report[[#This Row],[FT]]="",,IF(Report[[#This Row],[FT]]=Report[[#This Row],[Score 1]],(Suivi_Gain!$G$1*Report[[#This Row],[Cote SE]])-Suivi_Gain!$G$1,-Suivi_Gain!$G$1))</f>
        <v>5.4</v>
      </c>
      <c r="Z327" s="65">
        <f>IF(Report[[#This Row],[FT]]="",,IF(Report[[#This Row],[FT]]=Report[[#This Row],[Score 2]],Suivi_Gain!$G$1*Report[[#This Row],[Cote SE]],-Suivi_Gain!$G$1))</f>
        <v>-1</v>
      </c>
      <c r="AA327" s="65">
        <f>IF(Report[[#This Row],[FT]]="",,IF(Report[[#This Row],[FT]]=Report[[#This Row],[Score 3]],Suivi_Gain!$G$1*Report[[#This Row],[Cote SE]],-Suivi_Gain!$G$1))</f>
        <v>-1</v>
      </c>
      <c r="AB327" s="65">
        <f>IF(Report[[#This Row],[FT]]="",,IF(Report[[#This Row],[FT]]=Report[[#This Row],[Score 4]],Suivi_Gain!$G$1*Report[[#This Row],[Cote SE]],-Suivi_Gain!$G$1))</f>
        <v>-1</v>
      </c>
      <c r="AC327" s="64" t="str">
        <f>IF(Report[[#This Row],[Résultats SE]]="Gagné",Report[[#This Row],[FT]],"")</f>
        <v>2-1</v>
      </c>
      <c r="AD327" s="64" t="str">
        <f>IF(AND(Report[[#This Row],[Résultats SE]]="Gagné",Report[[#This Row],[FT]]=Report[[#This Row],[Score 1]]),Report[[#This Row],[FT]],"")</f>
        <v>2-1</v>
      </c>
      <c r="AE327" s="64" t="str">
        <f>IF(AND(Report[[#This Row],[Résultats SE]]="Gagné",Report[[#This Row],[FT]]=Report[[#This Row],[Score 2]]),Report[[#This Row],[FT]],"")</f>
        <v/>
      </c>
      <c r="AF327" s="64" t="str">
        <f>IF(AND(Report[[#This Row],[Résultats SE]]="Gagné",Report[[#This Row],[FT]]=Report[[#This Row],[Score 3]]),Report[[#This Row],[FT]],"")</f>
        <v/>
      </c>
      <c r="AG327" s="64" t="str">
        <f>IF(AND(Report[[#This Row],[Résultats SE]]="Gagné",Report[[#This Row],[FT]]=Report[[#This Row],[Score 4]]),Report[[#This Row],[FT]],"")</f>
        <v/>
      </c>
    </row>
    <row r="328" spans="1:33" ht="20.100000000000001" customHeight="1" x14ac:dyDescent="0.25">
      <c r="A328" s="11">
        <v>43423</v>
      </c>
      <c r="B328" s="7" t="s">
        <v>221</v>
      </c>
      <c r="C328" s="7" t="s">
        <v>104</v>
      </c>
      <c r="D328" s="10" t="s">
        <v>524</v>
      </c>
      <c r="E328" s="10" t="s">
        <v>529</v>
      </c>
      <c r="F328" s="7" t="s">
        <v>844</v>
      </c>
      <c r="G328" s="8" t="s">
        <v>826</v>
      </c>
      <c r="H328" s="9" t="s">
        <v>845</v>
      </c>
      <c r="I328" s="9" t="s">
        <v>846</v>
      </c>
      <c r="J328" s="9" t="s">
        <v>847</v>
      </c>
      <c r="K328" s="9" t="s">
        <v>233</v>
      </c>
      <c r="L328" s="16">
        <v>2.88</v>
      </c>
      <c r="M328" s="16">
        <v>6.2</v>
      </c>
      <c r="N328" s="17" t="s">
        <v>826</v>
      </c>
      <c r="O328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328" s="18">
        <f>IF(Report[[#This Row],[FT]]="",,(LEFT(Report[[#This Row],[FT]],SEARCH("-",Report[[#This Row],[FT]])-1)*1))</f>
        <v>0</v>
      </c>
      <c r="Q328" s="22">
        <f>IF(Report[[#This Row],[FT]]="",,(RIGHT(Report[[#This Row],[FT]],SEARCH("-",Report[[#This Row],[FT]])-1)*1))</f>
        <v>0</v>
      </c>
      <c r="R328" s="18" t="str">
        <f>IF(Report[Résultat FT]="","",IF(Report[Résultat FT]=Report[Résultats],"Gagné","Perdu"))</f>
        <v>Gagné</v>
      </c>
      <c r="S328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328" s="53">
        <f>IF(Report[[#This Row],[FT]]="","",IF(Report[[#This Row],[FT]]=Report[[#This Row],[Score 1]],1,0))</f>
        <v>1</v>
      </c>
      <c r="U328" s="53">
        <f>IF(Report[[#This Row],[FT]]="","",IF(Report[ [#This Row],[FT] ]=Report[[#This Row],[Score 2]],1,0))</f>
        <v>0</v>
      </c>
      <c r="V328" s="53">
        <f>IF(Report[[#This Row],[FT]]="","",IF(Report[[#This Row],[FT]]=Report[[#This Row],[Score 3]],1,0))</f>
        <v>0</v>
      </c>
      <c r="W328" s="53">
        <f>IF(Report[[#This Row],[FT]]="","",IF(Report[[#This Row],[FT]]=Report[[#This Row],[Score 4]],1,0))</f>
        <v>0</v>
      </c>
      <c r="X328" s="66">
        <f>IF(Report[[#This Row],[Résultat FT]]="",,IF(Report[[#This Row],[Résultat FT]]=Report[[#This Row],[Résultats]],(Suivi_Gain!$B$1*Report[[#This Row],[Cote FT]])-Suivi_Gain!$B$1,-Suivi_Gain!$B$1))</f>
        <v>1.88</v>
      </c>
      <c r="Y328" s="94">
        <f>IF(Report[[#This Row],[FT]]="",,IF(Report[[#This Row],[FT]]=Report[[#This Row],[Score 1]],(Suivi_Gain!$G$1*Report[[#This Row],[Cote SE]])-Suivi_Gain!$G$1,-Suivi_Gain!$G$1))</f>
        <v>5.2</v>
      </c>
      <c r="Z328" s="65">
        <f>IF(Report[[#This Row],[FT]]="",,IF(Report[[#This Row],[FT]]=Report[[#This Row],[Score 2]],Suivi_Gain!$G$1*Report[[#This Row],[Cote SE]],-Suivi_Gain!$G$1))</f>
        <v>-1</v>
      </c>
      <c r="AA328" s="65">
        <f>IF(Report[[#This Row],[FT]]="",,IF(Report[[#This Row],[FT]]=Report[[#This Row],[Score 3]],Suivi_Gain!$G$1*Report[[#This Row],[Cote SE]],-Suivi_Gain!$G$1))</f>
        <v>-1</v>
      </c>
      <c r="AB328" s="65">
        <f>IF(Report[[#This Row],[FT]]="",,IF(Report[[#This Row],[FT]]=Report[[#This Row],[Score 4]],Suivi_Gain!$G$1*Report[[#This Row],[Cote SE]],-Suivi_Gain!$G$1))</f>
        <v>-1</v>
      </c>
      <c r="AC328" s="64" t="str">
        <f>IF(Report[[#This Row],[Résultats SE]]="Gagné",Report[[#This Row],[FT]],"")</f>
        <v>0-0</v>
      </c>
      <c r="AD328" s="64" t="str">
        <f>IF(AND(Report[[#This Row],[Résultats SE]]="Gagné",Report[[#This Row],[FT]]=Report[[#This Row],[Score 1]]),Report[[#This Row],[FT]],"")</f>
        <v>0-0</v>
      </c>
      <c r="AE328" s="64" t="str">
        <f>IF(AND(Report[[#This Row],[Résultats SE]]="Gagné",Report[[#This Row],[FT]]=Report[[#This Row],[Score 2]]),Report[[#This Row],[FT]],"")</f>
        <v/>
      </c>
      <c r="AF328" s="64" t="str">
        <f>IF(AND(Report[[#This Row],[Résultats SE]]="Gagné",Report[[#This Row],[FT]]=Report[[#This Row],[Score 3]]),Report[[#This Row],[FT]],"")</f>
        <v/>
      </c>
      <c r="AG328" s="64" t="str">
        <f>IF(AND(Report[[#This Row],[Résultats SE]]="Gagné",Report[[#This Row],[FT]]=Report[[#This Row],[Score 4]]),Report[[#This Row],[FT]],"")</f>
        <v/>
      </c>
    </row>
    <row r="329" spans="1:33" ht="20.100000000000001" customHeight="1" x14ac:dyDescent="0.25">
      <c r="A329" s="11">
        <v>43423</v>
      </c>
      <c r="B329" s="7" t="s">
        <v>67</v>
      </c>
      <c r="C329" s="7" t="s">
        <v>103</v>
      </c>
      <c r="D329" s="19" t="s">
        <v>613</v>
      </c>
      <c r="E329" s="19" t="s">
        <v>621</v>
      </c>
      <c r="F329" s="7" t="s">
        <v>824</v>
      </c>
      <c r="G329" s="20" t="s">
        <v>825</v>
      </c>
      <c r="H329" s="20" t="s">
        <v>826</v>
      </c>
      <c r="I329" s="20" t="s">
        <v>827</v>
      </c>
      <c r="J329" s="20" t="s">
        <v>828</v>
      </c>
      <c r="K329" s="21" t="s">
        <v>621</v>
      </c>
      <c r="L329" s="16" t="s">
        <v>850</v>
      </c>
      <c r="M329" s="16" t="s">
        <v>850</v>
      </c>
      <c r="N329" s="17" t="s">
        <v>834</v>
      </c>
      <c r="O329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329" s="18">
        <f>IF(Report[[#This Row],[FT]]="",,(LEFT(Report[[#This Row],[FT]],SEARCH("-",Report[[#This Row],[FT]])-1)*1))</f>
        <v>1</v>
      </c>
      <c r="Q329" s="22">
        <f>IF(Report[[#This Row],[FT]]="",,(RIGHT(Report[[#This Row],[FT]],SEARCH("-",Report[[#This Row],[FT]])-1)*1))</f>
        <v>1</v>
      </c>
      <c r="R329" s="18" t="str">
        <f>IF(Report[Résultat FT]="","",IF(Report[Résultat FT]=Report[Résultats],"Gagné","Perdu"))</f>
        <v>Perdu</v>
      </c>
      <c r="S329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329" s="53">
        <f>IF(Report[[#This Row],[FT]]="","",IF(Report[[#This Row],[FT]]=Report[[#This Row],[Score 1]],1,0))</f>
        <v>0</v>
      </c>
      <c r="U329" s="53">
        <f>IF(Report[[#This Row],[FT]]="","",IF(Report[ [#This Row],[FT] ]=Report[[#This Row],[Score 2]],1,0))</f>
        <v>0</v>
      </c>
      <c r="V329" s="53">
        <f>IF(Report[[#This Row],[FT]]="","",IF(Report[[#This Row],[FT]]=Report[[#This Row],[Score 3]],1,0))</f>
        <v>0</v>
      </c>
      <c r="W329" s="53">
        <f>IF(Report[[#This Row],[FT]]="","",IF(Report[[#This Row],[FT]]=Report[[#This Row],[Score 4]],1,0))</f>
        <v>0</v>
      </c>
      <c r="X329" s="66">
        <f>IF(Report[[#This Row],[Résultat FT]]="",,IF(Report[[#This Row],[Résultat FT]]=Report[[#This Row],[Résultats]],(Suivi_Gain!$B$1*Report[[#This Row],[Cote FT]])-Suivi_Gain!$B$1,-Suivi_Gain!$B$1))</f>
        <v>-1</v>
      </c>
      <c r="Y329" s="94">
        <f>IF(Report[[#This Row],[FT]]="",,IF(Report[[#This Row],[FT]]=Report[[#This Row],[Score 1]],(Suivi_Gain!$G$1*Report[[#This Row],[Cote SE]])-Suivi_Gain!$G$1,-Suivi_Gain!$G$1))</f>
        <v>-1</v>
      </c>
      <c r="Z329" s="65">
        <f>IF(Report[[#This Row],[FT]]="",,IF(Report[[#This Row],[FT]]=Report[[#This Row],[Score 2]],Suivi_Gain!$G$1*Report[[#This Row],[Cote SE]],-Suivi_Gain!$G$1))</f>
        <v>-1</v>
      </c>
      <c r="AA329" s="65">
        <f>IF(Report[[#This Row],[FT]]="",,IF(Report[[#This Row],[FT]]=Report[[#This Row],[Score 3]],Suivi_Gain!$G$1*Report[[#This Row],[Cote SE]],-Suivi_Gain!$G$1))</f>
        <v>-1</v>
      </c>
      <c r="AB329" s="65">
        <f>IF(Report[[#This Row],[FT]]="",,IF(Report[[#This Row],[FT]]=Report[[#This Row],[Score 4]],Suivi_Gain!$G$1*Report[[#This Row],[Cote SE]],-Suivi_Gain!$G$1))</f>
        <v>-1</v>
      </c>
      <c r="AC329" s="64" t="str">
        <f>IF(Report[[#This Row],[Résultats SE]]="Gagné",Report[[#This Row],[FT]],"")</f>
        <v/>
      </c>
      <c r="AD329" s="64" t="str">
        <f>IF(AND(Report[[#This Row],[Résultats SE]]="Gagné",Report[[#This Row],[FT]]=Report[[#This Row],[Score 1]]),Report[[#This Row],[FT]],"")</f>
        <v/>
      </c>
      <c r="AE329" s="64" t="str">
        <f>IF(AND(Report[[#This Row],[Résultats SE]]="Gagné",Report[[#This Row],[FT]]=Report[[#This Row],[Score 2]]),Report[[#This Row],[FT]],"")</f>
        <v/>
      </c>
      <c r="AF329" s="64" t="str">
        <f>IF(AND(Report[[#This Row],[Résultats SE]]="Gagné",Report[[#This Row],[FT]]=Report[[#This Row],[Score 3]]),Report[[#This Row],[FT]],"")</f>
        <v/>
      </c>
      <c r="AG329" s="64" t="str">
        <f>IF(AND(Report[[#This Row],[Résultats SE]]="Gagné",Report[[#This Row],[FT]]=Report[[#This Row],[Score 4]]),Report[[#This Row],[FT]],"")</f>
        <v/>
      </c>
    </row>
    <row r="330" spans="1:33" ht="20.100000000000001" customHeight="1" x14ac:dyDescent="0.25">
      <c r="A330" s="11">
        <v>43422</v>
      </c>
      <c r="B330" s="7" t="s">
        <v>221</v>
      </c>
      <c r="C330" s="7" t="s">
        <v>104</v>
      </c>
      <c r="D330" s="10" t="s">
        <v>532</v>
      </c>
      <c r="E330" s="10" t="s">
        <v>522</v>
      </c>
      <c r="F330" s="7" t="s">
        <v>824</v>
      </c>
      <c r="G330" s="8" t="s">
        <v>825</v>
      </c>
      <c r="H330" s="9" t="s">
        <v>826</v>
      </c>
      <c r="I330" s="9" t="s">
        <v>827</v>
      </c>
      <c r="J330" s="9" t="s">
        <v>828</v>
      </c>
      <c r="K330" s="9" t="s">
        <v>522</v>
      </c>
      <c r="L330" s="16" t="s">
        <v>850</v>
      </c>
      <c r="M330" s="16" t="s">
        <v>850</v>
      </c>
      <c r="N330" s="17" t="s">
        <v>838</v>
      </c>
      <c r="O330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America MG</v>
      </c>
      <c r="P330" s="18">
        <f>IF(Report[[#This Row],[FT]]="",,(LEFT(Report[[#This Row],[FT]],SEARCH("-",Report[[#This Row],[FT]])-1)*1))</f>
        <v>2</v>
      </c>
      <c r="Q330" s="22">
        <f>IF(Report[[#This Row],[FT]]="",,(RIGHT(Report[[#This Row],[FT]],SEARCH("-",Report[[#This Row],[FT]])-1)*1))</f>
        <v>1</v>
      </c>
      <c r="R330" s="18" t="str">
        <f>IF(Report[Résultat FT]="","",IF(Report[Résultat FT]=Report[Résultats],"Gagné","Perdu"))</f>
        <v>Perdu</v>
      </c>
      <c r="S330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330" s="53">
        <f>IF(Report[[#This Row],[FT]]="","",IF(Report[[#This Row],[FT]]=Report[[#This Row],[Score 1]],1,0))</f>
        <v>0</v>
      </c>
      <c r="U330" s="53">
        <f>IF(Report[[#This Row],[FT]]="","",IF(Report[ [#This Row],[FT] ]=Report[[#This Row],[Score 2]],1,0))</f>
        <v>0</v>
      </c>
      <c r="V330" s="53">
        <f>IF(Report[[#This Row],[FT]]="","",IF(Report[[#This Row],[FT]]=Report[[#This Row],[Score 3]],1,0))</f>
        <v>0</v>
      </c>
      <c r="W330" s="53">
        <f>IF(Report[[#This Row],[FT]]="","",IF(Report[[#This Row],[FT]]=Report[[#This Row],[Score 4]],1,0))</f>
        <v>0</v>
      </c>
      <c r="X330" s="66">
        <f>IF(Report[[#This Row],[Résultat FT]]="",,IF(Report[[#This Row],[Résultat FT]]=Report[[#This Row],[Résultats]],(Suivi_Gain!$B$1*Report[[#This Row],[Cote FT]])-Suivi_Gain!$B$1,-Suivi_Gain!$B$1))</f>
        <v>-1</v>
      </c>
      <c r="Y330" s="94">
        <f>IF(Report[[#This Row],[FT]]="",,IF(Report[[#This Row],[FT]]=Report[[#This Row],[Score 1]],(Suivi_Gain!$G$1*Report[[#This Row],[Cote SE]])-Suivi_Gain!$G$1,-Suivi_Gain!$G$1))</f>
        <v>-1</v>
      </c>
      <c r="Z330" s="65">
        <f>IF(Report[[#This Row],[FT]]="",,IF(Report[[#This Row],[FT]]=Report[[#This Row],[Score 2]],Suivi_Gain!$G$1*Report[[#This Row],[Cote SE]],-Suivi_Gain!$G$1))</f>
        <v>-1</v>
      </c>
      <c r="AA330" s="65">
        <f>IF(Report[[#This Row],[FT]]="",,IF(Report[[#This Row],[FT]]=Report[[#This Row],[Score 3]],Suivi_Gain!$G$1*Report[[#This Row],[Cote SE]],-Suivi_Gain!$G$1))</f>
        <v>-1</v>
      </c>
      <c r="AB330" s="65">
        <f>IF(Report[[#This Row],[FT]]="",,IF(Report[[#This Row],[FT]]=Report[[#This Row],[Score 4]],Suivi_Gain!$G$1*Report[[#This Row],[Cote SE]],-Suivi_Gain!$G$1))</f>
        <v>-1</v>
      </c>
      <c r="AC330" s="64" t="str">
        <f>IF(Report[[#This Row],[Résultats SE]]="Gagné",Report[[#This Row],[FT]],"")</f>
        <v/>
      </c>
      <c r="AD330" s="64" t="str">
        <f>IF(AND(Report[[#This Row],[Résultats SE]]="Gagné",Report[[#This Row],[FT]]=Report[[#This Row],[Score 1]]),Report[[#This Row],[FT]],"")</f>
        <v/>
      </c>
      <c r="AE330" s="64" t="str">
        <f>IF(AND(Report[[#This Row],[Résultats SE]]="Gagné",Report[[#This Row],[FT]]=Report[[#This Row],[Score 2]]),Report[[#This Row],[FT]],"")</f>
        <v/>
      </c>
      <c r="AF330" s="64" t="str">
        <f>IF(AND(Report[[#This Row],[Résultats SE]]="Gagné",Report[[#This Row],[FT]]=Report[[#This Row],[Score 3]]),Report[[#This Row],[FT]],"")</f>
        <v/>
      </c>
      <c r="AG330" s="64" t="str">
        <f>IF(AND(Report[[#This Row],[Résultats SE]]="Gagné",Report[[#This Row],[FT]]=Report[[#This Row],[Score 4]]),Report[[#This Row],[FT]],"")</f>
        <v/>
      </c>
    </row>
    <row r="331" spans="1:33" ht="20.100000000000001" customHeight="1" x14ac:dyDescent="0.25">
      <c r="A331" s="11">
        <v>43422</v>
      </c>
      <c r="B331" s="7" t="s">
        <v>221</v>
      </c>
      <c r="C331" s="7" t="s">
        <v>104</v>
      </c>
      <c r="D331" s="10" t="s">
        <v>525</v>
      </c>
      <c r="E331" s="10" t="s">
        <v>515</v>
      </c>
      <c r="F331" s="7" t="s">
        <v>824</v>
      </c>
      <c r="G331" s="8" t="s">
        <v>825</v>
      </c>
      <c r="H331" s="9" t="s">
        <v>826</v>
      </c>
      <c r="I331" s="9" t="s">
        <v>827</v>
      </c>
      <c r="J331" s="9" t="s">
        <v>828</v>
      </c>
      <c r="K331" s="9" t="s">
        <v>515</v>
      </c>
      <c r="L331" s="16" t="s">
        <v>850</v>
      </c>
      <c r="M331" s="16" t="s">
        <v>850</v>
      </c>
      <c r="N331" s="17" t="s">
        <v>830</v>
      </c>
      <c r="O331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Botafogo RJ</v>
      </c>
      <c r="P331" s="18">
        <f>IF(Report[[#This Row],[FT]]="",,(LEFT(Report[[#This Row],[FT]],SEARCH("-",Report[[#This Row],[FT]])-1)*1))</f>
        <v>1</v>
      </c>
      <c r="Q331" s="22">
        <f>IF(Report[[#This Row],[FT]]="",,(RIGHT(Report[[#This Row],[FT]],SEARCH("-",Report[[#This Row],[FT]])-1)*1))</f>
        <v>0</v>
      </c>
      <c r="R331" s="18" t="str">
        <f>IF(Report[Résultat FT]="","",IF(Report[Résultat FT]=Report[Résultats],"Gagné","Perdu"))</f>
        <v>Perdu</v>
      </c>
      <c r="S331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331" s="53">
        <f>IF(Report[[#This Row],[FT]]="","",IF(Report[[#This Row],[FT]]=Report[[#This Row],[Score 1]],1,0))</f>
        <v>0</v>
      </c>
      <c r="U331" s="53">
        <f>IF(Report[[#This Row],[FT]]="","",IF(Report[ [#This Row],[FT] ]=Report[[#This Row],[Score 2]],1,0))</f>
        <v>0</v>
      </c>
      <c r="V331" s="53">
        <f>IF(Report[[#This Row],[FT]]="","",IF(Report[[#This Row],[FT]]=Report[[#This Row],[Score 3]],1,0))</f>
        <v>0</v>
      </c>
      <c r="W331" s="53">
        <f>IF(Report[[#This Row],[FT]]="","",IF(Report[[#This Row],[FT]]=Report[[#This Row],[Score 4]],1,0))</f>
        <v>0</v>
      </c>
      <c r="X331" s="66">
        <f>IF(Report[[#This Row],[Résultat FT]]="",,IF(Report[[#This Row],[Résultat FT]]=Report[[#This Row],[Résultats]],(Suivi_Gain!$B$1*Report[[#This Row],[Cote FT]])-Suivi_Gain!$B$1,-Suivi_Gain!$B$1))</f>
        <v>-1</v>
      </c>
      <c r="Y331" s="94">
        <f>IF(Report[[#This Row],[FT]]="",,IF(Report[[#This Row],[FT]]=Report[[#This Row],[Score 1]],(Suivi_Gain!$G$1*Report[[#This Row],[Cote SE]])-Suivi_Gain!$G$1,-Suivi_Gain!$G$1))</f>
        <v>-1</v>
      </c>
      <c r="Z331" s="65">
        <f>IF(Report[[#This Row],[FT]]="",,IF(Report[[#This Row],[FT]]=Report[[#This Row],[Score 2]],Suivi_Gain!$G$1*Report[[#This Row],[Cote SE]],-Suivi_Gain!$G$1))</f>
        <v>-1</v>
      </c>
      <c r="AA331" s="65">
        <f>IF(Report[[#This Row],[FT]]="",,IF(Report[[#This Row],[FT]]=Report[[#This Row],[Score 3]],Suivi_Gain!$G$1*Report[[#This Row],[Cote SE]],-Suivi_Gain!$G$1))</f>
        <v>-1</v>
      </c>
      <c r="AB331" s="65">
        <f>IF(Report[[#This Row],[FT]]="",,IF(Report[[#This Row],[FT]]=Report[[#This Row],[Score 4]],Suivi_Gain!$G$1*Report[[#This Row],[Cote SE]],-Suivi_Gain!$G$1))</f>
        <v>-1</v>
      </c>
      <c r="AC331" s="64" t="str">
        <f>IF(Report[[#This Row],[Résultats SE]]="Gagné",Report[[#This Row],[FT]],"")</f>
        <v/>
      </c>
      <c r="AD331" s="64" t="str">
        <f>IF(AND(Report[[#This Row],[Résultats SE]]="Gagné",Report[[#This Row],[FT]]=Report[[#This Row],[Score 1]]),Report[[#This Row],[FT]],"")</f>
        <v/>
      </c>
      <c r="AE331" s="64" t="str">
        <f>IF(AND(Report[[#This Row],[Résultats SE]]="Gagné",Report[[#This Row],[FT]]=Report[[#This Row],[Score 2]]),Report[[#This Row],[FT]],"")</f>
        <v/>
      </c>
      <c r="AF331" s="64" t="str">
        <f>IF(AND(Report[[#This Row],[Résultats SE]]="Gagné",Report[[#This Row],[FT]]=Report[[#This Row],[Score 3]]),Report[[#This Row],[FT]],"")</f>
        <v/>
      </c>
      <c r="AG331" s="64" t="str">
        <f>IF(AND(Report[[#This Row],[Résultats SE]]="Gagné",Report[[#This Row],[FT]]=Report[[#This Row],[Score 4]]),Report[[#This Row],[FT]],"")</f>
        <v/>
      </c>
    </row>
    <row r="332" spans="1:33" ht="20.100000000000001" customHeight="1" x14ac:dyDescent="0.25">
      <c r="A332" s="11">
        <v>43422</v>
      </c>
      <c r="B332" s="7" t="s">
        <v>221</v>
      </c>
      <c r="C332" s="7" t="s">
        <v>104</v>
      </c>
      <c r="D332" s="10" t="s">
        <v>532</v>
      </c>
      <c r="E332" s="10" t="s">
        <v>523</v>
      </c>
      <c r="F332" s="7" t="s">
        <v>824</v>
      </c>
      <c r="G332" s="8" t="s">
        <v>825</v>
      </c>
      <c r="H332" s="9" t="s">
        <v>826</v>
      </c>
      <c r="I332" s="9" t="s">
        <v>827</v>
      </c>
      <c r="J332" s="9" t="s">
        <v>828</v>
      </c>
      <c r="K332" s="9" t="s">
        <v>523</v>
      </c>
      <c r="L332" s="16" t="s">
        <v>850</v>
      </c>
      <c r="M332" s="16" t="s">
        <v>850</v>
      </c>
      <c r="N332" s="17" t="s">
        <v>830</v>
      </c>
      <c r="O332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America MG</v>
      </c>
      <c r="P332" s="18">
        <f>IF(Report[[#This Row],[FT]]="",,(LEFT(Report[[#This Row],[FT]],SEARCH("-",Report[[#This Row],[FT]])-1)*1))</f>
        <v>1</v>
      </c>
      <c r="Q332" s="22">
        <f>IF(Report[[#This Row],[FT]]="",,(RIGHT(Report[[#This Row],[FT]],SEARCH("-",Report[[#This Row],[FT]])-1)*1))</f>
        <v>0</v>
      </c>
      <c r="R332" s="18" t="str">
        <f>IF(Report[Résultat FT]="","",IF(Report[Résultat FT]=Report[Résultats],"Gagné","Perdu"))</f>
        <v>Perdu</v>
      </c>
      <c r="S332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332" s="53">
        <f>IF(Report[[#This Row],[FT]]="","",IF(Report[[#This Row],[FT]]=Report[[#This Row],[Score 1]],1,0))</f>
        <v>0</v>
      </c>
      <c r="U332" s="53">
        <f>IF(Report[[#This Row],[FT]]="","",IF(Report[ [#This Row],[FT] ]=Report[[#This Row],[Score 2]],1,0))</f>
        <v>0</v>
      </c>
      <c r="V332" s="53">
        <f>IF(Report[[#This Row],[FT]]="","",IF(Report[[#This Row],[FT]]=Report[[#This Row],[Score 3]],1,0))</f>
        <v>0</v>
      </c>
      <c r="W332" s="53">
        <f>IF(Report[[#This Row],[FT]]="","",IF(Report[[#This Row],[FT]]=Report[[#This Row],[Score 4]],1,0))</f>
        <v>0</v>
      </c>
      <c r="X332" s="66">
        <f>IF(Report[[#This Row],[Résultat FT]]="",,IF(Report[[#This Row],[Résultat FT]]=Report[[#This Row],[Résultats]],(Suivi_Gain!$B$1*Report[[#This Row],[Cote FT]])-Suivi_Gain!$B$1,-Suivi_Gain!$B$1))</f>
        <v>-1</v>
      </c>
      <c r="Y332" s="94">
        <f>IF(Report[[#This Row],[FT]]="",,IF(Report[[#This Row],[FT]]=Report[[#This Row],[Score 1]],(Suivi_Gain!$G$1*Report[[#This Row],[Cote SE]])-Suivi_Gain!$G$1,-Suivi_Gain!$G$1))</f>
        <v>-1</v>
      </c>
      <c r="Z332" s="65">
        <f>IF(Report[[#This Row],[FT]]="",,IF(Report[[#This Row],[FT]]=Report[[#This Row],[Score 2]],Suivi_Gain!$G$1*Report[[#This Row],[Cote SE]],-Suivi_Gain!$G$1))</f>
        <v>-1</v>
      </c>
      <c r="AA332" s="65">
        <f>IF(Report[[#This Row],[FT]]="",,IF(Report[[#This Row],[FT]]=Report[[#This Row],[Score 3]],Suivi_Gain!$G$1*Report[[#This Row],[Cote SE]],-Suivi_Gain!$G$1))</f>
        <v>-1</v>
      </c>
      <c r="AB332" s="65">
        <f>IF(Report[[#This Row],[FT]]="",,IF(Report[[#This Row],[FT]]=Report[[#This Row],[Score 4]],Suivi_Gain!$G$1*Report[[#This Row],[Cote SE]],-Suivi_Gain!$G$1))</f>
        <v>-1</v>
      </c>
      <c r="AC332" s="64" t="str">
        <f>IF(Report[[#This Row],[Résultats SE]]="Gagné",Report[[#This Row],[FT]],"")</f>
        <v/>
      </c>
      <c r="AD332" s="64" t="str">
        <f>IF(AND(Report[[#This Row],[Résultats SE]]="Gagné",Report[[#This Row],[FT]]=Report[[#This Row],[Score 1]]),Report[[#This Row],[FT]],"")</f>
        <v/>
      </c>
      <c r="AE332" s="64" t="str">
        <f>IF(AND(Report[[#This Row],[Résultats SE]]="Gagné",Report[[#This Row],[FT]]=Report[[#This Row],[Score 2]]),Report[[#This Row],[FT]],"")</f>
        <v/>
      </c>
      <c r="AF332" s="64" t="str">
        <f>IF(AND(Report[[#This Row],[Résultats SE]]="Gagné",Report[[#This Row],[FT]]=Report[[#This Row],[Score 3]]),Report[[#This Row],[FT]],"")</f>
        <v/>
      </c>
      <c r="AG332" s="64" t="str">
        <f>IF(AND(Report[[#This Row],[Résultats SE]]="Gagné",Report[[#This Row],[FT]]=Report[[#This Row],[Score 4]]),Report[[#This Row],[FT]],"")</f>
        <v/>
      </c>
    </row>
    <row r="333" spans="1:33" ht="20.100000000000001" customHeight="1" x14ac:dyDescent="0.25">
      <c r="A333" s="11">
        <v>43422</v>
      </c>
      <c r="B333" s="7" t="s">
        <v>221</v>
      </c>
      <c r="C333" s="7" t="s">
        <v>104</v>
      </c>
      <c r="D333" s="10" t="s">
        <v>533</v>
      </c>
      <c r="E333" s="10" t="s">
        <v>514</v>
      </c>
      <c r="F333" s="7" t="s">
        <v>835</v>
      </c>
      <c r="G333" s="8" t="s">
        <v>827</v>
      </c>
      <c r="H333" s="9" t="s">
        <v>825</v>
      </c>
      <c r="I333" s="9" t="s">
        <v>828</v>
      </c>
      <c r="J333" s="9" t="s">
        <v>826</v>
      </c>
      <c r="K333" s="9" t="s">
        <v>514</v>
      </c>
      <c r="L333" s="16" t="s">
        <v>850</v>
      </c>
      <c r="M333" s="16" t="s">
        <v>850</v>
      </c>
      <c r="N333" s="17" t="s">
        <v>834</v>
      </c>
      <c r="O333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333" s="18">
        <f>IF(Report[[#This Row],[FT]]="",,(LEFT(Report[[#This Row],[FT]],SEARCH("-",Report[[#This Row],[FT]])-1)*1))</f>
        <v>1</v>
      </c>
      <c r="Q333" s="22">
        <f>IF(Report[[#This Row],[FT]]="",,(RIGHT(Report[[#This Row],[FT]],SEARCH("-",Report[[#This Row],[FT]])-1)*1))</f>
        <v>1</v>
      </c>
      <c r="R333" s="18" t="str">
        <f>IF(Report[Résultat FT]="","",IF(Report[Résultat FT]=Report[Résultats],"Gagné","Perdu"))</f>
        <v>Perdu</v>
      </c>
      <c r="S333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333" s="53">
        <f>IF(Report[[#This Row],[FT]]="","",IF(Report[[#This Row],[FT]]=Report[[#This Row],[Score 1]],1,0))</f>
        <v>0</v>
      </c>
      <c r="U333" s="53">
        <f>IF(Report[[#This Row],[FT]]="","",IF(Report[ [#This Row],[FT] ]=Report[[#This Row],[Score 2]],1,0))</f>
        <v>0</v>
      </c>
      <c r="V333" s="53">
        <f>IF(Report[[#This Row],[FT]]="","",IF(Report[[#This Row],[FT]]=Report[[#This Row],[Score 3]],1,0))</f>
        <v>0</v>
      </c>
      <c r="W333" s="53">
        <f>IF(Report[[#This Row],[FT]]="","",IF(Report[[#This Row],[FT]]=Report[[#This Row],[Score 4]],1,0))</f>
        <v>0</v>
      </c>
      <c r="X333" s="66">
        <f>IF(Report[[#This Row],[Résultat FT]]="",,IF(Report[[#This Row],[Résultat FT]]=Report[[#This Row],[Résultats]],(Suivi_Gain!$B$1*Report[[#This Row],[Cote FT]])-Suivi_Gain!$B$1,-Suivi_Gain!$B$1))</f>
        <v>-1</v>
      </c>
      <c r="Y333" s="94">
        <f>IF(Report[[#This Row],[FT]]="",,IF(Report[[#This Row],[FT]]=Report[[#This Row],[Score 1]],(Suivi_Gain!$G$1*Report[[#This Row],[Cote SE]])-Suivi_Gain!$G$1,-Suivi_Gain!$G$1))</f>
        <v>-1</v>
      </c>
      <c r="Z333" s="65">
        <f>IF(Report[[#This Row],[FT]]="",,IF(Report[[#This Row],[FT]]=Report[[#This Row],[Score 2]],Suivi_Gain!$G$1*Report[[#This Row],[Cote SE]],-Suivi_Gain!$G$1))</f>
        <v>-1</v>
      </c>
      <c r="AA333" s="65">
        <f>IF(Report[[#This Row],[FT]]="",,IF(Report[[#This Row],[FT]]=Report[[#This Row],[Score 3]],Suivi_Gain!$G$1*Report[[#This Row],[Cote SE]],-Suivi_Gain!$G$1))</f>
        <v>-1</v>
      </c>
      <c r="AB333" s="65">
        <f>IF(Report[[#This Row],[FT]]="",,IF(Report[[#This Row],[FT]]=Report[[#This Row],[Score 4]],Suivi_Gain!$G$1*Report[[#This Row],[Cote SE]],-Suivi_Gain!$G$1))</f>
        <v>-1</v>
      </c>
      <c r="AC333" s="64" t="str">
        <f>IF(Report[[#This Row],[Résultats SE]]="Gagné",Report[[#This Row],[FT]],"")</f>
        <v/>
      </c>
      <c r="AD333" s="64" t="str">
        <f>IF(AND(Report[[#This Row],[Résultats SE]]="Gagné",Report[[#This Row],[FT]]=Report[[#This Row],[Score 1]]),Report[[#This Row],[FT]],"")</f>
        <v/>
      </c>
      <c r="AE333" s="64" t="str">
        <f>IF(AND(Report[[#This Row],[Résultats SE]]="Gagné",Report[[#This Row],[FT]]=Report[[#This Row],[Score 2]]),Report[[#This Row],[FT]],"")</f>
        <v/>
      </c>
      <c r="AF333" s="64" t="str">
        <f>IF(AND(Report[[#This Row],[Résultats SE]]="Gagné",Report[[#This Row],[FT]]=Report[[#This Row],[Score 3]]),Report[[#This Row],[FT]],"")</f>
        <v/>
      </c>
      <c r="AG333" s="64" t="str">
        <f>IF(AND(Report[[#This Row],[Résultats SE]]="Gagné",Report[[#This Row],[FT]]=Report[[#This Row],[Score 4]]),Report[[#This Row],[FT]],"")</f>
        <v/>
      </c>
    </row>
    <row r="334" spans="1:33" ht="20.100000000000001" customHeight="1" x14ac:dyDescent="0.25">
      <c r="A334" s="11">
        <v>43422</v>
      </c>
      <c r="B334" s="7" t="s">
        <v>221</v>
      </c>
      <c r="C334" s="7" t="s">
        <v>104</v>
      </c>
      <c r="D334" s="10" t="s">
        <v>528</v>
      </c>
      <c r="E334" s="10" t="s">
        <v>516</v>
      </c>
      <c r="F334" s="7" t="s">
        <v>835</v>
      </c>
      <c r="G334" s="8" t="s">
        <v>827</v>
      </c>
      <c r="H334" s="9" t="s">
        <v>825</v>
      </c>
      <c r="I334" s="9" t="s">
        <v>828</v>
      </c>
      <c r="J334" s="9" t="s">
        <v>826</v>
      </c>
      <c r="K334" s="9" t="s">
        <v>516</v>
      </c>
      <c r="L334" s="16">
        <v>1.95</v>
      </c>
      <c r="M334" s="16">
        <v>5.8</v>
      </c>
      <c r="N334" s="17" t="s">
        <v>825</v>
      </c>
      <c r="O334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Flamengo</v>
      </c>
      <c r="P334" s="18">
        <f>IF(Report[[#This Row],[FT]]="",,(LEFT(Report[[#This Row],[FT]],SEARCH("-",Report[[#This Row],[FT]])-1)*1))</f>
        <v>0</v>
      </c>
      <c r="Q334" s="22">
        <f>IF(Report[[#This Row],[FT]]="",,(RIGHT(Report[[#This Row],[FT]],SEARCH("-",Report[[#This Row],[FT]])-1)*1))</f>
        <v>1</v>
      </c>
      <c r="R334" s="18" t="str">
        <f>IF(Report[Résultat FT]="","",IF(Report[Résultat FT]=Report[Résultats],"Gagné","Perdu"))</f>
        <v>Gagné</v>
      </c>
      <c r="S334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334" s="53">
        <f>IF(Report[[#This Row],[FT]]="","",IF(Report[[#This Row],[FT]]=Report[[#This Row],[Score 1]],1,0))</f>
        <v>0</v>
      </c>
      <c r="U334" s="53">
        <f>IF(Report[[#This Row],[FT]]="","",IF(Report[ [#This Row],[FT] ]=Report[[#This Row],[Score 2]],1,0))</f>
        <v>1</v>
      </c>
      <c r="V334" s="53">
        <f>IF(Report[[#This Row],[FT]]="","",IF(Report[[#This Row],[FT]]=Report[[#This Row],[Score 3]],1,0))</f>
        <v>0</v>
      </c>
      <c r="W334" s="53">
        <f>IF(Report[[#This Row],[FT]]="","",IF(Report[[#This Row],[FT]]=Report[[#This Row],[Score 4]],1,0))</f>
        <v>0</v>
      </c>
      <c r="X334" s="66">
        <f>IF(Report[[#This Row],[Résultat FT]]="",,IF(Report[[#This Row],[Résultat FT]]=Report[[#This Row],[Résultats]],(Suivi_Gain!$B$1*Report[[#This Row],[Cote FT]])-Suivi_Gain!$B$1,-Suivi_Gain!$B$1))</f>
        <v>0.95</v>
      </c>
      <c r="Y334" s="94">
        <f>IF(Report[[#This Row],[FT]]="",,IF(Report[[#This Row],[FT]]=Report[[#This Row],[Score 1]],(Suivi_Gain!$G$1*Report[[#This Row],[Cote SE]])-Suivi_Gain!$G$1,-Suivi_Gain!$G$1))</f>
        <v>-1</v>
      </c>
      <c r="Z334" s="65">
        <f>IF(Report[[#This Row],[FT]]="",,IF(Report[[#This Row],[FT]]=Report[[#This Row],[Score 2]],Suivi_Gain!$G$1*Report[[#This Row],[Cote SE]],-Suivi_Gain!$G$1))</f>
        <v>5.8</v>
      </c>
      <c r="AA334" s="65">
        <f>IF(Report[[#This Row],[FT]]="",,IF(Report[[#This Row],[FT]]=Report[[#This Row],[Score 3]],Suivi_Gain!$G$1*Report[[#This Row],[Cote SE]],-Suivi_Gain!$G$1))</f>
        <v>-1</v>
      </c>
      <c r="AB334" s="65">
        <f>IF(Report[[#This Row],[FT]]="",,IF(Report[[#This Row],[FT]]=Report[[#This Row],[Score 4]],Suivi_Gain!$G$1*Report[[#This Row],[Cote SE]],-Suivi_Gain!$G$1))</f>
        <v>-1</v>
      </c>
      <c r="AC334" s="64" t="str">
        <f>IF(Report[[#This Row],[Résultats SE]]="Gagné",Report[[#This Row],[FT]],"")</f>
        <v>0-1</v>
      </c>
      <c r="AD334" s="64" t="str">
        <f>IF(AND(Report[[#This Row],[Résultats SE]]="Gagné",Report[[#This Row],[FT]]=Report[[#This Row],[Score 1]]),Report[[#This Row],[FT]],"")</f>
        <v/>
      </c>
      <c r="AE334" s="64" t="str">
        <f>IF(AND(Report[[#This Row],[Résultats SE]]="Gagné",Report[[#This Row],[FT]]=Report[[#This Row],[Score 2]]),Report[[#This Row],[FT]],"")</f>
        <v>0-1</v>
      </c>
      <c r="AF334" s="64" t="str">
        <f>IF(AND(Report[[#This Row],[Résultats SE]]="Gagné",Report[[#This Row],[FT]]=Report[[#This Row],[Score 3]]),Report[[#This Row],[FT]],"")</f>
        <v/>
      </c>
      <c r="AG334" s="64" t="str">
        <f>IF(AND(Report[[#This Row],[Résultats SE]]="Gagné",Report[[#This Row],[FT]]=Report[[#This Row],[Score 4]]),Report[[#This Row],[FT]],"")</f>
        <v/>
      </c>
    </row>
    <row r="335" spans="1:33" ht="20.100000000000001" customHeight="1" x14ac:dyDescent="0.25">
      <c r="A335" s="11">
        <v>43422</v>
      </c>
      <c r="B335" s="7" t="s">
        <v>221</v>
      </c>
      <c r="C335" s="7" t="s">
        <v>104</v>
      </c>
      <c r="D335" s="10" t="s">
        <v>517</v>
      </c>
      <c r="E335" s="10" t="s">
        <v>530</v>
      </c>
      <c r="F335" s="7" t="s">
        <v>829</v>
      </c>
      <c r="G335" s="8" t="s">
        <v>830</v>
      </c>
      <c r="H335" s="9" t="s">
        <v>826</v>
      </c>
      <c r="I335" s="9" t="s">
        <v>831</v>
      </c>
      <c r="J335" s="9" t="s">
        <v>832</v>
      </c>
      <c r="K335" s="9" t="s">
        <v>517</v>
      </c>
      <c r="L335" s="16">
        <v>1.3</v>
      </c>
      <c r="M335" s="16">
        <v>4.7</v>
      </c>
      <c r="N335" s="17" t="s">
        <v>831</v>
      </c>
      <c r="O335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Gremio</v>
      </c>
      <c r="P335" s="18">
        <f>IF(Report[[#This Row],[FT]]="",,(LEFT(Report[[#This Row],[FT]],SEARCH("-",Report[[#This Row],[FT]])-1)*1))</f>
        <v>2</v>
      </c>
      <c r="Q335" s="22">
        <f>IF(Report[[#This Row],[FT]]="",,(RIGHT(Report[[#This Row],[FT]],SEARCH("-",Report[[#This Row],[FT]])-1)*1))</f>
        <v>0</v>
      </c>
      <c r="R335" s="18" t="str">
        <f>IF(Report[Résultat FT]="","",IF(Report[Résultat FT]=Report[Résultats],"Gagné","Perdu"))</f>
        <v>Gagné</v>
      </c>
      <c r="S335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335" s="53">
        <f>IF(Report[[#This Row],[FT]]="","",IF(Report[[#This Row],[FT]]=Report[[#This Row],[Score 1]],1,0))</f>
        <v>0</v>
      </c>
      <c r="U335" s="53">
        <f>IF(Report[[#This Row],[FT]]="","",IF(Report[ [#This Row],[FT] ]=Report[[#This Row],[Score 2]],1,0))</f>
        <v>0</v>
      </c>
      <c r="V335" s="53">
        <f>IF(Report[[#This Row],[FT]]="","",IF(Report[[#This Row],[FT]]=Report[[#This Row],[Score 3]],1,0))</f>
        <v>1</v>
      </c>
      <c r="W335" s="53">
        <f>IF(Report[[#This Row],[FT]]="","",IF(Report[[#This Row],[FT]]=Report[[#This Row],[Score 4]],1,0))</f>
        <v>0</v>
      </c>
      <c r="X335" s="66">
        <f>IF(Report[[#This Row],[Résultat FT]]="",,IF(Report[[#This Row],[Résultat FT]]=Report[[#This Row],[Résultats]],(Suivi_Gain!$B$1*Report[[#This Row],[Cote FT]])-Suivi_Gain!$B$1,-Suivi_Gain!$B$1))</f>
        <v>0.30000000000000004</v>
      </c>
      <c r="Y335" s="94">
        <f>IF(Report[[#This Row],[FT]]="",,IF(Report[[#This Row],[FT]]=Report[[#This Row],[Score 1]],(Suivi_Gain!$G$1*Report[[#This Row],[Cote SE]])-Suivi_Gain!$G$1,-Suivi_Gain!$G$1))</f>
        <v>-1</v>
      </c>
      <c r="Z335" s="65">
        <f>IF(Report[[#This Row],[FT]]="",,IF(Report[[#This Row],[FT]]=Report[[#This Row],[Score 2]],Suivi_Gain!$G$1*Report[[#This Row],[Cote SE]],-Suivi_Gain!$G$1))</f>
        <v>-1</v>
      </c>
      <c r="AA335" s="65">
        <f>IF(Report[[#This Row],[FT]]="",,IF(Report[[#This Row],[FT]]=Report[[#This Row],[Score 3]],Suivi_Gain!$G$1*Report[[#This Row],[Cote SE]],-Suivi_Gain!$G$1))</f>
        <v>4.7</v>
      </c>
      <c r="AB335" s="65">
        <f>IF(Report[[#This Row],[FT]]="",,IF(Report[[#This Row],[FT]]=Report[[#This Row],[Score 4]],Suivi_Gain!$G$1*Report[[#This Row],[Cote SE]],-Suivi_Gain!$G$1))</f>
        <v>-1</v>
      </c>
      <c r="AC335" s="64" t="str">
        <f>IF(Report[[#This Row],[Résultats SE]]="Gagné",Report[[#This Row],[FT]],"")</f>
        <v>2-0</v>
      </c>
      <c r="AD335" s="64" t="str">
        <f>IF(AND(Report[[#This Row],[Résultats SE]]="Gagné",Report[[#This Row],[FT]]=Report[[#This Row],[Score 1]]),Report[[#This Row],[FT]],"")</f>
        <v/>
      </c>
      <c r="AE335" s="64" t="str">
        <f>IF(AND(Report[[#This Row],[Résultats SE]]="Gagné",Report[[#This Row],[FT]]=Report[[#This Row],[Score 2]]),Report[[#This Row],[FT]],"")</f>
        <v/>
      </c>
      <c r="AF335" s="64" t="str">
        <f>IF(AND(Report[[#This Row],[Résultats SE]]="Gagné",Report[[#This Row],[FT]]=Report[[#This Row],[Score 3]]),Report[[#This Row],[FT]],"")</f>
        <v>2-0</v>
      </c>
      <c r="AG335" s="64" t="str">
        <f>IF(AND(Report[[#This Row],[Résultats SE]]="Gagné",Report[[#This Row],[FT]]=Report[[#This Row],[Score 4]]),Report[[#This Row],[FT]],"")</f>
        <v/>
      </c>
    </row>
    <row r="336" spans="1:33" ht="20.100000000000001" customHeight="1" x14ac:dyDescent="0.25">
      <c r="A336" s="11">
        <v>43422</v>
      </c>
      <c r="B336" s="7" t="s">
        <v>221</v>
      </c>
      <c r="C336" s="7" t="s">
        <v>104</v>
      </c>
      <c r="D336" s="10" t="s">
        <v>518</v>
      </c>
      <c r="E336" s="10" t="s">
        <v>520</v>
      </c>
      <c r="F336" s="7" t="s">
        <v>829</v>
      </c>
      <c r="G336" s="8" t="s">
        <v>830</v>
      </c>
      <c r="H336" s="9" t="s">
        <v>826</v>
      </c>
      <c r="I336" s="9" t="s">
        <v>831</v>
      </c>
      <c r="J336" s="9" t="s">
        <v>832</v>
      </c>
      <c r="K336" s="9" t="s">
        <v>518</v>
      </c>
      <c r="L336" s="16">
        <v>1.72</v>
      </c>
      <c r="M336" s="16">
        <v>4.4000000000000004</v>
      </c>
      <c r="N336" s="17" t="s">
        <v>830</v>
      </c>
      <c r="O336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Sao Paulo</v>
      </c>
      <c r="P336" s="18">
        <f>IF(Report[[#This Row],[FT]]="",,(LEFT(Report[[#This Row],[FT]],SEARCH("-",Report[[#This Row],[FT]])-1)*1))</f>
        <v>1</v>
      </c>
      <c r="Q336" s="22">
        <f>IF(Report[[#This Row],[FT]]="",,(RIGHT(Report[[#This Row],[FT]],SEARCH("-",Report[[#This Row],[FT]])-1)*1))</f>
        <v>0</v>
      </c>
      <c r="R336" s="18" t="str">
        <f>IF(Report[Résultat FT]="","",IF(Report[Résultat FT]=Report[Résultats],"Gagné","Perdu"))</f>
        <v>Gagné</v>
      </c>
      <c r="S336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336" s="53">
        <f>IF(Report[[#This Row],[FT]]="","",IF(Report[[#This Row],[FT]]=Report[[#This Row],[Score 1]],1,0))</f>
        <v>1</v>
      </c>
      <c r="U336" s="53">
        <f>IF(Report[[#This Row],[FT]]="","",IF(Report[ [#This Row],[FT] ]=Report[[#This Row],[Score 2]],1,0))</f>
        <v>0</v>
      </c>
      <c r="V336" s="53">
        <f>IF(Report[[#This Row],[FT]]="","",IF(Report[[#This Row],[FT]]=Report[[#This Row],[Score 3]],1,0))</f>
        <v>0</v>
      </c>
      <c r="W336" s="53">
        <f>IF(Report[[#This Row],[FT]]="","",IF(Report[[#This Row],[FT]]=Report[[#This Row],[Score 4]],1,0))</f>
        <v>0</v>
      </c>
      <c r="X336" s="66">
        <f>IF(Report[[#This Row],[Résultat FT]]="",,IF(Report[[#This Row],[Résultat FT]]=Report[[#This Row],[Résultats]],(Suivi_Gain!$B$1*Report[[#This Row],[Cote FT]])-Suivi_Gain!$B$1,-Suivi_Gain!$B$1))</f>
        <v>0.72</v>
      </c>
      <c r="Y336" s="94">
        <f>IF(Report[[#This Row],[FT]]="",,IF(Report[[#This Row],[FT]]=Report[[#This Row],[Score 1]],(Suivi_Gain!$G$1*Report[[#This Row],[Cote SE]])-Suivi_Gain!$G$1,-Suivi_Gain!$G$1))</f>
        <v>3.4000000000000004</v>
      </c>
      <c r="Z336" s="65">
        <f>IF(Report[[#This Row],[FT]]="",,IF(Report[[#This Row],[FT]]=Report[[#This Row],[Score 2]],Suivi_Gain!$G$1*Report[[#This Row],[Cote SE]],-Suivi_Gain!$G$1))</f>
        <v>-1</v>
      </c>
      <c r="AA336" s="65">
        <f>IF(Report[[#This Row],[FT]]="",,IF(Report[[#This Row],[FT]]=Report[[#This Row],[Score 3]],Suivi_Gain!$G$1*Report[[#This Row],[Cote SE]],-Suivi_Gain!$G$1))</f>
        <v>-1</v>
      </c>
      <c r="AB336" s="65">
        <f>IF(Report[[#This Row],[FT]]="",,IF(Report[[#This Row],[FT]]=Report[[#This Row],[Score 4]],Suivi_Gain!$G$1*Report[[#This Row],[Cote SE]],-Suivi_Gain!$G$1))</f>
        <v>-1</v>
      </c>
      <c r="AC336" s="64" t="str">
        <f>IF(Report[[#This Row],[Résultats SE]]="Gagné",Report[[#This Row],[FT]],"")</f>
        <v>1-0</v>
      </c>
      <c r="AD336" s="64" t="str">
        <f>IF(AND(Report[[#This Row],[Résultats SE]]="Gagné",Report[[#This Row],[FT]]=Report[[#This Row],[Score 1]]),Report[[#This Row],[FT]],"")</f>
        <v>1-0</v>
      </c>
      <c r="AE336" s="64" t="str">
        <f>IF(AND(Report[[#This Row],[Résultats SE]]="Gagné",Report[[#This Row],[FT]]=Report[[#This Row],[Score 2]]),Report[[#This Row],[FT]],"")</f>
        <v/>
      </c>
      <c r="AF336" s="64" t="str">
        <f>IF(AND(Report[[#This Row],[Résultats SE]]="Gagné",Report[[#This Row],[FT]]=Report[[#This Row],[Score 3]]),Report[[#This Row],[FT]],"")</f>
        <v/>
      </c>
      <c r="AG336" s="64" t="str">
        <f>IF(AND(Report[[#This Row],[Résultats SE]]="Gagné",Report[[#This Row],[FT]]=Report[[#This Row],[Score 4]]),Report[[#This Row],[FT]],"")</f>
        <v/>
      </c>
    </row>
    <row r="337" spans="1:33" ht="20.100000000000001" customHeight="1" x14ac:dyDescent="0.25">
      <c r="A337" s="11">
        <v>43422</v>
      </c>
      <c r="B337" s="7" t="s">
        <v>67</v>
      </c>
      <c r="C337" s="7" t="s">
        <v>103</v>
      </c>
      <c r="D337" s="10" t="s">
        <v>626</v>
      </c>
      <c r="E337" s="10" t="s">
        <v>629</v>
      </c>
      <c r="F337" s="7" t="s">
        <v>829</v>
      </c>
      <c r="G337" s="8" t="s">
        <v>830</v>
      </c>
      <c r="H337" s="9" t="s">
        <v>826</v>
      </c>
      <c r="I337" s="9" t="s">
        <v>831</v>
      </c>
      <c r="J337" s="9" t="s">
        <v>832</v>
      </c>
      <c r="K337" s="9" t="s">
        <v>626</v>
      </c>
      <c r="L337" s="16" t="s">
        <v>850</v>
      </c>
      <c r="M337" s="16" t="s">
        <v>850</v>
      </c>
      <c r="N337" s="17" t="s">
        <v>839</v>
      </c>
      <c r="O337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Rayo Majadahonda</v>
      </c>
      <c r="P337" s="18">
        <f>IF(Report[[#This Row],[FT]]="",,(LEFT(Report[[#This Row],[FT]],SEARCH("-",Report[[#This Row],[FT]])-1)*1))</f>
        <v>1</v>
      </c>
      <c r="Q337" s="22">
        <f>IF(Report[[#This Row],[FT]]="",,(RIGHT(Report[[#This Row],[FT]],SEARCH("-",Report[[#This Row],[FT]])-1)*1))</f>
        <v>2</v>
      </c>
      <c r="R337" s="18" t="str">
        <f>IF(Report[Résultat FT]="","",IF(Report[Résultat FT]=Report[Résultats],"Gagné","Perdu"))</f>
        <v>Perdu</v>
      </c>
      <c r="S337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337" s="53">
        <f>IF(Report[[#This Row],[FT]]="","",IF(Report[[#This Row],[FT]]=Report[[#This Row],[Score 1]],1,0))</f>
        <v>0</v>
      </c>
      <c r="U337" s="53">
        <f>IF(Report[[#This Row],[FT]]="","",IF(Report[ [#This Row],[FT] ]=Report[[#This Row],[Score 2]],1,0))</f>
        <v>0</v>
      </c>
      <c r="V337" s="53">
        <f>IF(Report[[#This Row],[FT]]="","",IF(Report[[#This Row],[FT]]=Report[[#This Row],[Score 3]],1,0))</f>
        <v>0</v>
      </c>
      <c r="W337" s="53">
        <f>IF(Report[[#This Row],[FT]]="","",IF(Report[[#This Row],[FT]]=Report[[#This Row],[Score 4]],1,0))</f>
        <v>0</v>
      </c>
      <c r="X337" s="66">
        <f>IF(Report[[#This Row],[Résultat FT]]="",,IF(Report[[#This Row],[Résultat FT]]=Report[[#This Row],[Résultats]],(Suivi_Gain!$B$1*Report[[#This Row],[Cote FT]])-Suivi_Gain!$B$1,-Suivi_Gain!$B$1))</f>
        <v>-1</v>
      </c>
      <c r="Y337" s="94">
        <f>IF(Report[[#This Row],[FT]]="",,IF(Report[[#This Row],[FT]]=Report[[#This Row],[Score 1]],(Suivi_Gain!$G$1*Report[[#This Row],[Cote SE]])-Suivi_Gain!$G$1,-Suivi_Gain!$G$1))</f>
        <v>-1</v>
      </c>
      <c r="Z337" s="65">
        <f>IF(Report[[#This Row],[FT]]="",,IF(Report[[#This Row],[FT]]=Report[[#This Row],[Score 2]],Suivi_Gain!$G$1*Report[[#This Row],[Cote SE]],-Suivi_Gain!$G$1))</f>
        <v>-1</v>
      </c>
      <c r="AA337" s="65">
        <f>IF(Report[[#This Row],[FT]]="",,IF(Report[[#This Row],[FT]]=Report[[#This Row],[Score 3]],Suivi_Gain!$G$1*Report[[#This Row],[Cote SE]],-Suivi_Gain!$G$1))</f>
        <v>-1</v>
      </c>
      <c r="AB337" s="65">
        <f>IF(Report[[#This Row],[FT]]="",,IF(Report[[#This Row],[FT]]=Report[[#This Row],[Score 4]],Suivi_Gain!$G$1*Report[[#This Row],[Cote SE]],-Suivi_Gain!$G$1))</f>
        <v>-1</v>
      </c>
      <c r="AC337" s="64" t="str">
        <f>IF(Report[[#This Row],[Résultats SE]]="Gagné",Report[[#This Row],[FT]],"")</f>
        <v/>
      </c>
      <c r="AD337" s="64" t="str">
        <f>IF(AND(Report[[#This Row],[Résultats SE]]="Gagné",Report[[#This Row],[FT]]=Report[[#This Row],[Score 1]]),Report[[#This Row],[FT]],"")</f>
        <v/>
      </c>
      <c r="AE337" s="64" t="str">
        <f>IF(AND(Report[[#This Row],[Résultats SE]]="Gagné",Report[[#This Row],[FT]]=Report[[#This Row],[Score 2]]),Report[[#This Row],[FT]],"")</f>
        <v/>
      </c>
      <c r="AF337" s="64" t="str">
        <f>IF(AND(Report[[#This Row],[Résultats SE]]="Gagné",Report[[#This Row],[FT]]=Report[[#This Row],[Score 3]]),Report[[#This Row],[FT]],"")</f>
        <v/>
      </c>
      <c r="AG337" s="64" t="str">
        <f>IF(AND(Report[[#This Row],[Résultats SE]]="Gagné",Report[[#This Row],[FT]]=Report[[#This Row],[Score 4]]),Report[[#This Row],[FT]],"")</f>
        <v/>
      </c>
    </row>
    <row r="338" spans="1:33" ht="20.100000000000001" customHeight="1" x14ac:dyDescent="0.25">
      <c r="A338" s="11">
        <v>43422</v>
      </c>
      <c r="B338" s="7" t="s">
        <v>67</v>
      </c>
      <c r="C338" s="7" t="s">
        <v>103</v>
      </c>
      <c r="D338" s="10" t="s">
        <v>615</v>
      </c>
      <c r="E338" s="10" t="s">
        <v>614</v>
      </c>
      <c r="F338" s="7" t="s">
        <v>835</v>
      </c>
      <c r="G338" s="8" t="s">
        <v>827</v>
      </c>
      <c r="H338" s="9" t="s">
        <v>825</v>
      </c>
      <c r="I338" s="9" t="s">
        <v>828</v>
      </c>
      <c r="J338" s="9" t="s">
        <v>826</v>
      </c>
      <c r="K338" s="9" t="s">
        <v>614</v>
      </c>
      <c r="L338" s="16">
        <v>2.2799999999999998</v>
      </c>
      <c r="M338" s="16" t="s">
        <v>850</v>
      </c>
      <c r="N338" s="17" t="s">
        <v>841</v>
      </c>
      <c r="O338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Cadiz</v>
      </c>
      <c r="P338" s="18">
        <f>IF(Report[[#This Row],[FT]]="",,(LEFT(Report[[#This Row],[FT]],SEARCH("-",Report[[#This Row],[FT]])-1)*1))</f>
        <v>1</v>
      </c>
      <c r="Q338" s="22">
        <f>IF(Report[[#This Row],[FT]]="",,(RIGHT(Report[[#This Row],[FT]],SEARCH("-",Report[[#This Row],[FT]])-1)*1))</f>
        <v>3</v>
      </c>
      <c r="R338" s="18" t="str">
        <f>IF(Report[Résultat FT]="","",IF(Report[Résultat FT]=Report[Résultats],"Gagné","Perdu"))</f>
        <v>Gagné</v>
      </c>
      <c r="S338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338" s="53">
        <f>IF(Report[[#This Row],[FT]]="","",IF(Report[[#This Row],[FT]]=Report[[#This Row],[Score 1]],1,0))</f>
        <v>0</v>
      </c>
      <c r="U338" s="53">
        <f>IF(Report[[#This Row],[FT]]="","",IF(Report[ [#This Row],[FT] ]=Report[[#This Row],[Score 2]],1,0))</f>
        <v>0</v>
      </c>
      <c r="V338" s="53">
        <f>IF(Report[[#This Row],[FT]]="","",IF(Report[[#This Row],[FT]]=Report[[#This Row],[Score 3]],1,0))</f>
        <v>0</v>
      </c>
      <c r="W338" s="53">
        <f>IF(Report[[#This Row],[FT]]="","",IF(Report[[#This Row],[FT]]=Report[[#This Row],[Score 4]],1,0))</f>
        <v>0</v>
      </c>
      <c r="X338" s="66">
        <f>IF(Report[[#This Row],[Résultat FT]]="",,IF(Report[[#This Row],[Résultat FT]]=Report[[#This Row],[Résultats]],(Suivi_Gain!$B$1*Report[[#This Row],[Cote FT]])-Suivi_Gain!$B$1,-Suivi_Gain!$B$1))</f>
        <v>1.2799999999999998</v>
      </c>
      <c r="Y338" s="94">
        <f>IF(Report[[#This Row],[FT]]="",,IF(Report[[#This Row],[FT]]=Report[[#This Row],[Score 1]],(Suivi_Gain!$G$1*Report[[#This Row],[Cote SE]])-Suivi_Gain!$G$1,-Suivi_Gain!$G$1))</f>
        <v>-1</v>
      </c>
      <c r="Z338" s="65">
        <f>IF(Report[[#This Row],[FT]]="",,IF(Report[[#This Row],[FT]]=Report[[#This Row],[Score 2]],Suivi_Gain!$G$1*Report[[#This Row],[Cote SE]],-Suivi_Gain!$G$1))</f>
        <v>-1</v>
      </c>
      <c r="AA338" s="65">
        <f>IF(Report[[#This Row],[FT]]="",,IF(Report[[#This Row],[FT]]=Report[[#This Row],[Score 3]],Suivi_Gain!$G$1*Report[[#This Row],[Cote SE]],-Suivi_Gain!$G$1))</f>
        <v>-1</v>
      </c>
      <c r="AB338" s="65">
        <f>IF(Report[[#This Row],[FT]]="",,IF(Report[[#This Row],[FT]]=Report[[#This Row],[Score 4]],Suivi_Gain!$G$1*Report[[#This Row],[Cote SE]],-Suivi_Gain!$G$1))</f>
        <v>-1</v>
      </c>
      <c r="AC338" s="64" t="str">
        <f>IF(Report[[#This Row],[Résultats SE]]="Gagné",Report[[#This Row],[FT]],"")</f>
        <v/>
      </c>
      <c r="AD338" s="64" t="str">
        <f>IF(AND(Report[[#This Row],[Résultats SE]]="Gagné",Report[[#This Row],[FT]]=Report[[#This Row],[Score 1]]),Report[[#This Row],[FT]],"")</f>
        <v/>
      </c>
      <c r="AE338" s="64" t="str">
        <f>IF(AND(Report[[#This Row],[Résultats SE]]="Gagné",Report[[#This Row],[FT]]=Report[[#This Row],[Score 2]]),Report[[#This Row],[FT]],"")</f>
        <v/>
      </c>
      <c r="AF338" s="64" t="str">
        <f>IF(AND(Report[[#This Row],[Résultats SE]]="Gagné",Report[[#This Row],[FT]]=Report[[#This Row],[Score 3]]),Report[[#This Row],[FT]],"")</f>
        <v/>
      </c>
      <c r="AG338" s="64" t="str">
        <f>IF(AND(Report[[#This Row],[Résultats SE]]="Gagné",Report[[#This Row],[FT]]=Report[[#This Row],[Score 4]]),Report[[#This Row],[FT]],"")</f>
        <v/>
      </c>
    </row>
    <row r="339" spans="1:33" ht="20.100000000000001" customHeight="1" x14ac:dyDescent="0.25">
      <c r="A339" s="11">
        <v>43422</v>
      </c>
      <c r="B339" s="7" t="s">
        <v>67</v>
      </c>
      <c r="C339" s="7" t="s">
        <v>103</v>
      </c>
      <c r="D339" s="10" t="s">
        <v>611</v>
      </c>
      <c r="E339" s="10" t="s">
        <v>623</v>
      </c>
      <c r="F339" s="7" t="s">
        <v>829</v>
      </c>
      <c r="G339" s="8" t="s">
        <v>830</v>
      </c>
      <c r="H339" s="9" t="s">
        <v>826</v>
      </c>
      <c r="I339" s="9" t="s">
        <v>831</v>
      </c>
      <c r="J339" s="9" t="s">
        <v>832</v>
      </c>
      <c r="K339" s="9" t="s">
        <v>611</v>
      </c>
      <c r="L339" s="16">
        <v>1.73</v>
      </c>
      <c r="M339" s="16">
        <v>5.2</v>
      </c>
      <c r="N339" s="17" t="s">
        <v>830</v>
      </c>
      <c r="O339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Albacete</v>
      </c>
      <c r="P339" s="18">
        <f>IF(Report[[#This Row],[FT]]="",,(LEFT(Report[[#This Row],[FT]],SEARCH("-",Report[[#This Row],[FT]])-1)*1))</f>
        <v>1</v>
      </c>
      <c r="Q339" s="22">
        <f>IF(Report[[#This Row],[FT]]="",,(RIGHT(Report[[#This Row],[FT]],SEARCH("-",Report[[#This Row],[FT]])-1)*1))</f>
        <v>0</v>
      </c>
      <c r="R339" s="18" t="str">
        <f>IF(Report[Résultat FT]="","",IF(Report[Résultat FT]=Report[Résultats],"Gagné","Perdu"))</f>
        <v>Gagné</v>
      </c>
      <c r="S339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339" s="53">
        <f>IF(Report[[#This Row],[FT]]="","",IF(Report[[#This Row],[FT]]=Report[[#This Row],[Score 1]],1,0))</f>
        <v>1</v>
      </c>
      <c r="U339" s="53">
        <f>IF(Report[[#This Row],[FT]]="","",IF(Report[ [#This Row],[FT] ]=Report[[#This Row],[Score 2]],1,0))</f>
        <v>0</v>
      </c>
      <c r="V339" s="53">
        <f>IF(Report[[#This Row],[FT]]="","",IF(Report[[#This Row],[FT]]=Report[[#This Row],[Score 3]],1,0))</f>
        <v>0</v>
      </c>
      <c r="W339" s="53">
        <f>IF(Report[[#This Row],[FT]]="","",IF(Report[[#This Row],[FT]]=Report[[#This Row],[Score 4]],1,0))</f>
        <v>0</v>
      </c>
      <c r="X339" s="66">
        <f>IF(Report[[#This Row],[Résultat FT]]="",,IF(Report[[#This Row],[Résultat FT]]=Report[[#This Row],[Résultats]],(Suivi_Gain!$B$1*Report[[#This Row],[Cote FT]])-Suivi_Gain!$B$1,-Suivi_Gain!$B$1))</f>
        <v>0.73</v>
      </c>
      <c r="Y339" s="94">
        <f>IF(Report[[#This Row],[FT]]="",,IF(Report[[#This Row],[FT]]=Report[[#This Row],[Score 1]],(Suivi_Gain!$G$1*Report[[#This Row],[Cote SE]])-Suivi_Gain!$G$1,-Suivi_Gain!$G$1))</f>
        <v>4.2</v>
      </c>
      <c r="Z339" s="65">
        <f>IF(Report[[#This Row],[FT]]="",,IF(Report[[#This Row],[FT]]=Report[[#This Row],[Score 2]],Suivi_Gain!$G$1*Report[[#This Row],[Cote SE]],-Suivi_Gain!$G$1))</f>
        <v>-1</v>
      </c>
      <c r="AA339" s="65">
        <f>IF(Report[[#This Row],[FT]]="",,IF(Report[[#This Row],[FT]]=Report[[#This Row],[Score 3]],Suivi_Gain!$G$1*Report[[#This Row],[Cote SE]],-Suivi_Gain!$G$1))</f>
        <v>-1</v>
      </c>
      <c r="AB339" s="65">
        <f>IF(Report[[#This Row],[FT]]="",,IF(Report[[#This Row],[FT]]=Report[[#This Row],[Score 4]],Suivi_Gain!$G$1*Report[[#This Row],[Cote SE]],-Suivi_Gain!$G$1))</f>
        <v>-1</v>
      </c>
      <c r="AC339" s="64" t="str">
        <f>IF(Report[[#This Row],[Résultats SE]]="Gagné",Report[[#This Row],[FT]],"")</f>
        <v>1-0</v>
      </c>
      <c r="AD339" s="64" t="str">
        <f>IF(AND(Report[[#This Row],[Résultats SE]]="Gagné",Report[[#This Row],[FT]]=Report[[#This Row],[Score 1]]),Report[[#This Row],[FT]],"")</f>
        <v>1-0</v>
      </c>
      <c r="AE339" s="64" t="str">
        <f>IF(AND(Report[[#This Row],[Résultats SE]]="Gagné",Report[[#This Row],[FT]]=Report[[#This Row],[Score 2]]),Report[[#This Row],[FT]],"")</f>
        <v/>
      </c>
      <c r="AF339" s="64" t="str">
        <f>IF(AND(Report[[#This Row],[Résultats SE]]="Gagné",Report[[#This Row],[FT]]=Report[[#This Row],[Score 3]]),Report[[#This Row],[FT]],"")</f>
        <v/>
      </c>
      <c r="AG339" s="64" t="str">
        <f>IF(AND(Report[[#This Row],[Résultats SE]]="Gagné",Report[[#This Row],[FT]]=Report[[#This Row],[Score 4]]),Report[[#This Row],[FT]],"")</f>
        <v/>
      </c>
    </row>
    <row r="340" spans="1:33" ht="20.100000000000001" customHeight="1" x14ac:dyDescent="0.25">
      <c r="A340" s="11">
        <v>43422</v>
      </c>
      <c r="B340" s="7" t="s">
        <v>67</v>
      </c>
      <c r="C340" s="7" t="s">
        <v>103</v>
      </c>
      <c r="D340" s="10" t="s">
        <v>612</v>
      </c>
      <c r="E340" s="10" t="s">
        <v>616</v>
      </c>
      <c r="F340" s="7" t="s">
        <v>829</v>
      </c>
      <c r="G340" s="8" t="s">
        <v>830</v>
      </c>
      <c r="H340" s="9" t="s">
        <v>826</v>
      </c>
      <c r="I340" s="9" t="s">
        <v>831</v>
      </c>
      <c r="J340" s="9" t="s">
        <v>832</v>
      </c>
      <c r="K340" s="9" t="s">
        <v>612</v>
      </c>
      <c r="L340" s="16">
        <v>1.63</v>
      </c>
      <c r="M340" s="16">
        <v>4</v>
      </c>
      <c r="N340" s="17" t="s">
        <v>830</v>
      </c>
      <c r="O340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Alcorcon</v>
      </c>
      <c r="P340" s="18">
        <f>IF(Report[[#This Row],[FT]]="",,(LEFT(Report[[#This Row],[FT]],SEARCH("-",Report[[#This Row],[FT]])-1)*1))</f>
        <v>1</v>
      </c>
      <c r="Q340" s="22">
        <f>IF(Report[[#This Row],[FT]]="",,(RIGHT(Report[[#This Row],[FT]],SEARCH("-",Report[[#This Row],[FT]])-1)*1))</f>
        <v>0</v>
      </c>
      <c r="R340" s="18" t="str">
        <f>IF(Report[Résultat FT]="","",IF(Report[Résultat FT]=Report[Résultats],"Gagné","Perdu"))</f>
        <v>Gagné</v>
      </c>
      <c r="S340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340" s="53">
        <f>IF(Report[[#This Row],[FT]]="","",IF(Report[[#This Row],[FT]]=Report[[#This Row],[Score 1]],1,0))</f>
        <v>1</v>
      </c>
      <c r="U340" s="53">
        <f>IF(Report[[#This Row],[FT]]="","",IF(Report[ [#This Row],[FT] ]=Report[[#This Row],[Score 2]],1,0))</f>
        <v>0</v>
      </c>
      <c r="V340" s="53">
        <f>IF(Report[[#This Row],[FT]]="","",IF(Report[[#This Row],[FT]]=Report[[#This Row],[Score 3]],1,0))</f>
        <v>0</v>
      </c>
      <c r="W340" s="53">
        <f>IF(Report[[#This Row],[FT]]="","",IF(Report[[#This Row],[FT]]=Report[[#This Row],[Score 4]],1,0))</f>
        <v>0</v>
      </c>
      <c r="X340" s="66">
        <f>IF(Report[[#This Row],[Résultat FT]]="",,IF(Report[[#This Row],[Résultat FT]]=Report[[#This Row],[Résultats]],(Suivi_Gain!$B$1*Report[[#This Row],[Cote FT]])-Suivi_Gain!$B$1,-Suivi_Gain!$B$1))</f>
        <v>0.62999999999999989</v>
      </c>
      <c r="Y340" s="94">
        <f>IF(Report[[#This Row],[FT]]="",,IF(Report[[#This Row],[FT]]=Report[[#This Row],[Score 1]],(Suivi_Gain!$G$1*Report[[#This Row],[Cote SE]])-Suivi_Gain!$G$1,-Suivi_Gain!$G$1))</f>
        <v>3</v>
      </c>
      <c r="Z340" s="65">
        <f>IF(Report[[#This Row],[FT]]="",,IF(Report[[#This Row],[FT]]=Report[[#This Row],[Score 2]],Suivi_Gain!$G$1*Report[[#This Row],[Cote SE]],-Suivi_Gain!$G$1))</f>
        <v>-1</v>
      </c>
      <c r="AA340" s="65">
        <f>IF(Report[[#This Row],[FT]]="",,IF(Report[[#This Row],[FT]]=Report[[#This Row],[Score 3]],Suivi_Gain!$G$1*Report[[#This Row],[Cote SE]],-Suivi_Gain!$G$1))</f>
        <v>-1</v>
      </c>
      <c r="AB340" s="65">
        <f>IF(Report[[#This Row],[FT]]="",,IF(Report[[#This Row],[FT]]=Report[[#This Row],[Score 4]],Suivi_Gain!$G$1*Report[[#This Row],[Cote SE]],-Suivi_Gain!$G$1))</f>
        <v>-1</v>
      </c>
      <c r="AC340" s="64" t="str">
        <f>IF(Report[[#This Row],[Résultats SE]]="Gagné",Report[[#This Row],[FT]],"")</f>
        <v>1-0</v>
      </c>
      <c r="AD340" s="64" t="str">
        <f>IF(AND(Report[[#This Row],[Résultats SE]]="Gagné",Report[[#This Row],[FT]]=Report[[#This Row],[Score 1]]),Report[[#This Row],[FT]],"")</f>
        <v>1-0</v>
      </c>
      <c r="AE340" s="64" t="str">
        <f>IF(AND(Report[[#This Row],[Résultats SE]]="Gagné",Report[[#This Row],[FT]]=Report[[#This Row],[Score 2]]),Report[[#This Row],[FT]],"")</f>
        <v/>
      </c>
      <c r="AF340" s="64" t="str">
        <f>IF(AND(Report[[#This Row],[Résultats SE]]="Gagné",Report[[#This Row],[FT]]=Report[[#This Row],[Score 3]]),Report[[#This Row],[FT]],"")</f>
        <v/>
      </c>
      <c r="AG340" s="64" t="str">
        <f>IF(AND(Report[[#This Row],[Résultats SE]]="Gagné",Report[[#This Row],[FT]]=Report[[#This Row],[Score 4]]),Report[[#This Row],[FT]],"")</f>
        <v/>
      </c>
    </row>
    <row r="341" spans="1:33" ht="20.100000000000001" customHeight="1" x14ac:dyDescent="0.25">
      <c r="A341" s="11">
        <v>43422</v>
      </c>
      <c r="B341" s="7" t="s">
        <v>69</v>
      </c>
      <c r="C341" s="7" t="s">
        <v>494</v>
      </c>
      <c r="D341" s="10" t="s">
        <v>512</v>
      </c>
      <c r="E341" s="10" t="s">
        <v>496</v>
      </c>
      <c r="F341" s="7" t="s">
        <v>843</v>
      </c>
      <c r="G341" s="8" t="s">
        <v>839</v>
      </c>
      <c r="H341" s="9" t="s">
        <v>834</v>
      </c>
      <c r="I341" s="9" t="s">
        <v>827</v>
      </c>
      <c r="J341" s="9" t="s">
        <v>825</v>
      </c>
      <c r="K341" s="9" t="s">
        <v>496</v>
      </c>
      <c r="L341" s="16" t="s">
        <v>850</v>
      </c>
      <c r="M341" s="16" t="s">
        <v>850</v>
      </c>
      <c r="N341" s="17" t="s">
        <v>853</v>
      </c>
      <c r="O341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Spezia</v>
      </c>
      <c r="P341" s="18">
        <f>IF(Report[[#This Row],[FT]]="",,(LEFT(Report[[#This Row],[FT]],SEARCH("-",Report[[#This Row],[FT]])-1)*1))</f>
        <v>3</v>
      </c>
      <c r="Q341" s="22">
        <f>IF(Report[[#This Row],[FT]]="",,(RIGHT(Report[[#This Row],[FT]],SEARCH("-",Report[[#This Row],[FT]])-1)*1))</f>
        <v>1</v>
      </c>
      <c r="R341" s="18" t="str">
        <f>IF(Report[Résultat FT]="","",IF(Report[Résultat FT]=Report[Résultats],"Gagné","Perdu"))</f>
        <v>Perdu</v>
      </c>
      <c r="S341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341" s="53">
        <f>IF(Report[[#This Row],[FT]]="","",IF(Report[[#This Row],[FT]]=Report[[#This Row],[Score 1]],1,0))</f>
        <v>0</v>
      </c>
      <c r="U341" s="53">
        <f>IF(Report[[#This Row],[FT]]="","",IF(Report[ [#This Row],[FT] ]=Report[[#This Row],[Score 2]],1,0))</f>
        <v>0</v>
      </c>
      <c r="V341" s="53">
        <f>IF(Report[[#This Row],[FT]]="","",IF(Report[[#This Row],[FT]]=Report[[#This Row],[Score 3]],1,0))</f>
        <v>0</v>
      </c>
      <c r="W341" s="53">
        <f>IF(Report[[#This Row],[FT]]="","",IF(Report[[#This Row],[FT]]=Report[[#This Row],[Score 4]],1,0))</f>
        <v>0</v>
      </c>
      <c r="X341" s="66">
        <f>IF(Report[[#This Row],[Résultat FT]]="",,IF(Report[[#This Row],[Résultat FT]]=Report[[#This Row],[Résultats]],(Suivi_Gain!$B$1*Report[[#This Row],[Cote FT]])-Suivi_Gain!$B$1,-Suivi_Gain!$B$1))</f>
        <v>-1</v>
      </c>
      <c r="Y341" s="94">
        <f>IF(Report[[#This Row],[FT]]="",,IF(Report[[#This Row],[FT]]=Report[[#This Row],[Score 1]],(Suivi_Gain!$G$1*Report[[#This Row],[Cote SE]])-Suivi_Gain!$G$1,-Suivi_Gain!$G$1))</f>
        <v>-1</v>
      </c>
      <c r="Z341" s="65">
        <f>IF(Report[[#This Row],[FT]]="",,IF(Report[[#This Row],[FT]]=Report[[#This Row],[Score 2]],Suivi_Gain!$G$1*Report[[#This Row],[Cote SE]],-Suivi_Gain!$G$1))</f>
        <v>-1</v>
      </c>
      <c r="AA341" s="65">
        <f>IF(Report[[#This Row],[FT]]="",,IF(Report[[#This Row],[FT]]=Report[[#This Row],[Score 3]],Suivi_Gain!$G$1*Report[[#This Row],[Cote SE]],-Suivi_Gain!$G$1))</f>
        <v>-1</v>
      </c>
      <c r="AB341" s="65">
        <f>IF(Report[[#This Row],[FT]]="",,IF(Report[[#This Row],[FT]]=Report[[#This Row],[Score 4]],Suivi_Gain!$G$1*Report[[#This Row],[Cote SE]],-Suivi_Gain!$G$1))</f>
        <v>-1</v>
      </c>
      <c r="AC341" s="64" t="str">
        <f>IF(Report[[#This Row],[Résultats SE]]="Gagné",Report[[#This Row],[FT]],"")</f>
        <v/>
      </c>
      <c r="AD341" s="64" t="str">
        <f>IF(AND(Report[[#This Row],[Résultats SE]]="Gagné",Report[[#This Row],[FT]]=Report[[#This Row],[Score 1]]),Report[[#This Row],[FT]],"")</f>
        <v/>
      </c>
      <c r="AE341" s="64" t="str">
        <f>IF(AND(Report[[#This Row],[Résultats SE]]="Gagné",Report[[#This Row],[FT]]=Report[[#This Row],[Score 2]]),Report[[#This Row],[FT]],"")</f>
        <v/>
      </c>
      <c r="AF341" s="64" t="str">
        <f>IF(AND(Report[[#This Row],[Résultats SE]]="Gagné",Report[[#This Row],[FT]]=Report[[#This Row],[Score 3]]),Report[[#This Row],[FT]],"")</f>
        <v/>
      </c>
      <c r="AG341" s="64" t="str">
        <f>IF(AND(Report[[#This Row],[Résultats SE]]="Gagné",Report[[#This Row],[FT]]=Report[[#This Row],[Score 4]]),Report[[#This Row],[FT]],"")</f>
        <v/>
      </c>
    </row>
    <row r="342" spans="1:33" ht="20.100000000000001" customHeight="1" x14ac:dyDescent="0.25">
      <c r="A342" s="11">
        <v>43422</v>
      </c>
      <c r="B342" s="7" t="s">
        <v>68</v>
      </c>
      <c r="C342" s="7" t="s">
        <v>132</v>
      </c>
      <c r="D342" s="10" t="s">
        <v>367</v>
      </c>
      <c r="E342" s="10" t="s">
        <v>361</v>
      </c>
      <c r="F342" s="7" t="s">
        <v>833</v>
      </c>
      <c r="G342" s="8" t="s">
        <v>834</v>
      </c>
      <c r="H342" s="9" t="s">
        <v>830</v>
      </c>
      <c r="I342" s="9" t="s">
        <v>825</v>
      </c>
      <c r="J342" s="9" t="s">
        <v>826</v>
      </c>
      <c r="K342" s="9" t="s">
        <v>233</v>
      </c>
      <c r="L342" s="16" t="s">
        <v>850</v>
      </c>
      <c r="M342" s="16">
        <v>4.9000000000000004</v>
      </c>
      <c r="N342" s="17" t="s">
        <v>825</v>
      </c>
      <c r="O342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Academica</v>
      </c>
      <c r="P342" s="18">
        <f>IF(Report[[#This Row],[FT]]="",,(LEFT(Report[[#This Row],[FT]],SEARCH("-",Report[[#This Row],[FT]])-1)*1))</f>
        <v>0</v>
      </c>
      <c r="Q342" s="22">
        <f>IF(Report[[#This Row],[FT]]="",,(RIGHT(Report[[#This Row],[FT]],SEARCH("-",Report[[#This Row],[FT]])-1)*1))</f>
        <v>1</v>
      </c>
      <c r="R342" s="18" t="str">
        <f>IF(Report[Résultat FT]="","",IF(Report[Résultat FT]=Report[Résultats],"Gagné","Perdu"))</f>
        <v>Perdu</v>
      </c>
      <c r="S342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342" s="53">
        <f>IF(Report[[#This Row],[FT]]="","",IF(Report[[#This Row],[FT]]=Report[[#This Row],[Score 1]],1,0))</f>
        <v>0</v>
      </c>
      <c r="U342" s="53">
        <f>IF(Report[[#This Row],[FT]]="","",IF(Report[ [#This Row],[FT] ]=Report[[#This Row],[Score 2]],1,0))</f>
        <v>0</v>
      </c>
      <c r="V342" s="53">
        <f>IF(Report[[#This Row],[FT]]="","",IF(Report[[#This Row],[FT]]=Report[[#This Row],[Score 3]],1,0))</f>
        <v>1</v>
      </c>
      <c r="W342" s="53">
        <f>IF(Report[[#This Row],[FT]]="","",IF(Report[[#This Row],[FT]]=Report[[#This Row],[Score 4]],1,0))</f>
        <v>0</v>
      </c>
      <c r="X342" s="66">
        <f>IF(Report[[#This Row],[Résultat FT]]="",,IF(Report[[#This Row],[Résultat FT]]=Report[[#This Row],[Résultats]],(Suivi_Gain!$B$1*Report[[#This Row],[Cote FT]])-Suivi_Gain!$B$1,-Suivi_Gain!$B$1))</f>
        <v>-1</v>
      </c>
      <c r="Y342" s="94">
        <f>IF(Report[[#This Row],[FT]]="",,IF(Report[[#This Row],[FT]]=Report[[#This Row],[Score 1]],(Suivi_Gain!$G$1*Report[[#This Row],[Cote SE]])-Suivi_Gain!$G$1,-Suivi_Gain!$G$1))</f>
        <v>-1</v>
      </c>
      <c r="Z342" s="65">
        <f>IF(Report[[#This Row],[FT]]="",,IF(Report[[#This Row],[FT]]=Report[[#This Row],[Score 2]],Suivi_Gain!$G$1*Report[[#This Row],[Cote SE]],-Suivi_Gain!$G$1))</f>
        <v>-1</v>
      </c>
      <c r="AA342" s="65">
        <f>IF(Report[[#This Row],[FT]]="",,IF(Report[[#This Row],[FT]]=Report[[#This Row],[Score 3]],Suivi_Gain!$G$1*Report[[#This Row],[Cote SE]],-Suivi_Gain!$G$1))</f>
        <v>4.9000000000000004</v>
      </c>
      <c r="AB342" s="65">
        <f>IF(Report[[#This Row],[FT]]="",,IF(Report[[#This Row],[FT]]=Report[[#This Row],[Score 4]],Suivi_Gain!$G$1*Report[[#This Row],[Cote SE]],-Suivi_Gain!$G$1))</f>
        <v>-1</v>
      </c>
      <c r="AC342" s="64" t="str">
        <f>IF(Report[[#This Row],[Résultats SE]]="Gagné",Report[[#This Row],[FT]],"")</f>
        <v>0-1</v>
      </c>
      <c r="AD342" s="64" t="str">
        <f>IF(AND(Report[[#This Row],[Résultats SE]]="Gagné",Report[[#This Row],[FT]]=Report[[#This Row],[Score 1]]),Report[[#This Row],[FT]],"")</f>
        <v/>
      </c>
      <c r="AE342" s="64" t="str">
        <f>IF(AND(Report[[#This Row],[Résultats SE]]="Gagné",Report[[#This Row],[FT]]=Report[[#This Row],[Score 2]]),Report[[#This Row],[FT]],"")</f>
        <v/>
      </c>
      <c r="AF342" s="64" t="str">
        <f>IF(AND(Report[[#This Row],[Résultats SE]]="Gagné",Report[[#This Row],[FT]]=Report[[#This Row],[Score 3]]),Report[[#This Row],[FT]],"")</f>
        <v>0-1</v>
      </c>
      <c r="AG342" s="64" t="str">
        <f>IF(AND(Report[[#This Row],[Résultats SE]]="Gagné",Report[[#This Row],[FT]]=Report[[#This Row],[Score 4]]),Report[[#This Row],[FT]],"")</f>
        <v/>
      </c>
    </row>
    <row r="343" spans="1:33" ht="20.100000000000001" customHeight="1" x14ac:dyDescent="0.25">
      <c r="A343" s="11">
        <v>43422</v>
      </c>
      <c r="B343" s="7" t="s">
        <v>68</v>
      </c>
      <c r="C343" s="7" t="s">
        <v>132</v>
      </c>
      <c r="D343" s="10" t="s">
        <v>362</v>
      </c>
      <c r="E343" s="10" t="s">
        <v>368</v>
      </c>
      <c r="F343" s="7" t="s">
        <v>843</v>
      </c>
      <c r="G343" s="8" t="s">
        <v>839</v>
      </c>
      <c r="H343" s="9" t="s">
        <v>834</v>
      </c>
      <c r="I343" s="9" t="s">
        <v>827</v>
      </c>
      <c r="J343" s="9" t="s">
        <v>825</v>
      </c>
      <c r="K343" s="9" t="s">
        <v>368</v>
      </c>
      <c r="L343" s="16">
        <v>2.2999999999999998</v>
      </c>
      <c r="M343" s="16">
        <v>7.8</v>
      </c>
      <c r="N343" s="17" t="s">
        <v>839</v>
      </c>
      <c r="O343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Estoril</v>
      </c>
      <c r="P343" s="18">
        <f>IF(Report[[#This Row],[FT]]="",,(LEFT(Report[[#This Row],[FT]],SEARCH("-",Report[[#This Row],[FT]])-1)*1))</f>
        <v>1</v>
      </c>
      <c r="Q343" s="22">
        <f>IF(Report[[#This Row],[FT]]="",,(RIGHT(Report[[#This Row],[FT]],SEARCH("-",Report[[#This Row],[FT]])-1)*1))</f>
        <v>2</v>
      </c>
      <c r="R343" s="18" t="str">
        <f>IF(Report[Résultat FT]="","",IF(Report[Résultat FT]=Report[Résultats],"Gagné","Perdu"))</f>
        <v>Gagné</v>
      </c>
      <c r="S343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343" s="53">
        <f>IF(Report[[#This Row],[FT]]="","",IF(Report[[#This Row],[FT]]=Report[[#This Row],[Score 1]],1,0))</f>
        <v>1</v>
      </c>
      <c r="U343" s="53">
        <f>IF(Report[[#This Row],[FT]]="","",IF(Report[ [#This Row],[FT] ]=Report[[#This Row],[Score 2]],1,0))</f>
        <v>0</v>
      </c>
      <c r="V343" s="53">
        <f>IF(Report[[#This Row],[FT]]="","",IF(Report[[#This Row],[FT]]=Report[[#This Row],[Score 3]],1,0))</f>
        <v>0</v>
      </c>
      <c r="W343" s="53">
        <f>IF(Report[[#This Row],[FT]]="","",IF(Report[[#This Row],[FT]]=Report[[#This Row],[Score 4]],1,0))</f>
        <v>0</v>
      </c>
      <c r="X343" s="66">
        <f>IF(Report[[#This Row],[Résultat FT]]="",,IF(Report[[#This Row],[Résultat FT]]=Report[[#This Row],[Résultats]],(Suivi_Gain!$B$1*Report[[#This Row],[Cote FT]])-Suivi_Gain!$B$1,-Suivi_Gain!$B$1))</f>
        <v>1.2999999999999998</v>
      </c>
      <c r="Y343" s="94">
        <f>IF(Report[[#This Row],[FT]]="",,IF(Report[[#This Row],[FT]]=Report[[#This Row],[Score 1]],(Suivi_Gain!$G$1*Report[[#This Row],[Cote SE]])-Suivi_Gain!$G$1,-Suivi_Gain!$G$1))</f>
        <v>6.8</v>
      </c>
      <c r="Z343" s="65">
        <f>IF(Report[[#This Row],[FT]]="",,IF(Report[[#This Row],[FT]]=Report[[#This Row],[Score 2]],Suivi_Gain!$G$1*Report[[#This Row],[Cote SE]],-Suivi_Gain!$G$1))</f>
        <v>-1</v>
      </c>
      <c r="AA343" s="65">
        <f>IF(Report[[#This Row],[FT]]="",,IF(Report[[#This Row],[FT]]=Report[[#This Row],[Score 3]],Suivi_Gain!$G$1*Report[[#This Row],[Cote SE]],-Suivi_Gain!$G$1))</f>
        <v>-1</v>
      </c>
      <c r="AB343" s="65">
        <f>IF(Report[[#This Row],[FT]]="",,IF(Report[[#This Row],[FT]]=Report[[#This Row],[Score 4]],Suivi_Gain!$G$1*Report[[#This Row],[Cote SE]],-Suivi_Gain!$G$1))</f>
        <v>-1</v>
      </c>
      <c r="AC343" s="64" t="str">
        <f>IF(Report[[#This Row],[Résultats SE]]="Gagné",Report[[#This Row],[FT]],"")</f>
        <v>1-2</v>
      </c>
      <c r="AD343" s="64" t="str">
        <f>IF(AND(Report[[#This Row],[Résultats SE]]="Gagné",Report[[#This Row],[FT]]=Report[[#This Row],[Score 1]]),Report[[#This Row],[FT]],"")</f>
        <v>1-2</v>
      </c>
      <c r="AE343" s="64" t="str">
        <f>IF(AND(Report[[#This Row],[Résultats SE]]="Gagné",Report[[#This Row],[FT]]=Report[[#This Row],[Score 2]]),Report[[#This Row],[FT]],"")</f>
        <v/>
      </c>
      <c r="AF343" s="64" t="str">
        <f>IF(AND(Report[[#This Row],[Résultats SE]]="Gagné",Report[[#This Row],[FT]]=Report[[#This Row],[Score 3]]),Report[[#This Row],[FT]],"")</f>
        <v/>
      </c>
      <c r="AG343" s="64" t="str">
        <f>IF(AND(Report[[#This Row],[Résultats SE]]="Gagné",Report[[#This Row],[FT]]=Report[[#This Row],[Score 4]]),Report[[#This Row],[FT]],"")</f>
        <v/>
      </c>
    </row>
    <row r="344" spans="1:33" ht="18.75" x14ac:dyDescent="0.25">
      <c r="A344" s="11">
        <v>43422</v>
      </c>
      <c r="B344" s="7" t="s">
        <v>68</v>
      </c>
      <c r="C344" s="7" t="s">
        <v>132</v>
      </c>
      <c r="D344" s="10" t="s">
        <v>370</v>
      </c>
      <c r="E344" s="10" t="s">
        <v>374</v>
      </c>
      <c r="F344" s="7" t="s">
        <v>824</v>
      </c>
      <c r="G344" s="8" t="s">
        <v>825</v>
      </c>
      <c r="H344" s="9" t="s">
        <v>826</v>
      </c>
      <c r="I344" s="9" t="s">
        <v>827</v>
      </c>
      <c r="J344" s="9" t="s">
        <v>828</v>
      </c>
      <c r="K344" s="9" t="s">
        <v>374</v>
      </c>
      <c r="L344" s="16" t="s">
        <v>850</v>
      </c>
      <c r="M344" s="16" t="s">
        <v>850</v>
      </c>
      <c r="N344" s="17" t="s">
        <v>830</v>
      </c>
      <c r="O344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Farense</v>
      </c>
      <c r="P344" s="18">
        <f>IF(Report[[#This Row],[FT]]="",,(LEFT(Report[[#This Row],[FT]],SEARCH("-",Report[[#This Row],[FT]])-1)*1))</f>
        <v>1</v>
      </c>
      <c r="Q344" s="22">
        <f>IF(Report[[#This Row],[FT]]="",,(RIGHT(Report[[#This Row],[FT]],SEARCH("-",Report[[#This Row],[FT]])-1)*1))</f>
        <v>0</v>
      </c>
      <c r="R344" s="18" t="str">
        <f>IF(Report[Résultat FT]="","",IF(Report[Résultat FT]=Report[Résultats],"Gagné","Perdu"))</f>
        <v>Perdu</v>
      </c>
      <c r="S344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344" s="53">
        <f>IF(Report[[#This Row],[FT]]="","",IF(Report[[#This Row],[FT]]=Report[[#This Row],[Score 1]],1,0))</f>
        <v>0</v>
      </c>
      <c r="U344" s="53">
        <f>IF(Report[[#This Row],[FT]]="","",IF(Report[ [#This Row],[FT] ]=Report[[#This Row],[Score 2]],1,0))</f>
        <v>0</v>
      </c>
      <c r="V344" s="53">
        <f>IF(Report[[#This Row],[FT]]="","",IF(Report[[#This Row],[FT]]=Report[[#This Row],[Score 3]],1,0))</f>
        <v>0</v>
      </c>
      <c r="W344" s="53">
        <f>IF(Report[[#This Row],[FT]]="","",IF(Report[[#This Row],[FT]]=Report[[#This Row],[Score 4]],1,0))</f>
        <v>0</v>
      </c>
      <c r="X344" s="66">
        <f>IF(Report[[#This Row],[Résultat FT]]="",,IF(Report[[#This Row],[Résultat FT]]=Report[[#This Row],[Résultats]],(Suivi_Gain!$B$1*Report[[#This Row],[Cote FT]])-Suivi_Gain!$B$1,-Suivi_Gain!$B$1))</f>
        <v>-1</v>
      </c>
      <c r="Y344" s="94">
        <f>IF(Report[[#This Row],[FT]]="",,IF(Report[[#This Row],[FT]]=Report[[#This Row],[Score 1]],(Suivi_Gain!$G$1*Report[[#This Row],[Cote SE]])-Suivi_Gain!$G$1,-Suivi_Gain!$G$1))</f>
        <v>-1</v>
      </c>
      <c r="Z344" s="65">
        <f>IF(Report[[#This Row],[FT]]="",,IF(Report[[#This Row],[FT]]=Report[[#This Row],[Score 2]],Suivi_Gain!$G$1*Report[[#This Row],[Cote SE]],-Suivi_Gain!$G$1))</f>
        <v>-1</v>
      </c>
      <c r="AA344" s="65">
        <f>IF(Report[[#This Row],[FT]]="",,IF(Report[[#This Row],[FT]]=Report[[#This Row],[Score 3]],Suivi_Gain!$G$1*Report[[#This Row],[Cote SE]],-Suivi_Gain!$G$1))</f>
        <v>-1</v>
      </c>
      <c r="AB344" s="65">
        <f>IF(Report[[#This Row],[FT]]="",,IF(Report[[#This Row],[FT]]=Report[[#This Row],[Score 4]],Suivi_Gain!$G$1*Report[[#This Row],[Cote SE]],-Suivi_Gain!$G$1))</f>
        <v>-1</v>
      </c>
      <c r="AC344" s="64" t="str">
        <f>IF(Report[[#This Row],[Résultats SE]]="Gagné",Report[[#This Row],[FT]],"")</f>
        <v/>
      </c>
      <c r="AD344" s="64" t="str">
        <f>IF(AND(Report[[#This Row],[Résultats SE]]="Gagné",Report[[#This Row],[FT]]=Report[[#This Row],[Score 1]]),Report[[#This Row],[FT]],"")</f>
        <v/>
      </c>
      <c r="AE344" s="64" t="str">
        <f>IF(AND(Report[[#This Row],[Résultats SE]]="Gagné",Report[[#This Row],[FT]]=Report[[#This Row],[Score 2]]),Report[[#This Row],[FT]],"")</f>
        <v/>
      </c>
      <c r="AF344" s="64" t="str">
        <f>IF(AND(Report[[#This Row],[Résultats SE]]="Gagné",Report[[#This Row],[FT]]=Report[[#This Row],[Score 3]]),Report[[#This Row],[FT]],"")</f>
        <v/>
      </c>
      <c r="AG344" s="64" t="str">
        <f>IF(AND(Report[[#This Row],[Résultats SE]]="Gagné",Report[[#This Row],[FT]]=Report[[#This Row],[Score 4]]),Report[[#This Row],[FT]],"")</f>
        <v/>
      </c>
    </row>
    <row r="345" spans="1:33" ht="20.100000000000001" customHeight="1" x14ac:dyDescent="0.25">
      <c r="A345" s="11">
        <v>43422</v>
      </c>
      <c r="B345" s="7" t="s">
        <v>68</v>
      </c>
      <c r="C345" s="7" t="s">
        <v>132</v>
      </c>
      <c r="D345" s="10" t="s">
        <v>375</v>
      </c>
      <c r="E345" s="10" t="s">
        <v>369</v>
      </c>
      <c r="F345" s="7" t="s">
        <v>833</v>
      </c>
      <c r="G345" s="8" t="s">
        <v>834</v>
      </c>
      <c r="H345" s="9" t="s">
        <v>830</v>
      </c>
      <c r="I345" s="9" t="s">
        <v>825</v>
      </c>
      <c r="J345" s="9" t="s">
        <v>826</v>
      </c>
      <c r="K345" s="9" t="s">
        <v>233</v>
      </c>
      <c r="L345" s="16" t="s">
        <v>850</v>
      </c>
      <c r="M345" s="16" t="s">
        <v>850</v>
      </c>
      <c r="N345" s="17" t="s">
        <v>839</v>
      </c>
      <c r="O345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Famalicao</v>
      </c>
      <c r="P345" s="18">
        <f>IF(Report[[#This Row],[FT]]="",,(LEFT(Report[[#This Row],[FT]],SEARCH("-",Report[[#This Row],[FT]])-1)*1))</f>
        <v>1</v>
      </c>
      <c r="Q345" s="22">
        <f>IF(Report[[#This Row],[FT]]="",,(RIGHT(Report[[#This Row],[FT]],SEARCH("-",Report[[#This Row],[FT]])-1)*1))</f>
        <v>2</v>
      </c>
      <c r="R345" s="18" t="str">
        <f>IF(Report[Résultat FT]="","",IF(Report[Résultat FT]=Report[Résultats],"Gagné","Perdu"))</f>
        <v>Perdu</v>
      </c>
      <c r="S345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345" s="53">
        <f>IF(Report[[#This Row],[FT]]="","",IF(Report[[#This Row],[FT]]=Report[[#This Row],[Score 1]],1,0))</f>
        <v>0</v>
      </c>
      <c r="U345" s="53">
        <f>IF(Report[[#This Row],[FT]]="","",IF(Report[ [#This Row],[FT] ]=Report[[#This Row],[Score 2]],1,0))</f>
        <v>0</v>
      </c>
      <c r="V345" s="53">
        <f>IF(Report[[#This Row],[FT]]="","",IF(Report[[#This Row],[FT]]=Report[[#This Row],[Score 3]],1,0))</f>
        <v>0</v>
      </c>
      <c r="W345" s="53">
        <f>IF(Report[[#This Row],[FT]]="","",IF(Report[[#This Row],[FT]]=Report[[#This Row],[Score 4]],1,0))</f>
        <v>0</v>
      </c>
      <c r="X345" s="66">
        <f>IF(Report[[#This Row],[Résultat FT]]="",,IF(Report[[#This Row],[Résultat FT]]=Report[[#This Row],[Résultats]],(Suivi_Gain!$B$1*Report[[#This Row],[Cote FT]])-Suivi_Gain!$B$1,-Suivi_Gain!$B$1))</f>
        <v>-1</v>
      </c>
      <c r="Y345" s="94">
        <f>IF(Report[[#This Row],[FT]]="",,IF(Report[[#This Row],[FT]]=Report[[#This Row],[Score 1]],(Suivi_Gain!$G$1*Report[[#This Row],[Cote SE]])-Suivi_Gain!$G$1,-Suivi_Gain!$G$1))</f>
        <v>-1</v>
      </c>
      <c r="Z345" s="65">
        <f>IF(Report[[#This Row],[FT]]="",,IF(Report[[#This Row],[FT]]=Report[[#This Row],[Score 2]],Suivi_Gain!$G$1*Report[[#This Row],[Cote SE]],-Suivi_Gain!$G$1))</f>
        <v>-1</v>
      </c>
      <c r="AA345" s="65">
        <f>IF(Report[[#This Row],[FT]]="",,IF(Report[[#This Row],[FT]]=Report[[#This Row],[Score 3]],Suivi_Gain!$G$1*Report[[#This Row],[Cote SE]],-Suivi_Gain!$G$1))</f>
        <v>-1</v>
      </c>
      <c r="AB345" s="65">
        <f>IF(Report[[#This Row],[FT]]="",,IF(Report[[#This Row],[FT]]=Report[[#This Row],[Score 4]],Suivi_Gain!$G$1*Report[[#This Row],[Cote SE]],-Suivi_Gain!$G$1))</f>
        <v>-1</v>
      </c>
      <c r="AC345" s="64" t="str">
        <f>IF(Report[[#This Row],[Résultats SE]]="Gagné",Report[[#This Row],[FT]],"")</f>
        <v/>
      </c>
      <c r="AD345" s="64" t="str">
        <f>IF(AND(Report[[#This Row],[Résultats SE]]="Gagné",Report[[#This Row],[FT]]=Report[[#This Row],[Score 1]]),Report[[#This Row],[FT]],"")</f>
        <v/>
      </c>
      <c r="AE345" s="64" t="str">
        <f>IF(AND(Report[[#This Row],[Résultats SE]]="Gagné",Report[[#This Row],[FT]]=Report[[#This Row],[Score 2]]),Report[[#This Row],[FT]],"")</f>
        <v/>
      </c>
      <c r="AF345" s="64" t="str">
        <f>IF(AND(Report[[#This Row],[Résultats SE]]="Gagné",Report[[#This Row],[FT]]=Report[[#This Row],[Score 3]]),Report[[#This Row],[FT]],"")</f>
        <v/>
      </c>
      <c r="AG345" s="64" t="str">
        <f>IF(AND(Report[[#This Row],[Résultats SE]]="Gagné",Report[[#This Row],[FT]]=Report[[#This Row],[Score 4]]),Report[[#This Row],[FT]],"")</f>
        <v/>
      </c>
    </row>
    <row r="346" spans="1:33" ht="20.100000000000001" customHeight="1" x14ac:dyDescent="0.25">
      <c r="A346" s="11">
        <v>43421</v>
      </c>
      <c r="B346" s="7" t="s">
        <v>221</v>
      </c>
      <c r="C346" s="7" t="s">
        <v>104</v>
      </c>
      <c r="D346" s="10" t="s">
        <v>526</v>
      </c>
      <c r="E346" s="10" t="s">
        <v>527</v>
      </c>
      <c r="F346" s="7" t="s">
        <v>833</v>
      </c>
      <c r="G346" s="8" t="s">
        <v>834</v>
      </c>
      <c r="H346" s="9" t="s">
        <v>830</v>
      </c>
      <c r="I346" s="9" t="s">
        <v>825</v>
      </c>
      <c r="J346" s="9" t="s">
        <v>826</v>
      </c>
      <c r="K346" s="9" t="s">
        <v>233</v>
      </c>
      <c r="L346" s="16" t="s">
        <v>850</v>
      </c>
      <c r="M346" s="16">
        <v>4.0999999999999996</v>
      </c>
      <c r="N346" s="17" t="s">
        <v>830</v>
      </c>
      <c r="O346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Corinthians</v>
      </c>
      <c r="P346" s="18">
        <f>IF(Report[[#This Row],[FT]]="",,(LEFT(Report[[#This Row],[FT]],SEARCH("-",Report[[#This Row],[FT]])-1)*1))</f>
        <v>1</v>
      </c>
      <c r="Q346" s="22">
        <f>IF(Report[[#This Row],[FT]]="",,(RIGHT(Report[[#This Row],[FT]],SEARCH("-",Report[[#This Row],[FT]])-1)*1))</f>
        <v>0</v>
      </c>
      <c r="R346" s="18" t="str">
        <f>IF(Report[Résultat FT]="","",IF(Report[Résultat FT]=Report[Résultats],"Gagné","Perdu"))</f>
        <v>Perdu</v>
      </c>
      <c r="S346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346" s="53">
        <f>IF(Report[[#This Row],[FT]]="","",IF(Report[[#This Row],[FT]]=Report[[#This Row],[Score 1]],1,0))</f>
        <v>0</v>
      </c>
      <c r="U346" s="53">
        <f>IF(Report[[#This Row],[FT]]="","",IF(Report[ [#This Row],[FT] ]=Report[[#This Row],[Score 2]],1,0))</f>
        <v>1</v>
      </c>
      <c r="V346" s="53">
        <f>IF(Report[[#This Row],[FT]]="","",IF(Report[[#This Row],[FT]]=Report[[#This Row],[Score 3]],1,0))</f>
        <v>0</v>
      </c>
      <c r="W346" s="53">
        <f>IF(Report[[#This Row],[FT]]="","",IF(Report[[#This Row],[FT]]=Report[[#This Row],[Score 4]],1,0))</f>
        <v>0</v>
      </c>
      <c r="X346" s="66">
        <f>IF(Report[[#This Row],[Résultat FT]]="",,IF(Report[[#This Row],[Résultat FT]]=Report[[#This Row],[Résultats]],(Suivi_Gain!$B$1*Report[[#This Row],[Cote FT]])-Suivi_Gain!$B$1,-Suivi_Gain!$B$1))</f>
        <v>-1</v>
      </c>
      <c r="Y346" s="94">
        <f>IF(Report[[#This Row],[FT]]="",,IF(Report[[#This Row],[FT]]=Report[[#This Row],[Score 1]],(Suivi_Gain!$G$1*Report[[#This Row],[Cote SE]])-Suivi_Gain!$G$1,-Suivi_Gain!$G$1))</f>
        <v>-1</v>
      </c>
      <c r="Z346" s="65">
        <f>IF(Report[[#This Row],[FT]]="",,IF(Report[[#This Row],[FT]]=Report[[#This Row],[Score 2]],Suivi_Gain!$G$1*Report[[#This Row],[Cote SE]],-Suivi_Gain!$G$1))</f>
        <v>4.0999999999999996</v>
      </c>
      <c r="AA346" s="65">
        <f>IF(Report[[#This Row],[FT]]="",,IF(Report[[#This Row],[FT]]=Report[[#This Row],[Score 3]],Suivi_Gain!$G$1*Report[[#This Row],[Cote SE]],-Suivi_Gain!$G$1))</f>
        <v>-1</v>
      </c>
      <c r="AB346" s="65">
        <f>IF(Report[[#This Row],[FT]]="",,IF(Report[[#This Row],[FT]]=Report[[#This Row],[Score 4]],Suivi_Gain!$G$1*Report[[#This Row],[Cote SE]],-Suivi_Gain!$G$1))</f>
        <v>-1</v>
      </c>
      <c r="AC346" s="64" t="str">
        <f>IF(Report[[#This Row],[Résultats SE]]="Gagné",Report[[#This Row],[FT]],"")</f>
        <v>1-0</v>
      </c>
      <c r="AD346" s="64" t="str">
        <f>IF(AND(Report[[#This Row],[Résultats SE]]="Gagné",Report[[#This Row],[FT]]=Report[[#This Row],[Score 1]]),Report[[#This Row],[FT]],"")</f>
        <v/>
      </c>
      <c r="AE346" s="64" t="str">
        <f>IF(AND(Report[[#This Row],[Résultats SE]]="Gagné",Report[[#This Row],[FT]]=Report[[#This Row],[Score 2]]),Report[[#This Row],[FT]],"")</f>
        <v>1-0</v>
      </c>
      <c r="AF346" s="64" t="str">
        <f>IF(AND(Report[[#This Row],[Résultats SE]]="Gagné",Report[[#This Row],[FT]]=Report[[#This Row],[Score 3]]),Report[[#This Row],[FT]],"")</f>
        <v/>
      </c>
      <c r="AG346" s="64" t="str">
        <f>IF(AND(Report[[#This Row],[Résultats SE]]="Gagné",Report[[#This Row],[FT]]=Report[[#This Row],[Score 4]]),Report[[#This Row],[FT]],"")</f>
        <v/>
      </c>
    </row>
    <row r="347" spans="1:33" ht="20.100000000000001" customHeight="1" x14ac:dyDescent="0.25">
      <c r="A347" s="11">
        <v>43421</v>
      </c>
      <c r="B347" s="7" t="s">
        <v>221</v>
      </c>
      <c r="C347" s="7" t="s">
        <v>104</v>
      </c>
      <c r="D347" s="10" t="s">
        <v>531</v>
      </c>
      <c r="E347" s="10" t="s">
        <v>521</v>
      </c>
      <c r="F347" s="7" t="s">
        <v>835</v>
      </c>
      <c r="G347" s="8" t="s">
        <v>827</v>
      </c>
      <c r="H347" s="9" t="s">
        <v>825</v>
      </c>
      <c r="I347" s="9" t="s">
        <v>828</v>
      </c>
      <c r="J347" s="9" t="s">
        <v>826</v>
      </c>
      <c r="K347" s="9" t="s">
        <v>521</v>
      </c>
      <c r="L347" s="16">
        <v>2.4</v>
      </c>
      <c r="M347" s="16" t="s">
        <v>850</v>
      </c>
      <c r="N347" s="17" t="s">
        <v>839</v>
      </c>
      <c r="O347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Atletico-PR</v>
      </c>
      <c r="P347" s="18">
        <f>IF(Report[[#This Row],[FT]]="",,(LEFT(Report[[#This Row],[FT]],SEARCH("-",Report[[#This Row],[FT]])-1)*1))</f>
        <v>1</v>
      </c>
      <c r="Q347" s="22">
        <f>IF(Report[[#This Row],[FT]]="",,(RIGHT(Report[[#This Row],[FT]],SEARCH("-",Report[[#This Row],[FT]])-1)*1))</f>
        <v>2</v>
      </c>
      <c r="R347" s="18" t="str">
        <f>IF(Report[Résultat FT]="","",IF(Report[Résultat FT]=Report[Résultats],"Gagné","Perdu"))</f>
        <v>Gagné</v>
      </c>
      <c r="S347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347" s="53">
        <f>IF(Report[[#This Row],[FT]]="","",IF(Report[[#This Row],[FT]]=Report[[#This Row],[Score 1]],1,0))</f>
        <v>0</v>
      </c>
      <c r="U347" s="53">
        <f>IF(Report[[#This Row],[FT]]="","",IF(Report[ [#This Row],[FT] ]=Report[[#This Row],[Score 2]],1,0))</f>
        <v>0</v>
      </c>
      <c r="V347" s="53">
        <f>IF(Report[[#This Row],[FT]]="","",IF(Report[[#This Row],[FT]]=Report[[#This Row],[Score 3]],1,0))</f>
        <v>0</v>
      </c>
      <c r="W347" s="53">
        <f>IF(Report[[#This Row],[FT]]="","",IF(Report[[#This Row],[FT]]=Report[[#This Row],[Score 4]],1,0))</f>
        <v>0</v>
      </c>
      <c r="X347" s="66">
        <f>IF(Report[[#This Row],[Résultat FT]]="",,IF(Report[[#This Row],[Résultat FT]]=Report[[#This Row],[Résultats]],(Suivi_Gain!$B$1*Report[[#This Row],[Cote FT]])-Suivi_Gain!$B$1,-Suivi_Gain!$B$1))</f>
        <v>1.4</v>
      </c>
      <c r="Y347" s="94">
        <f>IF(Report[[#This Row],[FT]]="",,IF(Report[[#This Row],[FT]]=Report[[#This Row],[Score 1]],(Suivi_Gain!$G$1*Report[[#This Row],[Cote SE]])-Suivi_Gain!$G$1,-Suivi_Gain!$G$1))</f>
        <v>-1</v>
      </c>
      <c r="Z347" s="65">
        <f>IF(Report[[#This Row],[FT]]="",,IF(Report[[#This Row],[FT]]=Report[[#This Row],[Score 2]],Suivi_Gain!$G$1*Report[[#This Row],[Cote SE]],-Suivi_Gain!$G$1))</f>
        <v>-1</v>
      </c>
      <c r="AA347" s="65">
        <f>IF(Report[[#This Row],[FT]]="",,IF(Report[[#This Row],[FT]]=Report[[#This Row],[Score 3]],Suivi_Gain!$G$1*Report[[#This Row],[Cote SE]],-Suivi_Gain!$G$1))</f>
        <v>-1</v>
      </c>
      <c r="AB347" s="65">
        <f>IF(Report[[#This Row],[FT]]="",,IF(Report[[#This Row],[FT]]=Report[[#This Row],[Score 4]],Suivi_Gain!$G$1*Report[[#This Row],[Cote SE]],-Suivi_Gain!$G$1))</f>
        <v>-1</v>
      </c>
      <c r="AC347" s="64" t="str">
        <f>IF(Report[[#This Row],[Résultats SE]]="Gagné",Report[[#This Row],[FT]],"")</f>
        <v/>
      </c>
      <c r="AD347" s="64" t="str">
        <f>IF(AND(Report[[#This Row],[Résultats SE]]="Gagné",Report[[#This Row],[FT]]=Report[[#This Row],[Score 1]]),Report[[#This Row],[FT]],"")</f>
        <v/>
      </c>
      <c r="AE347" s="64" t="str">
        <f>IF(AND(Report[[#This Row],[Résultats SE]]="Gagné",Report[[#This Row],[FT]]=Report[[#This Row],[Score 2]]),Report[[#This Row],[FT]],"")</f>
        <v/>
      </c>
      <c r="AF347" s="64" t="str">
        <f>IF(AND(Report[[#This Row],[Résultats SE]]="Gagné",Report[[#This Row],[FT]]=Report[[#This Row],[Score 3]]),Report[[#This Row],[FT]],"")</f>
        <v/>
      </c>
      <c r="AG347" s="64" t="str">
        <f>IF(AND(Report[[#This Row],[Résultats SE]]="Gagné",Report[[#This Row],[FT]]=Report[[#This Row],[Score 4]]),Report[[#This Row],[FT]],"")</f>
        <v/>
      </c>
    </row>
    <row r="348" spans="1:33" ht="20.100000000000001" customHeight="1" x14ac:dyDescent="0.25">
      <c r="A348" s="11">
        <v>43421</v>
      </c>
      <c r="B348" s="7" t="s">
        <v>67</v>
      </c>
      <c r="C348" s="7" t="s">
        <v>103</v>
      </c>
      <c r="D348" s="10" t="s">
        <v>624</v>
      </c>
      <c r="E348" s="10" t="s">
        <v>619</v>
      </c>
      <c r="F348" s="7" t="s">
        <v>829</v>
      </c>
      <c r="G348" s="8" t="s">
        <v>830</v>
      </c>
      <c r="H348" s="9" t="s">
        <v>826</v>
      </c>
      <c r="I348" s="9" t="s">
        <v>831</v>
      </c>
      <c r="J348" s="9" t="s">
        <v>832</v>
      </c>
      <c r="K348" s="9" t="s">
        <v>624</v>
      </c>
      <c r="L348" s="16">
        <v>1.2</v>
      </c>
      <c r="M348" s="16">
        <v>4.2</v>
      </c>
      <c r="N348" s="17" t="s">
        <v>831</v>
      </c>
      <c r="O348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Malaga</v>
      </c>
      <c r="P348" s="18">
        <f>IF(Report[[#This Row],[FT]]="",,(LEFT(Report[[#This Row],[FT]],SEARCH("-",Report[[#This Row],[FT]])-1)*1))</f>
        <v>2</v>
      </c>
      <c r="Q348" s="22">
        <f>IF(Report[[#This Row],[FT]]="",,(RIGHT(Report[[#This Row],[FT]],SEARCH("-",Report[[#This Row],[FT]])-1)*1))</f>
        <v>0</v>
      </c>
      <c r="R348" s="18" t="str">
        <f>IF(Report[Résultat FT]="","",IF(Report[Résultat FT]=Report[Résultats],"Gagné","Perdu"))</f>
        <v>Gagné</v>
      </c>
      <c r="S348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348" s="53">
        <f>IF(Report[[#This Row],[FT]]="","",IF(Report[[#This Row],[FT]]=Report[[#This Row],[Score 1]],1,0))</f>
        <v>0</v>
      </c>
      <c r="U348" s="53">
        <f>IF(Report[[#This Row],[FT]]="","",IF(Report[ [#This Row],[FT] ]=Report[[#This Row],[Score 2]],1,0))</f>
        <v>0</v>
      </c>
      <c r="V348" s="53">
        <f>IF(Report[[#This Row],[FT]]="","",IF(Report[[#This Row],[FT]]=Report[[#This Row],[Score 3]],1,0))</f>
        <v>1</v>
      </c>
      <c r="W348" s="53">
        <f>IF(Report[[#This Row],[FT]]="","",IF(Report[[#This Row],[FT]]=Report[[#This Row],[Score 4]],1,0))</f>
        <v>0</v>
      </c>
      <c r="X348" s="66">
        <f>IF(Report[[#This Row],[Résultat FT]]="",,IF(Report[[#This Row],[Résultat FT]]=Report[[#This Row],[Résultats]],(Suivi_Gain!$B$1*Report[[#This Row],[Cote FT]])-Suivi_Gain!$B$1,-Suivi_Gain!$B$1))</f>
        <v>0.19999999999999996</v>
      </c>
      <c r="Y348" s="94">
        <f>IF(Report[[#This Row],[FT]]="",,IF(Report[[#This Row],[FT]]=Report[[#This Row],[Score 1]],(Suivi_Gain!$G$1*Report[[#This Row],[Cote SE]])-Suivi_Gain!$G$1,-Suivi_Gain!$G$1))</f>
        <v>-1</v>
      </c>
      <c r="Z348" s="65">
        <f>IF(Report[[#This Row],[FT]]="",,IF(Report[[#This Row],[FT]]=Report[[#This Row],[Score 2]],Suivi_Gain!$G$1*Report[[#This Row],[Cote SE]],-Suivi_Gain!$G$1))</f>
        <v>-1</v>
      </c>
      <c r="AA348" s="65">
        <f>IF(Report[[#This Row],[FT]]="",,IF(Report[[#This Row],[FT]]=Report[[#This Row],[Score 3]],Suivi_Gain!$G$1*Report[[#This Row],[Cote SE]],-Suivi_Gain!$G$1))</f>
        <v>4.2</v>
      </c>
      <c r="AB348" s="65">
        <f>IF(Report[[#This Row],[FT]]="",,IF(Report[[#This Row],[FT]]=Report[[#This Row],[Score 4]],Suivi_Gain!$G$1*Report[[#This Row],[Cote SE]],-Suivi_Gain!$G$1))</f>
        <v>-1</v>
      </c>
      <c r="AC348" s="64" t="str">
        <f>IF(Report[[#This Row],[Résultats SE]]="Gagné",Report[[#This Row],[FT]],"")</f>
        <v>2-0</v>
      </c>
      <c r="AD348" s="64" t="str">
        <f>IF(AND(Report[[#This Row],[Résultats SE]]="Gagné",Report[[#This Row],[FT]]=Report[[#This Row],[Score 1]]),Report[[#This Row],[FT]],"")</f>
        <v/>
      </c>
      <c r="AE348" s="64" t="str">
        <f>IF(AND(Report[[#This Row],[Résultats SE]]="Gagné",Report[[#This Row],[FT]]=Report[[#This Row],[Score 2]]),Report[[#This Row],[FT]],"")</f>
        <v/>
      </c>
      <c r="AF348" s="64" t="str">
        <f>IF(AND(Report[[#This Row],[Résultats SE]]="Gagné",Report[[#This Row],[FT]]=Report[[#This Row],[Score 3]]),Report[[#This Row],[FT]],"")</f>
        <v>2-0</v>
      </c>
      <c r="AG348" s="64" t="str">
        <f>IF(AND(Report[[#This Row],[Résultats SE]]="Gagné",Report[[#This Row],[FT]]=Report[[#This Row],[Score 4]]),Report[[#This Row],[FT]],"")</f>
        <v/>
      </c>
    </row>
    <row r="349" spans="1:33" ht="20.100000000000001" customHeight="1" x14ac:dyDescent="0.25">
      <c r="A349" s="11">
        <v>43421</v>
      </c>
      <c r="B349" s="7" t="s">
        <v>67</v>
      </c>
      <c r="C349" s="7" t="s">
        <v>103</v>
      </c>
      <c r="D349" s="10" t="s">
        <v>627</v>
      </c>
      <c r="E349" s="10" t="s">
        <v>631</v>
      </c>
      <c r="F349" s="7" t="s">
        <v>829</v>
      </c>
      <c r="G349" s="8" t="s">
        <v>830</v>
      </c>
      <c r="H349" s="9" t="s">
        <v>826</v>
      </c>
      <c r="I349" s="9" t="s">
        <v>831</v>
      </c>
      <c r="J349" s="9" t="s">
        <v>832</v>
      </c>
      <c r="K349" s="9" t="s">
        <v>627</v>
      </c>
      <c r="L349" s="16">
        <v>1.6</v>
      </c>
      <c r="M349" s="16">
        <v>5.8</v>
      </c>
      <c r="N349" s="17" t="s">
        <v>831</v>
      </c>
      <c r="O349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Osasuna</v>
      </c>
      <c r="P349" s="18">
        <f>IF(Report[[#This Row],[FT]]="",,(LEFT(Report[[#This Row],[FT]],SEARCH("-",Report[[#This Row],[FT]])-1)*1))</f>
        <v>2</v>
      </c>
      <c r="Q349" s="22">
        <f>IF(Report[[#This Row],[FT]]="",,(RIGHT(Report[[#This Row],[FT]],SEARCH("-",Report[[#This Row],[FT]])-1)*1))</f>
        <v>0</v>
      </c>
      <c r="R349" s="18" t="str">
        <f>IF(Report[Résultat FT]="","",IF(Report[Résultat FT]=Report[Résultats],"Gagné","Perdu"))</f>
        <v>Gagné</v>
      </c>
      <c r="S349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349" s="53">
        <f>IF(Report[[#This Row],[FT]]="","",IF(Report[[#This Row],[FT]]=Report[[#This Row],[Score 1]],1,0))</f>
        <v>0</v>
      </c>
      <c r="U349" s="53">
        <f>IF(Report[[#This Row],[FT]]="","",IF(Report[ [#This Row],[FT] ]=Report[[#This Row],[Score 2]],1,0))</f>
        <v>0</v>
      </c>
      <c r="V349" s="53">
        <f>IF(Report[[#This Row],[FT]]="","",IF(Report[[#This Row],[FT]]=Report[[#This Row],[Score 3]],1,0))</f>
        <v>1</v>
      </c>
      <c r="W349" s="53">
        <f>IF(Report[[#This Row],[FT]]="","",IF(Report[[#This Row],[FT]]=Report[[#This Row],[Score 4]],1,0))</f>
        <v>0</v>
      </c>
      <c r="X349" s="66">
        <f>IF(Report[[#This Row],[Résultat FT]]="",,IF(Report[[#This Row],[Résultat FT]]=Report[[#This Row],[Résultats]],(Suivi_Gain!$B$1*Report[[#This Row],[Cote FT]])-Suivi_Gain!$B$1,-Suivi_Gain!$B$1))</f>
        <v>0.60000000000000009</v>
      </c>
      <c r="Y349" s="94">
        <f>IF(Report[[#This Row],[FT]]="",,IF(Report[[#This Row],[FT]]=Report[[#This Row],[Score 1]],(Suivi_Gain!$G$1*Report[[#This Row],[Cote SE]])-Suivi_Gain!$G$1,-Suivi_Gain!$G$1))</f>
        <v>-1</v>
      </c>
      <c r="Z349" s="65">
        <f>IF(Report[[#This Row],[FT]]="",,IF(Report[[#This Row],[FT]]=Report[[#This Row],[Score 2]],Suivi_Gain!$G$1*Report[[#This Row],[Cote SE]],-Suivi_Gain!$G$1))</f>
        <v>-1</v>
      </c>
      <c r="AA349" s="65">
        <f>IF(Report[[#This Row],[FT]]="",,IF(Report[[#This Row],[FT]]=Report[[#This Row],[Score 3]],Suivi_Gain!$G$1*Report[[#This Row],[Cote SE]],-Suivi_Gain!$G$1))</f>
        <v>5.8</v>
      </c>
      <c r="AB349" s="65">
        <f>IF(Report[[#This Row],[FT]]="",,IF(Report[[#This Row],[FT]]=Report[[#This Row],[Score 4]],Suivi_Gain!$G$1*Report[[#This Row],[Cote SE]],-Suivi_Gain!$G$1))</f>
        <v>-1</v>
      </c>
      <c r="AC349" s="64" t="str">
        <f>IF(Report[[#This Row],[Résultats SE]]="Gagné",Report[[#This Row],[FT]],"")</f>
        <v>2-0</v>
      </c>
      <c r="AD349" s="64" t="str">
        <f>IF(AND(Report[[#This Row],[Résultats SE]]="Gagné",Report[[#This Row],[FT]]=Report[[#This Row],[Score 1]]),Report[[#This Row],[FT]],"")</f>
        <v/>
      </c>
      <c r="AE349" s="64" t="str">
        <f>IF(AND(Report[[#This Row],[Résultats SE]]="Gagné",Report[[#This Row],[FT]]=Report[[#This Row],[Score 2]]),Report[[#This Row],[FT]],"")</f>
        <v/>
      </c>
      <c r="AF349" s="64" t="str">
        <f>IF(AND(Report[[#This Row],[Résultats SE]]="Gagné",Report[[#This Row],[FT]]=Report[[#This Row],[Score 3]]),Report[[#This Row],[FT]],"")</f>
        <v>2-0</v>
      </c>
      <c r="AG349" s="64" t="str">
        <f>IF(AND(Report[[#This Row],[Résultats SE]]="Gagné",Report[[#This Row],[FT]]=Report[[#This Row],[Score 4]]),Report[[#This Row],[FT]],"")</f>
        <v/>
      </c>
    </row>
    <row r="350" spans="1:33" ht="20.100000000000001" customHeight="1" x14ac:dyDescent="0.25">
      <c r="A350" s="11">
        <v>43421</v>
      </c>
      <c r="B350" s="7" t="s">
        <v>67</v>
      </c>
      <c r="C350" s="7" t="s">
        <v>103</v>
      </c>
      <c r="D350" s="10" t="s">
        <v>630</v>
      </c>
      <c r="E350" s="10" t="s">
        <v>617</v>
      </c>
      <c r="F350" s="7" t="s">
        <v>833</v>
      </c>
      <c r="G350" s="8" t="s">
        <v>834</v>
      </c>
      <c r="H350" s="9" t="s">
        <v>830</v>
      </c>
      <c r="I350" s="9" t="s">
        <v>825</v>
      </c>
      <c r="J350" s="9" t="s">
        <v>826</v>
      </c>
      <c r="K350" s="9" t="s">
        <v>233</v>
      </c>
      <c r="L350" s="16" t="s">
        <v>850</v>
      </c>
      <c r="M350" s="16" t="s">
        <v>850</v>
      </c>
      <c r="N350" s="17" t="s">
        <v>852</v>
      </c>
      <c r="O350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Extremadura UD</v>
      </c>
      <c r="P350" s="18">
        <f>IF(Report[[#This Row],[FT]]="",,(LEFT(Report[[#This Row],[FT]],SEARCH("-",Report[[#This Row],[FT]])-1)*1))</f>
        <v>1</v>
      </c>
      <c r="Q350" s="22">
        <f>IF(Report[[#This Row],[FT]]="",,(RIGHT(Report[[#This Row],[FT]],SEARCH("-",Report[[#This Row],[FT]])-1)*1))</f>
        <v>4</v>
      </c>
      <c r="R350" s="18" t="str">
        <f>IF(Report[Résultat FT]="","",IF(Report[Résultat FT]=Report[Résultats],"Gagné","Perdu"))</f>
        <v>Perdu</v>
      </c>
      <c r="S350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350" s="53">
        <f>IF(Report[[#This Row],[FT]]="","",IF(Report[[#This Row],[FT]]=Report[[#This Row],[Score 1]],1,0))</f>
        <v>0</v>
      </c>
      <c r="U350" s="53">
        <f>IF(Report[[#This Row],[FT]]="","",IF(Report[ [#This Row],[FT] ]=Report[[#This Row],[Score 2]],1,0))</f>
        <v>0</v>
      </c>
      <c r="V350" s="53">
        <f>IF(Report[[#This Row],[FT]]="","",IF(Report[[#This Row],[FT]]=Report[[#This Row],[Score 3]],1,0))</f>
        <v>0</v>
      </c>
      <c r="W350" s="53">
        <f>IF(Report[[#This Row],[FT]]="","",IF(Report[[#This Row],[FT]]=Report[[#This Row],[Score 4]],1,0))</f>
        <v>0</v>
      </c>
      <c r="X350" s="66">
        <f>IF(Report[[#This Row],[Résultat FT]]="",,IF(Report[[#This Row],[Résultat FT]]=Report[[#This Row],[Résultats]],(Suivi_Gain!$B$1*Report[[#This Row],[Cote FT]])-Suivi_Gain!$B$1,-Suivi_Gain!$B$1))</f>
        <v>-1</v>
      </c>
      <c r="Y350" s="94">
        <f>IF(Report[[#This Row],[FT]]="",,IF(Report[[#This Row],[FT]]=Report[[#This Row],[Score 1]],(Suivi_Gain!$G$1*Report[[#This Row],[Cote SE]])-Suivi_Gain!$G$1,-Suivi_Gain!$G$1))</f>
        <v>-1</v>
      </c>
      <c r="Z350" s="65">
        <f>IF(Report[[#This Row],[FT]]="",,IF(Report[[#This Row],[FT]]=Report[[#This Row],[Score 2]],Suivi_Gain!$G$1*Report[[#This Row],[Cote SE]],-Suivi_Gain!$G$1))</f>
        <v>-1</v>
      </c>
      <c r="AA350" s="65">
        <f>IF(Report[[#This Row],[FT]]="",,IF(Report[[#This Row],[FT]]=Report[[#This Row],[Score 3]],Suivi_Gain!$G$1*Report[[#This Row],[Cote SE]],-Suivi_Gain!$G$1))</f>
        <v>-1</v>
      </c>
      <c r="AB350" s="65">
        <f>IF(Report[[#This Row],[FT]]="",,IF(Report[[#This Row],[FT]]=Report[[#This Row],[Score 4]],Suivi_Gain!$G$1*Report[[#This Row],[Cote SE]],-Suivi_Gain!$G$1))</f>
        <v>-1</v>
      </c>
      <c r="AC350" s="64" t="str">
        <f>IF(Report[[#This Row],[Résultats SE]]="Gagné",Report[[#This Row],[FT]],"")</f>
        <v/>
      </c>
      <c r="AD350" s="64" t="str">
        <f>IF(AND(Report[[#This Row],[Résultats SE]]="Gagné",Report[[#This Row],[FT]]=Report[[#This Row],[Score 1]]),Report[[#This Row],[FT]],"")</f>
        <v/>
      </c>
      <c r="AE350" s="64" t="str">
        <f>IF(AND(Report[[#This Row],[Résultats SE]]="Gagné",Report[[#This Row],[FT]]=Report[[#This Row],[Score 2]]),Report[[#This Row],[FT]],"")</f>
        <v/>
      </c>
      <c r="AF350" s="64" t="str">
        <f>IF(AND(Report[[#This Row],[Résultats SE]]="Gagné",Report[[#This Row],[FT]]=Report[[#This Row],[Score 3]]),Report[[#This Row],[FT]],"")</f>
        <v/>
      </c>
      <c r="AG350" s="64" t="str">
        <f>IF(AND(Report[[#This Row],[Résultats SE]]="Gagné",Report[[#This Row],[FT]]=Report[[#This Row],[Score 4]]),Report[[#This Row],[FT]],"")</f>
        <v/>
      </c>
    </row>
    <row r="351" spans="1:33" ht="20.100000000000001" customHeight="1" x14ac:dyDescent="0.25">
      <c r="A351" s="11">
        <v>43421</v>
      </c>
      <c r="B351" s="7" t="s">
        <v>67</v>
      </c>
      <c r="C351" s="7" t="s">
        <v>103</v>
      </c>
      <c r="D351" s="10" t="s">
        <v>632</v>
      </c>
      <c r="E351" s="10" t="s">
        <v>625</v>
      </c>
      <c r="F351" s="7" t="s">
        <v>824</v>
      </c>
      <c r="G351" s="8" t="s">
        <v>825</v>
      </c>
      <c r="H351" s="9" t="s">
        <v>826</v>
      </c>
      <c r="I351" s="9" t="s">
        <v>827</v>
      </c>
      <c r="J351" s="9" t="s">
        <v>828</v>
      </c>
      <c r="K351" s="9" t="s">
        <v>625</v>
      </c>
      <c r="L351" s="16" t="s">
        <v>850</v>
      </c>
      <c r="M351" s="16" t="s">
        <v>850</v>
      </c>
      <c r="N351" s="17" t="s">
        <v>837</v>
      </c>
      <c r="O351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351" s="18">
        <f>IF(Report[[#This Row],[FT]]="",,(LEFT(Report[[#This Row],[FT]],SEARCH("-",Report[[#This Row],[FT]])-1)*1))</f>
        <v>2</v>
      </c>
      <c r="Q351" s="22">
        <f>IF(Report[[#This Row],[FT]]="",,(RIGHT(Report[[#This Row],[FT]],SEARCH("-",Report[[#This Row],[FT]])-1)*1))</f>
        <v>2</v>
      </c>
      <c r="R351" s="18" t="str">
        <f>IF(Report[Résultat FT]="","",IF(Report[Résultat FT]=Report[Résultats],"Gagné","Perdu"))</f>
        <v>Perdu</v>
      </c>
      <c r="S351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351" s="53">
        <f>IF(Report[[#This Row],[FT]]="","",IF(Report[[#This Row],[FT]]=Report[[#This Row],[Score 1]],1,0))</f>
        <v>0</v>
      </c>
      <c r="U351" s="53">
        <f>IF(Report[[#This Row],[FT]]="","",IF(Report[ [#This Row],[FT] ]=Report[[#This Row],[Score 2]],1,0))</f>
        <v>0</v>
      </c>
      <c r="V351" s="53">
        <f>IF(Report[[#This Row],[FT]]="","",IF(Report[[#This Row],[FT]]=Report[[#This Row],[Score 3]],1,0))</f>
        <v>0</v>
      </c>
      <c r="W351" s="53">
        <f>IF(Report[[#This Row],[FT]]="","",IF(Report[[#This Row],[FT]]=Report[[#This Row],[Score 4]],1,0))</f>
        <v>0</v>
      </c>
      <c r="X351" s="66">
        <f>IF(Report[[#This Row],[Résultat FT]]="",,IF(Report[[#This Row],[Résultat FT]]=Report[[#This Row],[Résultats]],(Suivi_Gain!$B$1*Report[[#This Row],[Cote FT]])-Suivi_Gain!$B$1,-Suivi_Gain!$B$1))</f>
        <v>-1</v>
      </c>
      <c r="Y351" s="94">
        <f>IF(Report[[#This Row],[FT]]="",,IF(Report[[#This Row],[FT]]=Report[[#This Row],[Score 1]],(Suivi_Gain!$G$1*Report[[#This Row],[Cote SE]])-Suivi_Gain!$G$1,-Suivi_Gain!$G$1))</f>
        <v>-1</v>
      </c>
      <c r="Z351" s="65">
        <f>IF(Report[[#This Row],[FT]]="",,IF(Report[[#This Row],[FT]]=Report[[#This Row],[Score 2]],Suivi_Gain!$G$1*Report[[#This Row],[Cote SE]],-Suivi_Gain!$G$1))</f>
        <v>-1</v>
      </c>
      <c r="AA351" s="65">
        <f>IF(Report[[#This Row],[FT]]="",,IF(Report[[#This Row],[FT]]=Report[[#This Row],[Score 3]],Suivi_Gain!$G$1*Report[[#This Row],[Cote SE]],-Suivi_Gain!$G$1))</f>
        <v>-1</v>
      </c>
      <c r="AB351" s="65">
        <f>IF(Report[[#This Row],[FT]]="",,IF(Report[[#This Row],[FT]]=Report[[#This Row],[Score 4]],Suivi_Gain!$G$1*Report[[#This Row],[Cote SE]],-Suivi_Gain!$G$1))</f>
        <v>-1</v>
      </c>
      <c r="AC351" s="64" t="str">
        <f>IF(Report[[#This Row],[Résultats SE]]="Gagné",Report[[#This Row],[FT]],"")</f>
        <v/>
      </c>
      <c r="AD351" s="64" t="str">
        <f>IF(AND(Report[[#This Row],[Résultats SE]]="Gagné",Report[[#This Row],[FT]]=Report[[#This Row],[Score 1]]),Report[[#This Row],[FT]],"")</f>
        <v/>
      </c>
      <c r="AE351" s="64" t="str">
        <f>IF(AND(Report[[#This Row],[Résultats SE]]="Gagné",Report[[#This Row],[FT]]=Report[[#This Row],[Score 2]]),Report[[#This Row],[FT]],"")</f>
        <v/>
      </c>
      <c r="AF351" s="64" t="str">
        <f>IF(AND(Report[[#This Row],[Résultats SE]]="Gagné",Report[[#This Row],[FT]]=Report[[#This Row],[Score 3]]),Report[[#This Row],[FT]],"")</f>
        <v/>
      </c>
      <c r="AG351" s="64" t="str">
        <f>IF(AND(Report[[#This Row],[Résultats SE]]="Gagné",Report[[#This Row],[FT]]=Report[[#This Row],[Score 4]]),Report[[#This Row],[FT]],"")</f>
        <v/>
      </c>
    </row>
    <row r="352" spans="1:33" ht="20.100000000000001" customHeight="1" x14ac:dyDescent="0.25">
      <c r="A352" s="11">
        <v>43421</v>
      </c>
      <c r="B352" s="7" t="s">
        <v>67</v>
      </c>
      <c r="C352" s="7" t="s">
        <v>103</v>
      </c>
      <c r="D352" s="10" t="s">
        <v>628</v>
      </c>
      <c r="E352" s="10" t="s">
        <v>618</v>
      </c>
      <c r="F352" s="7" t="s">
        <v>824</v>
      </c>
      <c r="G352" s="8" t="s">
        <v>825</v>
      </c>
      <c r="H352" s="9" t="s">
        <v>826</v>
      </c>
      <c r="I352" s="9" t="s">
        <v>827</v>
      </c>
      <c r="J352" s="9" t="s">
        <v>828</v>
      </c>
      <c r="K352" s="9" t="s">
        <v>618</v>
      </c>
      <c r="L352" s="16" t="s">
        <v>850</v>
      </c>
      <c r="M352" s="16" t="s">
        <v>850</v>
      </c>
      <c r="N352" s="17" t="s">
        <v>838</v>
      </c>
      <c r="O352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R. Oviedo</v>
      </c>
      <c r="P352" s="18">
        <f>IF(Report[[#This Row],[FT]]="",,(LEFT(Report[[#This Row],[FT]],SEARCH("-",Report[[#This Row],[FT]])-1)*1))</f>
        <v>2</v>
      </c>
      <c r="Q352" s="22">
        <f>IF(Report[[#This Row],[FT]]="",,(RIGHT(Report[[#This Row],[FT]],SEARCH("-",Report[[#This Row],[FT]])-1)*1))</f>
        <v>1</v>
      </c>
      <c r="R352" s="18" t="str">
        <f>IF(Report[Résultat FT]="","",IF(Report[Résultat FT]=Report[Résultats],"Gagné","Perdu"))</f>
        <v>Perdu</v>
      </c>
      <c r="S352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352" s="53">
        <f>IF(Report[[#This Row],[FT]]="","",IF(Report[[#This Row],[FT]]=Report[[#This Row],[Score 1]],1,0))</f>
        <v>0</v>
      </c>
      <c r="U352" s="53">
        <f>IF(Report[[#This Row],[FT]]="","",IF(Report[ [#This Row],[FT] ]=Report[[#This Row],[Score 2]],1,0))</f>
        <v>0</v>
      </c>
      <c r="V352" s="53">
        <f>IF(Report[[#This Row],[FT]]="","",IF(Report[[#This Row],[FT]]=Report[[#This Row],[Score 3]],1,0))</f>
        <v>0</v>
      </c>
      <c r="W352" s="53">
        <f>IF(Report[[#This Row],[FT]]="","",IF(Report[[#This Row],[FT]]=Report[[#This Row],[Score 4]],1,0))</f>
        <v>0</v>
      </c>
      <c r="X352" s="66">
        <f>IF(Report[[#This Row],[Résultat FT]]="",,IF(Report[[#This Row],[Résultat FT]]=Report[[#This Row],[Résultats]],(Suivi_Gain!$B$1*Report[[#This Row],[Cote FT]])-Suivi_Gain!$B$1,-Suivi_Gain!$B$1))</f>
        <v>-1</v>
      </c>
      <c r="Y352" s="94">
        <f>IF(Report[[#This Row],[FT]]="",,IF(Report[[#This Row],[FT]]=Report[[#This Row],[Score 1]],(Suivi_Gain!$G$1*Report[[#This Row],[Cote SE]])-Suivi_Gain!$G$1,-Suivi_Gain!$G$1))</f>
        <v>-1</v>
      </c>
      <c r="Z352" s="65">
        <f>IF(Report[[#This Row],[FT]]="",,IF(Report[[#This Row],[FT]]=Report[[#This Row],[Score 2]],Suivi_Gain!$G$1*Report[[#This Row],[Cote SE]],-Suivi_Gain!$G$1))</f>
        <v>-1</v>
      </c>
      <c r="AA352" s="65">
        <f>IF(Report[[#This Row],[FT]]="",,IF(Report[[#This Row],[FT]]=Report[[#This Row],[Score 3]],Suivi_Gain!$G$1*Report[[#This Row],[Cote SE]],-Suivi_Gain!$G$1))</f>
        <v>-1</v>
      </c>
      <c r="AB352" s="65">
        <f>IF(Report[[#This Row],[FT]]="",,IF(Report[[#This Row],[FT]]=Report[[#This Row],[Score 4]],Suivi_Gain!$G$1*Report[[#This Row],[Cote SE]],-Suivi_Gain!$G$1))</f>
        <v>-1</v>
      </c>
      <c r="AC352" s="64" t="str">
        <f>IF(Report[[#This Row],[Résultats SE]]="Gagné",Report[[#This Row],[FT]],"")</f>
        <v/>
      </c>
      <c r="AD352" s="64" t="str">
        <f>IF(AND(Report[[#This Row],[Résultats SE]]="Gagné",Report[[#This Row],[FT]]=Report[[#This Row],[Score 1]]),Report[[#This Row],[FT]],"")</f>
        <v/>
      </c>
      <c r="AE352" s="64" t="str">
        <f>IF(AND(Report[[#This Row],[Résultats SE]]="Gagné",Report[[#This Row],[FT]]=Report[[#This Row],[Score 2]]),Report[[#This Row],[FT]],"")</f>
        <v/>
      </c>
      <c r="AF352" s="64" t="str">
        <f>IF(AND(Report[[#This Row],[Résultats SE]]="Gagné",Report[[#This Row],[FT]]=Report[[#This Row],[Score 3]]),Report[[#This Row],[FT]],"")</f>
        <v/>
      </c>
      <c r="AG352" s="64" t="str">
        <f>IF(AND(Report[[#This Row],[Résultats SE]]="Gagné",Report[[#This Row],[FT]]=Report[[#This Row],[Score 4]]),Report[[#This Row],[FT]],"")</f>
        <v/>
      </c>
    </row>
    <row r="353" spans="1:33" ht="20.100000000000001" customHeight="1" x14ac:dyDescent="0.25">
      <c r="A353" s="11">
        <v>43421</v>
      </c>
      <c r="B353" s="7" t="s">
        <v>81</v>
      </c>
      <c r="C353" s="7" t="s">
        <v>108</v>
      </c>
      <c r="D353" s="10" t="s">
        <v>679</v>
      </c>
      <c r="E353" s="10" t="s">
        <v>680</v>
      </c>
      <c r="F353" s="7" t="s">
        <v>835</v>
      </c>
      <c r="G353" s="8" t="s">
        <v>827</v>
      </c>
      <c r="H353" s="9" t="s">
        <v>825</v>
      </c>
      <c r="I353" s="9" t="s">
        <v>828</v>
      </c>
      <c r="J353" s="9" t="s">
        <v>826</v>
      </c>
      <c r="K353" s="9" t="s">
        <v>680</v>
      </c>
      <c r="L353" s="16">
        <v>1.31</v>
      </c>
      <c r="M353" s="16" t="s">
        <v>850</v>
      </c>
      <c r="N353" s="17" t="s">
        <v>852</v>
      </c>
      <c r="O353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Linfield</v>
      </c>
      <c r="P353" s="18">
        <f>IF(Report[[#This Row],[FT]]="",,(LEFT(Report[[#This Row],[FT]],SEARCH("-",Report[[#This Row],[FT]])-1)*1))</f>
        <v>1</v>
      </c>
      <c r="Q353" s="22">
        <f>IF(Report[[#This Row],[FT]]="",,(RIGHT(Report[[#This Row],[FT]],SEARCH("-",Report[[#This Row],[FT]])-1)*1))</f>
        <v>4</v>
      </c>
      <c r="R353" s="18" t="str">
        <f>IF(Report[Résultat FT]="","",IF(Report[Résultat FT]=Report[Résultats],"Gagné","Perdu"))</f>
        <v>Gagné</v>
      </c>
      <c r="S353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353" s="53">
        <f>IF(Report[[#This Row],[FT]]="","",IF(Report[[#This Row],[FT]]=Report[[#This Row],[Score 1]],1,0))</f>
        <v>0</v>
      </c>
      <c r="U353" s="53">
        <f>IF(Report[[#This Row],[FT]]="","",IF(Report[ [#This Row],[FT] ]=Report[[#This Row],[Score 2]],1,0))</f>
        <v>0</v>
      </c>
      <c r="V353" s="53">
        <f>IF(Report[[#This Row],[FT]]="","",IF(Report[[#This Row],[FT]]=Report[[#This Row],[Score 3]],1,0))</f>
        <v>0</v>
      </c>
      <c r="W353" s="53">
        <f>IF(Report[[#This Row],[FT]]="","",IF(Report[[#This Row],[FT]]=Report[[#This Row],[Score 4]],1,0))</f>
        <v>0</v>
      </c>
      <c r="X353" s="66">
        <f>IF(Report[[#This Row],[Résultat FT]]="",,IF(Report[[#This Row],[Résultat FT]]=Report[[#This Row],[Résultats]],(Suivi_Gain!$B$1*Report[[#This Row],[Cote FT]])-Suivi_Gain!$B$1,-Suivi_Gain!$B$1))</f>
        <v>0.31000000000000005</v>
      </c>
      <c r="Y353" s="94">
        <f>IF(Report[[#This Row],[FT]]="",,IF(Report[[#This Row],[FT]]=Report[[#This Row],[Score 1]],(Suivi_Gain!$G$1*Report[[#This Row],[Cote SE]])-Suivi_Gain!$G$1,-Suivi_Gain!$G$1))</f>
        <v>-1</v>
      </c>
      <c r="Z353" s="65">
        <f>IF(Report[[#This Row],[FT]]="",,IF(Report[[#This Row],[FT]]=Report[[#This Row],[Score 2]],Suivi_Gain!$G$1*Report[[#This Row],[Cote SE]],-Suivi_Gain!$G$1))</f>
        <v>-1</v>
      </c>
      <c r="AA353" s="65">
        <f>IF(Report[[#This Row],[FT]]="",,IF(Report[[#This Row],[FT]]=Report[[#This Row],[Score 3]],Suivi_Gain!$G$1*Report[[#This Row],[Cote SE]],-Suivi_Gain!$G$1))</f>
        <v>-1</v>
      </c>
      <c r="AB353" s="65">
        <f>IF(Report[[#This Row],[FT]]="",,IF(Report[[#This Row],[FT]]=Report[[#This Row],[Score 4]],Suivi_Gain!$G$1*Report[[#This Row],[Cote SE]],-Suivi_Gain!$G$1))</f>
        <v>-1</v>
      </c>
      <c r="AC353" s="64" t="str">
        <f>IF(Report[[#This Row],[Résultats SE]]="Gagné",Report[[#This Row],[FT]],"")</f>
        <v/>
      </c>
      <c r="AD353" s="64" t="str">
        <f>IF(AND(Report[[#This Row],[Résultats SE]]="Gagné",Report[[#This Row],[FT]]=Report[[#This Row],[Score 1]]),Report[[#This Row],[FT]],"")</f>
        <v/>
      </c>
      <c r="AE353" s="64" t="str">
        <f>IF(AND(Report[[#This Row],[Résultats SE]]="Gagné",Report[[#This Row],[FT]]=Report[[#This Row],[Score 2]]),Report[[#This Row],[FT]],"")</f>
        <v/>
      </c>
      <c r="AF353" s="64" t="str">
        <f>IF(AND(Report[[#This Row],[Résultats SE]]="Gagné",Report[[#This Row],[FT]]=Report[[#This Row],[Score 3]]),Report[[#This Row],[FT]],"")</f>
        <v/>
      </c>
      <c r="AG353" s="64" t="str">
        <f>IF(AND(Report[[#This Row],[Résultats SE]]="Gagné",Report[[#This Row],[FT]]=Report[[#This Row],[Score 4]]),Report[[#This Row],[FT]],"")</f>
        <v/>
      </c>
    </row>
    <row r="354" spans="1:33" ht="20.100000000000001" customHeight="1" x14ac:dyDescent="0.25">
      <c r="A354" s="11">
        <v>43421</v>
      </c>
      <c r="B354" s="7" t="s">
        <v>81</v>
      </c>
      <c r="C354" s="7" t="s">
        <v>108</v>
      </c>
      <c r="D354" s="10" t="s">
        <v>672</v>
      </c>
      <c r="E354" s="10" t="s">
        <v>673</v>
      </c>
      <c r="F354" s="7" t="s">
        <v>836</v>
      </c>
      <c r="G354" s="8" t="s">
        <v>837</v>
      </c>
      <c r="H354" s="9" t="s">
        <v>838</v>
      </c>
      <c r="I354" s="9" t="s">
        <v>839</v>
      </c>
      <c r="J354" s="9" t="s">
        <v>834</v>
      </c>
      <c r="K354" s="9" t="s">
        <v>233</v>
      </c>
      <c r="L354" s="16" t="s">
        <v>850</v>
      </c>
      <c r="M354" s="16">
        <v>7.6</v>
      </c>
      <c r="N354" s="17" t="s">
        <v>838</v>
      </c>
      <c r="O354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Ballymena</v>
      </c>
      <c r="P354" s="18">
        <f>IF(Report[[#This Row],[FT]]="",,(LEFT(Report[[#This Row],[FT]],SEARCH("-",Report[[#This Row],[FT]])-1)*1))</f>
        <v>2</v>
      </c>
      <c r="Q354" s="22">
        <f>IF(Report[[#This Row],[FT]]="",,(RIGHT(Report[[#This Row],[FT]],SEARCH("-",Report[[#This Row],[FT]])-1)*1))</f>
        <v>1</v>
      </c>
      <c r="R354" s="18" t="str">
        <f>IF(Report[Résultat FT]="","",IF(Report[Résultat FT]=Report[Résultats],"Gagné","Perdu"))</f>
        <v>Perdu</v>
      </c>
      <c r="S354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354" s="53">
        <f>IF(Report[[#This Row],[FT]]="","",IF(Report[[#This Row],[FT]]=Report[[#This Row],[Score 1]],1,0))</f>
        <v>0</v>
      </c>
      <c r="U354" s="53">
        <f>IF(Report[[#This Row],[FT]]="","",IF(Report[ [#This Row],[FT] ]=Report[[#This Row],[Score 2]],1,0))</f>
        <v>1</v>
      </c>
      <c r="V354" s="53">
        <f>IF(Report[[#This Row],[FT]]="","",IF(Report[[#This Row],[FT]]=Report[[#This Row],[Score 3]],1,0))</f>
        <v>0</v>
      </c>
      <c r="W354" s="53">
        <f>IF(Report[[#This Row],[FT]]="","",IF(Report[[#This Row],[FT]]=Report[[#This Row],[Score 4]],1,0))</f>
        <v>0</v>
      </c>
      <c r="X354" s="66">
        <f>IF(Report[[#This Row],[Résultat FT]]="",,IF(Report[[#This Row],[Résultat FT]]=Report[[#This Row],[Résultats]],(Suivi_Gain!$B$1*Report[[#This Row],[Cote FT]])-Suivi_Gain!$B$1,-Suivi_Gain!$B$1))</f>
        <v>-1</v>
      </c>
      <c r="Y354" s="94">
        <f>IF(Report[[#This Row],[FT]]="",,IF(Report[[#This Row],[FT]]=Report[[#This Row],[Score 1]],(Suivi_Gain!$G$1*Report[[#This Row],[Cote SE]])-Suivi_Gain!$G$1,-Suivi_Gain!$G$1))</f>
        <v>-1</v>
      </c>
      <c r="Z354" s="65">
        <f>IF(Report[[#This Row],[FT]]="",,IF(Report[[#This Row],[FT]]=Report[[#This Row],[Score 2]],Suivi_Gain!$G$1*Report[[#This Row],[Cote SE]],-Suivi_Gain!$G$1))</f>
        <v>7.6</v>
      </c>
      <c r="AA354" s="65">
        <f>IF(Report[[#This Row],[FT]]="",,IF(Report[[#This Row],[FT]]=Report[[#This Row],[Score 3]],Suivi_Gain!$G$1*Report[[#This Row],[Cote SE]],-Suivi_Gain!$G$1))</f>
        <v>-1</v>
      </c>
      <c r="AB354" s="65">
        <f>IF(Report[[#This Row],[FT]]="",,IF(Report[[#This Row],[FT]]=Report[[#This Row],[Score 4]],Suivi_Gain!$G$1*Report[[#This Row],[Cote SE]],-Suivi_Gain!$G$1))</f>
        <v>-1</v>
      </c>
      <c r="AC354" s="64" t="str">
        <f>IF(Report[[#This Row],[Résultats SE]]="Gagné",Report[[#This Row],[FT]],"")</f>
        <v>2-1</v>
      </c>
      <c r="AD354" s="64" t="str">
        <f>IF(AND(Report[[#This Row],[Résultats SE]]="Gagné",Report[[#This Row],[FT]]=Report[[#This Row],[Score 1]]),Report[[#This Row],[FT]],"")</f>
        <v/>
      </c>
      <c r="AE354" s="64" t="str">
        <f>IF(AND(Report[[#This Row],[Résultats SE]]="Gagné",Report[[#This Row],[FT]]=Report[[#This Row],[Score 2]]),Report[[#This Row],[FT]],"")</f>
        <v>2-1</v>
      </c>
      <c r="AF354" s="64" t="str">
        <f>IF(AND(Report[[#This Row],[Résultats SE]]="Gagné",Report[[#This Row],[FT]]=Report[[#This Row],[Score 3]]),Report[[#This Row],[FT]],"")</f>
        <v/>
      </c>
      <c r="AG354" s="64" t="str">
        <f>IF(AND(Report[[#This Row],[Résultats SE]]="Gagné",Report[[#This Row],[FT]]=Report[[#This Row],[Score 4]]),Report[[#This Row],[FT]],"")</f>
        <v/>
      </c>
    </row>
    <row r="355" spans="1:33" ht="20.100000000000001" customHeight="1" x14ac:dyDescent="0.25">
      <c r="A355" s="11">
        <v>43421</v>
      </c>
      <c r="B355" s="7" t="s">
        <v>81</v>
      </c>
      <c r="C355" s="7" t="s">
        <v>108</v>
      </c>
      <c r="D355" s="10" t="s">
        <v>674</v>
      </c>
      <c r="E355" s="10" t="s">
        <v>678</v>
      </c>
      <c r="F355" s="7" t="s">
        <v>833</v>
      </c>
      <c r="G355" s="8" t="s">
        <v>834</v>
      </c>
      <c r="H355" s="9" t="s">
        <v>830</v>
      </c>
      <c r="I355" s="9" t="s">
        <v>825</v>
      </c>
      <c r="J355" s="9" t="s">
        <v>826</v>
      </c>
      <c r="K355" s="9" t="s">
        <v>233</v>
      </c>
      <c r="L355" s="16">
        <v>3.65</v>
      </c>
      <c r="M355" s="16">
        <v>6.2</v>
      </c>
      <c r="N355" s="17" t="s">
        <v>834</v>
      </c>
      <c r="O355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355" s="18">
        <f>IF(Report[[#This Row],[FT]]="",,(LEFT(Report[[#This Row],[FT]],SEARCH("-",Report[[#This Row],[FT]])-1)*1))</f>
        <v>1</v>
      </c>
      <c r="Q355" s="22">
        <f>IF(Report[[#This Row],[FT]]="",,(RIGHT(Report[[#This Row],[FT]],SEARCH("-",Report[[#This Row],[FT]])-1)*1))</f>
        <v>1</v>
      </c>
      <c r="R355" s="18" t="str">
        <f>IF(Report[Résultat FT]="","",IF(Report[Résultat FT]=Report[Résultats],"Gagné","Perdu"))</f>
        <v>Gagné</v>
      </c>
      <c r="S355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355" s="53">
        <f>IF(Report[[#This Row],[FT]]="","",IF(Report[[#This Row],[FT]]=Report[[#This Row],[Score 1]],1,0))</f>
        <v>1</v>
      </c>
      <c r="U355" s="53">
        <f>IF(Report[[#This Row],[FT]]="","",IF(Report[ [#This Row],[FT] ]=Report[[#This Row],[Score 2]],1,0))</f>
        <v>0</v>
      </c>
      <c r="V355" s="53">
        <f>IF(Report[[#This Row],[FT]]="","",IF(Report[[#This Row],[FT]]=Report[[#This Row],[Score 3]],1,0))</f>
        <v>0</v>
      </c>
      <c r="W355" s="53">
        <f>IF(Report[[#This Row],[FT]]="","",IF(Report[[#This Row],[FT]]=Report[[#This Row],[Score 4]],1,0))</f>
        <v>0</v>
      </c>
      <c r="X355" s="67">
        <f>IF(Report[[#This Row],[Résultat FT]]="",,IF(Report[[#This Row],[Résultat FT]]=Report[[#This Row],[Résultats]],(Suivi_Gain!$B$1*Report[[#This Row],[Cote FT]])-Suivi_Gain!$B$1,-Suivi_Gain!$B$1))</f>
        <v>2.65</v>
      </c>
      <c r="Y355" s="94">
        <f>IF(Report[[#This Row],[FT]]="",,IF(Report[[#This Row],[FT]]=Report[[#This Row],[Score 1]],(Suivi_Gain!$G$1*Report[[#This Row],[Cote SE]])-Suivi_Gain!$G$1,-Suivi_Gain!$G$1))</f>
        <v>5.2</v>
      </c>
      <c r="Z355" s="65">
        <f>IF(Report[[#This Row],[FT]]="",,IF(Report[[#This Row],[FT]]=Report[[#This Row],[Score 2]],Suivi_Gain!$G$1*Report[[#This Row],[Cote SE]],-Suivi_Gain!$G$1))</f>
        <v>-1</v>
      </c>
      <c r="AA355" s="65">
        <f>IF(Report[[#This Row],[FT]]="",,IF(Report[[#This Row],[FT]]=Report[[#This Row],[Score 3]],Suivi_Gain!$G$1*Report[[#This Row],[Cote SE]],-Suivi_Gain!$G$1))</f>
        <v>-1</v>
      </c>
      <c r="AB355" s="65">
        <f>IF(Report[[#This Row],[FT]]="",,IF(Report[[#This Row],[FT]]=Report[[#This Row],[Score 4]],Suivi_Gain!$G$1*Report[[#This Row],[Cote SE]],-Suivi_Gain!$G$1))</f>
        <v>-1</v>
      </c>
      <c r="AC355" s="64" t="str">
        <f>IF(Report[[#This Row],[Résultats SE]]="Gagné",Report[[#This Row],[FT]],"")</f>
        <v>1-1</v>
      </c>
      <c r="AD355" s="64" t="str">
        <f>IF(AND(Report[[#This Row],[Résultats SE]]="Gagné",Report[[#This Row],[FT]]=Report[[#This Row],[Score 1]]),Report[[#This Row],[FT]],"")</f>
        <v>1-1</v>
      </c>
      <c r="AE355" s="64" t="str">
        <f>IF(AND(Report[[#This Row],[Résultats SE]]="Gagné",Report[[#This Row],[FT]]=Report[[#This Row],[Score 2]]),Report[[#This Row],[FT]],"")</f>
        <v/>
      </c>
      <c r="AF355" s="64" t="str">
        <f>IF(AND(Report[[#This Row],[Résultats SE]]="Gagné",Report[[#This Row],[FT]]=Report[[#This Row],[Score 3]]),Report[[#This Row],[FT]],"")</f>
        <v/>
      </c>
      <c r="AG355" s="64" t="str">
        <f>IF(AND(Report[[#This Row],[Résultats SE]]="Gagné",Report[[#This Row],[FT]]=Report[[#This Row],[Score 4]]),Report[[#This Row],[FT]],"")</f>
        <v/>
      </c>
    </row>
    <row r="356" spans="1:33" ht="20.100000000000001" customHeight="1" x14ac:dyDescent="0.25">
      <c r="A356" s="11">
        <v>43421</v>
      </c>
      <c r="B356" s="7" t="s">
        <v>81</v>
      </c>
      <c r="C356" s="7" t="s">
        <v>108</v>
      </c>
      <c r="D356" s="10" t="s">
        <v>675</v>
      </c>
      <c r="E356" s="10" t="s">
        <v>677</v>
      </c>
      <c r="F356" s="7" t="s">
        <v>840</v>
      </c>
      <c r="G356" s="8" t="s">
        <v>841</v>
      </c>
      <c r="H356" s="9" t="s">
        <v>839</v>
      </c>
      <c r="I356" s="9" t="s">
        <v>828</v>
      </c>
      <c r="J356" s="9" t="s">
        <v>827</v>
      </c>
      <c r="K356" s="9" t="s">
        <v>677</v>
      </c>
      <c r="L356" s="16" t="s">
        <v>850</v>
      </c>
      <c r="M356" s="16" t="s">
        <v>850</v>
      </c>
      <c r="N356" s="17" t="s">
        <v>832</v>
      </c>
      <c r="O356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Crusaders</v>
      </c>
      <c r="P356" s="18">
        <f>IF(Report[[#This Row],[FT]]="",,(LEFT(Report[[#This Row],[FT]],SEARCH("-",Report[[#This Row],[FT]])-1)*1))</f>
        <v>3</v>
      </c>
      <c r="Q356" s="22">
        <f>IF(Report[[#This Row],[FT]]="",,(RIGHT(Report[[#This Row],[FT]],SEARCH("-",Report[[#This Row],[FT]])-1)*1))</f>
        <v>0</v>
      </c>
      <c r="R356" s="18" t="str">
        <f>IF(Report[Résultat FT]="","",IF(Report[Résultat FT]=Report[Résultats],"Gagné","Perdu"))</f>
        <v>Perdu</v>
      </c>
      <c r="S356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356" s="53">
        <f>IF(Report[[#This Row],[FT]]="","",IF(Report[[#This Row],[FT]]=Report[[#This Row],[Score 1]],1,0))</f>
        <v>0</v>
      </c>
      <c r="U356" s="53">
        <f>IF(Report[[#This Row],[FT]]="","",IF(Report[ [#This Row],[FT] ]=Report[[#This Row],[Score 2]],1,0))</f>
        <v>0</v>
      </c>
      <c r="V356" s="53">
        <f>IF(Report[[#This Row],[FT]]="","",IF(Report[[#This Row],[FT]]=Report[[#This Row],[Score 3]],1,0))</f>
        <v>0</v>
      </c>
      <c r="W356" s="53">
        <f>IF(Report[[#This Row],[FT]]="","",IF(Report[[#This Row],[FT]]=Report[[#This Row],[Score 4]],1,0))</f>
        <v>0</v>
      </c>
      <c r="X356" s="67">
        <f>IF(Report[[#This Row],[Résultat FT]]="",,IF(Report[[#This Row],[Résultat FT]]=Report[[#This Row],[Résultats]],(Suivi_Gain!$B$1*Report[[#This Row],[Cote FT]])-Suivi_Gain!$B$1,-Suivi_Gain!$B$1))</f>
        <v>-1</v>
      </c>
      <c r="Y356" s="94">
        <f>IF(Report[[#This Row],[FT]]="",,IF(Report[[#This Row],[FT]]=Report[[#This Row],[Score 1]],(Suivi_Gain!$G$1*Report[[#This Row],[Cote SE]])-Suivi_Gain!$G$1,-Suivi_Gain!$G$1))</f>
        <v>-1</v>
      </c>
      <c r="Z356" s="65">
        <f>IF(Report[[#This Row],[FT]]="",,IF(Report[[#This Row],[FT]]=Report[[#This Row],[Score 2]],Suivi_Gain!$G$1*Report[[#This Row],[Cote SE]],-Suivi_Gain!$G$1))</f>
        <v>-1</v>
      </c>
      <c r="AA356" s="65">
        <f>IF(Report[[#This Row],[FT]]="",,IF(Report[[#This Row],[FT]]=Report[[#This Row],[Score 3]],Suivi_Gain!$G$1*Report[[#This Row],[Cote SE]],-Suivi_Gain!$G$1))</f>
        <v>-1</v>
      </c>
      <c r="AB356" s="65">
        <f>IF(Report[[#This Row],[FT]]="",,IF(Report[[#This Row],[FT]]=Report[[#This Row],[Score 4]],Suivi_Gain!$G$1*Report[[#This Row],[Cote SE]],-Suivi_Gain!$G$1))</f>
        <v>-1</v>
      </c>
      <c r="AC356" s="64" t="str">
        <f>IF(Report[[#This Row],[Résultats SE]]="Gagné",Report[[#This Row],[FT]],"")</f>
        <v/>
      </c>
      <c r="AD356" s="64" t="str">
        <f>IF(AND(Report[[#This Row],[Résultats SE]]="Gagné",Report[[#This Row],[FT]]=Report[[#This Row],[Score 1]]),Report[[#This Row],[FT]],"")</f>
        <v/>
      </c>
      <c r="AE356" s="64" t="str">
        <f>IF(AND(Report[[#This Row],[Résultats SE]]="Gagné",Report[[#This Row],[FT]]=Report[[#This Row],[Score 2]]),Report[[#This Row],[FT]],"")</f>
        <v/>
      </c>
      <c r="AF356" s="64" t="str">
        <f>IF(AND(Report[[#This Row],[Résultats SE]]="Gagné",Report[[#This Row],[FT]]=Report[[#This Row],[Score 3]]),Report[[#This Row],[FT]],"")</f>
        <v/>
      </c>
      <c r="AG356" s="64" t="str">
        <f>IF(AND(Report[[#This Row],[Résultats SE]]="Gagné",Report[[#This Row],[FT]]=Report[[#This Row],[Score 4]]),Report[[#This Row],[FT]],"")</f>
        <v/>
      </c>
    </row>
    <row r="357" spans="1:33" ht="20.100000000000001" customHeight="1" x14ac:dyDescent="0.25">
      <c r="A357" s="11">
        <v>43421</v>
      </c>
      <c r="B357" s="7" t="s">
        <v>81</v>
      </c>
      <c r="C357" s="7" t="s">
        <v>108</v>
      </c>
      <c r="D357" s="10" t="s">
        <v>681</v>
      </c>
      <c r="E357" s="10" t="s">
        <v>671</v>
      </c>
      <c r="F357" s="7" t="s">
        <v>824</v>
      </c>
      <c r="G357" s="8" t="s">
        <v>825</v>
      </c>
      <c r="H357" s="9" t="s">
        <v>826</v>
      </c>
      <c r="I357" s="9" t="s">
        <v>827</v>
      </c>
      <c r="J357" s="9" t="s">
        <v>828</v>
      </c>
      <c r="K357" s="9" t="s">
        <v>671</v>
      </c>
      <c r="L357" s="16" t="s">
        <v>850</v>
      </c>
      <c r="M357" s="16" t="s">
        <v>850</v>
      </c>
      <c r="N357" s="17" t="s">
        <v>831</v>
      </c>
      <c r="O357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Newry City</v>
      </c>
      <c r="P357" s="18">
        <f>IF(Report[[#This Row],[FT]]="",,(LEFT(Report[[#This Row],[FT]],SEARCH("-",Report[[#This Row],[FT]])-1)*1))</f>
        <v>2</v>
      </c>
      <c r="Q357" s="22">
        <f>IF(Report[[#This Row],[FT]]="",,(RIGHT(Report[[#This Row],[FT]],SEARCH("-",Report[[#This Row],[FT]])-1)*1))</f>
        <v>0</v>
      </c>
      <c r="R357" s="18" t="str">
        <f>IF(Report[Résultat FT]="","",IF(Report[Résultat FT]=Report[Résultats],"Gagné","Perdu"))</f>
        <v>Perdu</v>
      </c>
      <c r="S357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357" s="53">
        <f>IF(Report[[#This Row],[FT]]="","",IF(Report[[#This Row],[FT]]=Report[[#This Row],[Score 1]],1,0))</f>
        <v>0</v>
      </c>
      <c r="U357" s="53">
        <f>IF(Report[[#This Row],[FT]]="","",IF(Report[ [#This Row],[FT] ]=Report[[#This Row],[Score 2]],1,0))</f>
        <v>0</v>
      </c>
      <c r="V357" s="53">
        <f>IF(Report[[#This Row],[FT]]="","",IF(Report[[#This Row],[FT]]=Report[[#This Row],[Score 3]],1,0))</f>
        <v>0</v>
      </c>
      <c r="W357" s="53">
        <f>IF(Report[[#This Row],[FT]]="","",IF(Report[[#This Row],[FT]]=Report[[#This Row],[Score 4]],1,0))</f>
        <v>0</v>
      </c>
      <c r="X357" s="67">
        <f>IF(Report[[#This Row],[Résultat FT]]="",,IF(Report[[#This Row],[Résultat FT]]=Report[[#This Row],[Résultats]],(Suivi_Gain!$B$1*Report[[#This Row],[Cote FT]])-Suivi_Gain!$B$1,-Suivi_Gain!$B$1))</f>
        <v>-1</v>
      </c>
      <c r="Y357" s="94">
        <f>IF(Report[[#This Row],[FT]]="",,IF(Report[[#This Row],[FT]]=Report[[#This Row],[Score 1]],(Suivi_Gain!$G$1*Report[[#This Row],[Cote SE]])-Suivi_Gain!$G$1,-Suivi_Gain!$G$1))</f>
        <v>-1</v>
      </c>
      <c r="Z357" s="65">
        <f>IF(Report[[#This Row],[FT]]="",,IF(Report[[#This Row],[FT]]=Report[[#This Row],[Score 2]],Suivi_Gain!$G$1*Report[[#This Row],[Cote SE]],-Suivi_Gain!$G$1))</f>
        <v>-1</v>
      </c>
      <c r="AA357" s="65">
        <f>IF(Report[[#This Row],[FT]]="",,IF(Report[[#This Row],[FT]]=Report[[#This Row],[Score 3]],Suivi_Gain!$G$1*Report[[#This Row],[Cote SE]],-Suivi_Gain!$G$1))</f>
        <v>-1</v>
      </c>
      <c r="AB357" s="65">
        <f>IF(Report[[#This Row],[FT]]="",,IF(Report[[#This Row],[FT]]=Report[[#This Row],[Score 4]],Suivi_Gain!$G$1*Report[[#This Row],[Cote SE]],-Suivi_Gain!$G$1))</f>
        <v>-1</v>
      </c>
      <c r="AC357" s="64" t="str">
        <f>IF(Report[[#This Row],[Résultats SE]]="Gagné",Report[[#This Row],[FT]],"")</f>
        <v/>
      </c>
      <c r="AD357" s="64" t="str">
        <f>IF(AND(Report[[#This Row],[Résultats SE]]="Gagné",Report[[#This Row],[FT]]=Report[[#This Row],[Score 1]]),Report[[#This Row],[FT]],"")</f>
        <v/>
      </c>
      <c r="AE357" s="64" t="str">
        <f>IF(AND(Report[[#This Row],[Résultats SE]]="Gagné",Report[[#This Row],[FT]]=Report[[#This Row],[Score 2]]),Report[[#This Row],[FT]],"")</f>
        <v/>
      </c>
      <c r="AF357" s="64" t="str">
        <f>IF(AND(Report[[#This Row],[Résultats SE]]="Gagné",Report[[#This Row],[FT]]=Report[[#This Row],[Score 3]]),Report[[#This Row],[FT]],"")</f>
        <v/>
      </c>
      <c r="AG357" s="64" t="str">
        <f>IF(AND(Report[[#This Row],[Résultats SE]]="Gagné",Report[[#This Row],[FT]]=Report[[#This Row],[Score 4]]),Report[[#This Row],[FT]],"")</f>
        <v/>
      </c>
    </row>
    <row r="358" spans="1:33" ht="20.100000000000001" customHeight="1" x14ac:dyDescent="0.25">
      <c r="A358" s="11">
        <v>43421</v>
      </c>
      <c r="B358" s="7" t="s">
        <v>81</v>
      </c>
      <c r="C358" s="7" t="s">
        <v>108</v>
      </c>
      <c r="D358" s="10" t="s">
        <v>682</v>
      </c>
      <c r="E358" s="10" t="s">
        <v>676</v>
      </c>
      <c r="F358" s="7" t="s">
        <v>833</v>
      </c>
      <c r="G358" s="8" t="s">
        <v>834</v>
      </c>
      <c r="H358" s="9" t="s">
        <v>830</v>
      </c>
      <c r="I358" s="9" t="s">
        <v>825</v>
      </c>
      <c r="J358" s="9" t="s">
        <v>826</v>
      </c>
      <c r="K358" s="9" t="s">
        <v>233</v>
      </c>
      <c r="L358" s="16">
        <v>3.3</v>
      </c>
      <c r="M358" s="16">
        <v>5.6</v>
      </c>
      <c r="N358" s="17" t="s">
        <v>834</v>
      </c>
      <c r="O358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358" s="18">
        <f>IF(Report[[#This Row],[FT]]="",,(LEFT(Report[[#This Row],[FT]],SEARCH("-",Report[[#This Row],[FT]])-1)*1))</f>
        <v>1</v>
      </c>
      <c r="Q358" s="22">
        <f>IF(Report[[#This Row],[FT]]="",,(RIGHT(Report[[#This Row],[FT]],SEARCH("-",Report[[#This Row],[FT]])-1)*1))</f>
        <v>1</v>
      </c>
      <c r="R358" s="18" t="str">
        <f>IF(Report[Résultat FT]="","",IF(Report[Résultat FT]=Report[Résultats],"Gagné","Perdu"))</f>
        <v>Gagné</v>
      </c>
      <c r="S358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358" s="53">
        <f>IF(Report[[#This Row],[FT]]="","",IF(Report[[#This Row],[FT]]=Report[[#This Row],[Score 1]],1,0))</f>
        <v>1</v>
      </c>
      <c r="U358" s="53">
        <f>IF(Report[[#This Row],[FT]]="","",IF(Report[ [#This Row],[FT] ]=Report[[#This Row],[Score 2]],1,0))</f>
        <v>0</v>
      </c>
      <c r="V358" s="53">
        <f>IF(Report[[#This Row],[FT]]="","",IF(Report[[#This Row],[FT]]=Report[[#This Row],[Score 3]],1,0))</f>
        <v>0</v>
      </c>
      <c r="W358" s="53">
        <f>IF(Report[[#This Row],[FT]]="","",IF(Report[[#This Row],[FT]]=Report[[#This Row],[Score 4]],1,0))</f>
        <v>0</v>
      </c>
      <c r="X358" s="67">
        <f>IF(Report[[#This Row],[Résultat FT]]="",,IF(Report[[#This Row],[Résultat FT]]=Report[[#This Row],[Résultats]],(Suivi_Gain!$B$1*Report[[#This Row],[Cote FT]])-Suivi_Gain!$B$1,-Suivi_Gain!$B$1))</f>
        <v>2.2999999999999998</v>
      </c>
      <c r="Y358" s="94">
        <f>IF(Report[[#This Row],[FT]]="",,IF(Report[[#This Row],[FT]]=Report[[#This Row],[Score 1]],(Suivi_Gain!$G$1*Report[[#This Row],[Cote SE]])-Suivi_Gain!$G$1,-Suivi_Gain!$G$1))</f>
        <v>4.5999999999999996</v>
      </c>
      <c r="Z358" s="65">
        <f>IF(Report[[#This Row],[FT]]="",,IF(Report[[#This Row],[FT]]=Report[[#This Row],[Score 2]],Suivi_Gain!$G$1*Report[[#This Row],[Cote SE]],-Suivi_Gain!$G$1))</f>
        <v>-1</v>
      </c>
      <c r="AA358" s="65">
        <f>IF(Report[[#This Row],[FT]]="",,IF(Report[[#This Row],[FT]]=Report[[#This Row],[Score 3]],Suivi_Gain!$G$1*Report[[#This Row],[Cote SE]],-Suivi_Gain!$G$1))</f>
        <v>-1</v>
      </c>
      <c r="AB358" s="65">
        <f>IF(Report[[#This Row],[FT]]="",,IF(Report[[#This Row],[FT]]=Report[[#This Row],[Score 4]],Suivi_Gain!$G$1*Report[[#This Row],[Cote SE]],-Suivi_Gain!$G$1))</f>
        <v>-1</v>
      </c>
      <c r="AC358" s="64" t="str">
        <f>IF(Report[[#This Row],[Résultats SE]]="Gagné",Report[[#This Row],[FT]],"")</f>
        <v>1-1</v>
      </c>
      <c r="AD358" s="64" t="str">
        <f>IF(AND(Report[[#This Row],[Résultats SE]]="Gagné",Report[[#This Row],[FT]]=Report[[#This Row],[Score 1]]),Report[[#This Row],[FT]],"")</f>
        <v>1-1</v>
      </c>
      <c r="AE358" s="64" t="str">
        <f>IF(AND(Report[[#This Row],[Résultats SE]]="Gagné",Report[[#This Row],[FT]]=Report[[#This Row],[Score 2]]),Report[[#This Row],[FT]],"")</f>
        <v/>
      </c>
      <c r="AF358" s="64" t="str">
        <f>IF(AND(Report[[#This Row],[Résultats SE]]="Gagné",Report[[#This Row],[FT]]=Report[[#This Row],[Score 3]]),Report[[#This Row],[FT]],"")</f>
        <v/>
      </c>
      <c r="AG358" s="64" t="str">
        <f>IF(AND(Report[[#This Row],[Résultats SE]]="Gagné",Report[[#This Row],[FT]]=Report[[#This Row],[Score 4]]),Report[[#This Row],[FT]],"")</f>
        <v/>
      </c>
    </row>
    <row r="359" spans="1:33" ht="20.100000000000001" customHeight="1" x14ac:dyDescent="0.25">
      <c r="A359" s="11">
        <v>43421</v>
      </c>
      <c r="B359" s="7" t="s">
        <v>86</v>
      </c>
      <c r="C359" s="7" t="s">
        <v>119</v>
      </c>
      <c r="D359" s="10" t="s">
        <v>274</v>
      </c>
      <c r="E359" s="10" t="s">
        <v>273</v>
      </c>
      <c r="F359" s="7" t="s">
        <v>842</v>
      </c>
      <c r="G359" s="8" t="s">
        <v>838</v>
      </c>
      <c r="H359" s="9" t="s">
        <v>831</v>
      </c>
      <c r="I359" s="9" t="s">
        <v>834</v>
      </c>
      <c r="J359" s="9" t="s">
        <v>830</v>
      </c>
      <c r="K359" s="9" t="s">
        <v>274</v>
      </c>
      <c r="L359" s="16" t="s">
        <v>850</v>
      </c>
      <c r="M359" s="16" t="s">
        <v>850</v>
      </c>
      <c r="N359" s="17" t="s">
        <v>851</v>
      </c>
      <c r="O359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Aberystwyth</v>
      </c>
      <c r="P359" s="18">
        <f>IF(Report[[#This Row],[FT]]="",,(LEFT(Report[[#This Row],[FT]],SEARCH("-",Report[[#This Row],[FT]])-1)*1))</f>
        <v>2</v>
      </c>
      <c r="Q359" s="22">
        <f>IF(Report[[#This Row],[FT]]="",,(RIGHT(Report[[#This Row],[FT]],SEARCH("-",Report[[#This Row],[FT]])-1)*1))</f>
        <v>3</v>
      </c>
      <c r="R359" s="18" t="str">
        <f>IF(Report[Résultat FT]="","",IF(Report[Résultat FT]=Report[Résultats],"Gagné","Perdu"))</f>
        <v>Perdu</v>
      </c>
      <c r="S359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359" s="53">
        <f>IF(Report[[#This Row],[FT]]="","",IF(Report[[#This Row],[FT]]=Report[[#This Row],[Score 1]],1,0))</f>
        <v>0</v>
      </c>
      <c r="U359" s="53">
        <f>IF(Report[[#This Row],[FT]]="","",IF(Report[ [#This Row],[FT] ]=Report[[#This Row],[Score 2]],1,0))</f>
        <v>0</v>
      </c>
      <c r="V359" s="53">
        <f>IF(Report[[#This Row],[FT]]="","",IF(Report[[#This Row],[FT]]=Report[[#This Row],[Score 3]],1,0))</f>
        <v>0</v>
      </c>
      <c r="W359" s="53">
        <f>IF(Report[[#This Row],[FT]]="","",IF(Report[[#This Row],[FT]]=Report[[#This Row],[Score 4]],1,0))</f>
        <v>0</v>
      </c>
      <c r="X359" s="67">
        <f>IF(Report[[#This Row],[Résultat FT]]="",,IF(Report[[#This Row],[Résultat FT]]=Report[[#This Row],[Résultats]],(Suivi_Gain!$B$1*Report[[#This Row],[Cote FT]])-Suivi_Gain!$B$1,-Suivi_Gain!$B$1))</f>
        <v>-1</v>
      </c>
      <c r="Y359" s="94">
        <f>IF(Report[[#This Row],[FT]]="",,IF(Report[[#This Row],[FT]]=Report[[#This Row],[Score 1]],(Suivi_Gain!$G$1*Report[[#This Row],[Cote SE]])-Suivi_Gain!$G$1,-Suivi_Gain!$G$1))</f>
        <v>-1</v>
      </c>
      <c r="Z359" s="65">
        <f>IF(Report[[#This Row],[FT]]="",,IF(Report[[#This Row],[FT]]=Report[[#This Row],[Score 2]],Suivi_Gain!$G$1*Report[[#This Row],[Cote SE]],-Suivi_Gain!$G$1))</f>
        <v>-1</v>
      </c>
      <c r="AA359" s="65">
        <f>IF(Report[[#This Row],[FT]]="",,IF(Report[[#This Row],[FT]]=Report[[#This Row],[Score 3]],Suivi_Gain!$G$1*Report[[#This Row],[Cote SE]],-Suivi_Gain!$G$1))</f>
        <v>-1</v>
      </c>
      <c r="AB359" s="65">
        <f>IF(Report[[#This Row],[FT]]="",,IF(Report[[#This Row],[FT]]=Report[[#This Row],[Score 4]],Suivi_Gain!$G$1*Report[[#This Row],[Cote SE]],-Suivi_Gain!$G$1))</f>
        <v>-1</v>
      </c>
      <c r="AC359" s="64" t="str">
        <f>IF(Report[[#This Row],[Résultats SE]]="Gagné",Report[[#This Row],[FT]],"")</f>
        <v/>
      </c>
      <c r="AD359" s="64" t="str">
        <f>IF(AND(Report[[#This Row],[Résultats SE]]="Gagné",Report[[#This Row],[FT]]=Report[[#This Row],[Score 1]]),Report[[#This Row],[FT]],"")</f>
        <v/>
      </c>
      <c r="AE359" s="64" t="str">
        <f>IF(AND(Report[[#This Row],[Résultats SE]]="Gagné",Report[[#This Row],[FT]]=Report[[#This Row],[Score 2]]),Report[[#This Row],[FT]],"")</f>
        <v/>
      </c>
      <c r="AF359" s="64" t="str">
        <f>IF(AND(Report[[#This Row],[Résultats SE]]="Gagné",Report[[#This Row],[FT]]=Report[[#This Row],[Score 3]]),Report[[#This Row],[FT]],"")</f>
        <v/>
      </c>
      <c r="AG359" s="64" t="str">
        <f>IF(AND(Report[[#This Row],[Résultats SE]]="Gagné",Report[[#This Row],[FT]]=Report[[#This Row],[Score 4]]),Report[[#This Row],[FT]],"")</f>
        <v/>
      </c>
    </row>
    <row r="360" spans="1:33" ht="20.100000000000001" customHeight="1" x14ac:dyDescent="0.25">
      <c r="A360" s="11">
        <v>43421</v>
      </c>
      <c r="B360" s="7" t="s">
        <v>86</v>
      </c>
      <c r="C360" s="7" t="s">
        <v>119</v>
      </c>
      <c r="D360" s="10" t="s">
        <v>275</v>
      </c>
      <c r="E360" s="10" t="s">
        <v>284</v>
      </c>
      <c r="F360" s="7" t="s">
        <v>835</v>
      </c>
      <c r="G360" s="8" t="s">
        <v>827</v>
      </c>
      <c r="H360" s="9" t="s">
        <v>825</v>
      </c>
      <c r="I360" s="9" t="s">
        <v>828</v>
      </c>
      <c r="J360" s="9" t="s">
        <v>826</v>
      </c>
      <c r="K360" s="9" t="s">
        <v>284</v>
      </c>
      <c r="L360" s="16">
        <v>1.47</v>
      </c>
      <c r="M360" s="16">
        <v>5.8</v>
      </c>
      <c r="N360" s="17" t="s">
        <v>827</v>
      </c>
      <c r="O360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TNS</v>
      </c>
      <c r="P360" s="18">
        <f>IF(Report[[#This Row],[FT]]="",,(LEFT(Report[[#This Row],[FT]],SEARCH("-",Report[[#This Row],[FT]])-1)*1))</f>
        <v>0</v>
      </c>
      <c r="Q360" s="22">
        <f>IF(Report[[#This Row],[FT]]="",,(RIGHT(Report[[#This Row],[FT]],SEARCH("-",Report[[#This Row],[FT]])-1)*1))</f>
        <v>2</v>
      </c>
      <c r="R360" s="18" t="str">
        <f>IF(Report[Résultat FT]="","",IF(Report[Résultat FT]=Report[Résultats],"Gagné","Perdu"))</f>
        <v>Gagné</v>
      </c>
      <c r="S360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Gagné</v>
      </c>
      <c r="T360" s="53">
        <f>IF(Report[[#This Row],[FT]]="","",IF(Report[[#This Row],[FT]]=Report[[#This Row],[Score 1]],1,0))</f>
        <v>1</v>
      </c>
      <c r="U360" s="53">
        <f>IF(Report[[#This Row],[FT]]="","",IF(Report[ [#This Row],[FT] ]=Report[[#This Row],[Score 2]],1,0))</f>
        <v>0</v>
      </c>
      <c r="V360" s="53">
        <f>IF(Report[[#This Row],[FT]]="","",IF(Report[[#This Row],[FT]]=Report[[#This Row],[Score 3]],1,0))</f>
        <v>0</v>
      </c>
      <c r="W360" s="53">
        <f>IF(Report[[#This Row],[FT]]="","",IF(Report[[#This Row],[FT]]=Report[[#This Row],[Score 4]],1,0))</f>
        <v>0</v>
      </c>
      <c r="X360" s="67">
        <f>IF(Report[[#This Row],[Résultat FT]]="",,IF(Report[[#This Row],[Résultat FT]]=Report[[#This Row],[Résultats]],(Suivi_Gain!$B$1*Report[[#This Row],[Cote FT]])-Suivi_Gain!$B$1,-Suivi_Gain!$B$1))</f>
        <v>0.47</v>
      </c>
      <c r="Y360" s="94">
        <f>IF(Report[[#This Row],[FT]]="",,IF(Report[[#This Row],[FT]]=Report[[#This Row],[Score 1]],(Suivi_Gain!$G$1*Report[[#This Row],[Cote SE]])-Suivi_Gain!$G$1,-Suivi_Gain!$G$1))</f>
        <v>4.8</v>
      </c>
      <c r="Z360" s="65">
        <f>IF(Report[[#This Row],[FT]]="",,IF(Report[[#This Row],[FT]]=Report[[#This Row],[Score 2]],Suivi_Gain!$G$1*Report[[#This Row],[Cote SE]],-Suivi_Gain!$G$1))</f>
        <v>-1</v>
      </c>
      <c r="AA360" s="65">
        <f>IF(Report[[#This Row],[FT]]="",,IF(Report[[#This Row],[FT]]=Report[[#This Row],[Score 3]],Suivi_Gain!$G$1*Report[[#This Row],[Cote SE]],-Suivi_Gain!$G$1))</f>
        <v>-1</v>
      </c>
      <c r="AB360" s="65">
        <f>IF(Report[[#This Row],[FT]]="",,IF(Report[[#This Row],[FT]]=Report[[#This Row],[Score 4]],Suivi_Gain!$G$1*Report[[#This Row],[Cote SE]],-Suivi_Gain!$G$1))</f>
        <v>-1</v>
      </c>
      <c r="AC360" s="64" t="str">
        <f>IF(Report[[#This Row],[Résultats SE]]="Gagné",Report[[#This Row],[FT]],"")</f>
        <v>0-2</v>
      </c>
      <c r="AD360" s="64" t="str">
        <f>IF(AND(Report[[#This Row],[Résultats SE]]="Gagné",Report[[#This Row],[FT]]=Report[[#This Row],[Score 1]]),Report[[#This Row],[FT]],"")</f>
        <v>0-2</v>
      </c>
      <c r="AE360" s="64" t="str">
        <f>IF(AND(Report[[#This Row],[Résultats SE]]="Gagné",Report[[#This Row],[FT]]=Report[[#This Row],[Score 2]]),Report[[#This Row],[FT]],"")</f>
        <v/>
      </c>
      <c r="AF360" s="64" t="str">
        <f>IF(AND(Report[[#This Row],[Résultats SE]]="Gagné",Report[[#This Row],[FT]]=Report[[#This Row],[Score 3]]),Report[[#This Row],[FT]],"")</f>
        <v/>
      </c>
      <c r="AG360" s="64" t="str">
        <f>IF(AND(Report[[#This Row],[Résultats SE]]="Gagné",Report[[#This Row],[FT]]=Report[[#This Row],[Score 4]]),Report[[#This Row],[FT]],"")</f>
        <v/>
      </c>
    </row>
    <row r="361" spans="1:33" ht="20.100000000000001" customHeight="1" x14ac:dyDescent="0.25">
      <c r="A361" s="11">
        <v>43421</v>
      </c>
      <c r="B361" s="7" t="s">
        <v>86</v>
      </c>
      <c r="C361" s="7" t="s">
        <v>119</v>
      </c>
      <c r="D361" s="10" t="s">
        <v>281</v>
      </c>
      <c r="E361" s="10" t="s">
        <v>278</v>
      </c>
      <c r="F361" s="7" t="s">
        <v>833</v>
      </c>
      <c r="G361" s="8" t="s">
        <v>834</v>
      </c>
      <c r="H361" s="9" t="s">
        <v>830</v>
      </c>
      <c r="I361" s="9" t="s">
        <v>825</v>
      </c>
      <c r="J361" s="9" t="s">
        <v>826</v>
      </c>
      <c r="K361" s="9" t="s">
        <v>233</v>
      </c>
      <c r="L361" s="16" t="s">
        <v>850</v>
      </c>
      <c r="M361" s="16" t="s">
        <v>850</v>
      </c>
      <c r="N361" s="17" t="s">
        <v>839</v>
      </c>
      <c r="O361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Carmarthen</v>
      </c>
      <c r="P361" s="18">
        <f>IF(Report[[#This Row],[FT]]="",,(LEFT(Report[[#This Row],[FT]],SEARCH("-",Report[[#This Row],[FT]])-1)*1))</f>
        <v>1</v>
      </c>
      <c r="Q361" s="22">
        <f>IF(Report[[#This Row],[FT]]="",,(RIGHT(Report[[#This Row],[FT]],SEARCH("-",Report[[#This Row],[FT]])-1)*1))</f>
        <v>2</v>
      </c>
      <c r="R361" s="18" t="str">
        <f>IF(Report[Résultat FT]="","",IF(Report[Résultat FT]=Report[Résultats],"Gagné","Perdu"))</f>
        <v>Perdu</v>
      </c>
      <c r="S361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361" s="53">
        <f>IF(Report[[#This Row],[FT]]="","",IF(Report[[#This Row],[FT]]=Report[[#This Row],[Score 1]],1,0))</f>
        <v>0</v>
      </c>
      <c r="U361" s="53">
        <f>IF(Report[[#This Row],[FT]]="","",IF(Report[ [#This Row],[FT] ]=Report[[#This Row],[Score 2]],1,0))</f>
        <v>0</v>
      </c>
      <c r="V361" s="53">
        <f>IF(Report[[#This Row],[FT]]="","",IF(Report[[#This Row],[FT]]=Report[[#This Row],[Score 3]],1,0))</f>
        <v>0</v>
      </c>
      <c r="W361" s="53">
        <f>IF(Report[[#This Row],[FT]]="","",IF(Report[[#This Row],[FT]]=Report[[#This Row],[Score 4]],1,0))</f>
        <v>0</v>
      </c>
      <c r="X361" s="67">
        <f>IF(Report[[#This Row],[Résultat FT]]="",,IF(Report[[#This Row],[Résultat FT]]=Report[[#This Row],[Résultats]],(Suivi_Gain!$B$1*Report[[#This Row],[Cote FT]])-Suivi_Gain!$B$1,-Suivi_Gain!$B$1))</f>
        <v>-1</v>
      </c>
      <c r="Y361" s="94">
        <f>IF(Report[[#This Row],[FT]]="",,IF(Report[[#This Row],[FT]]=Report[[#This Row],[Score 1]],(Suivi_Gain!$G$1*Report[[#This Row],[Cote SE]])-Suivi_Gain!$G$1,-Suivi_Gain!$G$1))</f>
        <v>-1</v>
      </c>
      <c r="Z361" s="65">
        <f>IF(Report[[#This Row],[FT]]="",,IF(Report[[#This Row],[FT]]=Report[[#This Row],[Score 2]],Suivi_Gain!$G$1*Report[[#This Row],[Cote SE]],-Suivi_Gain!$G$1))</f>
        <v>-1</v>
      </c>
      <c r="AA361" s="65">
        <f>IF(Report[[#This Row],[FT]]="",,IF(Report[[#This Row],[FT]]=Report[[#This Row],[Score 3]],Suivi_Gain!$G$1*Report[[#This Row],[Cote SE]],-Suivi_Gain!$G$1))</f>
        <v>-1</v>
      </c>
      <c r="AB361" s="65">
        <f>IF(Report[[#This Row],[FT]]="",,IF(Report[[#This Row],[FT]]=Report[[#This Row],[Score 4]],Suivi_Gain!$G$1*Report[[#This Row],[Cote SE]],-Suivi_Gain!$G$1))</f>
        <v>-1</v>
      </c>
      <c r="AC361" s="64" t="str">
        <f>IF(Report[[#This Row],[Résultats SE]]="Gagné",Report[[#This Row],[FT]],"")</f>
        <v/>
      </c>
      <c r="AD361" s="64" t="str">
        <f>IF(AND(Report[[#This Row],[Résultats SE]]="Gagné",Report[[#This Row],[FT]]=Report[[#This Row],[Score 1]]),Report[[#This Row],[FT]],"")</f>
        <v/>
      </c>
      <c r="AE361" s="64" t="str">
        <f>IF(AND(Report[[#This Row],[Résultats SE]]="Gagné",Report[[#This Row],[FT]]=Report[[#This Row],[Score 2]]),Report[[#This Row],[FT]],"")</f>
        <v/>
      </c>
      <c r="AF361" s="64" t="str">
        <f>IF(AND(Report[[#This Row],[Résultats SE]]="Gagné",Report[[#This Row],[FT]]=Report[[#This Row],[Score 3]]),Report[[#This Row],[FT]],"")</f>
        <v/>
      </c>
      <c r="AG361" s="64" t="str">
        <f>IF(AND(Report[[#This Row],[Résultats SE]]="Gagné",Report[[#This Row],[FT]]=Report[[#This Row],[Score 4]]),Report[[#This Row],[FT]],"")</f>
        <v/>
      </c>
    </row>
    <row r="362" spans="1:33" ht="20.100000000000001" customHeight="1" x14ac:dyDescent="0.25">
      <c r="A362" s="11">
        <v>43421</v>
      </c>
      <c r="B362" s="7" t="s">
        <v>86</v>
      </c>
      <c r="C362" s="7" t="s">
        <v>119</v>
      </c>
      <c r="D362" s="10" t="s">
        <v>282</v>
      </c>
      <c r="E362" s="10" t="s">
        <v>280</v>
      </c>
      <c r="F362" s="7" t="s">
        <v>840</v>
      </c>
      <c r="G362" s="8" t="s">
        <v>841</v>
      </c>
      <c r="H362" s="9" t="s">
        <v>839</v>
      </c>
      <c r="I362" s="9" t="s">
        <v>828</v>
      </c>
      <c r="J362" s="9" t="s">
        <v>827</v>
      </c>
      <c r="K362" s="9" t="s">
        <v>280</v>
      </c>
      <c r="L362" s="16" t="s">
        <v>850</v>
      </c>
      <c r="M362" s="16" t="s">
        <v>850</v>
      </c>
      <c r="N362" s="17" t="s">
        <v>831</v>
      </c>
      <c r="O362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Llanelli</v>
      </c>
      <c r="P362" s="18">
        <f>IF(Report[[#This Row],[FT]]="",,(LEFT(Report[[#This Row],[FT]],SEARCH("-",Report[[#This Row],[FT]])-1)*1))</f>
        <v>2</v>
      </c>
      <c r="Q362" s="22">
        <f>IF(Report[[#This Row],[FT]]="",,(RIGHT(Report[[#This Row],[FT]],SEARCH("-",Report[[#This Row],[FT]])-1)*1))</f>
        <v>0</v>
      </c>
      <c r="R362" s="18" t="str">
        <f>IF(Report[Résultat FT]="","",IF(Report[Résultat FT]=Report[Résultats],"Gagné","Perdu"))</f>
        <v>Perdu</v>
      </c>
      <c r="S362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362" s="53">
        <f>IF(Report[[#This Row],[FT]]="","",IF(Report[[#This Row],[FT]]=Report[[#This Row],[Score 1]],1,0))</f>
        <v>0</v>
      </c>
      <c r="U362" s="53">
        <f>IF(Report[[#This Row],[FT]]="","",IF(Report[ [#This Row],[FT] ]=Report[[#This Row],[Score 2]],1,0))</f>
        <v>0</v>
      </c>
      <c r="V362" s="53">
        <f>IF(Report[[#This Row],[FT]]="","",IF(Report[[#This Row],[FT]]=Report[[#This Row],[Score 3]],1,0))</f>
        <v>0</v>
      </c>
      <c r="W362" s="53">
        <f>IF(Report[[#This Row],[FT]]="","",IF(Report[[#This Row],[FT]]=Report[[#This Row],[Score 4]],1,0))</f>
        <v>0</v>
      </c>
      <c r="X362" s="67">
        <f>IF(Report[[#This Row],[Résultat FT]]="",,IF(Report[[#This Row],[Résultat FT]]=Report[[#This Row],[Résultats]],(Suivi_Gain!$B$1*Report[[#This Row],[Cote FT]])-Suivi_Gain!$B$1,-Suivi_Gain!$B$1))</f>
        <v>-1</v>
      </c>
      <c r="Y362" s="94">
        <f>IF(Report[[#This Row],[FT]]="",,IF(Report[[#This Row],[FT]]=Report[[#This Row],[Score 1]],(Suivi_Gain!$G$1*Report[[#This Row],[Cote SE]])-Suivi_Gain!$G$1,-Suivi_Gain!$G$1))</f>
        <v>-1</v>
      </c>
      <c r="Z362" s="65">
        <f>IF(Report[[#This Row],[FT]]="",,IF(Report[[#This Row],[FT]]=Report[[#This Row],[Score 2]],Suivi_Gain!$G$1*Report[[#This Row],[Cote SE]],-Suivi_Gain!$G$1))</f>
        <v>-1</v>
      </c>
      <c r="AA362" s="65">
        <f>IF(Report[[#This Row],[FT]]="",,IF(Report[[#This Row],[FT]]=Report[[#This Row],[Score 3]],Suivi_Gain!$G$1*Report[[#This Row],[Cote SE]],-Suivi_Gain!$G$1))</f>
        <v>-1</v>
      </c>
      <c r="AB362" s="65">
        <f>IF(Report[[#This Row],[FT]]="",,IF(Report[[#This Row],[FT]]=Report[[#This Row],[Score 4]],Suivi_Gain!$G$1*Report[[#This Row],[Cote SE]],-Suivi_Gain!$G$1))</f>
        <v>-1</v>
      </c>
      <c r="AC362" s="64" t="str">
        <f>IF(Report[[#This Row],[Résultats SE]]="Gagné",Report[[#This Row],[FT]],"")</f>
        <v/>
      </c>
      <c r="AD362" s="64" t="str">
        <f>IF(AND(Report[[#This Row],[Résultats SE]]="Gagné",Report[[#This Row],[FT]]=Report[[#This Row],[Score 1]]),Report[[#This Row],[FT]],"")</f>
        <v/>
      </c>
      <c r="AE362" s="64" t="str">
        <f>IF(AND(Report[[#This Row],[Résultats SE]]="Gagné",Report[[#This Row],[FT]]=Report[[#This Row],[Score 2]]),Report[[#This Row],[FT]],"")</f>
        <v/>
      </c>
      <c r="AF362" s="64" t="str">
        <f>IF(AND(Report[[#This Row],[Résultats SE]]="Gagné",Report[[#This Row],[FT]]=Report[[#This Row],[Score 3]]),Report[[#This Row],[FT]],"")</f>
        <v/>
      </c>
      <c r="AG362" s="64" t="str">
        <f>IF(AND(Report[[#This Row],[Résultats SE]]="Gagné",Report[[#This Row],[FT]]=Report[[#This Row],[Score 4]]),Report[[#This Row],[FT]],"")</f>
        <v/>
      </c>
    </row>
    <row r="363" spans="1:33" ht="20.100000000000001" customHeight="1" x14ac:dyDescent="0.25">
      <c r="A363" s="11">
        <v>43421</v>
      </c>
      <c r="B363" s="7" t="s">
        <v>86</v>
      </c>
      <c r="C363" s="7" t="s">
        <v>119</v>
      </c>
      <c r="D363" s="10" t="s">
        <v>276</v>
      </c>
      <c r="E363" s="10" t="s">
        <v>277</v>
      </c>
      <c r="F363" s="7" t="s">
        <v>833</v>
      </c>
      <c r="G363" s="8" t="s">
        <v>834</v>
      </c>
      <c r="H363" s="9" t="s">
        <v>830</v>
      </c>
      <c r="I363" s="9" t="s">
        <v>825</v>
      </c>
      <c r="J363" s="9" t="s">
        <v>826</v>
      </c>
      <c r="K363" s="9" t="s">
        <v>233</v>
      </c>
      <c r="L363" s="16" t="s">
        <v>850</v>
      </c>
      <c r="M363" s="16" t="s">
        <v>850</v>
      </c>
      <c r="N363" s="17" t="s">
        <v>831</v>
      </c>
      <c r="O363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Caernarfon</v>
      </c>
      <c r="P363" s="18">
        <f>IF(Report[[#This Row],[FT]]="",,(LEFT(Report[[#This Row],[FT]],SEARCH("-",Report[[#This Row],[FT]])-1)*1))</f>
        <v>2</v>
      </c>
      <c r="Q363" s="22">
        <f>IF(Report[[#This Row],[FT]]="",,(RIGHT(Report[[#This Row],[FT]],SEARCH("-",Report[[#This Row],[FT]])-1)*1))</f>
        <v>0</v>
      </c>
      <c r="R363" s="18" t="str">
        <f>IF(Report[Résultat FT]="","",IF(Report[Résultat FT]=Report[Résultats],"Gagné","Perdu"))</f>
        <v>Perdu</v>
      </c>
      <c r="S363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363" s="53">
        <f>IF(Report[[#This Row],[FT]]="","",IF(Report[[#This Row],[FT]]=Report[[#This Row],[Score 1]],1,0))</f>
        <v>0</v>
      </c>
      <c r="U363" s="53">
        <f>IF(Report[[#This Row],[FT]]="","",IF(Report[ [#This Row],[FT] ]=Report[[#This Row],[Score 2]],1,0))</f>
        <v>0</v>
      </c>
      <c r="V363" s="53">
        <f>IF(Report[[#This Row],[FT]]="","",IF(Report[[#This Row],[FT]]=Report[[#This Row],[Score 3]],1,0))</f>
        <v>0</v>
      </c>
      <c r="W363" s="53">
        <f>IF(Report[[#This Row],[FT]]="","",IF(Report[[#This Row],[FT]]=Report[[#This Row],[Score 4]],1,0))</f>
        <v>0</v>
      </c>
      <c r="X363" s="67">
        <f>IF(Report[[#This Row],[Résultat FT]]="",,IF(Report[[#This Row],[Résultat FT]]=Report[[#This Row],[Résultats]],(Suivi_Gain!$B$1*Report[[#This Row],[Cote FT]])-Suivi_Gain!$B$1,-Suivi_Gain!$B$1))</f>
        <v>-1</v>
      </c>
      <c r="Y363" s="94">
        <f>IF(Report[[#This Row],[FT]]="",,IF(Report[[#This Row],[FT]]=Report[[#This Row],[Score 1]],(Suivi_Gain!$G$1*Report[[#This Row],[Cote SE]])-Suivi_Gain!$G$1,-Suivi_Gain!$G$1))</f>
        <v>-1</v>
      </c>
      <c r="Z363" s="65">
        <f>IF(Report[[#This Row],[FT]]="",,IF(Report[[#This Row],[FT]]=Report[[#This Row],[Score 2]],Suivi_Gain!$G$1*Report[[#This Row],[Cote SE]],-Suivi_Gain!$G$1))</f>
        <v>-1</v>
      </c>
      <c r="AA363" s="65">
        <f>IF(Report[[#This Row],[FT]]="",,IF(Report[[#This Row],[FT]]=Report[[#This Row],[Score 3]],Suivi_Gain!$G$1*Report[[#This Row],[Cote SE]],-Suivi_Gain!$G$1))</f>
        <v>-1</v>
      </c>
      <c r="AB363" s="65">
        <f>IF(Report[[#This Row],[FT]]="",,IF(Report[[#This Row],[FT]]=Report[[#This Row],[Score 4]],Suivi_Gain!$G$1*Report[[#This Row],[Cote SE]],-Suivi_Gain!$G$1))</f>
        <v>-1</v>
      </c>
      <c r="AC363" s="64" t="str">
        <f>IF(Report[[#This Row],[Résultats SE]]="Gagné",Report[[#This Row],[FT]],"")</f>
        <v/>
      </c>
      <c r="AD363" s="64" t="str">
        <f>IF(AND(Report[[#This Row],[Résultats SE]]="Gagné",Report[[#This Row],[FT]]=Report[[#This Row],[Score 1]]),Report[[#This Row],[FT]],"")</f>
        <v/>
      </c>
      <c r="AE363" s="64" t="str">
        <f>IF(AND(Report[[#This Row],[Résultats SE]]="Gagné",Report[[#This Row],[FT]]=Report[[#This Row],[Score 2]]),Report[[#This Row],[FT]],"")</f>
        <v/>
      </c>
      <c r="AF363" s="64" t="str">
        <f>IF(AND(Report[[#This Row],[Résultats SE]]="Gagné",Report[[#This Row],[FT]]=Report[[#This Row],[Score 3]]),Report[[#This Row],[FT]],"")</f>
        <v/>
      </c>
      <c r="AG363" s="64" t="str">
        <f>IF(AND(Report[[#This Row],[Résultats SE]]="Gagné",Report[[#This Row],[FT]]=Report[[#This Row],[Score 4]]),Report[[#This Row],[FT]],"")</f>
        <v/>
      </c>
    </row>
    <row r="364" spans="1:33" ht="20.100000000000001" customHeight="1" x14ac:dyDescent="0.25">
      <c r="A364" s="11">
        <v>43420</v>
      </c>
      <c r="B364" s="7" t="s">
        <v>221</v>
      </c>
      <c r="C364" s="7" t="s">
        <v>104</v>
      </c>
      <c r="D364" s="10" t="s">
        <v>515</v>
      </c>
      <c r="E364" s="10" t="s">
        <v>519</v>
      </c>
      <c r="F364" s="7" t="s">
        <v>833</v>
      </c>
      <c r="G364" s="8" t="s">
        <v>834</v>
      </c>
      <c r="H364" s="9" t="s">
        <v>830</v>
      </c>
      <c r="I364" s="9" t="s">
        <v>825</v>
      </c>
      <c r="J364" s="9" t="s">
        <v>826</v>
      </c>
      <c r="K364" s="9" t="s">
        <v>233</v>
      </c>
      <c r="L364" s="16" t="s">
        <v>850</v>
      </c>
      <c r="M364" s="16" t="s">
        <v>850</v>
      </c>
      <c r="N364" s="17" t="s">
        <v>831</v>
      </c>
      <c r="O364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Internacional</v>
      </c>
      <c r="P364" s="18">
        <f>IF(Report[[#This Row],[FT]]="",,(LEFT(Report[[#This Row],[FT]],SEARCH("-",Report[[#This Row],[FT]])-1)*1))</f>
        <v>2</v>
      </c>
      <c r="Q364" s="22">
        <f>IF(Report[[#This Row],[FT]]="",,(RIGHT(Report[[#This Row],[FT]],SEARCH("-",Report[[#This Row],[FT]])-1)*1))</f>
        <v>0</v>
      </c>
      <c r="R364" s="18" t="str">
        <f>IF(Report[Résultat FT]="","",IF(Report[Résultat FT]=Report[Résultats],"Gagné","Perdu"))</f>
        <v>Perdu</v>
      </c>
      <c r="S364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364" s="53">
        <f>IF(Report[[#This Row],[FT]]="","",IF(Report[[#This Row],[FT]]=Report[[#This Row],[Score 1]],1,0))</f>
        <v>0</v>
      </c>
      <c r="U364" s="53">
        <f>IF(Report[[#This Row],[FT]]="","",IF(Report[ [#This Row],[FT] ]=Report[[#This Row],[Score 2]],1,0))</f>
        <v>0</v>
      </c>
      <c r="V364" s="53">
        <f>IF(Report[[#This Row],[FT]]="","",IF(Report[[#This Row],[FT]]=Report[[#This Row],[Score 3]],1,0))</f>
        <v>0</v>
      </c>
      <c r="W364" s="53">
        <f>IF(Report[[#This Row],[FT]]="","",IF(Report[[#This Row],[FT]]=Report[[#This Row],[Score 4]],1,0))</f>
        <v>0</v>
      </c>
      <c r="X364" s="67">
        <f>IF(Report[[#This Row],[Résultat FT]]="",,IF(Report[[#This Row],[Résultat FT]]=Report[[#This Row],[Résultats]],(Suivi_Gain!$B$1*Report[[#This Row],[Cote FT]])-Suivi_Gain!$B$1,-Suivi_Gain!$B$1))</f>
        <v>-1</v>
      </c>
      <c r="Y364" s="94">
        <f>IF(Report[[#This Row],[FT]]="",,IF(Report[[#This Row],[FT]]=Report[[#This Row],[Score 1]],(Suivi_Gain!$G$1*Report[[#This Row],[Cote SE]])-Suivi_Gain!$G$1,-Suivi_Gain!$G$1))</f>
        <v>-1</v>
      </c>
      <c r="Z364" s="65">
        <f>IF(Report[[#This Row],[FT]]="",,IF(Report[[#This Row],[FT]]=Report[[#This Row],[Score 2]],Suivi_Gain!$G$1*Report[[#This Row],[Cote SE]],-Suivi_Gain!$G$1))</f>
        <v>-1</v>
      </c>
      <c r="AA364" s="65">
        <f>IF(Report[[#This Row],[FT]]="",,IF(Report[[#This Row],[FT]]=Report[[#This Row],[Score 3]],Suivi_Gain!$G$1*Report[[#This Row],[Cote SE]],-Suivi_Gain!$G$1))</f>
        <v>-1</v>
      </c>
      <c r="AB364" s="65">
        <f>IF(Report[[#This Row],[FT]]="",,IF(Report[[#This Row],[FT]]=Report[[#This Row],[Score 4]],Suivi_Gain!$G$1*Report[[#This Row],[Cote SE]],-Suivi_Gain!$G$1))</f>
        <v>-1</v>
      </c>
      <c r="AC364" s="64" t="str">
        <f>IF(Report[[#This Row],[Résultats SE]]="Gagné",Report[[#This Row],[FT]],"")</f>
        <v/>
      </c>
      <c r="AD364" s="64" t="str">
        <f>IF(AND(Report[[#This Row],[Résultats SE]]="Gagné",Report[[#This Row],[FT]]=Report[[#This Row],[Score 1]]),Report[[#This Row],[FT]],"")</f>
        <v/>
      </c>
      <c r="AE364" s="64" t="str">
        <f>IF(AND(Report[[#This Row],[Résultats SE]]="Gagné",Report[[#This Row],[FT]]=Report[[#This Row],[Score 2]]),Report[[#This Row],[FT]],"")</f>
        <v/>
      </c>
      <c r="AF364" s="64" t="str">
        <f>IF(AND(Report[[#This Row],[Résultats SE]]="Gagné",Report[[#This Row],[FT]]=Report[[#This Row],[Score 3]]),Report[[#This Row],[FT]],"")</f>
        <v/>
      </c>
      <c r="AG364" s="64" t="str">
        <f>IF(AND(Report[[#This Row],[Résultats SE]]="Gagné",Report[[#This Row],[FT]]=Report[[#This Row],[Score 4]]),Report[[#This Row],[FT]],"")</f>
        <v/>
      </c>
    </row>
    <row r="365" spans="1:33" ht="20.100000000000001" customHeight="1" x14ac:dyDescent="0.25">
      <c r="A365" s="11">
        <v>43420</v>
      </c>
      <c r="B365" s="7" t="s">
        <v>67</v>
      </c>
      <c r="C365" s="7" t="s">
        <v>103</v>
      </c>
      <c r="D365" s="10" t="s">
        <v>622</v>
      </c>
      <c r="E365" s="10" t="s">
        <v>620</v>
      </c>
      <c r="F365" s="7" t="s">
        <v>824</v>
      </c>
      <c r="G365" s="8" t="s">
        <v>825</v>
      </c>
      <c r="H365" s="9" t="s">
        <v>826</v>
      </c>
      <c r="I365" s="9" t="s">
        <v>827</v>
      </c>
      <c r="J365" s="9" t="s">
        <v>828</v>
      </c>
      <c r="K365" s="9" t="s">
        <v>620</v>
      </c>
      <c r="L365" s="16" t="s">
        <v>850</v>
      </c>
      <c r="M365" s="16" t="s">
        <v>850</v>
      </c>
      <c r="N365" s="17" t="s">
        <v>837</v>
      </c>
      <c r="O365" s="18" t="str">
        <f>IF(Report[[#This Row],[FT]]="","",IF((LEFT(Report[[#This Row],[FT]],1))&lt;(RIGHT(Report[[#This Row],[FT]],1)),Report[[#This Row],[Extérieur]],IF((LEFT(Report[[#This Row],[FT]],1))&gt;(RIGHT(Report[[#This Row],[FT]],1)),Report[[#This Row],[Domicile]],"Nul")))</f>
        <v>Nul</v>
      </c>
      <c r="P365" s="18">
        <f>IF(Report[[#This Row],[FT]]="",,(LEFT(Report[[#This Row],[FT]],SEARCH("-",Report[[#This Row],[FT]])-1)*1))</f>
        <v>2</v>
      </c>
      <c r="Q365" s="22">
        <f>IF(Report[[#This Row],[FT]]="",,(RIGHT(Report[[#This Row],[FT]],SEARCH("-",Report[[#This Row],[FT]])-1)*1))</f>
        <v>2</v>
      </c>
      <c r="R365" s="18" t="str">
        <f>IF(Report[Résultat FT]="","",IF(Report[Résultat FT]=Report[Résultats],"Gagné","Perdu"))</f>
        <v>Perdu</v>
      </c>
      <c r="S365" s="18" t="str">
        <f>IF(Report[[#This Row],[FT]]="","",IF(OR(Report[[#This Row],[FT]]=Report[[#This Row],[Score 1]],Report[[#This Row],[FT]]=Report[[#This Row],[Score 2]],Report[[#This Row],[FT]]=Report[[#This Row],[Score 3]],Report[[#This Row],[FT]]=Report[[#This Row],[Score 4]]),"Gagné","Perdu"))</f>
        <v>Perdu</v>
      </c>
      <c r="T365" s="53">
        <f>IF(Report[[#This Row],[FT]]="","",IF(Report[[#This Row],[FT]]=Report[[#This Row],[Score 1]],1,0))</f>
        <v>0</v>
      </c>
      <c r="U365" s="53">
        <f>IF(Report[[#This Row],[FT]]="","",IF(Report[ [#This Row],[FT] ]=Report[[#This Row],[Score 2]],1,0))</f>
        <v>0</v>
      </c>
      <c r="V365" s="53">
        <f>IF(Report[[#This Row],[FT]]="","",IF(Report[[#This Row],[FT]]=Report[[#This Row],[Score 3]],1,0))</f>
        <v>0</v>
      </c>
      <c r="W365" s="53">
        <f>IF(Report[[#This Row],[FT]]="","",IF(Report[[#This Row],[FT]]=Report[[#This Row],[Score 4]],1,0))</f>
        <v>0</v>
      </c>
      <c r="X365" s="67">
        <f>IF(Report[[#This Row],[Résultat FT]]="",,IF(Report[[#This Row],[Résultat FT]]=Report[[#This Row],[Résultats]],(Suivi_Gain!$B$1*Report[[#This Row],[Cote FT]])-Suivi_Gain!$B$1,-Suivi_Gain!$B$1))</f>
        <v>-1</v>
      </c>
      <c r="Y365" s="94">
        <f>IF(Report[[#This Row],[FT]]="",,IF(Report[[#This Row],[FT]]=Report[[#This Row],[Score 1]],(Suivi_Gain!$G$1*Report[[#This Row],[Cote SE]])-Suivi_Gain!$G$1,-Suivi_Gain!$G$1))</f>
        <v>-1</v>
      </c>
      <c r="Z365" s="65">
        <f>IF(Report[[#This Row],[FT]]="",,IF(Report[[#This Row],[FT]]=Report[[#This Row],[Score 2]],Suivi_Gain!$G$1*Report[[#This Row],[Cote SE]],-Suivi_Gain!$G$1))</f>
        <v>-1</v>
      </c>
      <c r="AA365" s="65">
        <f>IF(Report[[#This Row],[FT]]="",,IF(Report[[#This Row],[FT]]=Report[[#This Row],[Score 3]],Suivi_Gain!$G$1*Report[[#This Row],[Cote SE]],-Suivi_Gain!$G$1))</f>
        <v>-1</v>
      </c>
      <c r="AB365" s="65">
        <f>IF(Report[[#This Row],[FT]]="",,IF(Report[[#This Row],[FT]]=Report[[#This Row],[Score 4]],Suivi_Gain!$G$1*Report[[#This Row],[Cote SE]],-Suivi_Gain!$G$1))</f>
        <v>-1</v>
      </c>
      <c r="AC365" s="64" t="str">
        <f>IF(Report[[#This Row],[Résultats SE]]="Gagné",Report[[#This Row],[FT]],"")</f>
        <v/>
      </c>
      <c r="AD365" s="64" t="str">
        <f>IF(AND(Report[[#This Row],[Résultats SE]]="Gagné",Report[[#This Row],[FT]]=Report[[#This Row],[Score 1]]),Report[[#This Row],[FT]],"")</f>
        <v/>
      </c>
      <c r="AE365" s="64" t="str">
        <f>IF(AND(Report[[#This Row],[Résultats SE]]="Gagné",Report[[#This Row],[FT]]=Report[[#This Row],[Score 2]]),Report[[#This Row],[FT]],"")</f>
        <v/>
      </c>
      <c r="AF365" s="64" t="str">
        <f>IF(AND(Report[[#This Row],[Résultats SE]]="Gagné",Report[[#This Row],[FT]]=Report[[#This Row],[Score 3]]),Report[[#This Row],[FT]],"")</f>
        <v/>
      </c>
      <c r="AG365" s="64" t="str">
        <f>IF(AND(Report[[#This Row],[Résultats SE]]="Gagné",Report[[#This Row],[FT]]=Report[[#This Row],[Score 4]]),Report[[#This Row],[FT]],"")</f>
        <v/>
      </c>
    </row>
  </sheetData>
  <conditionalFormatting sqref="G1:J1048576">
    <cfRule type="cellIs" dxfId="18" priority="2" operator="equal">
      <formula>"7-5"</formula>
    </cfRule>
    <cfRule type="cellIs" dxfId="17" priority="3" operator="equal">
      <formula>"7-6"</formula>
    </cfRule>
    <cfRule type="cellIs" dxfId="16" priority="4" operator="equal">
      <formula>"7-7"</formula>
    </cfRule>
  </conditionalFormatting>
  <conditionalFormatting sqref="T1:W1048576">
    <cfRule type="cellIs" dxfId="4" priority="1" operator="equal">
      <formula>1</formula>
    </cfRule>
  </conditionalFormatting>
  <dataValidations count="2">
    <dataValidation type="list" allowBlank="1" showInputMessage="1" showErrorMessage="1" sqref="D2:E365">
      <formula1>INDIRECT($C2)</formula1>
    </dataValidation>
    <dataValidation type="list" allowBlank="1" showInputMessage="1" showErrorMessage="1" sqref="C2:C365">
      <formula1>INDIRECT($B2)</formula1>
    </dataValidation>
  </dataValidation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60" fitToHeight="0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Classement!$J$2:$J$42</xm:f>
          </x14:formula1>
          <xm:sqref>B2:B25</xm:sqref>
        </x14:dataValidation>
        <x14:dataValidation type="list" allowBlank="1" showInputMessage="1" showErrorMessage="1">
          <x14:formula1>
            <xm:f>Classement!$J$2:$J$42</xm:f>
          </x14:formula1>
          <xm:sqref>B39:B49 B27:B37</xm:sqref>
        </x14:dataValidation>
        <x14:dataValidation type="list" allowBlank="1" showInputMessage="1" showErrorMessage="1">
          <x14:formula1>
            <xm:f>Classement!$J$2:$J$42</xm:f>
          </x14:formula1>
          <xm:sqref>B62:B365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850"/>
  <sheetViews>
    <sheetView zoomScaleNormal="100" workbookViewId="0">
      <selection activeCell="H2" sqref="H2"/>
    </sheetView>
  </sheetViews>
  <sheetFormatPr baseColWidth="10" defaultRowHeight="20.100000000000001" customHeight="1" x14ac:dyDescent="0.25"/>
  <cols>
    <col min="1" max="1" width="25.7109375" style="3" customWidth="1"/>
    <col min="2" max="4" width="15.7109375" style="3" customWidth="1"/>
    <col min="5" max="7" width="11.42578125" style="3" customWidth="1"/>
    <col min="8" max="8" width="15.7109375" style="3" customWidth="1"/>
    <col min="9" max="9" width="11.42578125" style="3" hidden="1" customWidth="1"/>
    <col min="10" max="10" width="16" style="33" hidden="1" customWidth="1"/>
    <col min="11" max="11" width="30.7109375" style="33" customWidth="1"/>
    <col min="12" max="12" width="30.7109375" style="3" customWidth="1"/>
    <col min="13" max="16384" width="11.42578125" style="3"/>
  </cols>
  <sheetData>
    <row r="1" spans="1:12" ht="20.100000000000001" customHeight="1" thickBot="1" x14ac:dyDescent="0.3">
      <c r="A1" s="28" t="s">
        <v>21</v>
      </c>
      <c r="B1" s="28" t="s">
        <v>39</v>
      </c>
      <c r="C1" s="28" t="s">
        <v>22</v>
      </c>
      <c r="D1" s="28" t="s">
        <v>23</v>
      </c>
      <c r="E1" s="95" t="s">
        <v>44</v>
      </c>
      <c r="F1" s="95" t="s">
        <v>32</v>
      </c>
      <c r="G1" s="95" t="s">
        <v>33</v>
      </c>
      <c r="H1" s="28" t="s">
        <v>923</v>
      </c>
      <c r="J1" s="35" t="s">
        <v>34</v>
      </c>
      <c r="K1" s="97" t="s">
        <v>35</v>
      </c>
      <c r="L1" s="98"/>
    </row>
    <row r="2" spans="1:12" ht="20.100000000000001" customHeight="1" x14ac:dyDescent="0.25">
      <c r="A2" s="3" t="s">
        <v>5</v>
      </c>
      <c r="B2" s="3">
        <f>COUNTIF(Report_Données!D:E,Classement[[#This Row],[Equipe]])+Classement[[#This Row],[Colonne3]]</f>
        <v>14</v>
      </c>
      <c r="C2" s="3">
        <f>SUMPRODUCT(Report[But Dom]*(Report[Domicile]=Classement[[#This Row],[Equipe]]))+SUMPRODUCT(Report[But Ext]*(Report[Extérieur]=Classement[[#This Row],[Equipe]]))+Classement[[#This Row],[Colonne1]]</f>
        <v>14</v>
      </c>
      <c r="D2" s="3">
        <f>SUMPRODUCT(Report[But Ext]*(Report[Domicile]=Classement[[#This Row],[Equipe]]))+SUMPRODUCT(Report[But Dom]*(Report[Extérieur]=Classement[[#This Row],[Equipe]]))+Classement[[#This Row],[Colonne2]]</f>
        <v>24</v>
      </c>
      <c r="E2" s="95">
        <v>13</v>
      </c>
      <c r="F2" s="96">
        <v>13</v>
      </c>
      <c r="G2" s="96">
        <v>21</v>
      </c>
      <c r="H2" s="96">
        <f>IF(Classement[[#This Row],[Equipe]]=Report_Données!$D:$D,SUM(Report_Données!$P:$P),3)</f>
        <v>3</v>
      </c>
      <c r="J2" s="33" t="s">
        <v>65</v>
      </c>
      <c r="K2" s="41" t="s">
        <v>98</v>
      </c>
      <c r="L2" s="38" t="s">
        <v>108</v>
      </c>
    </row>
    <row r="3" spans="1:12" ht="20.100000000000001" customHeight="1" x14ac:dyDescent="0.25">
      <c r="A3" s="3" t="s">
        <v>2</v>
      </c>
      <c r="B3" s="3">
        <f>COUNTIF(Report_Données!D:E,Classement[[#This Row],[Equipe]])+Classement[[#This Row],[Colonne3]]</f>
        <v>14</v>
      </c>
      <c r="C3" s="3">
        <f>SUMPRODUCT(Report[But Dom]*(Report[Domicile]=Classement[[#This Row],[Equipe]]))+SUMPRODUCT(Report[But Ext]*(Report[Extérieur]=Classement[[#This Row],[Equipe]]))+Classement[[#This Row],[Colonne1]]</f>
        <v>18</v>
      </c>
      <c r="D3" s="3">
        <f>SUMPRODUCT(Report[But Ext]*(Report[Domicile]=Classement[[#This Row],[Equipe]]))+SUMPRODUCT(Report[But Dom]*(Report[Extérieur]=Classement[[#This Row],[Equipe]]))+Classement[[#This Row],[Colonne2]]</f>
        <v>20</v>
      </c>
      <c r="E3" s="95">
        <v>13</v>
      </c>
      <c r="F3" s="96">
        <v>17</v>
      </c>
      <c r="G3" s="96">
        <v>19</v>
      </c>
      <c r="H3" s="96">
        <f>IF(Classement[[#This Row],[Equipe]]=Report_Données!$D:$D,SUM(Report_Données!$P:$P),3)</f>
        <v>3</v>
      </c>
      <c r="J3" s="34" t="s">
        <v>66</v>
      </c>
      <c r="K3" s="42" t="s">
        <v>99</v>
      </c>
      <c r="L3" s="39" t="s">
        <v>105</v>
      </c>
    </row>
    <row r="4" spans="1:12" ht="20.100000000000001" customHeight="1" x14ac:dyDescent="0.25">
      <c r="A4" s="3" t="s">
        <v>6</v>
      </c>
      <c r="B4" s="3">
        <f>COUNTIF(Report_Données!D:E,Classement[[#This Row],[Equipe]])+Classement[[#This Row],[Colonne3]]</f>
        <v>14</v>
      </c>
      <c r="C4" s="3">
        <f>SUMPRODUCT(Report[But Dom]*(Report[Domicile]=Classement[[#This Row],[Equipe]]))+SUMPRODUCT(Report[But Ext]*(Report[Extérieur]=Classement[[#This Row],[Equipe]]))+Classement[[#This Row],[Colonne1]]</f>
        <v>14</v>
      </c>
      <c r="D4" s="3">
        <f>SUMPRODUCT(Report[But Ext]*(Report[Domicile]=Classement[[#This Row],[Equipe]]))+SUMPRODUCT(Report[But Dom]*(Report[Extérieur]=Classement[[#This Row],[Equipe]]))+Classement[[#This Row],[Colonne2]]</f>
        <v>15</v>
      </c>
      <c r="E4" s="95">
        <v>13</v>
      </c>
      <c r="F4" s="96">
        <v>14</v>
      </c>
      <c r="G4" s="96">
        <v>15</v>
      </c>
      <c r="H4" s="96">
        <f>IF(Classement[[#This Row],[Equipe]]=Report_Données!$D:$D,SUM(Report_Données!$P:$P),3)</f>
        <v>3</v>
      </c>
      <c r="J4" s="33" t="s">
        <v>223</v>
      </c>
      <c r="K4" s="42" t="s">
        <v>100</v>
      </c>
      <c r="L4" s="39" t="s">
        <v>494</v>
      </c>
    </row>
    <row r="5" spans="1:12" ht="20.100000000000001" customHeight="1" x14ac:dyDescent="0.25">
      <c r="A5" s="3" t="s">
        <v>7</v>
      </c>
      <c r="B5" s="3">
        <f>COUNTIF(Report_Données!D:E,Classement[[#This Row],[Equipe]])+Classement[[#This Row],[Colonne3]]</f>
        <v>14</v>
      </c>
      <c r="C5" s="3">
        <f>SUMPRODUCT(Report[But Dom]*(Report[Domicile]=Classement[[#This Row],[Equipe]]))+SUMPRODUCT(Report[But Ext]*(Report[Extérieur]=Classement[[#This Row],[Equipe]]))+Classement[[#This Row],[Colonne1]]</f>
        <v>11</v>
      </c>
      <c r="D5" s="3">
        <f>SUMPRODUCT(Report[But Ext]*(Report[Domicile]=Classement[[#This Row],[Equipe]]))+SUMPRODUCT(Report[But Dom]*(Report[Extérieur]=Classement[[#This Row],[Equipe]]))+Classement[[#This Row],[Colonne2]]</f>
        <v>17</v>
      </c>
      <c r="E5" s="95">
        <v>13</v>
      </c>
      <c r="F5" s="96">
        <v>11</v>
      </c>
      <c r="G5" s="96">
        <v>16</v>
      </c>
      <c r="H5" s="96">
        <f>IF(Classement[[#This Row],[Equipe]]=Report_Données!$D:$D,SUM(Report_Données!$P:$P),3)</f>
        <v>3</v>
      </c>
      <c r="J5" s="33" t="s">
        <v>70</v>
      </c>
      <c r="K5" s="42" t="s">
        <v>101</v>
      </c>
      <c r="L5" s="39" t="s">
        <v>117</v>
      </c>
    </row>
    <row r="6" spans="1:12" ht="20.100000000000001" customHeight="1" x14ac:dyDescent="0.25">
      <c r="A6" s="3" t="s">
        <v>8</v>
      </c>
      <c r="B6" s="3">
        <f>COUNTIF(Report_Données!D:E,Classement[[#This Row],[Equipe]])+Classement[[#This Row],[Colonne3]]</f>
        <v>14</v>
      </c>
      <c r="C6" s="3">
        <f>SUMPRODUCT(Report[But Dom]*(Report[Domicile]=Classement[[#This Row],[Equipe]]))+SUMPRODUCT(Report[But Ext]*(Report[Extérieur]=Classement[[#This Row],[Equipe]]))+Classement[[#This Row],[Colonne1]]</f>
        <v>12</v>
      </c>
      <c r="D6" s="3">
        <f>SUMPRODUCT(Report[But Ext]*(Report[Domicile]=Classement[[#This Row],[Equipe]]))+SUMPRODUCT(Report[But Dom]*(Report[Extérieur]=Classement[[#This Row],[Equipe]]))+Classement[[#This Row],[Colonne2]]</f>
        <v>23</v>
      </c>
      <c r="E6" s="95">
        <v>13</v>
      </c>
      <c r="F6" s="96">
        <v>12</v>
      </c>
      <c r="G6" s="96">
        <v>23</v>
      </c>
      <c r="H6" s="96">
        <f>IF(Classement[[#This Row],[Equipe]]=Report_Données!$D:$D,SUM(Report_Données!$P:$P),3)</f>
        <v>3</v>
      </c>
      <c r="J6" s="33" t="s">
        <v>72</v>
      </c>
      <c r="K6" s="42" t="s">
        <v>133</v>
      </c>
      <c r="L6" s="39" t="s">
        <v>118</v>
      </c>
    </row>
    <row r="7" spans="1:12" ht="20.100000000000001" customHeight="1" x14ac:dyDescent="0.25">
      <c r="A7" s="3" t="s">
        <v>0</v>
      </c>
      <c r="B7" s="3">
        <f>COUNTIF(Report_Données!D:E,Classement[[#This Row],[Equipe]])+Classement[[#This Row],[Colonne3]]</f>
        <v>14</v>
      </c>
      <c r="C7" s="3">
        <f>SUMPRODUCT(Report[But Dom]*(Report[Domicile]=Classement[[#This Row],[Equipe]]))+SUMPRODUCT(Report[But Ext]*(Report[Extérieur]=Classement[[#This Row],[Equipe]]))+Classement[[#This Row],[Colonne1]]</f>
        <v>8</v>
      </c>
      <c r="D7" s="3">
        <f>SUMPRODUCT(Report[But Ext]*(Report[Domicile]=Classement[[#This Row],[Equipe]]))+SUMPRODUCT(Report[But Dom]*(Report[Extérieur]=Classement[[#This Row],[Equipe]]))+Classement[[#This Row],[Colonne2]]</f>
        <v>26</v>
      </c>
      <c r="E7" s="95">
        <v>13</v>
      </c>
      <c r="F7" s="96">
        <v>7</v>
      </c>
      <c r="G7" s="96">
        <v>24</v>
      </c>
      <c r="H7" s="96">
        <f>IF(Classement[[#This Row],[Equipe]]=Report_Données!$D:$D,SUM(Report_Données!$P:$P),3)</f>
        <v>3</v>
      </c>
      <c r="J7" s="33" t="s">
        <v>220</v>
      </c>
      <c r="K7" s="42" t="s">
        <v>106</v>
      </c>
      <c r="L7" s="39" t="s">
        <v>134</v>
      </c>
    </row>
    <row r="8" spans="1:12" ht="20.100000000000001" customHeight="1" x14ac:dyDescent="0.25">
      <c r="A8" s="3" t="s">
        <v>9</v>
      </c>
      <c r="B8" s="3">
        <f>COUNTIF(Report_Données!D:E,Classement[[#This Row],[Equipe]])+Classement[[#This Row],[Colonne3]]</f>
        <v>14</v>
      </c>
      <c r="C8" s="3">
        <f>SUMPRODUCT(Report[But Dom]*(Report[Domicile]=Classement[[#This Row],[Equipe]]))+SUMPRODUCT(Report[But Ext]*(Report[Extérieur]=Classement[[#This Row],[Equipe]]))+Classement[[#This Row],[Colonne1]]</f>
        <v>21</v>
      </c>
      <c r="D8" s="3">
        <f>SUMPRODUCT(Report[But Ext]*(Report[Domicile]=Classement[[#This Row],[Equipe]]))+SUMPRODUCT(Report[But Dom]*(Report[Extérieur]=Classement[[#This Row],[Equipe]]))+Classement[[#This Row],[Colonne2]]</f>
        <v>12</v>
      </c>
      <c r="E8" s="95">
        <v>13</v>
      </c>
      <c r="F8" s="96">
        <v>21</v>
      </c>
      <c r="G8" s="96">
        <v>10</v>
      </c>
      <c r="H8" s="96">
        <f>IF(Classement[[#This Row],[Equipe]]=Report_Données!$D:$D,SUM(Report_Données!$P:$P),3)</f>
        <v>3</v>
      </c>
      <c r="J8" s="33" t="s">
        <v>73</v>
      </c>
      <c r="K8" s="42" t="s">
        <v>107</v>
      </c>
      <c r="L8" s="39" t="s">
        <v>130</v>
      </c>
    </row>
    <row r="9" spans="1:12" ht="20.100000000000001" customHeight="1" x14ac:dyDescent="0.25">
      <c r="A9" s="3" t="s">
        <v>1</v>
      </c>
      <c r="B9" s="3">
        <f>COUNTIF(Report_Données!D:E,Classement[[#This Row],[Equipe]])+Classement[[#This Row],[Colonne3]]</f>
        <v>14</v>
      </c>
      <c r="C9" s="3">
        <f>SUMPRODUCT(Report[But Dom]*(Report[Domicile]=Classement[[#This Row],[Equipe]]))+SUMPRODUCT(Report[But Ext]*(Report[Extérieur]=Classement[[#This Row],[Equipe]]))+Classement[[#This Row],[Colonne1]]</f>
        <v>20</v>
      </c>
      <c r="D9" s="3">
        <f>SUMPRODUCT(Report[But Ext]*(Report[Domicile]=Classement[[#This Row],[Equipe]]))+SUMPRODUCT(Report[But Dom]*(Report[Extérieur]=Classement[[#This Row],[Equipe]]))+Classement[[#This Row],[Colonne2]]</f>
        <v>14</v>
      </c>
      <c r="E9" s="95">
        <v>13</v>
      </c>
      <c r="F9" s="96">
        <v>19</v>
      </c>
      <c r="G9" s="96">
        <v>14</v>
      </c>
      <c r="H9" s="96">
        <f>IF(Classement[[#This Row],[Equipe]]=Report_Données!$D:$D,SUM(Report_Données!$P:$P),3)</f>
        <v>3</v>
      </c>
      <c r="J9" s="33" t="s">
        <v>221</v>
      </c>
      <c r="K9" s="42" t="s">
        <v>110</v>
      </c>
      <c r="L9" s="39" t="s">
        <v>135</v>
      </c>
    </row>
    <row r="10" spans="1:12" ht="20.100000000000001" customHeight="1" x14ac:dyDescent="0.25">
      <c r="A10" s="3" t="s">
        <v>10</v>
      </c>
      <c r="B10" s="3">
        <f>COUNTIF(Report_Données!D:E,Classement[[#This Row],[Equipe]])+Classement[[#This Row],[Colonne3]]</f>
        <v>14</v>
      </c>
      <c r="C10" s="3">
        <f>SUMPRODUCT(Report[But Dom]*(Report[Domicile]=Classement[[#This Row],[Equipe]]))+SUMPRODUCT(Report[But Ext]*(Report[Extérieur]=Classement[[#This Row],[Equipe]]))+Classement[[#This Row],[Colonne1]]</f>
        <v>25</v>
      </c>
      <c r="D10" s="3">
        <f>SUMPRODUCT(Report[But Ext]*(Report[Domicile]=Classement[[#This Row],[Equipe]]))+SUMPRODUCT(Report[But Dom]*(Report[Extérieur]=Classement[[#This Row],[Equipe]]))+Classement[[#This Row],[Colonne2]]</f>
        <v>22</v>
      </c>
      <c r="E10" s="95">
        <v>13</v>
      </c>
      <c r="F10" s="96">
        <v>22</v>
      </c>
      <c r="G10" s="96">
        <v>21</v>
      </c>
      <c r="H10" s="96">
        <f>IF(Classement[[#This Row],[Equipe]]=Report_Données!$D:$D,SUM(Report_Données!$P:$P),3)</f>
        <v>3</v>
      </c>
      <c r="J10" s="33" t="s">
        <v>75</v>
      </c>
      <c r="K10" s="42" t="s">
        <v>111</v>
      </c>
      <c r="L10" s="39" t="s">
        <v>120</v>
      </c>
    </row>
    <row r="11" spans="1:12" ht="20.100000000000001" customHeight="1" x14ac:dyDescent="0.25">
      <c r="A11" s="3" t="s">
        <v>11</v>
      </c>
      <c r="B11" s="3">
        <f>COUNTIF(Report_Données!D:E,Classement[[#This Row],[Equipe]])+Classement[[#This Row],[Colonne3]]</f>
        <v>14</v>
      </c>
      <c r="C11" s="3">
        <f>SUMPRODUCT(Report[But Dom]*(Report[Domicile]=Classement[[#This Row],[Equipe]]))+SUMPRODUCT(Report[But Ext]*(Report[Extérieur]=Classement[[#This Row],[Equipe]]))+Classement[[#This Row],[Colonne1]]</f>
        <v>13</v>
      </c>
      <c r="D11" s="3">
        <f>SUMPRODUCT(Report[But Ext]*(Report[Domicile]=Classement[[#This Row],[Equipe]]))+SUMPRODUCT(Report[But Dom]*(Report[Extérieur]=Classement[[#This Row],[Equipe]]))+Classement[[#This Row],[Colonne2]]</f>
        <v>18</v>
      </c>
      <c r="E11" s="95">
        <v>13</v>
      </c>
      <c r="F11" s="96">
        <v>12</v>
      </c>
      <c r="G11" s="96">
        <v>18</v>
      </c>
      <c r="H11" s="96">
        <f>IF(Classement[[#This Row],[Equipe]]=Report_Données!$D:$D,SUM(Report_Données!$P:$P),3)</f>
        <v>3</v>
      </c>
      <c r="J11" s="33" t="s">
        <v>76</v>
      </c>
      <c r="K11" s="42" t="s">
        <v>104</v>
      </c>
      <c r="L11" s="39" t="s">
        <v>119</v>
      </c>
    </row>
    <row r="12" spans="1:12" ht="20.100000000000001" customHeight="1" x14ac:dyDescent="0.25">
      <c r="A12" s="3" t="s">
        <v>3</v>
      </c>
      <c r="B12" s="3">
        <f>COUNTIF(Report_Données!D:E,Classement[[#This Row],[Equipe]])+Classement[[#This Row],[Colonne3]]</f>
        <v>14</v>
      </c>
      <c r="C12" s="3">
        <f>SUMPRODUCT(Report[But Dom]*(Report[Domicile]=Classement[[#This Row],[Equipe]]))+SUMPRODUCT(Report[But Ext]*(Report[Extérieur]=Classement[[#This Row],[Equipe]]))+Classement[[#This Row],[Colonne1]]</f>
        <v>22</v>
      </c>
      <c r="D12" s="3">
        <f>SUMPRODUCT(Report[But Ext]*(Report[Domicile]=Classement[[#This Row],[Equipe]]))+SUMPRODUCT(Report[But Dom]*(Report[Extérieur]=Classement[[#This Row],[Equipe]]))+Classement[[#This Row],[Colonne2]]</f>
        <v>9</v>
      </c>
      <c r="E12" s="95">
        <v>13</v>
      </c>
      <c r="F12" s="96">
        <v>20</v>
      </c>
      <c r="G12" s="96">
        <v>7</v>
      </c>
      <c r="H12" s="96">
        <f>IF(Classement[[#This Row],[Equipe]]=Report_Données!$D:$D,SUM(Report_Données!$P:$P),3)</f>
        <v>3</v>
      </c>
      <c r="J12" s="33" t="s">
        <v>77</v>
      </c>
      <c r="K12" s="42" t="s">
        <v>112</v>
      </c>
      <c r="L12" s="39" t="s">
        <v>121</v>
      </c>
    </row>
    <row r="13" spans="1:12" ht="20.100000000000001" customHeight="1" x14ac:dyDescent="0.25">
      <c r="A13" s="3" t="s">
        <v>12</v>
      </c>
      <c r="B13" s="3">
        <f>COUNTIF(Report_Données!D:E,Classement[[#This Row],[Equipe]])+Classement[[#This Row],[Colonne3]]</f>
        <v>14</v>
      </c>
      <c r="C13" s="3">
        <f>SUMPRODUCT(Report[But Dom]*(Report[Domicile]=Classement[[#This Row],[Equipe]]))+SUMPRODUCT(Report[But Ext]*(Report[Extérieur]=Classement[[#This Row],[Equipe]]))+Classement[[#This Row],[Colonne1]]</f>
        <v>20</v>
      </c>
      <c r="D13" s="3">
        <f>SUMPRODUCT(Report[But Ext]*(Report[Domicile]=Classement[[#This Row],[Equipe]]))+SUMPRODUCT(Report[But Dom]*(Report[Extérieur]=Classement[[#This Row],[Equipe]]))+Classement[[#This Row],[Colonne2]]</f>
        <v>18</v>
      </c>
      <c r="E13" s="95">
        <v>13</v>
      </c>
      <c r="F13" s="96">
        <v>19</v>
      </c>
      <c r="G13" s="96">
        <v>17</v>
      </c>
      <c r="H13" s="96">
        <f>IF(Classement[[#This Row],[Equipe]]=Report_Données!$D:$D,SUM(Report_Données!$P:$P),3)</f>
        <v>3</v>
      </c>
      <c r="J13" s="33" t="s">
        <v>78</v>
      </c>
      <c r="K13" s="42" t="s">
        <v>113</v>
      </c>
      <c r="L13" s="39" t="s">
        <v>131</v>
      </c>
    </row>
    <row r="14" spans="1:12" ht="20.100000000000001" customHeight="1" x14ac:dyDescent="0.25">
      <c r="A14" s="3" t="s">
        <v>13</v>
      </c>
      <c r="B14" s="3">
        <f>COUNTIF(Report_Données!D:E,Classement[[#This Row],[Equipe]])+Classement[[#This Row],[Colonne3]]</f>
        <v>14</v>
      </c>
      <c r="C14" s="3">
        <f>SUMPRODUCT(Report[But Dom]*(Report[Domicile]=Classement[[#This Row],[Equipe]]))+SUMPRODUCT(Report[But Ext]*(Report[Extérieur]=Classement[[#This Row],[Equipe]]))+Classement[[#This Row],[Colonne1]]</f>
        <v>11</v>
      </c>
      <c r="D14" s="3">
        <f>SUMPRODUCT(Report[But Ext]*(Report[Domicile]=Classement[[#This Row],[Equipe]]))+SUMPRODUCT(Report[But Dom]*(Report[Extérieur]=Classement[[#This Row],[Equipe]]))+Classement[[#This Row],[Colonne2]]</f>
        <v>14</v>
      </c>
      <c r="E14" s="95">
        <v>13</v>
      </c>
      <c r="F14" s="96">
        <v>9</v>
      </c>
      <c r="G14" s="96">
        <v>14</v>
      </c>
      <c r="H14" s="96">
        <f>IF(Classement[[#This Row],[Equipe]]=Report_Données!$D:$D,SUM(Report_Données!$P:$P),3)</f>
        <v>3</v>
      </c>
      <c r="J14" s="33" t="s">
        <v>79</v>
      </c>
      <c r="K14" s="43" t="s">
        <v>854</v>
      </c>
      <c r="L14" s="39" t="s">
        <v>132</v>
      </c>
    </row>
    <row r="15" spans="1:12" ht="20.100000000000001" customHeight="1" x14ac:dyDescent="0.25">
      <c r="A15" s="3" t="s">
        <v>14</v>
      </c>
      <c r="B15" s="3">
        <f>COUNTIF(Report_Données!D:E,Classement[[#This Row],[Equipe]])+Classement[[#This Row],[Colonne3]]</f>
        <v>14</v>
      </c>
      <c r="C15" s="3">
        <f>SUMPRODUCT(Report[But Dom]*(Report[Domicile]=Classement[[#This Row],[Equipe]]))+SUMPRODUCT(Report[But Ext]*(Report[Extérieur]=Classement[[#This Row],[Equipe]]))+Classement[[#This Row],[Colonne1]]</f>
        <v>19</v>
      </c>
      <c r="D15" s="3">
        <f>SUMPRODUCT(Report[But Ext]*(Report[Domicile]=Classement[[#This Row],[Equipe]]))+SUMPRODUCT(Report[But Dom]*(Report[Extérieur]=Classement[[#This Row],[Equipe]]))+Classement[[#This Row],[Colonne2]]</f>
        <v>19</v>
      </c>
      <c r="E15" s="95">
        <v>13</v>
      </c>
      <c r="F15" s="96">
        <v>18</v>
      </c>
      <c r="G15" s="96">
        <v>19</v>
      </c>
      <c r="H15" s="96">
        <f>IF(Classement[[#This Row],[Equipe]]=Report_Données!$D:$D,SUM(Report_Données!$P:$P),3)</f>
        <v>3</v>
      </c>
      <c r="J15" s="33" t="s">
        <v>67</v>
      </c>
      <c r="K15" s="42" t="s">
        <v>114</v>
      </c>
      <c r="L15" s="39" t="s">
        <v>860</v>
      </c>
    </row>
    <row r="16" spans="1:12" ht="20.100000000000001" customHeight="1" x14ac:dyDescent="0.25">
      <c r="A16" s="3" t="s">
        <v>15</v>
      </c>
      <c r="B16" s="3">
        <f>COUNTIF(Report_Données!D:E,Classement[[#This Row],[Equipe]])+Classement[[#This Row],[Colonne3]]</f>
        <v>14</v>
      </c>
      <c r="C16" s="3">
        <f>SUMPRODUCT(Report[But Dom]*(Report[Domicile]=Classement[[#This Row],[Equipe]]))+SUMPRODUCT(Report[But Ext]*(Report[Extérieur]=Classement[[#This Row],[Equipe]]))+Classement[[#This Row],[Colonne1]]</f>
        <v>42</v>
      </c>
      <c r="D16" s="3">
        <f>SUMPRODUCT(Report[But Ext]*(Report[Domicile]=Classement[[#This Row],[Equipe]]))+SUMPRODUCT(Report[But Dom]*(Report[Extérieur]=Classement[[#This Row],[Equipe]]))+Classement[[#This Row],[Colonne2]]</f>
        <v>7</v>
      </c>
      <c r="E16" s="95">
        <v>13</v>
      </c>
      <c r="F16" s="96">
        <v>41</v>
      </c>
      <c r="G16" s="96">
        <v>7</v>
      </c>
      <c r="H16" s="96">
        <f>IF(Classement[[#This Row],[Equipe]]=Report_Données!$D:$D,SUM(Report_Données!$P:$P),3)</f>
        <v>3</v>
      </c>
      <c r="J16" s="33" t="s">
        <v>80</v>
      </c>
      <c r="K16" s="42" t="s">
        <v>109</v>
      </c>
      <c r="L16" s="39" t="s">
        <v>122</v>
      </c>
    </row>
    <row r="17" spans="1:12" ht="20.100000000000001" customHeight="1" x14ac:dyDescent="0.25">
      <c r="A17" s="3" t="s">
        <v>16</v>
      </c>
      <c r="B17" s="3">
        <f>COUNTIF(Report_Données!D:E,Classement[[#This Row],[Equipe]])+Classement[[#This Row],[Colonne3]]</f>
        <v>14</v>
      </c>
      <c r="C17" s="3">
        <f>SUMPRODUCT(Report[But Dom]*(Report[Domicile]=Classement[[#This Row],[Equipe]]))+SUMPRODUCT(Report[But Ext]*(Report[Extérieur]=Classement[[#This Row],[Equipe]]))+Classement[[#This Row],[Colonne1]]</f>
        <v>10</v>
      </c>
      <c r="D17" s="3">
        <f>SUMPRODUCT(Report[But Ext]*(Report[Domicile]=Classement[[#This Row],[Equipe]]))+SUMPRODUCT(Report[But Dom]*(Report[Extérieur]=Classement[[#This Row],[Equipe]]))+Classement[[#This Row],[Colonne2]]</f>
        <v>11</v>
      </c>
      <c r="E17" s="95">
        <v>13</v>
      </c>
      <c r="F17" s="96">
        <v>8</v>
      </c>
      <c r="G17" s="96">
        <v>10</v>
      </c>
      <c r="H17" s="96">
        <f>IF(Classement[[#This Row],[Equipe]]=Report_Données!$D:$D,SUM(Report_Données!$P:$P),3)</f>
        <v>3</v>
      </c>
      <c r="J17" s="33" t="s">
        <v>95</v>
      </c>
      <c r="K17" s="42" t="s">
        <v>102</v>
      </c>
      <c r="L17" s="39" t="s">
        <v>123</v>
      </c>
    </row>
    <row r="18" spans="1:12" ht="20.100000000000001" customHeight="1" x14ac:dyDescent="0.25">
      <c r="A18" s="3" t="s">
        <v>17</v>
      </c>
      <c r="B18" s="3">
        <f>COUNTIF(Report_Données!D:E,Classement[[#This Row],[Equipe]])+Classement[[#This Row],[Colonne3]]</f>
        <v>14</v>
      </c>
      <c r="C18" s="3">
        <f>SUMPRODUCT(Report[But Dom]*(Report[Domicile]=Classement[[#This Row],[Equipe]]))+SUMPRODUCT(Report[But Ext]*(Report[Extérieur]=Classement[[#This Row],[Equipe]]))+Classement[[#This Row],[Colonne1]]</f>
        <v>17</v>
      </c>
      <c r="D18" s="3">
        <f>SUMPRODUCT(Report[But Ext]*(Report[Domicile]=Classement[[#This Row],[Equipe]]))+SUMPRODUCT(Report[But Dom]*(Report[Extérieur]=Classement[[#This Row],[Equipe]]))+Classement[[#This Row],[Colonne2]]</f>
        <v>20</v>
      </c>
      <c r="E18" s="95">
        <v>13</v>
      </c>
      <c r="F18" s="96">
        <v>15</v>
      </c>
      <c r="G18" s="96">
        <v>18</v>
      </c>
      <c r="H18" s="96">
        <f>IF(Classement[[#This Row],[Equipe]]=Report_Données!$D:$D,SUM(Report_Données!$P:$P),3)</f>
        <v>3</v>
      </c>
      <c r="J18" s="33" t="s">
        <v>36</v>
      </c>
      <c r="K18" s="42" t="s">
        <v>103</v>
      </c>
      <c r="L18" s="39" t="s">
        <v>124</v>
      </c>
    </row>
    <row r="19" spans="1:12" ht="20.100000000000001" customHeight="1" x14ac:dyDescent="0.25">
      <c r="A19" s="3" t="s">
        <v>18</v>
      </c>
      <c r="B19" s="3">
        <f>COUNTIF(Report_Données!D:E,Classement[[#This Row],[Equipe]])+Classement[[#This Row],[Colonne3]]</f>
        <v>14</v>
      </c>
      <c r="C19" s="3">
        <f>SUMPRODUCT(Report[But Dom]*(Report[Domicile]=Classement[[#This Row],[Equipe]]))+SUMPRODUCT(Report[But Ext]*(Report[Extérieur]=Classement[[#This Row],[Equipe]]))+Classement[[#This Row],[Colonne1]]</f>
        <v>17</v>
      </c>
      <c r="D19" s="3">
        <f>SUMPRODUCT(Report[But Ext]*(Report[Domicile]=Classement[[#This Row],[Equipe]]))+SUMPRODUCT(Report[But Dom]*(Report[Extérieur]=Classement[[#This Row],[Equipe]]))+Classement[[#This Row],[Colonne2]]</f>
        <v>18</v>
      </c>
      <c r="E19" s="95">
        <v>13</v>
      </c>
      <c r="F19" s="96">
        <v>17</v>
      </c>
      <c r="G19" s="96">
        <v>17</v>
      </c>
      <c r="H19" s="96">
        <f>IF(Classement[[#This Row],[Equipe]]=Report_Données!$D:$D,SUM(Report_Données!$P:$P),3)</f>
        <v>3</v>
      </c>
      <c r="J19" s="33" t="s">
        <v>222</v>
      </c>
      <c r="K19" s="42" t="s">
        <v>115</v>
      </c>
      <c r="L19" s="39" t="s">
        <v>125</v>
      </c>
    </row>
    <row r="20" spans="1:12" ht="20.100000000000001" customHeight="1" x14ac:dyDescent="0.25">
      <c r="A20" s="3" t="s">
        <v>19</v>
      </c>
      <c r="B20" s="3">
        <f>COUNTIF(Report_Données!D:E,Classement[[#This Row],[Equipe]])+Classement[[#This Row],[Colonne3]]</f>
        <v>14</v>
      </c>
      <c r="C20" s="3">
        <f>SUMPRODUCT(Report[But Dom]*(Report[Domicile]=Classement[[#This Row],[Equipe]]))+SUMPRODUCT(Report[But Ext]*(Report[Extérieur]=Classement[[#This Row],[Equipe]]))+Classement[[#This Row],[Colonne1]]</f>
        <v>20</v>
      </c>
      <c r="D20" s="3">
        <f>SUMPRODUCT(Report[But Ext]*(Report[Domicile]=Classement[[#This Row],[Equipe]]))+SUMPRODUCT(Report[But Dom]*(Report[Extérieur]=Classement[[#This Row],[Equipe]]))+Classement[[#This Row],[Colonne2]]</f>
        <v>17</v>
      </c>
      <c r="E20" s="95">
        <v>13</v>
      </c>
      <c r="F20" s="96">
        <v>20</v>
      </c>
      <c r="G20" s="96">
        <v>16</v>
      </c>
      <c r="H20" s="96">
        <f>IF(Classement[[#This Row],[Equipe]]=Report_Données!$D:$D,SUM(Report_Données!$P:$P),3)</f>
        <v>3</v>
      </c>
      <c r="J20" s="33" t="s">
        <v>863</v>
      </c>
      <c r="K20" s="42" t="s">
        <v>137</v>
      </c>
      <c r="L20" s="39" t="s">
        <v>126</v>
      </c>
    </row>
    <row r="21" spans="1:12" ht="20.100000000000001" customHeight="1" x14ac:dyDescent="0.25">
      <c r="A21" s="3" t="s">
        <v>20</v>
      </c>
      <c r="B21" s="3">
        <f>COUNTIF(Report_Données!D:E,Classement[[#This Row],[Equipe]])+Classement[[#This Row],[Colonne3]]</f>
        <v>14</v>
      </c>
      <c r="C21" s="3">
        <f>SUMPRODUCT(Report[But Dom]*(Report[Domicile]=Classement[[#This Row],[Equipe]]))+SUMPRODUCT(Report[But Ext]*(Report[Extérieur]=Classement[[#This Row],[Equipe]]))+Classement[[#This Row],[Colonne1]]</f>
        <v>11</v>
      </c>
      <c r="D21" s="3">
        <f>SUMPRODUCT(Report[But Ext]*(Report[Domicile]=Classement[[#This Row],[Equipe]]))+SUMPRODUCT(Report[But Dom]*(Report[Extérieur]=Classement[[#This Row],[Equipe]]))+Classement[[#This Row],[Colonne2]]</f>
        <v>21</v>
      </c>
      <c r="E21" s="95">
        <v>13</v>
      </c>
      <c r="F21" s="96">
        <v>11</v>
      </c>
      <c r="G21" s="96">
        <v>20</v>
      </c>
      <c r="H21" s="96">
        <f>IF(Classement[[#This Row],[Equipe]]=Report_Données!$D:$D,SUM(Report_Données!$P:$P),3)</f>
        <v>3</v>
      </c>
      <c r="J21" s="33" t="s">
        <v>82</v>
      </c>
      <c r="K21" s="42" t="s">
        <v>37</v>
      </c>
      <c r="L21" s="39" t="s">
        <v>136</v>
      </c>
    </row>
    <row r="22" spans="1:12" ht="20.100000000000001" customHeight="1" x14ac:dyDescent="0.25">
      <c r="A22" s="28"/>
      <c r="B22" s="30"/>
      <c r="C22" s="30"/>
      <c r="D22" s="30"/>
      <c r="E22" s="96"/>
      <c r="F22" s="96"/>
      <c r="G22" s="96"/>
      <c r="H22" s="96">
        <f>IF(Classement[[#This Row],[Equipe]]=Report_Données!$D:$D,SUM(Report_Données!$P:$P),3)</f>
        <v>3</v>
      </c>
      <c r="J22" s="33" t="s">
        <v>81</v>
      </c>
      <c r="K22" s="42" t="s">
        <v>38</v>
      </c>
      <c r="L22" s="39" t="s">
        <v>127</v>
      </c>
    </row>
    <row r="23" spans="1:12" ht="20.100000000000001" customHeight="1" x14ac:dyDescent="0.25">
      <c r="A23" s="3" t="s">
        <v>45</v>
      </c>
      <c r="B23" s="29">
        <f>COUNTIF(Report_Données!D:E,Classement[[#This Row],[Equipe]])+Classement[[#This Row],[Colonne3]]</f>
        <v>15</v>
      </c>
      <c r="C23" s="29">
        <f>SUMPRODUCT(Report[But Dom]*(Report[Domicile]=Classement[[#This Row],[Equipe]]))+SUMPRODUCT(Report[But Ext]*(Report[Extérieur]=Classement[[#This Row],[Equipe]]))+Classement[[#This Row],[Colonne1]]</f>
        <v>13</v>
      </c>
      <c r="D23" s="29">
        <f>SUMPRODUCT(Report[But Ext]*(Report[Domicile]=Classement[[#This Row],[Equipe]]))+SUMPRODUCT(Report[But Dom]*(Report[Extérieur]=Classement[[#This Row],[Equipe]]))+Classement[[#This Row],[Colonne2]]</f>
        <v>20</v>
      </c>
      <c r="E23" s="96">
        <v>14</v>
      </c>
      <c r="F23" s="96">
        <v>13</v>
      </c>
      <c r="G23" s="96">
        <v>20</v>
      </c>
      <c r="H23" s="96">
        <f>IF(Classement[[#This Row],[Equipe]]=Report_Données!$D:$D,SUM(Report_Données!$P:$P),3)</f>
        <v>3</v>
      </c>
      <c r="J23" s="33" t="s">
        <v>69</v>
      </c>
      <c r="K23" s="42" t="s">
        <v>116</v>
      </c>
      <c r="L23" s="39" t="s">
        <v>128</v>
      </c>
    </row>
    <row r="24" spans="1:12" ht="20.100000000000001" customHeight="1" x14ac:dyDescent="0.25">
      <c r="A24" s="3" t="s">
        <v>46</v>
      </c>
      <c r="B24" s="29">
        <f>COUNTIF(Report_Données!D:E,Classement[[#This Row],[Equipe]])+Classement[[#This Row],[Colonne3]]</f>
        <v>15</v>
      </c>
      <c r="C24" s="29">
        <f>SUMPRODUCT(Report[But Dom]*(Report[Domicile]=Classement[[#This Row],[Equipe]]))+SUMPRODUCT(Report[But Ext]*(Report[Extérieur]=Classement[[#This Row],[Equipe]]))+Classement[[#This Row],[Colonne1]]</f>
        <v>15</v>
      </c>
      <c r="D24" s="29">
        <f>SUMPRODUCT(Report[But Ext]*(Report[Domicile]=Classement[[#This Row],[Equipe]]))+SUMPRODUCT(Report[But Dom]*(Report[Extérieur]=Classement[[#This Row],[Equipe]]))+Classement[[#This Row],[Colonne2]]</f>
        <v>17</v>
      </c>
      <c r="E24" s="96">
        <v>14</v>
      </c>
      <c r="F24" s="96">
        <v>11</v>
      </c>
      <c r="G24" s="96">
        <v>16</v>
      </c>
      <c r="H24" s="96">
        <f>IF(Classement[[#This Row],[Equipe]]=Report_Données!$D:$D,SUM(Report_Données!$P:$P),3)</f>
        <v>3</v>
      </c>
      <c r="J24" s="33" t="s">
        <v>71</v>
      </c>
      <c r="K24" s="44" t="s">
        <v>138</v>
      </c>
      <c r="L24" s="45" t="s">
        <v>129</v>
      </c>
    </row>
    <row r="25" spans="1:12" ht="20.100000000000001" customHeight="1" thickBot="1" x14ac:dyDescent="0.3">
      <c r="A25" s="3" t="s">
        <v>47</v>
      </c>
      <c r="B25" s="29">
        <f>COUNTIF(Report_Données!D:E,Classement[[#This Row],[Equipe]])+Classement[[#This Row],[Colonne3]]</f>
        <v>15</v>
      </c>
      <c r="C25" s="29">
        <f>SUMPRODUCT(Report[But Dom]*(Report[Domicile]=Classement[[#This Row],[Equipe]]))+SUMPRODUCT(Report[But Ext]*(Report[Extérieur]=Classement[[#This Row],[Equipe]]))+Classement[[#This Row],[Colonne1]]</f>
        <v>13</v>
      </c>
      <c r="D25" s="29">
        <f>SUMPRODUCT(Report[But Ext]*(Report[Domicile]=Classement[[#This Row],[Equipe]]))+SUMPRODUCT(Report[But Dom]*(Report[Extérieur]=Classement[[#This Row],[Equipe]]))+Classement[[#This Row],[Colonne2]]</f>
        <v>15</v>
      </c>
      <c r="E25" s="96">
        <v>14</v>
      </c>
      <c r="F25" s="96">
        <v>12</v>
      </c>
      <c r="G25" s="96">
        <v>14</v>
      </c>
      <c r="H25" s="96">
        <f>IF(Classement[[#This Row],[Equipe]]=Report_Données!$D:$D,SUM(Report_Données!$P:$P),3)</f>
        <v>3</v>
      </c>
      <c r="J25" s="33" t="s">
        <v>83</v>
      </c>
      <c r="K25" s="50" t="s">
        <v>862</v>
      </c>
      <c r="L25" s="40"/>
    </row>
    <row r="26" spans="1:12" ht="20.100000000000001" customHeight="1" x14ac:dyDescent="0.25">
      <c r="A26" s="3" t="s">
        <v>48</v>
      </c>
      <c r="B26" s="29">
        <f>COUNTIF(Report_Données!D:E,Classement[[#This Row],[Equipe]])+Classement[[#This Row],[Colonne3]]</f>
        <v>16</v>
      </c>
      <c r="C26" s="29">
        <f>SUMPRODUCT(Report[But Dom]*(Report[Domicile]=Classement[[#This Row],[Equipe]]))+SUMPRODUCT(Report[But Ext]*(Report[Extérieur]=Classement[[#This Row],[Equipe]]))+Classement[[#This Row],[Colonne1]]</f>
        <v>28</v>
      </c>
      <c r="D26" s="29">
        <f>SUMPRODUCT(Report[But Ext]*(Report[Domicile]=Classement[[#This Row],[Equipe]]))+SUMPRODUCT(Report[But Dom]*(Report[Extérieur]=Classement[[#This Row],[Equipe]]))+Classement[[#This Row],[Colonne2]]</f>
        <v>15</v>
      </c>
      <c r="E26" s="96">
        <v>14</v>
      </c>
      <c r="F26" s="96">
        <v>28</v>
      </c>
      <c r="G26" s="96">
        <v>15</v>
      </c>
      <c r="H26" s="96">
        <f>IF(Classement[[#This Row],[Equipe]]=Report_Données!$D:$D,SUM(Report_Données!$P:$P),3)</f>
        <v>3</v>
      </c>
      <c r="J26" s="33" t="s">
        <v>85</v>
      </c>
      <c r="K26" s="3"/>
    </row>
    <row r="27" spans="1:12" ht="20.100000000000001" customHeight="1" x14ac:dyDescent="0.25">
      <c r="A27" s="3" t="s">
        <v>49</v>
      </c>
      <c r="B27" s="29">
        <f>COUNTIF(Report_Données!D:E,Classement[[#This Row],[Equipe]])+Classement[[#This Row],[Colonne3]]</f>
        <v>15</v>
      </c>
      <c r="C27" s="29">
        <f>SUMPRODUCT(Report[But Dom]*(Report[Domicile]=Classement[[#This Row],[Equipe]]))+SUMPRODUCT(Report[But Ext]*(Report[Extérieur]=Classement[[#This Row],[Equipe]]))+Classement[[#This Row],[Colonne1]]</f>
        <v>12</v>
      </c>
      <c r="D27" s="29">
        <f>SUMPRODUCT(Report[But Ext]*(Report[Domicile]=Classement[[#This Row],[Equipe]]))+SUMPRODUCT(Report[But Dom]*(Report[Extérieur]=Classement[[#This Row],[Equipe]]))+Classement[[#This Row],[Colonne2]]</f>
        <v>18</v>
      </c>
      <c r="E27" s="96">
        <v>14</v>
      </c>
      <c r="F27" s="96">
        <v>11</v>
      </c>
      <c r="G27" s="96">
        <v>18</v>
      </c>
      <c r="H27" s="96">
        <f>IF(Classement[[#This Row],[Equipe]]=Report_Données!$D:$D,SUM(Report_Données!$P:$P),3)</f>
        <v>3</v>
      </c>
      <c r="J27" s="33" t="s">
        <v>84</v>
      </c>
      <c r="K27" s="3"/>
    </row>
    <row r="28" spans="1:12" ht="20.100000000000001" customHeight="1" x14ac:dyDescent="0.25">
      <c r="A28" s="3" t="s">
        <v>50</v>
      </c>
      <c r="B28" s="29">
        <f>COUNTIF(Report_Données!D:E,Classement[[#This Row],[Equipe]])+Classement[[#This Row],[Colonne3]]</f>
        <v>15</v>
      </c>
      <c r="C28" s="29">
        <f>SUMPRODUCT(Report[But Dom]*(Report[Domicile]=Classement[[#This Row],[Equipe]]))+SUMPRODUCT(Report[But Ext]*(Report[Extérieur]=Classement[[#This Row],[Equipe]]))+Classement[[#This Row],[Colonne1]]</f>
        <v>18</v>
      </c>
      <c r="D28" s="29">
        <f>SUMPRODUCT(Report[But Ext]*(Report[Domicile]=Classement[[#This Row],[Equipe]]))+SUMPRODUCT(Report[But Dom]*(Report[Extérieur]=Classement[[#This Row],[Equipe]]))+Classement[[#This Row],[Colonne2]]</f>
        <v>11</v>
      </c>
      <c r="E28" s="96">
        <v>14</v>
      </c>
      <c r="F28" s="96">
        <v>18</v>
      </c>
      <c r="G28" s="96">
        <v>11</v>
      </c>
      <c r="H28" s="96">
        <f>IF(Classement[[#This Row],[Equipe]]=Report_Données!$D:$D,SUM(Report_Données!$P:$P),3)</f>
        <v>3</v>
      </c>
      <c r="J28" s="33" t="s">
        <v>225</v>
      </c>
      <c r="K28" s="3"/>
    </row>
    <row r="29" spans="1:12" ht="20.100000000000001" customHeight="1" x14ac:dyDescent="0.25">
      <c r="A29" s="3" t="s">
        <v>51</v>
      </c>
      <c r="B29" s="29">
        <f>COUNTIF(Report_Données!D:E,Classement[[#This Row],[Equipe]])+Classement[[#This Row],[Colonne3]]</f>
        <v>15</v>
      </c>
      <c r="C29" s="29">
        <f>SUMPRODUCT(Report[But Dom]*(Report[Domicile]=Classement[[#This Row],[Equipe]]))+SUMPRODUCT(Report[But Ext]*(Report[Extérieur]=Classement[[#This Row],[Equipe]]))+Classement[[#This Row],[Colonne1]]</f>
        <v>15</v>
      </c>
      <c r="D29" s="29">
        <f>SUMPRODUCT(Report[But Ext]*(Report[Domicile]=Classement[[#This Row],[Equipe]]))+SUMPRODUCT(Report[But Dom]*(Report[Extérieur]=Classement[[#This Row],[Equipe]]))+Classement[[#This Row],[Colonne2]]</f>
        <v>24</v>
      </c>
      <c r="E29" s="96">
        <v>14</v>
      </c>
      <c r="F29" s="96">
        <v>15</v>
      </c>
      <c r="G29" s="96">
        <v>23</v>
      </c>
      <c r="H29" s="96">
        <f>IF(Classement[[#This Row],[Equipe]]=Report_Données!$D:$D,SUM(Report_Données!$P:$P),3)</f>
        <v>3</v>
      </c>
      <c r="J29" s="33" t="s">
        <v>87</v>
      </c>
      <c r="K29" s="3"/>
    </row>
    <row r="30" spans="1:12" ht="20.100000000000001" customHeight="1" x14ac:dyDescent="0.25">
      <c r="A30" s="3" t="s">
        <v>52</v>
      </c>
      <c r="B30" s="29">
        <f>COUNTIF(Report_Données!D:E,Classement[[#This Row],[Equipe]])+Classement[[#This Row],[Colonne3]]</f>
        <v>15</v>
      </c>
      <c r="C30" s="29">
        <f>SUMPRODUCT(Report[But Dom]*(Report[Domicile]=Classement[[#This Row],[Equipe]]))+SUMPRODUCT(Report[But Ext]*(Report[Extérieur]=Classement[[#This Row],[Equipe]]))+Classement[[#This Row],[Colonne1]]</f>
        <v>19</v>
      </c>
      <c r="D30" s="29">
        <f>SUMPRODUCT(Report[But Ext]*(Report[Domicile]=Classement[[#This Row],[Equipe]]))+SUMPRODUCT(Report[But Dom]*(Report[Extérieur]=Classement[[#This Row],[Equipe]]))+Classement[[#This Row],[Colonne2]]</f>
        <v>13</v>
      </c>
      <c r="E30" s="96">
        <v>14</v>
      </c>
      <c r="F30" s="96">
        <v>19</v>
      </c>
      <c r="G30" s="96">
        <v>13</v>
      </c>
      <c r="H30" s="96">
        <f>IF(Classement[[#This Row],[Equipe]]=Report_Données!$D:$D,SUM(Report_Données!$P:$P),3)</f>
        <v>3</v>
      </c>
      <c r="J30" s="33" t="s">
        <v>86</v>
      </c>
      <c r="K30" s="3"/>
    </row>
    <row r="31" spans="1:12" ht="20.100000000000001" customHeight="1" x14ac:dyDescent="0.25">
      <c r="A31" s="3" t="s">
        <v>53</v>
      </c>
      <c r="B31" s="29">
        <f>COUNTIF(Report_Données!D:E,Classement[[#This Row],[Equipe]])+Classement[[#This Row],[Colonne3]]</f>
        <v>15</v>
      </c>
      <c r="C31" s="29">
        <f>SUMPRODUCT(Report[But Dom]*(Report[Domicile]=Classement[[#This Row],[Equipe]]))+SUMPRODUCT(Report[But Ext]*(Report[Extérieur]=Classement[[#This Row],[Equipe]]))+Classement[[#This Row],[Colonne1]]</f>
        <v>17</v>
      </c>
      <c r="D31" s="29">
        <f>SUMPRODUCT(Report[But Ext]*(Report[Domicile]=Classement[[#This Row],[Equipe]]))+SUMPRODUCT(Report[But Dom]*(Report[Extérieur]=Classement[[#This Row],[Equipe]]))+Classement[[#This Row],[Colonne2]]</f>
        <v>15</v>
      </c>
      <c r="E31" s="96">
        <v>14</v>
      </c>
      <c r="F31" s="96">
        <v>17</v>
      </c>
      <c r="G31" s="96">
        <v>14</v>
      </c>
      <c r="H31" s="96">
        <f>IF(Classement[[#This Row],[Equipe]]=Report_Données!$D:$D,SUM(Report_Données!$P:$P),3)</f>
        <v>3</v>
      </c>
      <c r="J31" s="33" t="s">
        <v>88</v>
      </c>
      <c r="K31" s="3"/>
    </row>
    <row r="32" spans="1:12" ht="20.100000000000001" customHeight="1" x14ac:dyDescent="0.25">
      <c r="A32" s="3" t="s">
        <v>54</v>
      </c>
      <c r="B32" s="29">
        <f>COUNTIF(Report_Données!D:E,Classement[[#This Row],[Equipe]])+Classement[[#This Row],[Colonne3]]</f>
        <v>15</v>
      </c>
      <c r="C32" s="29">
        <f>SUMPRODUCT(Report[But Dom]*(Report[Domicile]=Classement[[#This Row],[Equipe]]))+SUMPRODUCT(Report[But Ext]*(Report[Extérieur]=Classement[[#This Row],[Equipe]]))+Classement[[#This Row],[Colonne1]]</f>
        <v>22</v>
      </c>
      <c r="D32" s="29">
        <f>SUMPRODUCT(Report[But Ext]*(Report[Domicile]=Classement[[#This Row],[Equipe]]))+SUMPRODUCT(Report[But Dom]*(Report[Extérieur]=Classement[[#This Row],[Equipe]]))+Classement[[#This Row],[Colonne2]]</f>
        <v>11</v>
      </c>
      <c r="E32" s="96">
        <v>14</v>
      </c>
      <c r="F32" s="96">
        <v>22</v>
      </c>
      <c r="G32" s="96">
        <v>11</v>
      </c>
      <c r="H32" s="96">
        <f>IF(Classement[[#This Row],[Equipe]]=Report_Données!$D:$D,SUM(Report_Données!$P:$P),3)</f>
        <v>3</v>
      </c>
      <c r="J32" s="33" t="s">
        <v>68</v>
      </c>
      <c r="K32" s="3"/>
    </row>
    <row r="33" spans="1:11" ht="20.100000000000001" customHeight="1" x14ac:dyDescent="0.25">
      <c r="A33" s="3" t="s">
        <v>55</v>
      </c>
      <c r="B33" s="29">
        <f>COUNTIF(Report_Données!D:E,Classement[[#This Row],[Equipe]])+Classement[[#This Row],[Colonne3]]</f>
        <v>15</v>
      </c>
      <c r="C33" s="29">
        <f>SUMPRODUCT(Report[But Dom]*(Report[Domicile]=Classement[[#This Row],[Equipe]]))+SUMPRODUCT(Report[But Ext]*(Report[Extérieur]=Classement[[#This Row],[Equipe]]))+Classement[[#This Row],[Colonne1]]</f>
        <v>21</v>
      </c>
      <c r="D33" s="29">
        <f>SUMPRODUCT(Report[But Ext]*(Report[Domicile]=Classement[[#This Row],[Equipe]]))+SUMPRODUCT(Report[But Dom]*(Report[Extérieur]=Classement[[#This Row],[Equipe]]))+Classement[[#This Row],[Colonne2]]</f>
        <v>12</v>
      </c>
      <c r="E33" s="96">
        <v>14</v>
      </c>
      <c r="F33" s="96">
        <v>21</v>
      </c>
      <c r="G33" s="96">
        <v>10</v>
      </c>
      <c r="H33" s="96">
        <f>IF(Classement[[#This Row],[Equipe]]=Report_Données!$D:$D,SUM(Report_Données!$P:$P),3)</f>
        <v>3</v>
      </c>
      <c r="J33" s="33" t="s">
        <v>89</v>
      </c>
      <c r="K33" s="3"/>
    </row>
    <row r="34" spans="1:11" ht="20.100000000000001" customHeight="1" x14ac:dyDescent="0.25">
      <c r="A34" s="3" t="s">
        <v>56</v>
      </c>
      <c r="B34" s="29">
        <f>COUNTIF(Report_Données!D:E,Classement[[#This Row],[Equipe]])+Classement[[#This Row],[Colonne3]]</f>
        <v>15</v>
      </c>
      <c r="C34" s="29">
        <f>SUMPRODUCT(Report[But Dom]*(Report[Domicile]=Classement[[#This Row],[Equipe]]))+SUMPRODUCT(Report[But Ext]*(Report[Extérieur]=Classement[[#This Row],[Equipe]]))+Classement[[#This Row],[Colonne1]]</f>
        <v>27</v>
      </c>
      <c r="D34" s="29">
        <f>SUMPRODUCT(Report[But Ext]*(Report[Domicile]=Classement[[#This Row],[Equipe]]))+SUMPRODUCT(Report[But Dom]*(Report[Extérieur]=Classement[[#This Row],[Equipe]]))+Classement[[#This Row],[Colonne2]]</f>
        <v>11</v>
      </c>
      <c r="E34" s="96">
        <v>14</v>
      </c>
      <c r="F34" s="96">
        <v>26</v>
      </c>
      <c r="G34" s="96">
        <v>11</v>
      </c>
      <c r="H34" s="96">
        <f>IF(Classement[[#This Row],[Equipe]]=Report_Données!$D:$D,SUM(Report_Données!$P:$P),3)</f>
        <v>3</v>
      </c>
      <c r="J34" s="33" t="s">
        <v>90</v>
      </c>
      <c r="K34" s="3"/>
    </row>
    <row r="35" spans="1:11" ht="20.100000000000001" customHeight="1" x14ac:dyDescent="0.25">
      <c r="A35" s="3" t="s">
        <v>57</v>
      </c>
      <c r="B35" s="29">
        <f>COUNTIF(Report_Données!D:E,Classement[[#This Row],[Equipe]])+Classement[[#This Row],[Colonne3]]</f>
        <v>15</v>
      </c>
      <c r="C35" s="29">
        <f>SUMPRODUCT(Report[But Dom]*(Report[Domicile]=Classement[[#This Row],[Equipe]]))+SUMPRODUCT(Report[But Ext]*(Report[Extérieur]=Classement[[#This Row],[Equipe]]))+Classement[[#This Row],[Colonne1]]</f>
        <v>6</v>
      </c>
      <c r="D35" s="29">
        <f>SUMPRODUCT(Report[But Ext]*(Report[Domicile]=Classement[[#This Row],[Equipe]]))+SUMPRODUCT(Report[But Dom]*(Report[Extérieur]=Classement[[#This Row],[Equipe]]))+Classement[[#This Row],[Colonne2]]</f>
        <v>21</v>
      </c>
      <c r="E35" s="96">
        <v>14</v>
      </c>
      <c r="F35" s="96">
        <v>5</v>
      </c>
      <c r="G35" s="96">
        <v>21</v>
      </c>
      <c r="H35" s="96">
        <f>IF(Classement[[#This Row],[Equipe]]=Report_Données!$D:$D,SUM(Report_Données!$P:$P),3)</f>
        <v>3</v>
      </c>
      <c r="J35" s="33" t="s">
        <v>94</v>
      </c>
      <c r="K35" s="3"/>
    </row>
    <row r="36" spans="1:11" ht="20.100000000000001" customHeight="1" x14ac:dyDescent="0.25">
      <c r="A36" s="3" t="s">
        <v>58</v>
      </c>
      <c r="B36" s="29">
        <f>COUNTIF(Report_Données!D:E,Classement[[#This Row],[Equipe]])+Classement[[#This Row],[Colonne3]]</f>
        <v>15</v>
      </c>
      <c r="C36" s="29">
        <f>SUMPRODUCT(Report[But Dom]*(Report[Domicile]=Classement[[#This Row],[Equipe]]))+SUMPRODUCT(Report[But Ext]*(Report[Extérieur]=Classement[[#This Row],[Equipe]]))+Classement[[#This Row],[Colonne1]]</f>
        <v>17</v>
      </c>
      <c r="D36" s="29">
        <f>SUMPRODUCT(Report[But Ext]*(Report[Domicile]=Classement[[#This Row],[Equipe]]))+SUMPRODUCT(Report[But Dom]*(Report[Extérieur]=Classement[[#This Row],[Equipe]]))+Classement[[#This Row],[Colonne2]]</f>
        <v>14</v>
      </c>
      <c r="E36" s="96">
        <v>14</v>
      </c>
      <c r="F36" s="96">
        <v>17</v>
      </c>
      <c r="G36" s="96">
        <v>13</v>
      </c>
      <c r="H36" s="96">
        <f>IF(Classement[[#This Row],[Equipe]]=Report_Données!$D:$D,SUM(Report_Données!$P:$P),3)</f>
        <v>3</v>
      </c>
      <c r="J36" s="33" t="s">
        <v>91</v>
      </c>
      <c r="K36" s="3"/>
    </row>
    <row r="37" spans="1:11" ht="20.100000000000001" customHeight="1" x14ac:dyDescent="0.25">
      <c r="A37" s="3" t="s">
        <v>59</v>
      </c>
      <c r="B37" s="29">
        <f>COUNTIF(Report_Données!D:E,Classement[[#This Row],[Equipe]])+Classement[[#This Row],[Colonne3]]</f>
        <v>15</v>
      </c>
      <c r="C37" s="29">
        <f>SUMPRODUCT(Report[But Dom]*(Report[Domicile]=Classement[[#This Row],[Equipe]]))+SUMPRODUCT(Report[But Ext]*(Report[Extérieur]=Classement[[#This Row],[Equipe]]))+Classement[[#This Row],[Colonne1]]</f>
        <v>19</v>
      </c>
      <c r="D37" s="29">
        <f>SUMPRODUCT(Report[But Ext]*(Report[Domicile]=Classement[[#This Row],[Equipe]]))+SUMPRODUCT(Report[But Dom]*(Report[Extérieur]=Classement[[#This Row],[Equipe]]))+Classement[[#This Row],[Colonne2]]</f>
        <v>20</v>
      </c>
      <c r="E37" s="96">
        <v>14</v>
      </c>
      <c r="F37" s="96">
        <v>19</v>
      </c>
      <c r="G37" s="96">
        <v>20</v>
      </c>
      <c r="H37" s="96">
        <f>IF(Classement[[#This Row],[Equipe]]=Report_Données!$D:$D,SUM(Report_Données!$P:$P),3)</f>
        <v>3</v>
      </c>
      <c r="J37" s="33" t="s">
        <v>93</v>
      </c>
      <c r="K37" s="3"/>
    </row>
    <row r="38" spans="1:11" ht="20.100000000000001" customHeight="1" x14ac:dyDescent="0.25">
      <c r="A38" s="3" t="s">
        <v>60</v>
      </c>
      <c r="B38" s="29">
        <f>COUNTIF(Report_Données!D:E,Classement[[#This Row],[Equipe]])+Classement[[#This Row],[Colonne3]]</f>
        <v>15</v>
      </c>
      <c r="C38" s="29">
        <f>SUMPRODUCT(Report[But Dom]*(Report[Domicile]=Classement[[#This Row],[Equipe]]))+SUMPRODUCT(Report[But Ext]*(Report[Extérieur]=Classement[[#This Row],[Equipe]]))+Classement[[#This Row],[Colonne1]]</f>
        <v>13</v>
      </c>
      <c r="D38" s="29">
        <f>SUMPRODUCT(Report[But Ext]*(Report[Domicile]=Classement[[#This Row],[Equipe]]))+SUMPRODUCT(Report[But Dom]*(Report[Extérieur]=Classement[[#This Row],[Equipe]]))+Classement[[#This Row],[Colonne2]]</f>
        <v>10</v>
      </c>
      <c r="E38" s="96">
        <v>14</v>
      </c>
      <c r="F38" s="96">
        <v>12</v>
      </c>
      <c r="G38" s="96">
        <v>10</v>
      </c>
      <c r="H38" s="96">
        <f>IF(Classement[[#This Row],[Equipe]]=Report_Données!$D:$D,SUM(Report_Données!$P:$P),3)</f>
        <v>3</v>
      </c>
      <c r="J38" s="33" t="s">
        <v>92</v>
      </c>
      <c r="K38" s="3"/>
    </row>
    <row r="39" spans="1:11" ht="20.100000000000001" customHeight="1" x14ac:dyDescent="0.25">
      <c r="A39" s="3" t="s">
        <v>61</v>
      </c>
      <c r="B39" s="29">
        <f>COUNTIF(Report_Données!D:E,Classement[[#This Row],[Equipe]])+Classement[[#This Row],[Colonne3]]</f>
        <v>15</v>
      </c>
      <c r="C39" s="29">
        <f>SUMPRODUCT(Report[But Dom]*(Report[Domicile]=Classement[[#This Row],[Equipe]]))+SUMPRODUCT(Report[But Ext]*(Report[Extérieur]=Classement[[#This Row],[Equipe]]))+Classement[[#This Row],[Colonne1]]</f>
        <v>10</v>
      </c>
      <c r="D39" s="29">
        <f>SUMPRODUCT(Report[But Ext]*(Report[Domicile]=Classement[[#This Row],[Equipe]]))+SUMPRODUCT(Report[But Dom]*(Report[Extérieur]=Classement[[#This Row],[Equipe]]))+Classement[[#This Row],[Colonne2]]</f>
        <v>26</v>
      </c>
      <c r="E39" s="96">
        <v>14</v>
      </c>
      <c r="F39" s="96">
        <v>10</v>
      </c>
      <c r="G39" s="96">
        <v>25</v>
      </c>
      <c r="H39" s="96">
        <f>IF(Classement[[#This Row],[Equipe]]=Report_Données!$D:$D,SUM(Report_Données!$P:$P),3)</f>
        <v>3</v>
      </c>
      <c r="J39" s="33" t="s">
        <v>224</v>
      </c>
      <c r="K39" s="3"/>
    </row>
    <row r="40" spans="1:11" ht="20.100000000000001" customHeight="1" x14ac:dyDescent="0.25">
      <c r="A40" s="3" t="s">
        <v>62</v>
      </c>
      <c r="B40" s="29">
        <f>COUNTIF(Report_Données!D:E,Classement[[#This Row],[Equipe]])+Classement[[#This Row],[Colonne3]]</f>
        <v>15</v>
      </c>
      <c r="C40" s="29">
        <f>SUMPRODUCT(Report[But Dom]*(Report[Domicile]=Classement[[#This Row],[Equipe]]))+SUMPRODUCT(Report[But Ext]*(Report[Extérieur]=Classement[[#This Row],[Equipe]]))+Classement[[#This Row],[Colonne1]]</f>
        <v>12</v>
      </c>
      <c r="D40" s="29">
        <f>SUMPRODUCT(Report[But Ext]*(Report[Domicile]=Classement[[#This Row],[Equipe]]))+SUMPRODUCT(Report[But Dom]*(Report[Extérieur]=Classement[[#This Row],[Equipe]]))+Classement[[#This Row],[Colonne2]]</f>
        <v>21</v>
      </c>
      <c r="E40" s="96">
        <v>14</v>
      </c>
      <c r="F40" s="96">
        <v>11</v>
      </c>
      <c r="G40" s="96">
        <v>17</v>
      </c>
      <c r="H40" s="96">
        <f>IF(Classement[[#This Row],[Equipe]]=Report_Données!$D:$D,SUM(Report_Données!$P:$P),3)</f>
        <v>3</v>
      </c>
      <c r="J40" s="33" t="s">
        <v>96</v>
      </c>
      <c r="K40" s="3"/>
    </row>
    <row r="41" spans="1:11" ht="20.100000000000001" customHeight="1" x14ac:dyDescent="0.25">
      <c r="A41" s="3" t="s">
        <v>63</v>
      </c>
      <c r="B41" s="29">
        <f>COUNTIF(Report_Données!D:E,Classement[[#This Row],[Equipe]])+Classement[[#This Row],[Colonne3]]</f>
        <v>15</v>
      </c>
      <c r="C41" s="29">
        <f>SUMPRODUCT(Report[But Dom]*(Report[Domicile]=Classement[[#This Row],[Equipe]]))+SUMPRODUCT(Report[But Ext]*(Report[Extérieur]=Classement[[#This Row],[Equipe]]))+Classement[[#This Row],[Colonne1]]</f>
        <v>19</v>
      </c>
      <c r="D41" s="29">
        <f>SUMPRODUCT(Report[But Ext]*(Report[Domicile]=Classement[[#This Row],[Equipe]]))+SUMPRODUCT(Report[But Dom]*(Report[Extérieur]=Classement[[#This Row],[Equipe]]))+Classement[[#This Row],[Colonne2]]</f>
        <v>15</v>
      </c>
      <c r="E41" s="96">
        <v>14</v>
      </c>
      <c r="F41" s="96">
        <v>17</v>
      </c>
      <c r="G41" s="96">
        <v>15</v>
      </c>
      <c r="H41" s="96">
        <f>IF(Classement[[#This Row],[Equipe]]=Report_Données!$D:$D,SUM(Report_Données!$P:$P),3)</f>
        <v>3</v>
      </c>
      <c r="J41" s="33" t="s">
        <v>74</v>
      </c>
      <c r="K41" s="3"/>
    </row>
    <row r="42" spans="1:11" ht="20.100000000000001" customHeight="1" x14ac:dyDescent="0.25">
      <c r="A42" s="3" t="s">
        <v>64</v>
      </c>
      <c r="B42" s="29">
        <f>COUNTIF(Report_Données!D:E,Classement[[#This Row],[Equipe]])+Classement[[#This Row],[Colonne3]]</f>
        <v>15</v>
      </c>
      <c r="C42" s="29">
        <f>SUMPRODUCT(Report[But Dom]*(Report[Domicile]=Classement[[#This Row],[Equipe]]))+SUMPRODUCT(Report[But Ext]*(Report[Extérieur]=Classement[[#This Row],[Equipe]]))+Classement[[#This Row],[Colonne1]]</f>
        <v>22</v>
      </c>
      <c r="D42" s="29">
        <f>SUMPRODUCT(Report[But Ext]*(Report[Domicile]=Classement[[#This Row],[Equipe]]))+SUMPRODUCT(Report[But Dom]*(Report[Extérieur]=Classement[[#This Row],[Equipe]]))+Classement[[#This Row],[Colonne2]]</f>
        <v>29</v>
      </c>
      <c r="E42" s="96">
        <v>14</v>
      </c>
      <c r="F42" s="96">
        <v>21</v>
      </c>
      <c r="G42" s="96">
        <v>28</v>
      </c>
      <c r="H42" s="96">
        <f>IF(Classement[[#This Row],[Equipe]]=Report_Données!$D:$D,SUM(Report_Données!$P:$P),3)</f>
        <v>3</v>
      </c>
      <c r="J42" s="33" t="s">
        <v>97</v>
      </c>
      <c r="K42" s="3"/>
    </row>
    <row r="43" spans="1:11" ht="20.100000000000001" customHeight="1" x14ac:dyDescent="0.25">
      <c r="A43" s="28"/>
      <c r="B43" s="30"/>
      <c r="C43" s="30"/>
      <c r="D43" s="30"/>
      <c r="E43" s="96"/>
      <c r="F43" s="96"/>
      <c r="G43" s="96"/>
      <c r="H43" s="96">
        <f>IF(Classement[[#This Row],[Equipe]]=Report_Données!$D:$D,SUM(Report_Données!$P:$P),3)</f>
        <v>3</v>
      </c>
      <c r="K43" s="3"/>
    </row>
    <row r="44" spans="1:11" ht="20.100000000000001" customHeight="1" x14ac:dyDescent="0.25">
      <c r="A44" s="3" t="s">
        <v>139</v>
      </c>
      <c r="B44" s="29">
        <f>COUNTIF(Report_Données!D:E,Classement[[#This Row],[Equipe]])+Classement[[#This Row],[Colonne3]]</f>
        <v>12</v>
      </c>
      <c r="C44" s="29">
        <f>SUMPRODUCT(Report[But Dom]*(Report[Domicile]=Classement[[#This Row],[Equipe]]))+SUMPRODUCT(Report[But Ext]*(Report[Extérieur]=Classement[[#This Row],[Equipe]]))+Classement[[#This Row],[Colonne1]]</f>
        <v>20</v>
      </c>
      <c r="D44" s="29">
        <f>SUMPRODUCT(Report[But Ext]*(Report[Domicile]=Classement[[#This Row],[Equipe]]))+SUMPRODUCT(Report[But Dom]*(Report[Extérieur]=Classement[[#This Row],[Equipe]]))+Classement[[#This Row],[Colonne2]]</f>
        <v>21</v>
      </c>
      <c r="E44" s="96">
        <v>11</v>
      </c>
      <c r="F44" s="96">
        <v>19</v>
      </c>
      <c r="G44" s="96">
        <v>18</v>
      </c>
      <c r="H44" s="96">
        <f>IF(Classement[[#This Row],[Equipe]]=Report_Données!$D:$D,SUM(Report_Données!$P:$P),3)</f>
        <v>3</v>
      </c>
      <c r="K44" s="3"/>
    </row>
    <row r="45" spans="1:11" ht="20.100000000000001" customHeight="1" x14ac:dyDescent="0.25">
      <c r="A45" s="3" t="s">
        <v>140</v>
      </c>
      <c r="B45" s="29">
        <f>COUNTIF(Report_Données!D:E,Classement[[#This Row],[Equipe]])+Classement[[#This Row],[Colonne3]]</f>
        <v>12</v>
      </c>
      <c r="C45" s="29">
        <f>SUMPRODUCT(Report[But Dom]*(Report[Domicile]=Classement[[#This Row],[Equipe]]))+SUMPRODUCT(Report[But Ext]*(Report[Extérieur]=Classement[[#This Row],[Equipe]]))+Classement[[#This Row],[Colonne1]]</f>
        <v>23</v>
      </c>
      <c r="D45" s="29">
        <f>SUMPRODUCT(Report[But Ext]*(Report[Domicile]=Classement[[#This Row],[Equipe]]))+SUMPRODUCT(Report[But Dom]*(Report[Extérieur]=Classement[[#This Row],[Equipe]]))+Classement[[#This Row],[Colonne2]]</f>
        <v>17</v>
      </c>
      <c r="E45" s="96">
        <v>11</v>
      </c>
      <c r="F45" s="96">
        <v>20</v>
      </c>
      <c r="G45" s="96">
        <v>14</v>
      </c>
      <c r="H45" s="96">
        <f>IF(Classement[[#This Row],[Equipe]]=Report_Données!$D:$D,SUM(Report_Données!$P:$P),3)</f>
        <v>3</v>
      </c>
      <c r="K45" s="3"/>
    </row>
    <row r="46" spans="1:11" ht="20.100000000000001" customHeight="1" x14ac:dyDescent="0.25">
      <c r="A46" s="3" t="s">
        <v>141</v>
      </c>
      <c r="B46" s="29">
        <f>COUNTIF(Report_Données!D:E,Classement[[#This Row],[Equipe]])+Classement[[#This Row],[Colonne3]]</f>
        <v>12</v>
      </c>
      <c r="C46" s="29">
        <f>SUMPRODUCT(Report[But Dom]*(Report[Domicile]=Classement[[#This Row],[Equipe]]))+SUMPRODUCT(Report[But Ext]*(Report[Extérieur]=Classement[[#This Row],[Equipe]]))+Classement[[#This Row],[Colonne1]]</f>
        <v>20</v>
      </c>
      <c r="D46" s="29">
        <f>SUMPRODUCT(Report[But Ext]*(Report[Domicile]=Classement[[#This Row],[Equipe]]))+SUMPRODUCT(Report[But Dom]*(Report[Extérieur]=Classement[[#This Row],[Equipe]]))+Classement[[#This Row],[Colonne2]]</f>
        <v>20</v>
      </c>
      <c r="E46" s="96">
        <v>11</v>
      </c>
      <c r="F46" s="96">
        <v>19</v>
      </c>
      <c r="G46" s="96">
        <v>19</v>
      </c>
      <c r="H46" s="96">
        <f>IF(Classement[[#This Row],[Equipe]]=Report_Données!$D:$D,SUM(Report_Données!$P:$P),3)</f>
        <v>3</v>
      </c>
      <c r="K46" s="3"/>
    </row>
    <row r="47" spans="1:11" ht="20.100000000000001" customHeight="1" x14ac:dyDescent="0.25">
      <c r="A47" s="3" t="s">
        <v>142</v>
      </c>
      <c r="B47" s="29">
        <f>COUNTIF(Report_Données!D:E,Classement[[#This Row],[Equipe]])+Classement[[#This Row],[Colonne3]]</f>
        <v>12</v>
      </c>
      <c r="C47" s="29">
        <f>SUMPRODUCT(Report[But Dom]*(Report[Domicile]=Classement[[#This Row],[Equipe]]))+SUMPRODUCT(Report[But Ext]*(Report[Extérieur]=Classement[[#This Row],[Equipe]]))+Classement[[#This Row],[Colonne1]]</f>
        <v>35</v>
      </c>
      <c r="D47" s="29">
        <f>SUMPRODUCT(Report[But Ext]*(Report[Domicile]=Classement[[#This Row],[Equipe]]))+SUMPRODUCT(Report[But Dom]*(Report[Extérieur]=Classement[[#This Row],[Equipe]]))+Classement[[#This Row],[Colonne2]]</f>
        <v>13</v>
      </c>
      <c r="E47" s="96">
        <v>11</v>
      </c>
      <c r="F47" s="96">
        <v>33</v>
      </c>
      <c r="G47" s="96">
        <v>12</v>
      </c>
      <c r="H47" s="96">
        <f>IF(Classement[[#This Row],[Equipe]]=Report_Données!$D:$D,SUM(Report_Données!$P:$P),3)</f>
        <v>3</v>
      </c>
      <c r="K47" s="3"/>
    </row>
    <row r="48" spans="1:11" ht="20.100000000000001" customHeight="1" x14ac:dyDescent="0.25">
      <c r="A48" s="3" t="s">
        <v>143</v>
      </c>
      <c r="B48" s="29">
        <f>COUNTIF(Report_Données!D:E,Classement[[#This Row],[Equipe]])+Classement[[#This Row],[Colonne3]]</f>
        <v>12</v>
      </c>
      <c r="C48" s="29">
        <f>SUMPRODUCT(Report[But Dom]*(Report[Domicile]=Classement[[#This Row],[Equipe]]))+SUMPRODUCT(Report[But Ext]*(Report[Extérieur]=Classement[[#This Row],[Equipe]]))+Classement[[#This Row],[Colonne1]]</f>
        <v>13</v>
      </c>
      <c r="D48" s="29">
        <f>SUMPRODUCT(Report[But Ext]*(Report[Domicile]=Classement[[#This Row],[Equipe]]))+SUMPRODUCT(Report[But Dom]*(Report[Extérieur]=Classement[[#This Row],[Equipe]]))+Classement[[#This Row],[Colonne2]]</f>
        <v>28</v>
      </c>
      <c r="E48" s="96">
        <v>11</v>
      </c>
      <c r="F48" s="96">
        <v>10</v>
      </c>
      <c r="G48" s="96">
        <v>25</v>
      </c>
      <c r="H48" s="96">
        <f>IF(Classement[[#This Row],[Equipe]]=Report_Données!$D:$D,SUM(Report_Données!$P:$P),3)</f>
        <v>3</v>
      </c>
    </row>
    <row r="49" spans="1:8" ht="20.100000000000001" customHeight="1" x14ac:dyDescent="0.25">
      <c r="A49" s="3" t="s">
        <v>144</v>
      </c>
      <c r="B49" s="29">
        <f>COUNTIF(Report_Données!D:E,Classement[[#This Row],[Equipe]])+Classement[[#This Row],[Colonne3]]</f>
        <v>12</v>
      </c>
      <c r="C49" s="29">
        <f>SUMPRODUCT(Report[But Dom]*(Report[Domicile]=Classement[[#This Row],[Equipe]]))+SUMPRODUCT(Report[But Ext]*(Report[Extérieur]=Classement[[#This Row],[Equipe]]))+Classement[[#This Row],[Colonne1]]</f>
        <v>29</v>
      </c>
      <c r="D49" s="29">
        <f>SUMPRODUCT(Report[But Ext]*(Report[Domicile]=Classement[[#This Row],[Equipe]]))+SUMPRODUCT(Report[But Dom]*(Report[Extérieur]=Classement[[#This Row],[Equipe]]))+Classement[[#This Row],[Colonne2]]</f>
        <v>14</v>
      </c>
      <c r="E49" s="96">
        <v>11</v>
      </c>
      <c r="F49" s="96">
        <v>26</v>
      </c>
      <c r="G49" s="96">
        <v>13</v>
      </c>
      <c r="H49" s="96">
        <f>IF(Classement[[#This Row],[Equipe]]=Report_Données!$D:$D,SUM(Report_Données!$P:$P),3)</f>
        <v>3</v>
      </c>
    </row>
    <row r="50" spans="1:8" ht="20.100000000000001" customHeight="1" x14ac:dyDescent="0.25">
      <c r="A50" s="3" t="s">
        <v>145</v>
      </c>
      <c r="B50" s="29">
        <f>COUNTIF(Report_Données!D:E,Classement[[#This Row],[Equipe]])+Classement[[#This Row],[Colonne3]]</f>
        <v>12</v>
      </c>
      <c r="C50" s="29">
        <f>SUMPRODUCT(Report[But Dom]*(Report[Domicile]=Classement[[#This Row],[Equipe]]))+SUMPRODUCT(Report[But Ext]*(Report[Extérieur]=Classement[[#This Row],[Equipe]]))+Classement[[#This Row],[Colonne1]]</f>
        <v>16</v>
      </c>
      <c r="D50" s="29">
        <f>SUMPRODUCT(Report[But Ext]*(Report[Domicile]=Classement[[#This Row],[Equipe]]))+SUMPRODUCT(Report[But Dom]*(Report[Extérieur]=Classement[[#This Row],[Equipe]]))+Classement[[#This Row],[Colonne2]]</f>
        <v>20</v>
      </c>
      <c r="E50" s="96">
        <v>11</v>
      </c>
      <c r="F50" s="96">
        <v>15</v>
      </c>
      <c r="G50" s="96">
        <v>19</v>
      </c>
      <c r="H50" s="96">
        <f>IF(Classement[[#This Row],[Equipe]]=Report_Données!$D:$D,SUM(Report_Données!$P:$P),3)</f>
        <v>3</v>
      </c>
    </row>
    <row r="51" spans="1:8" ht="20.100000000000001" customHeight="1" x14ac:dyDescent="0.25">
      <c r="A51" s="3" t="s">
        <v>146</v>
      </c>
      <c r="B51" s="29">
        <f>COUNTIF(Report_Données!D:E,Classement[[#This Row],[Equipe]])+Classement[[#This Row],[Colonne3]]</f>
        <v>12</v>
      </c>
      <c r="C51" s="29">
        <f>SUMPRODUCT(Report[But Dom]*(Report[Domicile]=Classement[[#This Row],[Equipe]]))+SUMPRODUCT(Report[But Ext]*(Report[Extérieur]=Classement[[#This Row],[Equipe]]))+Classement[[#This Row],[Colonne1]]</f>
        <v>15</v>
      </c>
      <c r="D51" s="29">
        <f>SUMPRODUCT(Report[But Ext]*(Report[Domicile]=Classement[[#This Row],[Equipe]]))+SUMPRODUCT(Report[But Dom]*(Report[Extérieur]=Classement[[#This Row],[Equipe]]))+Classement[[#This Row],[Colonne2]]</f>
        <v>26</v>
      </c>
      <c r="E51" s="96">
        <v>11</v>
      </c>
      <c r="F51" s="96">
        <v>14</v>
      </c>
      <c r="G51" s="96">
        <v>22</v>
      </c>
      <c r="H51" s="96">
        <f>IF(Classement[[#This Row],[Equipe]]=Report_Données!$D:$D,SUM(Report_Données!$P:$P),3)</f>
        <v>3</v>
      </c>
    </row>
    <row r="52" spans="1:8" ht="20.100000000000001" customHeight="1" x14ac:dyDescent="0.25">
      <c r="A52" s="3" t="s">
        <v>147</v>
      </c>
      <c r="B52" s="29">
        <f>COUNTIF(Report_Données!D:E,Classement[[#This Row],[Equipe]])+Classement[[#This Row],[Colonne3]]</f>
        <v>12</v>
      </c>
      <c r="C52" s="29">
        <f>SUMPRODUCT(Report[But Dom]*(Report[Domicile]=Classement[[#This Row],[Equipe]]))+SUMPRODUCT(Report[But Ext]*(Report[Extérieur]=Classement[[#This Row],[Equipe]]))+Classement[[#This Row],[Colonne1]]</f>
        <v>19</v>
      </c>
      <c r="D52" s="29">
        <f>SUMPRODUCT(Report[But Ext]*(Report[Domicile]=Classement[[#This Row],[Equipe]]))+SUMPRODUCT(Report[But Dom]*(Report[Extérieur]=Classement[[#This Row],[Equipe]]))+Classement[[#This Row],[Colonne2]]</f>
        <v>20</v>
      </c>
      <c r="E52" s="96">
        <v>11</v>
      </c>
      <c r="F52" s="96">
        <v>16</v>
      </c>
      <c r="G52" s="96">
        <v>17</v>
      </c>
      <c r="H52" s="96">
        <f>IF(Classement[[#This Row],[Equipe]]=Report_Données!$D:$D,SUM(Report_Données!$P:$P),3)</f>
        <v>3</v>
      </c>
    </row>
    <row r="53" spans="1:8" ht="20.100000000000001" customHeight="1" x14ac:dyDescent="0.25">
      <c r="A53" s="3" t="s">
        <v>148</v>
      </c>
      <c r="B53" s="29">
        <f>COUNTIF(Report_Données!D:E,Classement[[#This Row],[Equipe]])+Classement[[#This Row],[Colonne3]]</f>
        <v>12</v>
      </c>
      <c r="C53" s="29">
        <f>SUMPRODUCT(Report[But Dom]*(Report[Domicile]=Classement[[#This Row],[Equipe]]))+SUMPRODUCT(Report[But Ext]*(Report[Extérieur]=Classement[[#This Row],[Equipe]]))+Classement[[#This Row],[Colonne1]]</f>
        <v>27</v>
      </c>
      <c r="D53" s="29">
        <f>SUMPRODUCT(Report[But Ext]*(Report[Domicile]=Classement[[#This Row],[Equipe]]))+SUMPRODUCT(Report[But Dom]*(Report[Extérieur]=Classement[[#This Row],[Equipe]]))+Classement[[#This Row],[Colonne2]]</f>
        <v>18</v>
      </c>
      <c r="E53" s="96">
        <v>11</v>
      </c>
      <c r="F53" s="96">
        <v>24</v>
      </c>
      <c r="G53" s="96">
        <v>15</v>
      </c>
      <c r="H53" s="96">
        <f>IF(Classement[[#This Row],[Equipe]]=Report_Données!$D:$D,SUM(Report_Données!$P:$P),3)</f>
        <v>3</v>
      </c>
    </row>
    <row r="54" spans="1:8" ht="20.100000000000001" customHeight="1" x14ac:dyDescent="0.25">
      <c r="A54" s="3" t="s">
        <v>149</v>
      </c>
      <c r="B54" s="29">
        <f>COUNTIF(Report_Données!D:E,Classement[[#This Row],[Equipe]])+Classement[[#This Row],[Colonne3]]</f>
        <v>12</v>
      </c>
      <c r="C54" s="29">
        <f>SUMPRODUCT(Report[But Dom]*(Report[Domicile]=Classement[[#This Row],[Equipe]]))+SUMPRODUCT(Report[But Ext]*(Report[Extérieur]=Classement[[#This Row],[Equipe]]))+Classement[[#This Row],[Colonne1]]</f>
        <v>18</v>
      </c>
      <c r="D54" s="29">
        <f>SUMPRODUCT(Report[But Ext]*(Report[Domicile]=Classement[[#This Row],[Equipe]]))+SUMPRODUCT(Report[But Dom]*(Report[Extérieur]=Classement[[#This Row],[Equipe]]))+Classement[[#This Row],[Colonne2]]</f>
        <v>24</v>
      </c>
      <c r="E54" s="96">
        <v>11</v>
      </c>
      <c r="F54" s="96">
        <v>16</v>
      </c>
      <c r="G54" s="96">
        <v>24</v>
      </c>
      <c r="H54" s="96">
        <f>IF(Classement[[#This Row],[Equipe]]=Report_Données!$D:$D,SUM(Report_Données!$P:$P),3)</f>
        <v>3</v>
      </c>
    </row>
    <row r="55" spans="1:8" ht="20.100000000000001" customHeight="1" x14ac:dyDescent="0.25">
      <c r="A55" s="3" t="s">
        <v>150</v>
      </c>
      <c r="B55" s="29">
        <f>COUNTIF(Report_Données!D:E,Classement[[#This Row],[Equipe]])+Classement[[#This Row],[Colonne3]]</f>
        <v>12</v>
      </c>
      <c r="C55" s="29">
        <f>SUMPRODUCT(Report[But Dom]*(Report[Domicile]=Classement[[#This Row],[Equipe]]))+SUMPRODUCT(Report[But Ext]*(Report[Extérieur]=Classement[[#This Row],[Equipe]]))+Classement[[#This Row],[Colonne1]]</f>
        <v>11</v>
      </c>
      <c r="D55" s="29">
        <f>SUMPRODUCT(Report[But Ext]*(Report[Domicile]=Classement[[#This Row],[Equipe]]))+SUMPRODUCT(Report[But Dom]*(Report[Extérieur]=Classement[[#This Row],[Equipe]]))+Classement[[#This Row],[Colonne2]]</f>
        <v>14</v>
      </c>
      <c r="E55" s="96">
        <v>11</v>
      </c>
      <c r="F55" s="96">
        <v>10</v>
      </c>
      <c r="G55" s="96">
        <v>12</v>
      </c>
      <c r="H55" s="96">
        <f>IF(Classement[[#This Row],[Equipe]]=Report_Données!$D:$D,SUM(Report_Données!$P:$P),3)</f>
        <v>3</v>
      </c>
    </row>
    <row r="56" spans="1:8" ht="20.100000000000001" customHeight="1" x14ac:dyDescent="0.25">
      <c r="A56" s="3" t="s">
        <v>151</v>
      </c>
      <c r="B56" s="29">
        <f>COUNTIF(Report_Données!D:E,Classement[[#This Row],[Equipe]])+Classement[[#This Row],[Colonne3]]</f>
        <v>12</v>
      </c>
      <c r="C56" s="29">
        <f>SUMPRODUCT(Report[But Dom]*(Report[Domicile]=Classement[[#This Row],[Equipe]]))+SUMPRODUCT(Report[But Ext]*(Report[Extérieur]=Classement[[#This Row],[Equipe]]))+Classement[[#This Row],[Colonne1]]</f>
        <v>30</v>
      </c>
      <c r="D56" s="29">
        <f>SUMPRODUCT(Report[But Ext]*(Report[Domicile]=Classement[[#This Row],[Equipe]]))+SUMPRODUCT(Report[But Dom]*(Report[Extérieur]=Classement[[#This Row],[Equipe]]))+Classement[[#This Row],[Colonne2]]</f>
        <v>14</v>
      </c>
      <c r="E56" s="96">
        <v>11</v>
      </c>
      <c r="F56" s="96">
        <v>26</v>
      </c>
      <c r="G56" s="96">
        <v>13</v>
      </c>
      <c r="H56" s="96">
        <f>IF(Classement[[#This Row],[Equipe]]=Report_Données!$D:$D,SUM(Report_Données!$P:$P),3)</f>
        <v>3</v>
      </c>
    </row>
    <row r="57" spans="1:8" ht="20.100000000000001" customHeight="1" x14ac:dyDescent="0.25">
      <c r="A57" s="3" t="s">
        <v>152</v>
      </c>
      <c r="B57" s="29">
        <f>COUNTIF(Report_Données!D:E,Classement[[#This Row],[Equipe]])+Classement[[#This Row],[Colonne3]]</f>
        <v>12</v>
      </c>
      <c r="C57" s="29">
        <f>SUMPRODUCT(Report[But Dom]*(Report[Domicile]=Classement[[#This Row],[Equipe]]))+SUMPRODUCT(Report[But Ext]*(Report[Extérieur]=Classement[[#This Row],[Equipe]]))+Classement[[#This Row],[Colonne1]]</f>
        <v>13</v>
      </c>
      <c r="D57" s="29">
        <f>SUMPRODUCT(Report[But Ext]*(Report[Domicile]=Classement[[#This Row],[Equipe]]))+SUMPRODUCT(Report[But Dom]*(Report[Extérieur]=Classement[[#This Row],[Equipe]]))+Classement[[#This Row],[Colonne2]]</f>
        <v>29</v>
      </c>
      <c r="E57" s="96">
        <v>11</v>
      </c>
      <c r="F57" s="96">
        <v>11</v>
      </c>
      <c r="G57" s="96">
        <v>24</v>
      </c>
      <c r="H57" s="96">
        <f>IF(Classement[[#This Row],[Equipe]]=Report_Données!$D:$D,SUM(Report_Données!$P:$P),3)</f>
        <v>3</v>
      </c>
    </row>
    <row r="58" spans="1:8" ht="20.100000000000001" customHeight="1" x14ac:dyDescent="0.25">
      <c r="A58" s="3" t="s">
        <v>153</v>
      </c>
      <c r="B58" s="29">
        <f>COUNTIF(Report_Données!D:E,Classement[[#This Row],[Equipe]])+Classement[[#This Row],[Colonne3]]</f>
        <v>12</v>
      </c>
      <c r="C58" s="29">
        <f>SUMPRODUCT(Report[But Dom]*(Report[Domicile]=Classement[[#This Row],[Equipe]]))+SUMPRODUCT(Report[But Ext]*(Report[Extérieur]=Classement[[#This Row],[Equipe]]))+Classement[[#This Row],[Colonne1]]</f>
        <v>22</v>
      </c>
      <c r="D58" s="29">
        <f>SUMPRODUCT(Report[But Ext]*(Report[Domicile]=Classement[[#This Row],[Equipe]]))+SUMPRODUCT(Report[But Dom]*(Report[Extérieur]=Classement[[#This Row],[Equipe]]))+Classement[[#This Row],[Colonne2]]</f>
        <v>10</v>
      </c>
      <c r="E58" s="96">
        <v>11</v>
      </c>
      <c r="F58" s="96">
        <v>22</v>
      </c>
      <c r="G58" s="96">
        <v>9</v>
      </c>
      <c r="H58" s="96">
        <f>IF(Classement[[#This Row],[Equipe]]=Report_Données!$D:$D,SUM(Report_Données!$P:$P),3)</f>
        <v>3</v>
      </c>
    </row>
    <row r="59" spans="1:8" ht="20.100000000000001" customHeight="1" x14ac:dyDescent="0.25">
      <c r="A59" s="3" t="s">
        <v>154</v>
      </c>
      <c r="B59" s="29">
        <f>COUNTIF(Report_Données!D:E,Classement[[#This Row],[Equipe]])+Classement[[#This Row],[Colonne3]]</f>
        <v>12</v>
      </c>
      <c r="C59" s="29">
        <f>SUMPRODUCT(Report[But Dom]*(Report[Domicile]=Classement[[#This Row],[Equipe]]))+SUMPRODUCT(Report[But Ext]*(Report[Extérieur]=Classement[[#This Row],[Equipe]]))+Classement[[#This Row],[Colonne1]]</f>
        <v>13</v>
      </c>
      <c r="D59" s="29">
        <f>SUMPRODUCT(Report[But Ext]*(Report[Domicile]=Classement[[#This Row],[Equipe]]))+SUMPRODUCT(Report[But Dom]*(Report[Extérieur]=Classement[[#This Row],[Equipe]]))+Classement[[#This Row],[Colonne2]]</f>
        <v>17</v>
      </c>
      <c r="E59" s="96">
        <v>11</v>
      </c>
      <c r="F59" s="96">
        <v>8</v>
      </c>
      <c r="G59" s="96">
        <v>15</v>
      </c>
      <c r="H59" s="96">
        <f>IF(Classement[[#This Row],[Equipe]]=Report_Données!$D:$D,SUM(Report_Données!$P:$P),3)</f>
        <v>3</v>
      </c>
    </row>
    <row r="60" spans="1:8" ht="20.100000000000001" customHeight="1" x14ac:dyDescent="0.25">
      <c r="A60" s="3" t="s">
        <v>155</v>
      </c>
      <c r="B60" s="29">
        <f>COUNTIF(Report_Données!D:E,Classement[[#This Row],[Equipe]])+Classement[[#This Row],[Colonne3]]</f>
        <v>12</v>
      </c>
      <c r="C60" s="29">
        <f>SUMPRODUCT(Report[But Dom]*(Report[Domicile]=Classement[[#This Row],[Equipe]]))+SUMPRODUCT(Report[But Ext]*(Report[Extérieur]=Classement[[#This Row],[Equipe]]))+Classement[[#This Row],[Colonne1]]</f>
        <v>8</v>
      </c>
      <c r="D60" s="29">
        <f>SUMPRODUCT(Report[But Ext]*(Report[Domicile]=Classement[[#This Row],[Equipe]]))+SUMPRODUCT(Report[But Dom]*(Report[Extérieur]=Classement[[#This Row],[Equipe]]))+Classement[[#This Row],[Colonne2]]</f>
        <v>26</v>
      </c>
      <c r="E60" s="96">
        <v>11</v>
      </c>
      <c r="F60" s="96">
        <v>8</v>
      </c>
      <c r="G60" s="96">
        <v>24</v>
      </c>
      <c r="H60" s="96">
        <f>IF(Classement[[#This Row],[Equipe]]=Report_Données!$D:$D,SUM(Report_Données!$P:$P),3)</f>
        <v>3</v>
      </c>
    </row>
    <row r="61" spans="1:8" ht="20.100000000000001" customHeight="1" x14ac:dyDescent="0.25">
      <c r="A61" s="3" t="s">
        <v>156</v>
      </c>
      <c r="B61" s="29">
        <f>COUNTIF(Report_Données!D:E,Classement[[#This Row],[Equipe]])+Classement[[#This Row],[Colonne3]]</f>
        <v>12</v>
      </c>
      <c r="C61" s="29">
        <f>SUMPRODUCT(Report[But Dom]*(Report[Domicile]=Classement[[#This Row],[Equipe]]))+SUMPRODUCT(Report[But Ext]*(Report[Extérieur]=Classement[[#This Row],[Equipe]]))+Classement[[#This Row],[Colonne1]]</f>
        <v>16</v>
      </c>
      <c r="D61" s="29">
        <f>SUMPRODUCT(Report[But Ext]*(Report[Domicile]=Classement[[#This Row],[Equipe]]))+SUMPRODUCT(Report[But Dom]*(Report[Extérieur]=Classement[[#This Row],[Equipe]]))+Classement[[#This Row],[Colonne2]]</f>
        <v>17</v>
      </c>
      <c r="E61" s="96">
        <v>11</v>
      </c>
      <c r="F61" s="96">
        <v>15</v>
      </c>
      <c r="G61" s="96">
        <v>17</v>
      </c>
      <c r="H61" s="96">
        <f>IF(Classement[[#This Row],[Equipe]]=Report_Données!$D:$D,SUM(Report_Données!$P:$P),3)</f>
        <v>3</v>
      </c>
    </row>
    <row r="62" spans="1:8" ht="20.100000000000001" customHeight="1" x14ac:dyDescent="0.25">
      <c r="A62" s="28"/>
      <c r="B62" s="30"/>
      <c r="C62" s="30"/>
      <c r="D62" s="30"/>
      <c r="E62" s="96"/>
      <c r="F62" s="96"/>
      <c r="G62" s="96"/>
      <c r="H62" s="96">
        <f>IF(Classement[[#This Row],[Equipe]]=Report_Données!$D:$D,SUM(Report_Données!$P:$P),3)</f>
        <v>3</v>
      </c>
    </row>
    <row r="63" spans="1:8" ht="20.100000000000001" customHeight="1" x14ac:dyDescent="0.25">
      <c r="A63" s="3" t="s">
        <v>157</v>
      </c>
      <c r="B63" s="29">
        <f>COUNTIF(Report_Données!D:E,Classement[[#This Row],[Equipe]])+Classement[[#This Row],[Colonne3]]</f>
        <v>14</v>
      </c>
      <c r="C63" s="29">
        <f>SUMPRODUCT(Report[But Dom]*(Report[Domicile]=Classement[[#This Row],[Equipe]]))+SUMPRODUCT(Report[But Ext]*(Report[Extérieur]=Classement[[#This Row],[Equipe]]))+Classement[[#This Row],[Colonne1]]</f>
        <v>14</v>
      </c>
      <c r="D63" s="29">
        <f>SUMPRODUCT(Report[But Ext]*(Report[Domicile]=Classement[[#This Row],[Equipe]]))+SUMPRODUCT(Report[But Dom]*(Report[Extérieur]=Classement[[#This Row],[Equipe]]))+Classement[[#This Row],[Colonne2]]</f>
        <v>20</v>
      </c>
      <c r="E63" s="96">
        <v>13</v>
      </c>
      <c r="F63" s="96">
        <v>13</v>
      </c>
      <c r="G63" s="96">
        <v>18</v>
      </c>
      <c r="H63" s="96">
        <f>IF(Classement[[#This Row],[Equipe]]=Report_Données!$D:$D,SUM(Report_Données!$P:$P),3)</f>
        <v>3</v>
      </c>
    </row>
    <row r="64" spans="1:8" ht="20.100000000000001" customHeight="1" x14ac:dyDescent="0.25">
      <c r="A64" s="3" t="s">
        <v>158</v>
      </c>
      <c r="B64" s="29">
        <f>COUNTIF(Report_Données!D:E,Classement[[#This Row],[Equipe]])+Classement[[#This Row],[Colonne3]]</f>
        <v>14</v>
      </c>
      <c r="C64" s="29">
        <f>SUMPRODUCT(Report[But Dom]*(Report[Domicile]=Classement[[#This Row],[Equipe]]))+SUMPRODUCT(Report[But Ext]*(Report[Extérieur]=Classement[[#This Row],[Equipe]]))+Classement[[#This Row],[Colonne1]]</f>
        <v>16</v>
      </c>
      <c r="D64" s="29">
        <f>SUMPRODUCT(Report[But Ext]*(Report[Domicile]=Classement[[#This Row],[Equipe]]))+SUMPRODUCT(Report[But Dom]*(Report[Extérieur]=Classement[[#This Row],[Equipe]]))+Classement[[#This Row],[Colonne2]]</f>
        <v>22</v>
      </c>
      <c r="E64" s="96">
        <v>13</v>
      </c>
      <c r="F64" s="96">
        <v>16</v>
      </c>
      <c r="G64" s="96">
        <v>21</v>
      </c>
      <c r="H64" s="96">
        <f>IF(Classement[[#This Row],[Equipe]]=Report_Données!$D:$D,SUM(Report_Données!$P:$P),3)</f>
        <v>3</v>
      </c>
    </row>
    <row r="65" spans="1:8" ht="20.100000000000001" customHeight="1" x14ac:dyDescent="0.25">
      <c r="A65" s="3" t="s">
        <v>159</v>
      </c>
      <c r="B65" s="29">
        <f>COUNTIF(Report_Données!D:E,Classement[[#This Row],[Equipe]])+Classement[[#This Row],[Colonne3]]</f>
        <v>14</v>
      </c>
      <c r="C65" s="29">
        <f>SUMPRODUCT(Report[But Dom]*(Report[Domicile]=Classement[[#This Row],[Equipe]]))+SUMPRODUCT(Report[But Ext]*(Report[Extérieur]=Classement[[#This Row],[Equipe]]))+Classement[[#This Row],[Colonne1]]</f>
        <v>24</v>
      </c>
      <c r="D65" s="29">
        <f>SUMPRODUCT(Report[But Ext]*(Report[Domicile]=Classement[[#This Row],[Equipe]]))+SUMPRODUCT(Report[But Dom]*(Report[Extérieur]=Classement[[#This Row],[Equipe]]))+Classement[[#This Row],[Colonne2]]</f>
        <v>16</v>
      </c>
      <c r="E65" s="96">
        <v>13</v>
      </c>
      <c r="F65" s="96">
        <v>22</v>
      </c>
      <c r="G65" s="96">
        <v>15</v>
      </c>
      <c r="H65" s="96">
        <f>IF(Classement[[#This Row],[Equipe]]=Report_Données!$D:$D,SUM(Report_Données!$P:$P),3)</f>
        <v>3</v>
      </c>
    </row>
    <row r="66" spans="1:8" ht="20.100000000000001" customHeight="1" x14ac:dyDescent="0.25">
      <c r="A66" s="3" t="s">
        <v>160</v>
      </c>
      <c r="B66" s="29">
        <f>COUNTIF(Report_Données!D:E,Classement[[#This Row],[Equipe]])+Classement[[#This Row],[Colonne3]]</f>
        <v>14</v>
      </c>
      <c r="C66" s="29">
        <f>SUMPRODUCT(Report[But Dom]*(Report[Domicile]=Classement[[#This Row],[Equipe]]))+SUMPRODUCT(Report[But Ext]*(Report[Extérieur]=Classement[[#This Row],[Equipe]]))+Classement[[#This Row],[Colonne1]]</f>
        <v>17</v>
      </c>
      <c r="D66" s="29">
        <f>SUMPRODUCT(Report[But Ext]*(Report[Domicile]=Classement[[#This Row],[Equipe]]))+SUMPRODUCT(Report[But Dom]*(Report[Extérieur]=Classement[[#This Row],[Equipe]]))+Classement[[#This Row],[Colonne2]]</f>
        <v>21</v>
      </c>
      <c r="E66" s="96">
        <v>13</v>
      </c>
      <c r="F66" s="96">
        <v>17</v>
      </c>
      <c r="G66" s="96">
        <v>18</v>
      </c>
      <c r="H66" s="96">
        <f>IF(Classement[[#This Row],[Equipe]]=Report_Données!$D:$D,SUM(Report_Données!$P:$P),3)</f>
        <v>3</v>
      </c>
    </row>
    <row r="67" spans="1:8" ht="20.100000000000001" customHeight="1" x14ac:dyDescent="0.25">
      <c r="A67" s="3" t="s">
        <v>161</v>
      </c>
      <c r="B67" s="29">
        <f>COUNTIF(Report_Données!D:E,Classement[[#This Row],[Equipe]])+Classement[[#This Row],[Colonne3]]</f>
        <v>14</v>
      </c>
      <c r="C67" s="29">
        <f>SUMPRODUCT(Report[But Dom]*(Report[Domicile]=Classement[[#This Row],[Equipe]]))+SUMPRODUCT(Report[But Ext]*(Report[Extérieur]=Classement[[#This Row],[Equipe]]))+Classement[[#This Row],[Colonne1]]</f>
        <v>19</v>
      </c>
      <c r="D67" s="29">
        <f>SUMPRODUCT(Report[But Ext]*(Report[Domicile]=Classement[[#This Row],[Equipe]]))+SUMPRODUCT(Report[But Dom]*(Report[Extérieur]=Classement[[#This Row],[Equipe]]))+Classement[[#This Row],[Colonne2]]</f>
        <v>20</v>
      </c>
      <c r="E67" s="96">
        <v>13</v>
      </c>
      <c r="F67" s="96">
        <v>17</v>
      </c>
      <c r="G67" s="96">
        <v>20</v>
      </c>
      <c r="H67" s="96">
        <f>IF(Classement[[#This Row],[Equipe]]=Report_Données!$D:$D,SUM(Report_Données!$P:$P),3)</f>
        <v>3</v>
      </c>
    </row>
    <row r="68" spans="1:8" ht="20.100000000000001" customHeight="1" x14ac:dyDescent="0.25">
      <c r="A68" s="3" t="s">
        <v>162</v>
      </c>
      <c r="B68" s="29">
        <f>COUNTIF(Report_Données!D:E,Classement[[#This Row],[Equipe]])+Classement[[#This Row],[Colonne3]]</f>
        <v>14</v>
      </c>
      <c r="C68" s="29">
        <f>SUMPRODUCT(Report[But Dom]*(Report[Domicile]=Classement[[#This Row],[Equipe]]))+SUMPRODUCT(Report[But Ext]*(Report[Extérieur]=Classement[[#This Row],[Equipe]]))+Classement[[#This Row],[Colonne1]]</f>
        <v>13</v>
      </c>
      <c r="D68" s="29">
        <f>SUMPRODUCT(Report[But Ext]*(Report[Domicile]=Classement[[#This Row],[Equipe]]))+SUMPRODUCT(Report[But Dom]*(Report[Extérieur]=Classement[[#This Row],[Equipe]]))+Classement[[#This Row],[Colonne2]]</f>
        <v>20</v>
      </c>
      <c r="E68" s="96">
        <v>13</v>
      </c>
      <c r="F68" s="96">
        <v>12</v>
      </c>
      <c r="G68" s="96">
        <v>20</v>
      </c>
      <c r="H68" s="96">
        <f>IF(Classement[[#This Row],[Equipe]]=Report_Données!$D:$D,SUM(Report_Données!$P:$P),3)</f>
        <v>3</v>
      </c>
    </row>
    <row r="69" spans="1:8" ht="20.100000000000001" customHeight="1" x14ac:dyDescent="0.25">
      <c r="A69" s="3" t="s">
        <v>163</v>
      </c>
      <c r="B69" s="29">
        <f>COUNTIF(Report_Données!D:E,Classement[[#This Row],[Equipe]])+Classement[[#This Row],[Colonne3]]</f>
        <v>14</v>
      </c>
      <c r="C69" s="29">
        <f>SUMPRODUCT(Report[But Dom]*(Report[Domicile]=Classement[[#This Row],[Equipe]]))+SUMPRODUCT(Report[But Ext]*(Report[Extérieur]=Classement[[#This Row],[Equipe]]))+Classement[[#This Row],[Colonne1]]</f>
        <v>35</v>
      </c>
      <c r="D69" s="29">
        <f>SUMPRODUCT(Report[But Ext]*(Report[Domicile]=Classement[[#This Row],[Equipe]]))+SUMPRODUCT(Report[But Dom]*(Report[Extérieur]=Classement[[#This Row],[Equipe]]))+Classement[[#This Row],[Colonne2]]</f>
        <v>18</v>
      </c>
      <c r="E69" s="96">
        <v>13</v>
      </c>
      <c r="F69" s="96">
        <v>32</v>
      </c>
      <c r="G69" s="96">
        <v>18</v>
      </c>
      <c r="H69" s="96">
        <f>IF(Classement[[#This Row],[Equipe]]=Report_Données!$D:$D,SUM(Report_Données!$P:$P),3)</f>
        <v>3</v>
      </c>
    </row>
    <row r="70" spans="1:8" ht="20.100000000000001" customHeight="1" x14ac:dyDescent="0.25">
      <c r="A70" s="3" t="s">
        <v>164</v>
      </c>
      <c r="B70" s="29">
        <f>COUNTIF(Report_Données!D:E,Classement[[#This Row],[Equipe]])+Classement[[#This Row],[Colonne3]]</f>
        <v>14</v>
      </c>
      <c r="C70" s="29">
        <f>SUMPRODUCT(Report[But Dom]*(Report[Domicile]=Classement[[#This Row],[Equipe]]))+SUMPRODUCT(Report[But Ext]*(Report[Extérieur]=Classement[[#This Row],[Equipe]]))+Classement[[#This Row],[Colonne1]]</f>
        <v>19</v>
      </c>
      <c r="D70" s="29">
        <f>SUMPRODUCT(Report[But Ext]*(Report[Domicile]=Classement[[#This Row],[Equipe]]))+SUMPRODUCT(Report[But Dom]*(Report[Extérieur]=Classement[[#This Row],[Equipe]]))+Classement[[#This Row],[Colonne2]]</f>
        <v>20</v>
      </c>
      <c r="E70" s="96">
        <v>13</v>
      </c>
      <c r="F70" s="96">
        <v>16</v>
      </c>
      <c r="G70" s="96">
        <v>18</v>
      </c>
      <c r="H70" s="96">
        <f>IF(Classement[[#This Row],[Equipe]]=Report_Données!$D:$D,SUM(Report_Données!$P:$P),3)</f>
        <v>3</v>
      </c>
    </row>
    <row r="71" spans="1:8" ht="20.100000000000001" customHeight="1" x14ac:dyDescent="0.25">
      <c r="A71" s="3" t="s">
        <v>165</v>
      </c>
      <c r="B71" s="29">
        <f>COUNTIF(Report_Données!D:E,Classement[[#This Row],[Equipe]])+Classement[[#This Row],[Colonne3]]</f>
        <v>14</v>
      </c>
      <c r="C71" s="29">
        <f>SUMPRODUCT(Report[But Dom]*(Report[Domicile]=Classement[[#This Row],[Equipe]]))+SUMPRODUCT(Report[But Ext]*(Report[Extérieur]=Classement[[#This Row],[Equipe]]))+Classement[[#This Row],[Colonne1]]</f>
        <v>19</v>
      </c>
      <c r="D71" s="29">
        <f>SUMPRODUCT(Report[But Ext]*(Report[Domicile]=Classement[[#This Row],[Equipe]]))+SUMPRODUCT(Report[But Dom]*(Report[Extérieur]=Classement[[#This Row],[Equipe]]))+Classement[[#This Row],[Colonne2]]</f>
        <v>14</v>
      </c>
      <c r="E71" s="96">
        <v>13</v>
      </c>
      <c r="F71" s="96">
        <v>17</v>
      </c>
      <c r="G71" s="96">
        <v>12</v>
      </c>
      <c r="H71" s="96">
        <f>IF(Classement[[#This Row],[Equipe]]=Report_Données!$D:$D,SUM(Report_Données!$P:$P),3)</f>
        <v>3</v>
      </c>
    </row>
    <row r="72" spans="1:8" ht="20.100000000000001" customHeight="1" x14ac:dyDescent="0.25">
      <c r="A72" s="3" t="s">
        <v>166</v>
      </c>
      <c r="B72" s="29">
        <f>COUNTIF(Report_Données!D:E,Classement[[#This Row],[Equipe]])+Classement[[#This Row],[Colonne3]]</f>
        <v>14</v>
      </c>
      <c r="C72" s="29">
        <f>SUMPRODUCT(Report[But Dom]*(Report[Domicile]=Classement[[#This Row],[Equipe]]))+SUMPRODUCT(Report[But Ext]*(Report[Extérieur]=Classement[[#This Row],[Equipe]]))+Classement[[#This Row],[Colonne1]]</f>
        <v>21</v>
      </c>
      <c r="D72" s="29">
        <f>SUMPRODUCT(Report[But Ext]*(Report[Domicile]=Classement[[#This Row],[Equipe]]))+SUMPRODUCT(Report[But Dom]*(Report[Extérieur]=Classement[[#This Row],[Equipe]]))+Classement[[#This Row],[Colonne2]]</f>
        <v>19</v>
      </c>
      <c r="E72" s="96">
        <v>13</v>
      </c>
      <c r="F72" s="96">
        <v>20</v>
      </c>
      <c r="G72" s="96">
        <v>14</v>
      </c>
      <c r="H72" s="96">
        <f>IF(Classement[[#This Row],[Equipe]]=Report_Données!$D:$D,SUM(Report_Données!$P:$P),3)</f>
        <v>3</v>
      </c>
    </row>
    <row r="73" spans="1:8" ht="20.100000000000001" customHeight="1" x14ac:dyDescent="0.25">
      <c r="A73" s="3" t="s">
        <v>167</v>
      </c>
      <c r="B73" s="29">
        <f>COUNTIF(Report_Données!D:E,Classement[[#This Row],[Equipe]])+Classement[[#This Row],[Colonne3]]</f>
        <v>14</v>
      </c>
      <c r="C73" s="29">
        <f>SUMPRODUCT(Report[But Dom]*(Report[Domicile]=Classement[[#This Row],[Equipe]]))+SUMPRODUCT(Report[But Ext]*(Report[Extérieur]=Classement[[#This Row],[Equipe]]))+Classement[[#This Row],[Colonne1]]</f>
        <v>13</v>
      </c>
      <c r="D73" s="29">
        <f>SUMPRODUCT(Report[But Ext]*(Report[Domicile]=Classement[[#This Row],[Equipe]]))+SUMPRODUCT(Report[But Dom]*(Report[Extérieur]=Classement[[#This Row],[Equipe]]))+Classement[[#This Row],[Colonne2]]</f>
        <v>29</v>
      </c>
      <c r="E73" s="96">
        <v>13</v>
      </c>
      <c r="F73" s="96">
        <v>13</v>
      </c>
      <c r="G73" s="96">
        <v>27</v>
      </c>
      <c r="H73" s="96">
        <f>IF(Classement[[#This Row],[Equipe]]=Report_Données!$D:$D,SUM(Report_Données!$P:$P),3)</f>
        <v>3</v>
      </c>
    </row>
    <row r="74" spans="1:8" ht="20.100000000000001" customHeight="1" x14ac:dyDescent="0.25">
      <c r="A74" s="3" t="s">
        <v>168</v>
      </c>
      <c r="B74" s="29">
        <f>COUNTIF(Report_Données!D:E,Classement[[#This Row],[Equipe]])+Classement[[#This Row],[Colonne3]]</f>
        <v>14</v>
      </c>
      <c r="C74" s="29">
        <f>SUMPRODUCT(Report[But Dom]*(Report[Domicile]=Classement[[#This Row],[Equipe]]))+SUMPRODUCT(Report[But Ext]*(Report[Extérieur]=Classement[[#This Row],[Equipe]]))+Classement[[#This Row],[Colonne1]]</f>
        <v>24</v>
      </c>
      <c r="D74" s="29">
        <f>SUMPRODUCT(Report[But Ext]*(Report[Domicile]=Classement[[#This Row],[Equipe]]))+SUMPRODUCT(Report[But Dom]*(Report[Extérieur]=Classement[[#This Row],[Equipe]]))+Classement[[#This Row],[Colonne2]]</f>
        <v>22</v>
      </c>
      <c r="E74" s="96">
        <v>13</v>
      </c>
      <c r="F74" s="96">
        <v>22</v>
      </c>
      <c r="G74" s="96">
        <v>21</v>
      </c>
      <c r="H74" s="96">
        <f>IF(Classement[[#This Row],[Equipe]]=Report_Données!$D:$D,SUM(Report_Données!$P:$P),3)</f>
        <v>3</v>
      </c>
    </row>
    <row r="75" spans="1:8" ht="20.100000000000001" customHeight="1" x14ac:dyDescent="0.25">
      <c r="A75" s="3" t="s">
        <v>169</v>
      </c>
      <c r="B75" s="29">
        <f>COUNTIF(Report_Données!D:E,Classement[[#This Row],[Equipe]])+Classement[[#This Row],[Colonne3]]</f>
        <v>14</v>
      </c>
      <c r="C75" s="29">
        <f>SUMPRODUCT(Report[But Dom]*(Report[Domicile]=Classement[[#This Row],[Equipe]]))+SUMPRODUCT(Report[But Ext]*(Report[Extérieur]=Classement[[#This Row],[Equipe]]))+Classement[[#This Row],[Colonne1]]</f>
        <v>18</v>
      </c>
      <c r="D75" s="29">
        <f>SUMPRODUCT(Report[But Ext]*(Report[Domicile]=Classement[[#This Row],[Equipe]]))+SUMPRODUCT(Report[But Dom]*(Report[Extérieur]=Classement[[#This Row],[Equipe]]))+Classement[[#This Row],[Colonne2]]</f>
        <v>27</v>
      </c>
      <c r="E75" s="96">
        <v>13</v>
      </c>
      <c r="F75" s="96">
        <v>16</v>
      </c>
      <c r="G75" s="96">
        <v>24</v>
      </c>
      <c r="H75" s="96">
        <f>IF(Classement[[#This Row],[Equipe]]=Report_Données!$D:$D,SUM(Report_Données!$P:$P),3)</f>
        <v>3</v>
      </c>
    </row>
    <row r="76" spans="1:8" ht="20.100000000000001" customHeight="1" x14ac:dyDescent="0.25">
      <c r="A76" s="3" t="s">
        <v>170</v>
      </c>
      <c r="B76" s="29">
        <f>COUNTIF(Report_Données!D:E,Classement[[#This Row],[Equipe]])+Classement[[#This Row],[Colonne3]]</f>
        <v>14</v>
      </c>
      <c r="C76" s="29">
        <f>SUMPRODUCT(Report[But Dom]*(Report[Domicile]=Classement[[#This Row],[Equipe]]))+SUMPRODUCT(Report[But Ext]*(Report[Extérieur]=Classement[[#This Row],[Equipe]]))+Classement[[#This Row],[Colonne1]]</f>
        <v>31</v>
      </c>
      <c r="D76" s="29">
        <f>SUMPRODUCT(Report[But Ext]*(Report[Domicile]=Classement[[#This Row],[Equipe]]))+SUMPRODUCT(Report[But Dom]*(Report[Extérieur]=Classement[[#This Row],[Equipe]]))+Classement[[#This Row],[Colonne2]]</f>
        <v>25</v>
      </c>
      <c r="E76" s="96">
        <v>13</v>
      </c>
      <c r="F76" s="96">
        <v>26</v>
      </c>
      <c r="G76" s="96">
        <v>24</v>
      </c>
      <c r="H76" s="96">
        <f>IF(Classement[[#This Row],[Equipe]]=Report_Données!$D:$D,SUM(Report_Données!$P:$P),3)</f>
        <v>3</v>
      </c>
    </row>
    <row r="77" spans="1:8" ht="20.100000000000001" customHeight="1" x14ac:dyDescent="0.25">
      <c r="A77" s="3" t="s">
        <v>171</v>
      </c>
      <c r="B77" s="29">
        <f>COUNTIF(Report_Données!D:E,Classement[[#This Row],[Equipe]])+Classement[[#This Row],[Colonne3]]</f>
        <v>14</v>
      </c>
      <c r="C77" s="29">
        <f>SUMPRODUCT(Report[But Dom]*(Report[Domicile]=Classement[[#This Row],[Equipe]]))+SUMPRODUCT(Report[But Ext]*(Report[Extérieur]=Classement[[#This Row],[Equipe]]))+Classement[[#This Row],[Colonne1]]</f>
        <v>25</v>
      </c>
      <c r="D77" s="29">
        <f>SUMPRODUCT(Report[But Ext]*(Report[Domicile]=Classement[[#This Row],[Equipe]]))+SUMPRODUCT(Report[But Dom]*(Report[Extérieur]=Classement[[#This Row],[Equipe]]))+Classement[[#This Row],[Colonne2]]</f>
        <v>21</v>
      </c>
      <c r="E77" s="96">
        <v>13</v>
      </c>
      <c r="F77" s="96">
        <v>24</v>
      </c>
      <c r="G77" s="96">
        <v>20</v>
      </c>
      <c r="H77" s="96">
        <f>IF(Classement[[#This Row],[Equipe]]=Report_Données!$D:$D,SUM(Report_Données!$P:$P),3)</f>
        <v>3</v>
      </c>
    </row>
    <row r="78" spans="1:8" ht="20.100000000000001" customHeight="1" x14ac:dyDescent="0.25">
      <c r="A78" s="3" t="s">
        <v>172</v>
      </c>
      <c r="B78" s="29">
        <f>COUNTIF(Report_Données!D:E,Classement[[#This Row],[Equipe]])+Classement[[#This Row],[Colonne3]]</f>
        <v>14</v>
      </c>
      <c r="C78" s="29">
        <f>SUMPRODUCT(Report[But Dom]*(Report[Domicile]=Classement[[#This Row],[Equipe]]))+SUMPRODUCT(Report[But Ext]*(Report[Extérieur]=Classement[[#This Row],[Equipe]]))+Classement[[#This Row],[Colonne1]]</f>
        <v>14</v>
      </c>
      <c r="D78" s="29">
        <f>SUMPRODUCT(Report[But Ext]*(Report[Domicile]=Classement[[#This Row],[Equipe]]))+SUMPRODUCT(Report[But Dom]*(Report[Extérieur]=Classement[[#This Row],[Equipe]]))+Classement[[#This Row],[Colonne2]]</f>
        <v>22</v>
      </c>
      <c r="E78" s="96">
        <v>13</v>
      </c>
      <c r="F78" s="96">
        <v>13</v>
      </c>
      <c r="G78" s="96">
        <v>20</v>
      </c>
      <c r="H78" s="96">
        <f>IF(Classement[[#This Row],[Equipe]]=Report_Données!$D:$D,SUM(Report_Données!$P:$P),3)</f>
        <v>3</v>
      </c>
    </row>
    <row r="79" spans="1:8" ht="20.100000000000001" customHeight="1" x14ac:dyDescent="0.25">
      <c r="A79" s="3" t="s">
        <v>173</v>
      </c>
      <c r="B79" s="29">
        <f>COUNTIF(Report_Données!D:E,Classement[[#This Row],[Equipe]])+Classement[[#This Row],[Colonne3]]</f>
        <v>14</v>
      </c>
      <c r="C79" s="29">
        <f>SUMPRODUCT(Report[But Dom]*(Report[Domicile]=Classement[[#This Row],[Equipe]]))+SUMPRODUCT(Report[But Ext]*(Report[Extérieur]=Classement[[#This Row],[Equipe]]))+Classement[[#This Row],[Colonne1]]</f>
        <v>20</v>
      </c>
      <c r="D79" s="29">
        <f>SUMPRODUCT(Report[But Ext]*(Report[Domicile]=Classement[[#This Row],[Equipe]]))+SUMPRODUCT(Report[But Dom]*(Report[Extérieur]=Classement[[#This Row],[Equipe]]))+Classement[[#This Row],[Colonne2]]</f>
        <v>19</v>
      </c>
      <c r="E79" s="96">
        <v>13</v>
      </c>
      <c r="F79" s="96">
        <v>19</v>
      </c>
      <c r="G79" s="96">
        <v>18</v>
      </c>
      <c r="H79" s="96">
        <f>IF(Classement[[#This Row],[Equipe]]=Report_Données!$D:$D,SUM(Report_Données!$P:$P),3)</f>
        <v>3</v>
      </c>
    </row>
    <row r="80" spans="1:8" ht="20.100000000000001" customHeight="1" x14ac:dyDescent="0.25">
      <c r="A80" s="3" t="s">
        <v>174</v>
      </c>
      <c r="B80" s="29">
        <f>COUNTIF(Report_Données!D:E,Classement[[#This Row],[Equipe]])+Classement[[#This Row],[Colonne3]]</f>
        <v>14</v>
      </c>
      <c r="C80" s="29">
        <f>SUMPRODUCT(Report[But Dom]*(Report[Domicile]=Classement[[#This Row],[Equipe]]))+SUMPRODUCT(Report[But Ext]*(Report[Extérieur]=Classement[[#This Row],[Equipe]]))+Classement[[#This Row],[Colonne1]]</f>
        <v>21</v>
      </c>
      <c r="D80" s="29">
        <f>SUMPRODUCT(Report[But Ext]*(Report[Domicile]=Classement[[#This Row],[Equipe]]))+SUMPRODUCT(Report[But Dom]*(Report[Extérieur]=Classement[[#This Row],[Equipe]]))+Classement[[#This Row],[Colonne2]]</f>
        <v>10</v>
      </c>
      <c r="E80" s="96">
        <v>13</v>
      </c>
      <c r="F80" s="96">
        <v>19</v>
      </c>
      <c r="G80" s="96">
        <v>8</v>
      </c>
      <c r="H80" s="96">
        <f>IF(Classement[[#This Row],[Equipe]]=Report_Données!$D:$D,SUM(Report_Données!$P:$P),3)</f>
        <v>3</v>
      </c>
    </row>
    <row r="81" spans="1:11" ht="20.100000000000001" customHeight="1" x14ac:dyDescent="0.25">
      <c r="A81" s="28"/>
      <c r="B81" s="30"/>
      <c r="C81" s="30"/>
      <c r="D81" s="30"/>
      <c r="E81" s="96"/>
      <c r="F81" s="96"/>
      <c r="G81" s="96"/>
      <c r="H81" s="96">
        <f>IF(Classement[[#This Row],[Equipe]]=Report_Données!$D:$D,SUM(Report_Données!$P:$P),3)</f>
        <v>3</v>
      </c>
    </row>
    <row r="82" spans="1:11" ht="20.100000000000001" customHeight="1" x14ac:dyDescent="0.25">
      <c r="A82" s="3" t="s">
        <v>175</v>
      </c>
      <c r="B82" s="29">
        <f>COUNTIF(Report_Données!D:E,Classement[[#This Row],[Equipe]])+Classement[[#This Row],[Colonne3]]</f>
        <v>13</v>
      </c>
      <c r="C82" s="29">
        <f>SUMPRODUCT(Report[But Dom]*(Report[Domicile]=Classement[[#This Row],[Equipe]]))+SUMPRODUCT(Report[But Ext]*(Report[Extérieur]=Classement[[#This Row],[Equipe]]))+Classement[[#This Row],[Colonne1]]</f>
        <v>28</v>
      </c>
      <c r="D82" s="29">
        <f>SUMPRODUCT(Report[But Ext]*(Report[Domicile]=Classement[[#This Row],[Equipe]]))+SUMPRODUCT(Report[But Dom]*(Report[Extérieur]=Classement[[#This Row],[Equipe]]))+Classement[[#This Row],[Colonne2]]</f>
        <v>16</v>
      </c>
      <c r="E82" s="96">
        <v>12</v>
      </c>
      <c r="F82" s="96">
        <v>26</v>
      </c>
      <c r="G82" s="96">
        <v>15</v>
      </c>
      <c r="H82" s="96">
        <f>IF(Classement[[#This Row],[Equipe]]=Report_Données!$D:$D,SUM(Report_Données!$P:$P),3)</f>
        <v>3</v>
      </c>
      <c r="K82" s="36"/>
    </row>
    <row r="83" spans="1:11" ht="20.100000000000001" customHeight="1" x14ac:dyDescent="0.25">
      <c r="A83" s="3" t="s">
        <v>176</v>
      </c>
      <c r="B83" s="29">
        <f>COUNTIF(Report_Données!D:E,Classement[[#This Row],[Equipe]])+Classement[[#This Row],[Colonne3]]</f>
        <v>13</v>
      </c>
      <c r="C83" s="29">
        <f>SUMPRODUCT(Report[But Dom]*(Report[Domicile]=Classement[[#This Row],[Equipe]]))+SUMPRODUCT(Report[But Ext]*(Report[Extérieur]=Classement[[#This Row],[Equipe]]))+Classement[[#This Row],[Colonne1]]</f>
        <v>22</v>
      </c>
      <c r="D83" s="29">
        <f>SUMPRODUCT(Report[But Ext]*(Report[Domicile]=Classement[[#This Row],[Equipe]]))+SUMPRODUCT(Report[But Dom]*(Report[Extérieur]=Classement[[#This Row],[Equipe]]))+Classement[[#This Row],[Colonne2]]</f>
        <v>18</v>
      </c>
      <c r="E83" s="96">
        <v>12</v>
      </c>
      <c r="F83" s="96">
        <v>21</v>
      </c>
      <c r="G83" s="96">
        <v>16</v>
      </c>
      <c r="H83" s="96">
        <f>IF(Classement[[#This Row],[Equipe]]=Report_Données!$D:$D,SUM(Report_Données!$P:$P),3)</f>
        <v>3</v>
      </c>
      <c r="K83" s="37"/>
    </row>
    <row r="84" spans="1:11" ht="20.100000000000001" customHeight="1" x14ac:dyDescent="0.25">
      <c r="A84" s="3" t="s">
        <v>177</v>
      </c>
      <c r="B84" s="29">
        <f>COUNTIF(Report_Données!D:E,Classement[[#This Row],[Equipe]])+Classement[[#This Row],[Colonne3]]</f>
        <v>13</v>
      </c>
      <c r="C84" s="29">
        <f>SUMPRODUCT(Report[But Dom]*(Report[Domicile]=Classement[[#This Row],[Equipe]]))+SUMPRODUCT(Report[But Ext]*(Report[Extérieur]=Classement[[#This Row],[Equipe]]))+Classement[[#This Row],[Colonne1]]</f>
        <v>14</v>
      </c>
      <c r="D84" s="29">
        <f>SUMPRODUCT(Report[But Ext]*(Report[Domicile]=Classement[[#This Row],[Equipe]]))+SUMPRODUCT(Report[But Dom]*(Report[Extérieur]=Classement[[#This Row],[Equipe]]))+Classement[[#This Row],[Colonne2]]</f>
        <v>19</v>
      </c>
      <c r="E84" s="96">
        <v>12</v>
      </c>
      <c r="F84" s="96">
        <v>13</v>
      </c>
      <c r="G84" s="96">
        <v>18</v>
      </c>
      <c r="H84" s="96">
        <f>IF(Classement[[#This Row],[Equipe]]=Report_Données!$D:$D,SUM(Report_Données!$P:$P),3)</f>
        <v>3</v>
      </c>
      <c r="K84" s="37"/>
    </row>
    <row r="85" spans="1:11" ht="20.100000000000001" customHeight="1" x14ac:dyDescent="0.25">
      <c r="A85" s="3" t="s">
        <v>178</v>
      </c>
      <c r="B85" s="29">
        <f>COUNTIF(Report_Données!D:E,Classement[[#This Row],[Equipe]])+Classement[[#This Row],[Colonne3]]</f>
        <v>13</v>
      </c>
      <c r="C85" s="29">
        <f>SUMPRODUCT(Report[But Dom]*(Report[Domicile]=Classement[[#This Row],[Equipe]]))+SUMPRODUCT(Report[But Ext]*(Report[Extérieur]=Classement[[#This Row],[Equipe]]))+Classement[[#This Row],[Colonne1]]</f>
        <v>13</v>
      </c>
      <c r="D85" s="29">
        <f>SUMPRODUCT(Report[But Ext]*(Report[Domicile]=Classement[[#This Row],[Equipe]]))+SUMPRODUCT(Report[But Dom]*(Report[Extérieur]=Classement[[#This Row],[Equipe]]))+Classement[[#This Row],[Colonne2]]</f>
        <v>27</v>
      </c>
      <c r="E85" s="96">
        <v>12</v>
      </c>
      <c r="F85" s="96">
        <v>12</v>
      </c>
      <c r="G85" s="96">
        <v>25</v>
      </c>
      <c r="H85" s="96">
        <f>IF(Classement[[#This Row],[Equipe]]=Report_Données!$D:$D,SUM(Report_Données!$P:$P),3)</f>
        <v>3</v>
      </c>
      <c r="K85" s="37"/>
    </row>
    <row r="86" spans="1:11" ht="20.100000000000001" customHeight="1" x14ac:dyDescent="0.25">
      <c r="A86" s="3" t="s">
        <v>179</v>
      </c>
      <c r="B86" s="29">
        <f>COUNTIF(Report_Données!D:E,Classement[[#This Row],[Equipe]])+Classement[[#This Row],[Colonne3]]</f>
        <v>13</v>
      </c>
      <c r="C86" s="29">
        <f>SUMPRODUCT(Report[But Dom]*(Report[Domicile]=Classement[[#This Row],[Equipe]]))+SUMPRODUCT(Report[But Ext]*(Report[Extérieur]=Classement[[#This Row],[Equipe]]))+Classement[[#This Row],[Colonne1]]</f>
        <v>11</v>
      </c>
      <c r="D86" s="29">
        <f>SUMPRODUCT(Report[But Ext]*(Report[Domicile]=Classement[[#This Row],[Equipe]]))+SUMPRODUCT(Report[But Dom]*(Report[Extérieur]=Classement[[#This Row],[Equipe]]))+Classement[[#This Row],[Colonne2]]</f>
        <v>26</v>
      </c>
      <c r="E86" s="96">
        <v>12</v>
      </c>
      <c r="F86" s="96">
        <v>11</v>
      </c>
      <c r="G86" s="96">
        <v>25</v>
      </c>
      <c r="H86" s="96">
        <f>IF(Classement[[#This Row],[Equipe]]=Report_Données!$D:$D,SUM(Report_Données!$P:$P),3)</f>
        <v>3</v>
      </c>
      <c r="K86" s="37"/>
    </row>
    <row r="87" spans="1:11" ht="20.100000000000001" customHeight="1" x14ac:dyDescent="0.25">
      <c r="A87" s="3" t="s">
        <v>180</v>
      </c>
      <c r="B87" s="29">
        <f>COUNTIF(Report_Données!D:E,Classement[[#This Row],[Equipe]])+Classement[[#This Row],[Colonne3]]</f>
        <v>13</v>
      </c>
      <c r="C87" s="29">
        <f>SUMPRODUCT(Report[But Dom]*(Report[Domicile]=Classement[[#This Row],[Equipe]]))+SUMPRODUCT(Report[But Ext]*(Report[Extérieur]=Classement[[#This Row],[Equipe]]))+Classement[[#This Row],[Colonne1]]</f>
        <v>27</v>
      </c>
      <c r="D87" s="29">
        <f>SUMPRODUCT(Report[But Ext]*(Report[Domicile]=Classement[[#This Row],[Equipe]]))+SUMPRODUCT(Report[But Dom]*(Report[Extérieur]=Classement[[#This Row],[Equipe]]))+Classement[[#This Row],[Colonne2]]</f>
        <v>11</v>
      </c>
      <c r="E87" s="96">
        <v>12</v>
      </c>
      <c r="F87" s="96">
        <v>27</v>
      </c>
      <c r="G87" s="96">
        <v>8</v>
      </c>
      <c r="H87" s="96">
        <f>IF(Classement[[#This Row],[Equipe]]=Report_Données!$D:$D,SUM(Report_Données!$P:$P),3)</f>
        <v>3</v>
      </c>
      <c r="K87" s="36"/>
    </row>
    <row r="88" spans="1:11" ht="20.100000000000001" customHeight="1" x14ac:dyDescent="0.25">
      <c r="A88" s="3" t="s">
        <v>181</v>
      </c>
      <c r="B88" s="29">
        <f>COUNTIF(Report_Données!D:E,Classement[[#This Row],[Equipe]])+Classement[[#This Row],[Colonne3]]</f>
        <v>13</v>
      </c>
      <c r="C88" s="29">
        <f>SUMPRODUCT(Report[But Dom]*(Report[Domicile]=Classement[[#This Row],[Equipe]]))+SUMPRODUCT(Report[But Ext]*(Report[Extérieur]=Classement[[#This Row],[Equipe]]))+Classement[[#This Row],[Colonne1]]</f>
        <v>8</v>
      </c>
      <c r="D88" s="29">
        <f>SUMPRODUCT(Report[But Ext]*(Report[Domicile]=Classement[[#This Row],[Equipe]]))+SUMPRODUCT(Report[But Dom]*(Report[Extérieur]=Classement[[#This Row],[Equipe]]))+Classement[[#This Row],[Colonne2]]</f>
        <v>17</v>
      </c>
      <c r="E88" s="96">
        <v>12</v>
      </c>
      <c r="F88" s="96">
        <v>8</v>
      </c>
      <c r="G88" s="96">
        <v>17</v>
      </c>
      <c r="H88" s="96">
        <f>IF(Classement[[#This Row],[Equipe]]=Report_Données!$D:$D,SUM(Report_Données!$P:$P),3)</f>
        <v>3</v>
      </c>
      <c r="K88" s="37"/>
    </row>
    <row r="89" spans="1:11" ht="20.100000000000001" customHeight="1" x14ac:dyDescent="0.25">
      <c r="A89" s="3" t="s">
        <v>182</v>
      </c>
      <c r="B89" s="29">
        <f>COUNTIF(Report_Données!D:E,Classement[[#This Row],[Equipe]])+Classement[[#This Row],[Colonne3]]</f>
        <v>13</v>
      </c>
      <c r="C89" s="29">
        <f>SUMPRODUCT(Report[But Dom]*(Report[Domicile]=Classement[[#This Row],[Equipe]]))+SUMPRODUCT(Report[But Ext]*(Report[Extérieur]=Classement[[#This Row],[Equipe]]))+Classement[[#This Row],[Colonne1]]</f>
        <v>20</v>
      </c>
      <c r="D89" s="29">
        <f>SUMPRODUCT(Report[But Ext]*(Report[Domicile]=Classement[[#This Row],[Equipe]]))+SUMPRODUCT(Report[But Dom]*(Report[Extérieur]=Classement[[#This Row],[Equipe]]))+Classement[[#This Row],[Colonne2]]</f>
        <v>15</v>
      </c>
      <c r="E89" s="96">
        <v>12</v>
      </c>
      <c r="F89" s="96">
        <v>19</v>
      </c>
      <c r="G89" s="96">
        <v>15</v>
      </c>
      <c r="H89" s="96">
        <f>IF(Classement[[#This Row],[Equipe]]=Report_Données!$D:$D,SUM(Report_Données!$P:$P),3)</f>
        <v>3</v>
      </c>
      <c r="K89" s="37"/>
    </row>
    <row r="90" spans="1:11" ht="20.100000000000001" customHeight="1" x14ac:dyDescent="0.25">
      <c r="A90" s="3" t="s">
        <v>183</v>
      </c>
      <c r="B90" s="29">
        <f>COUNTIF(Report_Données!D:E,Classement[[#This Row],[Equipe]])+Classement[[#This Row],[Colonne3]]</f>
        <v>13</v>
      </c>
      <c r="C90" s="29">
        <f>SUMPRODUCT(Report[But Dom]*(Report[Domicile]=Classement[[#This Row],[Equipe]]))+SUMPRODUCT(Report[But Ext]*(Report[Extérieur]=Classement[[#This Row],[Equipe]]))+Classement[[#This Row],[Colonne1]]</f>
        <v>14</v>
      </c>
      <c r="D90" s="29">
        <f>SUMPRODUCT(Report[But Ext]*(Report[Domicile]=Classement[[#This Row],[Equipe]]))+SUMPRODUCT(Report[But Dom]*(Report[Extérieur]=Classement[[#This Row],[Equipe]]))+Classement[[#This Row],[Colonne2]]</f>
        <v>33</v>
      </c>
      <c r="E90" s="96">
        <v>12</v>
      </c>
      <c r="F90" s="96">
        <v>11</v>
      </c>
      <c r="G90" s="96">
        <v>31</v>
      </c>
      <c r="H90" s="96">
        <f>IF(Classement[[#This Row],[Equipe]]=Report_Données!$D:$D,SUM(Report_Données!$P:$P),3)</f>
        <v>3</v>
      </c>
      <c r="K90" s="37"/>
    </row>
    <row r="91" spans="1:11" ht="20.100000000000001" customHeight="1" x14ac:dyDescent="0.25">
      <c r="A91" s="3" t="s">
        <v>184</v>
      </c>
      <c r="B91" s="29">
        <f>COUNTIF(Report_Données!D:E,Classement[[#This Row],[Equipe]])+Classement[[#This Row],[Colonne3]]</f>
        <v>13</v>
      </c>
      <c r="C91" s="29">
        <f>SUMPRODUCT(Report[But Dom]*(Report[Domicile]=Classement[[#This Row],[Equipe]]))+SUMPRODUCT(Report[But Ext]*(Report[Extérieur]=Classement[[#This Row],[Equipe]]))+Classement[[#This Row],[Colonne1]]</f>
        <v>8</v>
      </c>
      <c r="D91" s="29">
        <f>SUMPRODUCT(Report[But Ext]*(Report[Domicile]=Classement[[#This Row],[Equipe]]))+SUMPRODUCT(Report[But Dom]*(Report[Extérieur]=Classement[[#This Row],[Equipe]]))+Classement[[#This Row],[Colonne2]]</f>
        <v>22</v>
      </c>
      <c r="E91" s="96">
        <v>12</v>
      </c>
      <c r="F91" s="96">
        <v>6</v>
      </c>
      <c r="G91" s="96">
        <v>22</v>
      </c>
      <c r="H91" s="96">
        <f>IF(Classement[[#This Row],[Equipe]]=Report_Données!$D:$D,SUM(Report_Données!$P:$P),3)</f>
        <v>3</v>
      </c>
      <c r="K91" s="37"/>
    </row>
    <row r="92" spans="1:11" ht="20.100000000000001" customHeight="1" x14ac:dyDescent="0.25">
      <c r="A92" s="3" t="s">
        <v>185</v>
      </c>
      <c r="B92" s="29">
        <f>COUNTIF(Report_Données!D:E,Classement[[#This Row],[Equipe]])+Classement[[#This Row],[Colonne3]]</f>
        <v>13</v>
      </c>
      <c r="C92" s="29">
        <f>SUMPRODUCT(Report[But Dom]*(Report[Domicile]=Classement[[#This Row],[Equipe]]))+SUMPRODUCT(Report[But Ext]*(Report[Extérieur]=Classement[[#This Row],[Equipe]]))+Classement[[#This Row],[Colonne1]]</f>
        <v>18</v>
      </c>
      <c r="D92" s="29">
        <f>SUMPRODUCT(Report[But Ext]*(Report[Domicile]=Classement[[#This Row],[Equipe]]))+SUMPRODUCT(Report[But Dom]*(Report[Extérieur]=Classement[[#This Row],[Equipe]]))+Classement[[#This Row],[Colonne2]]</f>
        <v>17</v>
      </c>
      <c r="E92" s="96">
        <v>12</v>
      </c>
      <c r="F92" s="96">
        <v>17</v>
      </c>
      <c r="G92" s="96">
        <v>16</v>
      </c>
      <c r="H92" s="96">
        <f>IF(Classement[[#This Row],[Equipe]]=Report_Données!$D:$D,SUM(Report_Données!$P:$P),3)</f>
        <v>3</v>
      </c>
      <c r="K92" s="37"/>
    </row>
    <row r="93" spans="1:11" ht="20.100000000000001" customHeight="1" x14ac:dyDescent="0.25">
      <c r="A93" s="3" t="s">
        <v>186</v>
      </c>
      <c r="B93" s="29">
        <f>COUNTIF(Report_Données!D:E,Classement[[#This Row],[Equipe]])+Classement[[#This Row],[Colonne3]]</f>
        <v>13</v>
      </c>
      <c r="C93" s="29">
        <f>SUMPRODUCT(Report[But Dom]*(Report[Domicile]=Classement[[#This Row],[Equipe]]))+SUMPRODUCT(Report[But Ext]*(Report[Extérieur]=Classement[[#This Row],[Equipe]]))+Classement[[#This Row],[Colonne1]]</f>
        <v>26</v>
      </c>
      <c r="D93" s="29">
        <f>SUMPRODUCT(Report[But Ext]*(Report[Domicile]=Classement[[#This Row],[Equipe]]))+SUMPRODUCT(Report[But Dom]*(Report[Extérieur]=Classement[[#This Row],[Equipe]]))+Classement[[#This Row],[Colonne2]]</f>
        <v>5</v>
      </c>
      <c r="E93" s="96">
        <v>12</v>
      </c>
      <c r="F93" s="96">
        <v>23</v>
      </c>
      <c r="G93" s="96">
        <v>5</v>
      </c>
      <c r="H93" s="96">
        <f>IF(Classement[[#This Row],[Equipe]]=Report_Données!$D:$D,SUM(Report_Données!$P:$P),3)</f>
        <v>3</v>
      </c>
      <c r="K93" s="37"/>
    </row>
    <row r="94" spans="1:11" ht="20.100000000000001" customHeight="1" x14ac:dyDescent="0.25">
      <c r="A94" s="3" t="s">
        <v>187</v>
      </c>
      <c r="B94" s="29">
        <f>COUNTIF(Report_Données!D:E,Classement[[#This Row],[Equipe]])+Classement[[#This Row],[Colonne3]]</f>
        <v>13</v>
      </c>
      <c r="C94" s="29">
        <f>SUMPRODUCT(Report[But Dom]*(Report[Domicile]=Classement[[#This Row],[Equipe]]))+SUMPRODUCT(Report[But Ext]*(Report[Extérieur]=Classement[[#This Row],[Equipe]]))+Classement[[#This Row],[Colonne1]]</f>
        <v>40</v>
      </c>
      <c r="D94" s="29">
        <f>SUMPRODUCT(Report[But Ext]*(Report[Domicile]=Classement[[#This Row],[Equipe]]))+SUMPRODUCT(Report[But Dom]*(Report[Extérieur]=Classement[[#This Row],[Equipe]]))+Classement[[#This Row],[Colonne2]]</f>
        <v>5</v>
      </c>
      <c r="E94" s="96">
        <v>12</v>
      </c>
      <c r="F94" s="96">
        <v>36</v>
      </c>
      <c r="G94" s="96">
        <v>5</v>
      </c>
      <c r="H94" s="96">
        <f>IF(Classement[[#This Row],[Equipe]]=Report_Données!$D:$D,SUM(Report_Données!$P:$P),3)</f>
        <v>3</v>
      </c>
      <c r="K94" s="36"/>
    </row>
    <row r="95" spans="1:11" ht="20.100000000000001" customHeight="1" x14ac:dyDescent="0.25">
      <c r="A95" s="3" t="s">
        <v>188</v>
      </c>
      <c r="B95" s="29">
        <f>COUNTIF(Report_Données!D:E,Classement[[#This Row],[Equipe]])+Classement[[#This Row],[Colonne3]]</f>
        <v>13</v>
      </c>
      <c r="C95" s="29">
        <f>SUMPRODUCT(Report[But Dom]*(Report[Domicile]=Classement[[#This Row],[Equipe]]))+SUMPRODUCT(Report[But Ext]*(Report[Extérieur]=Classement[[#This Row],[Equipe]]))+Classement[[#This Row],[Colonne1]]</f>
        <v>20</v>
      </c>
      <c r="D95" s="29">
        <f>SUMPRODUCT(Report[But Ext]*(Report[Domicile]=Classement[[#This Row],[Equipe]]))+SUMPRODUCT(Report[But Dom]*(Report[Extérieur]=Classement[[#This Row],[Equipe]]))+Classement[[#This Row],[Colonne2]]</f>
        <v>21</v>
      </c>
      <c r="E95" s="96">
        <v>12</v>
      </c>
      <c r="F95" s="96">
        <v>20</v>
      </c>
      <c r="G95" s="96">
        <v>21</v>
      </c>
      <c r="H95" s="96">
        <f>IF(Classement[[#This Row],[Equipe]]=Report_Données!$D:$D,SUM(Report_Données!$P:$P),3)</f>
        <v>3</v>
      </c>
      <c r="K95" s="37"/>
    </row>
    <row r="96" spans="1:11" ht="20.100000000000001" customHeight="1" x14ac:dyDescent="0.25">
      <c r="A96" s="3" t="s">
        <v>189</v>
      </c>
      <c r="B96" s="29">
        <f>COUNTIF(Report_Données!D:E,Classement[[#This Row],[Equipe]])+Classement[[#This Row],[Colonne3]]</f>
        <v>13</v>
      </c>
      <c r="C96" s="29">
        <f>SUMPRODUCT(Report[But Dom]*(Report[Domicile]=Classement[[#This Row],[Equipe]]))+SUMPRODUCT(Report[But Ext]*(Report[Extérieur]=Classement[[#This Row],[Equipe]]))+Classement[[#This Row],[Colonne1]]</f>
        <v>11</v>
      </c>
      <c r="D96" s="29">
        <f>SUMPRODUCT(Report[But Ext]*(Report[Domicile]=Classement[[#This Row],[Equipe]]))+SUMPRODUCT(Report[But Dom]*(Report[Extérieur]=Classement[[#This Row],[Equipe]]))+Classement[[#This Row],[Colonne2]]</f>
        <v>16</v>
      </c>
      <c r="E96" s="96">
        <v>12</v>
      </c>
      <c r="F96" s="96">
        <v>9</v>
      </c>
      <c r="G96" s="96">
        <v>15</v>
      </c>
      <c r="H96" s="96">
        <f>IF(Classement[[#This Row],[Equipe]]=Report_Données!$D:$D,SUM(Report_Données!$P:$P),3)</f>
        <v>3</v>
      </c>
      <c r="K96" s="37"/>
    </row>
    <row r="97" spans="1:14" ht="20.100000000000001" customHeight="1" x14ac:dyDescent="0.25">
      <c r="A97" s="3" t="s">
        <v>190</v>
      </c>
      <c r="B97" s="29">
        <f>COUNTIF(Report_Données!D:E,Classement[[#This Row],[Equipe]])+Classement[[#This Row],[Colonne3]]</f>
        <v>13</v>
      </c>
      <c r="C97" s="29">
        <f>SUMPRODUCT(Report[But Dom]*(Report[Domicile]=Classement[[#This Row],[Equipe]]))+SUMPRODUCT(Report[But Ext]*(Report[Extérieur]=Classement[[#This Row],[Equipe]]))+Classement[[#This Row],[Colonne1]]</f>
        <v>10</v>
      </c>
      <c r="D97" s="29">
        <f>SUMPRODUCT(Report[But Ext]*(Report[Domicile]=Classement[[#This Row],[Equipe]]))+SUMPRODUCT(Report[But Dom]*(Report[Extérieur]=Classement[[#This Row],[Equipe]]))+Classement[[#This Row],[Colonne2]]</f>
        <v>24</v>
      </c>
      <c r="E97" s="96">
        <v>12</v>
      </c>
      <c r="F97" s="96">
        <v>8</v>
      </c>
      <c r="G97" s="96">
        <v>21</v>
      </c>
      <c r="H97" s="96">
        <f>IF(Classement[[#This Row],[Equipe]]=Report_Données!$D:$D,SUM(Report_Données!$P:$P),3)</f>
        <v>3</v>
      </c>
      <c r="K97" s="37"/>
    </row>
    <row r="98" spans="1:14" ht="20.100000000000001" customHeight="1" x14ac:dyDescent="0.25">
      <c r="A98" s="3" t="s">
        <v>191</v>
      </c>
      <c r="B98" s="29">
        <f>COUNTIF(Report_Données!D:E,Classement[[#This Row],[Equipe]])+Classement[[#This Row],[Colonne3]]</f>
        <v>13</v>
      </c>
      <c r="C98" s="29">
        <f>SUMPRODUCT(Report[But Dom]*(Report[Domicile]=Classement[[#This Row],[Equipe]]))+SUMPRODUCT(Report[But Ext]*(Report[Extérieur]=Classement[[#This Row],[Equipe]]))+Classement[[#This Row],[Colonne1]]</f>
        <v>23</v>
      </c>
      <c r="D98" s="29">
        <f>SUMPRODUCT(Report[But Ext]*(Report[Domicile]=Classement[[#This Row],[Equipe]]))+SUMPRODUCT(Report[But Dom]*(Report[Extérieur]=Classement[[#This Row],[Equipe]]))+Classement[[#This Row],[Colonne2]]</f>
        <v>10</v>
      </c>
      <c r="E98" s="96">
        <v>12</v>
      </c>
      <c r="F98" s="96">
        <v>20</v>
      </c>
      <c r="G98" s="96">
        <v>10</v>
      </c>
      <c r="H98" s="96">
        <f>IF(Classement[[#This Row],[Equipe]]=Report_Données!$D:$D,SUM(Report_Données!$P:$P),3)</f>
        <v>3</v>
      </c>
      <c r="K98" s="37"/>
    </row>
    <row r="99" spans="1:14" ht="20.100000000000001" customHeight="1" x14ac:dyDescent="0.25">
      <c r="A99" s="3" t="s">
        <v>192</v>
      </c>
      <c r="B99" s="29">
        <f>COUNTIF(Report_Données!D:E,Classement[[#This Row],[Equipe]])+Classement[[#This Row],[Colonne3]]</f>
        <v>13</v>
      </c>
      <c r="C99" s="29">
        <f>SUMPRODUCT(Report[But Dom]*(Report[Domicile]=Classement[[#This Row],[Equipe]]))+SUMPRODUCT(Report[But Ext]*(Report[Extérieur]=Classement[[#This Row],[Equipe]]))+Classement[[#This Row],[Colonne1]]</f>
        <v>17</v>
      </c>
      <c r="D99" s="29">
        <f>SUMPRODUCT(Report[But Ext]*(Report[Domicile]=Classement[[#This Row],[Equipe]]))+SUMPRODUCT(Report[But Dom]*(Report[Extérieur]=Classement[[#This Row],[Equipe]]))+Classement[[#This Row],[Colonne2]]</f>
        <v>17</v>
      </c>
      <c r="E99" s="96">
        <v>12</v>
      </c>
      <c r="F99" s="96">
        <v>17</v>
      </c>
      <c r="G99" s="96">
        <v>14</v>
      </c>
      <c r="H99" s="96">
        <f>IF(Classement[[#This Row],[Equipe]]=Report_Données!$D:$D,SUM(Report_Données!$P:$P),3)</f>
        <v>3</v>
      </c>
      <c r="K99" s="37"/>
    </row>
    <row r="100" spans="1:14" ht="20.100000000000001" customHeight="1" x14ac:dyDescent="0.25">
      <c r="A100" s="3" t="s">
        <v>193</v>
      </c>
      <c r="B100" s="29">
        <f>COUNTIF(Report_Données!D:E,Classement[[#This Row],[Equipe]])+Classement[[#This Row],[Colonne3]]</f>
        <v>13</v>
      </c>
      <c r="C100" s="29">
        <f>SUMPRODUCT(Report[But Dom]*(Report[Domicile]=Classement[[#This Row],[Equipe]]))+SUMPRODUCT(Report[But Ext]*(Report[Extérieur]=Classement[[#This Row],[Equipe]]))+Classement[[#This Row],[Colonne1]]</f>
        <v>14</v>
      </c>
      <c r="D100" s="29">
        <f>SUMPRODUCT(Report[But Ext]*(Report[Domicile]=Classement[[#This Row],[Equipe]]))+SUMPRODUCT(Report[But Dom]*(Report[Extérieur]=Classement[[#This Row],[Equipe]]))+Classement[[#This Row],[Colonne2]]</f>
        <v>22</v>
      </c>
      <c r="E100" s="96">
        <v>12</v>
      </c>
      <c r="F100" s="96">
        <v>14</v>
      </c>
      <c r="G100" s="96">
        <v>18</v>
      </c>
      <c r="H100" s="96">
        <f>IF(Classement[[#This Row],[Equipe]]=Report_Données!$D:$D,SUM(Report_Données!$P:$P),3)</f>
        <v>3</v>
      </c>
      <c r="K100" s="37"/>
    </row>
    <row r="101" spans="1:14" ht="20.100000000000001" customHeight="1" x14ac:dyDescent="0.25">
      <c r="A101" s="3" t="s">
        <v>194</v>
      </c>
      <c r="B101" s="29">
        <f>COUNTIF(Report_Données!D:E,Classement[[#This Row],[Equipe]])+Classement[[#This Row],[Colonne3]]</f>
        <v>13</v>
      </c>
      <c r="C101" s="29">
        <f>SUMPRODUCT(Report[But Dom]*(Report[Domicile]=Classement[[#This Row],[Equipe]]))+SUMPRODUCT(Report[But Ext]*(Report[Extérieur]=Classement[[#This Row],[Equipe]]))+Classement[[#This Row],[Colonne1]]</f>
        <v>12</v>
      </c>
      <c r="D101" s="29">
        <f>SUMPRODUCT(Report[But Ext]*(Report[Domicile]=Classement[[#This Row],[Equipe]]))+SUMPRODUCT(Report[But Dom]*(Report[Extérieur]=Classement[[#This Row],[Equipe]]))+Classement[[#This Row],[Colonne2]]</f>
        <v>15</v>
      </c>
      <c r="E101" s="96">
        <v>12</v>
      </c>
      <c r="F101" s="96">
        <v>12</v>
      </c>
      <c r="G101" s="96">
        <v>13</v>
      </c>
      <c r="H101" s="96">
        <f>IF(Classement[[#This Row],[Equipe]]=Report_Données!$D:$D,SUM(Report_Données!$P:$P),3)</f>
        <v>3</v>
      </c>
      <c r="K101" s="37"/>
    </row>
    <row r="102" spans="1:14" ht="20.100000000000001" customHeight="1" x14ac:dyDescent="0.25">
      <c r="A102" s="28"/>
      <c r="B102" s="30"/>
      <c r="C102" s="30"/>
      <c r="D102" s="30"/>
      <c r="E102" s="96"/>
      <c r="F102" s="96"/>
      <c r="G102" s="96"/>
      <c r="H102" s="96">
        <f>IF(Classement[[#This Row],[Equipe]]=Report_Données!$D:$D,SUM(Report_Données!$P:$P),3)</f>
        <v>3</v>
      </c>
    </row>
    <row r="103" spans="1:14" ht="20.100000000000001" customHeight="1" x14ac:dyDescent="0.25">
      <c r="A103" s="3" t="s">
        <v>196</v>
      </c>
      <c r="B103" s="29">
        <f>COUNTIF(Report_Données!D:E,Classement[[#This Row],[Equipe]])+Classement[[#This Row],[Colonne3]]</f>
        <v>19</v>
      </c>
      <c r="C103" s="29">
        <f>SUMPRODUCT(Report[But Dom]*(Report[Domicile]=Classement[[#This Row],[Equipe]]))+SUMPRODUCT(Report[But Ext]*(Report[Extérieur]=Classement[[#This Row],[Equipe]]))+Classement[[#This Row],[Colonne1]]</f>
        <v>31</v>
      </c>
      <c r="D103" s="29">
        <f>SUMPRODUCT(Report[But Ext]*(Report[Domicile]=Classement[[#This Row],[Equipe]]))+SUMPRODUCT(Report[But Dom]*(Report[Extérieur]=Classement[[#This Row],[Equipe]]))+Classement[[#This Row],[Colonne2]]</f>
        <v>25</v>
      </c>
      <c r="E103" s="96">
        <v>17</v>
      </c>
      <c r="F103" s="96">
        <v>27</v>
      </c>
      <c r="G103" s="96">
        <v>23</v>
      </c>
      <c r="H103" s="96">
        <f>IF(Classement[[#This Row],[Equipe]]=Report_Données!$D:$D,SUM(Report_Données!$P:$P),3)</f>
        <v>3</v>
      </c>
      <c r="L103" s="31"/>
      <c r="N103" s="3" t="s">
        <v>195</v>
      </c>
    </row>
    <row r="104" spans="1:14" ht="20.100000000000001" customHeight="1" x14ac:dyDescent="0.25">
      <c r="A104" s="3" t="s">
        <v>197</v>
      </c>
      <c r="B104" s="29">
        <f>COUNTIF(Report_Données!D:E,Classement[[#This Row],[Equipe]])+Classement[[#This Row],[Colonne3]]</f>
        <v>19</v>
      </c>
      <c r="C104" s="29">
        <f>SUMPRODUCT(Report[But Dom]*(Report[Domicile]=Classement[[#This Row],[Equipe]]))+SUMPRODUCT(Report[But Ext]*(Report[Extérieur]=Classement[[#This Row],[Equipe]]))+Classement[[#This Row],[Colonne1]]</f>
        <v>25</v>
      </c>
      <c r="D104" s="29">
        <f>SUMPRODUCT(Report[But Ext]*(Report[Domicile]=Classement[[#This Row],[Equipe]]))+SUMPRODUCT(Report[But Dom]*(Report[Extérieur]=Classement[[#This Row],[Equipe]]))+Classement[[#This Row],[Colonne2]]</f>
        <v>24</v>
      </c>
      <c r="E104" s="96">
        <v>17</v>
      </c>
      <c r="F104" s="96">
        <v>23</v>
      </c>
      <c r="G104" s="96">
        <v>20</v>
      </c>
      <c r="H104" s="96">
        <f>IF(Classement[[#This Row],[Equipe]]=Report_Données!$D:$D,SUM(Report_Données!$P:$P),3)</f>
        <v>3</v>
      </c>
      <c r="L104" s="32"/>
      <c r="N104" s="3" t="s">
        <v>195</v>
      </c>
    </row>
    <row r="105" spans="1:14" ht="20.100000000000001" customHeight="1" x14ac:dyDescent="0.25">
      <c r="A105" s="3" t="s">
        <v>198</v>
      </c>
      <c r="B105" s="29">
        <f>COUNTIF(Report_Données!D:E,Classement[[#This Row],[Equipe]])+Classement[[#This Row],[Colonne3]]</f>
        <v>19</v>
      </c>
      <c r="C105" s="29">
        <f>SUMPRODUCT(Report[But Dom]*(Report[Domicile]=Classement[[#This Row],[Equipe]]))+SUMPRODUCT(Report[But Ext]*(Report[Extérieur]=Classement[[#This Row],[Equipe]]))+Classement[[#This Row],[Colonne1]]</f>
        <v>21</v>
      </c>
      <c r="D105" s="29">
        <f>SUMPRODUCT(Report[But Ext]*(Report[Domicile]=Classement[[#This Row],[Equipe]]))+SUMPRODUCT(Report[But Dom]*(Report[Extérieur]=Classement[[#This Row],[Equipe]]))+Classement[[#This Row],[Colonne2]]</f>
        <v>25</v>
      </c>
      <c r="E105" s="96">
        <v>17</v>
      </c>
      <c r="F105" s="96">
        <v>20</v>
      </c>
      <c r="G105" s="96">
        <v>21</v>
      </c>
      <c r="H105" s="96">
        <f>IF(Classement[[#This Row],[Equipe]]=Report_Données!$D:$D,SUM(Report_Données!$P:$P),3)</f>
        <v>3</v>
      </c>
      <c r="L105" s="32"/>
      <c r="N105" s="3" t="s">
        <v>195</v>
      </c>
    </row>
    <row r="106" spans="1:14" ht="20.100000000000001" customHeight="1" x14ac:dyDescent="0.25">
      <c r="A106" s="3" t="s">
        <v>199</v>
      </c>
      <c r="B106" s="29">
        <f>COUNTIF(Report_Données!D:E,Classement[[#This Row],[Equipe]])+Classement[[#This Row],[Colonne3]]</f>
        <v>19</v>
      </c>
      <c r="C106" s="29">
        <f>SUMPRODUCT(Report[But Dom]*(Report[Domicile]=Classement[[#This Row],[Equipe]]))+SUMPRODUCT(Report[But Ext]*(Report[Extérieur]=Classement[[#This Row],[Equipe]]))+Classement[[#This Row],[Colonne1]]</f>
        <v>12</v>
      </c>
      <c r="D106" s="29">
        <f>SUMPRODUCT(Report[But Ext]*(Report[Domicile]=Classement[[#This Row],[Equipe]]))+SUMPRODUCT(Report[But Dom]*(Report[Extérieur]=Classement[[#This Row],[Equipe]]))+Classement[[#This Row],[Colonne2]]</f>
        <v>24</v>
      </c>
      <c r="E106" s="96">
        <v>17</v>
      </c>
      <c r="F106" s="96">
        <v>11</v>
      </c>
      <c r="G106" s="96">
        <v>23</v>
      </c>
      <c r="H106" s="96">
        <f>IF(Classement[[#This Row],[Equipe]]=Report_Données!$D:$D,SUM(Report_Données!$P:$P),3)</f>
        <v>3</v>
      </c>
      <c r="L106" s="32"/>
      <c r="N106" s="3" t="s">
        <v>195</v>
      </c>
    </row>
    <row r="107" spans="1:14" ht="20.100000000000001" customHeight="1" x14ac:dyDescent="0.25">
      <c r="A107" s="3" t="s">
        <v>200</v>
      </c>
      <c r="B107" s="29">
        <f>COUNTIF(Report_Données!D:E,Classement[[#This Row],[Equipe]])+Classement[[#This Row],[Colonne3]]</f>
        <v>19</v>
      </c>
      <c r="C107" s="29">
        <f>SUMPRODUCT(Report[But Dom]*(Report[Domicile]=Classement[[#This Row],[Equipe]]))+SUMPRODUCT(Report[But Ext]*(Report[Extérieur]=Classement[[#This Row],[Equipe]]))+Classement[[#This Row],[Colonne1]]</f>
        <v>28</v>
      </c>
      <c r="D107" s="29">
        <f>SUMPRODUCT(Report[But Ext]*(Report[Domicile]=Classement[[#This Row],[Equipe]]))+SUMPRODUCT(Report[But Dom]*(Report[Extérieur]=Classement[[#This Row],[Equipe]]))+Classement[[#This Row],[Colonne2]]</f>
        <v>25</v>
      </c>
      <c r="E107" s="96">
        <v>17</v>
      </c>
      <c r="F107" s="96">
        <v>27</v>
      </c>
      <c r="G107" s="96">
        <v>23</v>
      </c>
      <c r="H107" s="96">
        <f>IF(Classement[[#This Row],[Equipe]]=Report_Données!$D:$D,SUM(Report_Données!$P:$P),3)</f>
        <v>3</v>
      </c>
      <c r="L107" s="31"/>
      <c r="N107" s="3" t="s">
        <v>195</v>
      </c>
    </row>
    <row r="108" spans="1:14" ht="20.100000000000001" customHeight="1" x14ac:dyDescent="0.25">
      <c r="A108" s="3" t="s">
        <v>201</v>
      </c>
      <c r="B108" s="29">
        <f>COUNTIF(Report_Données!D:E,Classement[[#This Row],[Equipe]])+Classement[[#This Row],[Colonne3]]</f>
        <v>19</v>
      </c>
      <c r="C108" s="29">
        <f>SUMPRODUCT(Report[But Dom]*(Report[Domicile]=Classement[[#This Row],[Equipe]]))+SUMPRODUCT(Report[But Ext]*(Report[Extérieur]=Classement[[#This Row],[Equipe]]))+Classement[[#This Row],[Colonne1]]</f>
        <v>20</v>
      </c>
      <c r="D108" s="29">
        <f>SUMPRODUCT(Report[But Ext]*(Report[Domicile]=Classement[[#This Row],[Equipe]]))+SUMPRODUCT(Report[But Dom]*(Report[Extérieur]=Classement[[#This Row],[Equipe]]))+Classement[[#This Row],[Colonne2]]</f>
        <v>21</v>
      </c>
      <c r="E108" s="96">
        <v>17</v>
      </c>
      <c r="F108" s="96">
        <v>20</v>
      </c>
      <c r="G108" s="96">
        <v>19</v>
      </c>
      <c r="H108" s="96">
        <f>IF(Classement[[#This Row],[Equipe]]=Report_Données!$D:$D,SUM(Report_Données!$P:$P),3)</f>
        <v>3</v>
      </c>
      <c r="L108" s="32"/>
      <c r="N108" s="3" t="s">
        <v>195</v>
      </c>
    </row>
    <row r="109" spans="1:14" ht="20.100000000000001" customHeight="1" x14ac:dyDescent="0.25">
      <c r="A109" s="3" t="s">
        <v>202</v>
      </c>
      <c r="B109" s="29">
        <f>COUNTIF(Report_Données!D:E,Classement[[#This Row],[Equipe]])+Classement[[#This Row],[Colonne3]]</f>
        <v>19</v>
      </c>
      <c r="C109" s="29">
        <f>SUMPRODUCT(Report[But Dom]*(Report[Domicile]=Classement[[#This Row],[Equipe]]))+SUMPRODUCT(Report[But Ext]*(Report[Extérieur]=Classement[[#This Row],[Equipe]]))+Classement[[#This Row],[Colonne1]]</f>
        <v>27</v>
      </c>
      <c r="D109" s="29">
        <f>SUMPRODUCT(Report[But Ext]*(Report[Domicile]=Classement[[#This Row],[Equipe]]))+SUMPRODUCT(Report[But Dom]*(Report[Extérieur]=Classement[[#This Row],[Equipe]]))+Classement[[#This Row],[Colonne2]]</f>
        <v>21</v>
      </c>
      <c r="E109" s="96">
        <v>17</v>
      </c>
      <c r="F109" s="96">
        <v>25</v>
      </c>
      <c r="G109" s="96">
        <v>20</v>
      </c>
      <c r="H109" s="96">
        <f>IF(Classement[[#This Row],[Equipe]]=Report_Données!$D:$D,SUM(Report_Données!$P:$P),3)</f>
        <v>3</v>
      </c>
      <c r="L109" s="31"/>
      <c r="N109" s="3" t="s">
        <v>195</v>
      </c>
    </row>
    <row r="110" spans="1:14" ht="20.100000000000001" customHeight="1" x14ac:dyDescent="0.25">
      <c r="A110" s="3" t="s">
        <v>203</v>
      </c>
      <c r="B110" s="29">
        <f>COUNTIF(Report_Données!D:E,Classement[[#This Row],[Equipe]])+Classement[[#This Row],[Colonne3]]</f>
        <v>19</v>
      </c>
      <c r="C110" s="29">
        <f>SUMPRODUCT(Report[But Dom]*(Report[Domicile]=Classement[[#This Row],[Equipe]]))+SUMPRODUCT(Report[But Ext]*(Report[Extérieur]=Classement[[#This Row],[Equipe]]))+Classement[[#This Row],[Colonne1]]</f>
        <v>16</v>
      </c>
      <c r="D110" s="29">
        <f>SUMPRODUCT(Report[But Ext]*(Report[Domicile]=Classement[[#This Row],[Equipe]]))+SUMPRODUCT(Report[But Dom]*(Report[Extérieur]=Classement[[#This Row],[Equipe]]))+Classement[[#This Row],[Colonne2]]</f>
        <v>26</v>
      </c>
      <c r="E110" s="96">
        <v>17</v>
      </c>
      <c r="F110" s="96">
        <v>16</v>
      </c>
      <c r="G110" s="96">
        <v>24</v>
      </c>
      <c r="H110" s="96">
        <f>IF(Classement[[#This Row],[Equipe]]=Report_Données!$D:$D,SUM(Report_Données!$P:$P),3)</f>
        <v>3</v>
      </c>
      <c r="L110" s="32"/>
      <c r="N110" s="3" t="s">
        <v>195</v>
      </c>
    </row>
    <row r="111" spans="1:14" ht="20.100000000000001" customHeight="1" x14ac:dyDescent="0.25">
      <c r="A111" s="3" t="s">
        <v>204</v>
      </c>
      <c r="B111" s="29">
        <f>COUNTIF(Report_Données!D:E,Classement[[#This Row],[Equipe]])+Classement[[#This Row],[Colonne3]]</f>
        <v>19</v>
      </c>
      <c r="C111" s="29">
        <f>SUMPRODUCT(Report[But Dom]*(Report[Domicile]=Classement[[#This Row],[Equipe]]))+SUMPRODUCT(Report[But Ext]*(Report[Extérieur]=Classement[[#This Row],[Equipe]]))+Classement[[#This Row],[Colonne1]]</f>
        <v>15</v>
      </c>
      <c r="D111" s="29">
        <f>SUMPRODUCT(Report[But Ext]*(Report[Domicile]=Classement[[#This Row],[Equipe]]))+SUMPRODUCT(Report[But Dom]*(Report[Extérieur]=Classement[[#This Row],[Equipe]]))+Classement[[#This Row],[Colonne2]]</f>
        <v>30</v>
      </c>
      <c r="E111" s="96">
        <v>17</v>
      </c>
      <c r="F111" s="96">
        <v>14</v>
      </c>
      <c r="G111" s="96">
        <v>28</v>
      </c>
      <c r="H111" s="96">
        <f>IF(Classement[[#This Row],[Equipe]]=Report_Données!$D:$D,SUM(Report_Données!$P:$P),3)</f>
        <v>3</v>
      </c>
      <c r="L111" s="32"/>
      <c r="N111" s="3" t="s">
        <v>195</v>
      </c>
    </row>
    <row r="112" spans="1:14" ht="20.100000000000001" customHeight="1" x14ac:dyDescent="0.25">
      <c r="A112" s="3" t="s">
        <v>205</v>
      </c>
      <c r="B112" s="29">
        <f>COUNTIF(Report_Données!D:E,Classement[[#This Row],[Equipe]])+Classement[[#This Row],[Colonne3]]</f>
        <v>19</v>
      </c>
      <c r="C112" s="29">
        <f>SUMPRODUCT(Report[But Dom]*(Report[Domicile]=Classement[[#This Row],[Equipe]]))+SUMPRODUCT(Report[But Ext]*(Report[Extérieur]=Classement[[#This Row],[Equipe]]))+Classement[[#This Row],[Colonne1]]</f>
        <v>31</v>
      </c>
      <c r="D112" s="29">
        <f>SUMPRODUCT(Report[But Ext]*(Report[Domicile]=Classement[[#This Row],[Equipe]]))+SUMPRODUCT(Report[But Dom]*(Report[Extérieur]=Classement[[#This Row],[Equipe]]))+Classement[[#This Row],[Colonne2]]</f>
        <v>17</v>
      </c>
      <c r="E112" s="96">
        <v>17</v>
      </c>
      <c r="F112" s="96">
        <v>29</v>
      </c>
      <c r="G112" s="96">
        <v>17</v>
      </c>
      <c r="H112" s="96">
        <f>IF(Classement[[#This Row],[Equipe]]=Report_Données!$D:$D,SUM(Report_Données!$P:$P),3)</f>
        <v>3</v>
      </c>
      <c r="L112" s="31"/>
      <c r="N112" s="3" t="s">
        <v>195</v>
      </c>
    </row>
    <row r="113" spans="1:14" ht="20.100000000000001" customHeight="1" x14ac:dyDescent="0.25">
      <c r="A113" s="3" t="s">
        <v>206</v>
      </c>
      <c r="B113" s="29">
        <f>COUNTIF(Report_Données!D:E,Classement[[#This Row],[Equipe]])+Classement[[#This Row],[Colonne3]]</f>
        <v>19</v>
      </c>
      <c r="C113" s="29">
        <f>SUMPRODUCT(Report[But Dom]*(Report[Domicile]=Classement[[#This Row],[Equipe]]))+SUMPRODUCT(Report[But Ext]*(Report[Extérieur]=Classement[[#This Row],[Equipe]]))+Classement[[#This Row],[Colonne1]]</f>
        <v>21</v>
      </c>
      <c r="D113" s="29">
        <f>SUMPRODUCT(Report[But Ext]*(Report[Domicile]=Classement[[#This Row],[Equipe]]))+SUMPRODUCT(Report[But Dom]*(Report[Extérieur]=Classement[[#This Row],[Equipe]]))+Classement[[#This Row],[Colonne2]]</f>
        <v>9</v>
      </c>
      <c r="E113" s="96">
        <v>17</v>
      </c>
      <c r="F113" s="96">
        <v>19</v>
      </c>
      <c r="G113" s="96">
        <v>8</v>
      </c>
      <c r="H113" s="96">
        <f>IF(Classement[[#This Row],[Equipe]]=Report_Données!$D:$D,SUM(Report_Données!$P:$P),3)</f>
        <v>3</v>
      </c>
      <c r="L113" s="32"/>
      <c r="N113" s="3" t="s">
        <v>195</v>
      </c>
    </row>
    <row r="114" spans="1:14" ht="20.100000000000001" customHeight="1" x14ac:dyDescent="0.25">
      <c r="A114" s="3" t="s">
        <v>207</v>
      </c>
      <c r="B114" s="29">
        <f>COUNTIF(Report_Données!D:E,Classement[[#This Row],[Equipe]])+Classement[[#This Row],[Colonne3]]</f>
        <v>19</v>
      </c>
      <c r="C114" s="29">
        <f>SUMPRODUCT(Report[But Dom]*(Report[Domicile]=Classement[[#This Row],[Equipe]]))+SUMPRODUCT(Report[But Ext]*(Report[Extérieur]=Classement[[#This Row],[Equipe]]))+Classement[[#This Row],[Colonne1]]</f>
        <v>23</v>
      </c>
      <c r="D114" s="29">
        <f>SUMPRODUCT(Report[But Ext]*(Report[Domicile]=Classement[[#This Row],[Equipe]]))+SUMPRODUCT(Report[But Dom]*(Report[Extérieur]=Classement[[#This Row],[Equipe]]))+Classement[[#This Row],[Colonne2]]</f>
        <v>30</v>
      </c>
      <c r="E114" s="96">
        <v>17</v>
      </c>
      <c r="F114" s="96">
        <v>22</v>
      </c>
      <c r="G114" s="96">
        <v>29</v>
      </c>
      <c r="H114" s="96">
        <f>IF(Classement[[#This Row],[Equipe]]=Report_Données!$D:$D,SUM(Report_Données!$P:$P),3)</f>
        <v>3</v>
      </c>
      <c r="L114" s="32"/>
      <c r="N114" s="3" t="s">
        <v>195</v>
      </c>
    </row>
    <row r="115" spans="1:14" ht="20.100000000000001" customHeight="1" x14ac:dyDescent="0.25">
      <c r="A115" s="3" t="s">
        <v>208</v>
      </c>
      <c r="B115" s="29">
        <f>COUNTIF(Report_Données!D:E,Classement[[#This Row],[Equipe]])+Classement[[#This Row],[Colonne3]]</f>
        <v>19</v>
      </c>
      <c r="C115" s="29">
        <f>SUMPRODUCT(Report[But Dom]*(Report[Domicile]=Classement[[#This Row],[Equipe]]))+SUMPRODUCT(Report[But Ext]*(Report[Extérieur]=Classement[[#This Row],[Equipe]]))+Classement[[#This Row],[Colonne1]]</f>
        <v>32</v>
      </c>
      <c r="D115" s="29">
        <f>SUMPRODUCT(Report[But Ext]*(Report[Domicile]=Classement[[#This Row],[Equipe]]))+SUMPRODUCT(Report[But Dom]*(Report[Extérieur]=Classement[[#This Row],[Equipe]]))+Classement[[#This Row],[Colonne2]]</f>
        <v>21</v>
      </c>
      <c r="E115" s="96">
        <v>17</v>
      </c>
      <c r="F115" s="96">
        <v>28</v>
      </c>
      <c r="G115" s="96">
        <v>20</v>
      </c>
      <c r="H115" s="96">
        <f>IF(Classement[[#This Row],[Equipe]]=Report_Données!$D:$D,SUM(Report_Données!$P:$P),3)</f>
        <v>3</v>
      </c>
      <c r="L115" s="31"/>
      <c r="N115" s="3" t="s">
        <v>195</v>
      </c>
    </row>
    <row r="116" spans="1:14" ht="20.100000000000001" customHeight="1" x14ac:dyDescent="0.25">
      <c r="A116" s="3" t="s">
        <v>209</v>
      </c>
      <c r="B116" s="29">
        <f>COUNTIF(Report_Données!D:E,Classement[[#This Row],[Equipe]])+Classement[[#This Row],[Colonne3]]</f>
        <v>19</v>
      </c>
      <c r="C116" s="29">
        <f>SUMPRODUCT(Report[But Dom]*(Report[Domicile]=Classement[[#This Row],[Equipe]]))+SUMPRODUCT(Report[But Ext]*(Report[Extérieur]=Classement[[#This Row],[Equipe]]))+Classement[[#This Row],[Colonne1]]</f>
        <v>25</v>
      </c>
      <c r="D116" s="29">
        <f>SUMPRODUCT(Report[But Ext]*(Report[Domicile]=Classement[[#This Row],[Equipe]]))+SUMPRODUCT(Report[But Dom]*(Report[Extérieur]=Classement[[#This Row],[Equipe]]))+Classement[[#This Row],[Colonne2]]</f>
        <v>16</v>
      </c>
      <c r="E116" s="96">
        <v>17</v>
      </c>
      <c r="F116" s="96">
        <v>23</v>
      </c>
      <c r="G116" s="96">
        <v>16</v>
      </c>
      <c r="H116" s="96">
        <f>IF(Classement[[#This Row],[Equipe]]=Report_Données!$D:$D,SUM(Report_Données!$P:$P),3)</f>
        <v>3</v>
      </c>
      <c r="L116" s="32"/>
      <c r="N116" s="3" t="s">
        <v>195</v>
      </c>
    </row>
    <row r="117" spans="1:14" ht="20.100000000000001" customHeight="1" x14ac:dyDescent="0.25">
      <c r="A117" s="3" t="s">
        <v>210</v>
      </c>
      <c r="B117" s="29">
        <f>COUNTIF(Report_Données!D:E,Classement[[#This Row],[Equipe]])+Classement[[#This Row],[Colonne3]]</f>
        <v>19</v>
      </c>
      <c r="C117" s="29">
        <f>SUMPRODUCT(Report[But Dom]*(Report[Domicile]=Classement[[#This Row],[Equipe]]))+SUMPRODUCT(Report[But Ext]*(Report[Extérieur]=Classement[[#This Row],[Equipe]]))+Classement[[#This Row],[Colonne1]]</f>
        <v>20</v>
      </c>
      <c r="D117" s="29">
        <f>SUMPRODUCT(Report[But Ext]*(Report[Domicile]=Classement[[#This Row],[Equipe]]))+SUMPRODUCT(Report[But Dom]*(Report[Extérieur]=Classement[[#This Row],[Equipe]]))+Classement[[#This Row],[Colonne2]]</f>
        <v>31</v>
      </c>
      <c r="E117" s="96">
        <v>17</v>
      </c>
      <c r="F117" s="96">
        <v>16</v>
      </c>
      <c r="G117" s="96">
        <v>30</v>
      </c>
      <c r="H117" s="96">
        <f>IF(Classement[[#This Row],[Equipe]]=Report_Données!$D:$D,SUM(Report_Données!$P:$P),3)</f>
        <v>3</v>
      </c>
      <c r="L117" s="31"/>
      <c r="N117" s="3" t="s">
        <v>195</v>
      </c>
    </row>
    <row r="118" spans="1:14" ht="20.100000000000001" customHeight="1" x14ac:dyDescent="0.25">
      <c r="A118" s="3" t="s">
        <v>211</v>
      </c>
      <c r="B118" s="29">
        <f>COUNTIF(Report_Données!D:E,Classement[[#This Row],[Equipe]])+Classement[[#This Row],[Colonne3]]</f>
        <v>19</v>
      </c>
      <c r="C118" s="29">
        <f>SUMPRODUCT(Report[But Dom]*(Report[Domicile]=Classement[[#This Row],[Equipe]]))+SUMPRODUCT(Report[But Ext]*(Report[Extérieur]=Classement[[#This Row],[Equipe]]))+Classement[[#This Row],[Colonne1]]</f>
        <v>20</v>
      </c>
      <c r="D118" s="29">
        <f>SUMPRODUCT(Report[But Ext]*(Report[Domicile]=Classement[[#This Row],[Equipe]]))+SUMPRODUCT(Report[But Dom]*(Report[Extérieur]=Classement[[#This Row],[Equipe]]))+Classement[[#This Row],[Colonne2]]</f>
        <v>24</v>
      </c>
      <c r="E118" s="96">
        <v>17</v>
      </c>
      <c r="F118" s="96">
        <v>18</v>
      </c>
      <c r="G118" s="96">
        <v>22</v>
      </c>
      <c r="H118" s="96">
        <f>IF(Classement[[#This Row],[Equipe]]=Report_Données!$D:$D,SUM(Report_Données!$P:$P),3)</f>
        <v>3</v>
      </c>
      <c r="L118" s="32"/>
      <c r="N118" s="3" t="s">
        <v>195</v>
      </c>
    </row>
    <row r="119" spans="1:14" ht="20.100000000000001" customHeight="1" x14ac:dyDescent="0.25">
      <c r="A119" s="3" t="s">
        <v>212</v>
      </c>
      <c r="B119" s="29">
        <f>COUNTIF(Report_Données!D:E,Classement[[#This Row],[Equipe]])+Classement[[#This Row],[Colonne3]]</f>
        <v>19</v>
      </c>
      <c r="C119" s="29">
        <f>SUMPRODUCT(Report[But Dom]*(Report[Domicile]=Classement[[#This Row],[Equipe]]))+SUMPRODUCT(Report[But Ext]*(Report[Extérieur]=Classement[[#This Row],[Equipe]]))+Classement[[#This Row],[Colonne1]]</f>
        <v>24</v>
      </c>
      <c r="D119" s="29">
        <f>SUMPRODUCT(Report[But Ext]*(Report[Domicile]=Classement[[#This Row],[Equipe]]))+SUMPRODUCT(Report[But Dom]*(Report[Extérieur]=Classement[[#This Row],[Equipe]]))+Classement[[#This Row],[Colonne2]]</f>
        <v>29</v>
      </c>
      <c r="E119" s="96">
        <v>17</v>
      </c>
      <c r="F119" s="96">
        <v>24</v>
      </c>
      <c r="G119" s="96">
        <v>29</v>
      </c>
      <c r="H119" s="96">
        <f>IF(Classement[[#This Row],[Equipe]]=Report_Données!$D:$D,SUM(Report_Données!$P:$P),3)</f>
        <v>3</v>
      </c>
      <c r="L119" s="31"/>
      <c r="N119" s="3" t="s">
        <v>195</v>
      </c>
    </row>
    <row r="120" spans="1:14" ht="20.100000000000001" customHeight="1" x14ac:dyDescent="0.25">
      <c r="A120" s="3" t="s">
        <v>213</v>
      </c>
      <c r="B120" s="29">
        <f>COUNTIF(Report_Données!D:E,Classement[[#This Row],[Equipe]])+Classement[[#This Row],[Colonne3]]</f>
        <v>19</v>
      </c>
      <c r="C120" s="29">
        <f>SUMPRODUCT(Report[But Dom]*(Report[Domicile]=Classement[[#This Row],[Equipe]]))+SUMPRODUCT(Report[But Ext]*(Report[Extérieur]=Classement[[#This Row],[Equipe]]))+Classement[[#This Row],[Colonne1]]</f>
        <v>16</v>
      </c>
      <c r="D120" s="29">
        <f>SUMPRODUCT(Report[But Ext]*(Report[Domicile]=Classement[[#This Row],[Equipe]]))+SUMPRODUCT(Report[But Dom]*(Report[Extérieur]=Classement[[#This Row],[Equipe]]))+Classement[[#This Row],[Colonne2]]</f>
        <v>25</v>
      </c>
      <c r="E120" s="96">
        <v>17</v>
      </c>
      <c r="F120" s="96">
        <v>14</v>
      </c>
      <c r="G120" s="96">
        <v>23</v>
      </c>
      <c r="H120" s="96">
        <f>IF(Classement[[#This Row],[Equipe]]=Report_Données!$D:$D,SUM(Report_Données!$P:$P),3)</f>
        <v>3</v>
      </c>
      <c r="L120" s="32"/>
      <c r="N120" s="3" t="s">
        <v>195</v>
      </c>
    </row>
    <row r="121" spans="1:14" ht="20.100000000000001" customHeight="1" x14ac:dyDescent="0.25">
      <c r="A121" s="3" t="s">
        <v>214</v>
      </c>
      <c r="B121" s="29">
        <f>COUNTIF(Report_Données!D:E,Classement[[#This Row],[Equipe]])+Classement[[#This Row],[Colonne3]]</f>
        <v>19</v>
      </c>
      <c r="C121" s="29">
        <f>SUMPRODUCT(Report[But Dom]*(Report[Domicile]=Classement[[#This Row],[Equipe]]))+SUMPRODUCT(Report[But Ext]*(Report[Extérieur]=Classement[[#This Row],[Equipe]]))+Classement[[#This Row],[Colonne1]]</f>
        <v>29</v>
      </c>
      <c r="D121" s="29">
        <f>SUMPRODUCT(Report[But Ext]*(Report[Domicile]=Classement[[#This Row],[Equipe]]))+SUMPRODUCT(Report[But Dom]*(Report[Extérieur]=Classement[[#This Row],[Equipe]]))+Classement[[#This Row],[Colonne2]]</f>
        <v>21</v>
      </c>
      <c r="E121" s="96">
        <v>17</v>
      </c>
      <c r="F121" s="96">
        <v>27</v>
      </c>
      <c r="G121" s="96">
        <v>19</v>
      </c>
      <c r="H121" s="96">
        <f>IF(Classement[[#This Row],[Equipe]]=Report_Données!$D:$D,SUM(Report_Données!$P:$P),3)</f>
        <v>3</v>
      </c>
      <c r="L121" s="31"/>
      <c r="N121" s="3" t="s">
        <v>195</v>
      </c>
    </row>
    <row r="122" spans="1:14" ht="20.100000000000001" customHeight="1" x14ac:dyDescent="0.25">
      <c r="A122" s="3" t="s">
        <v>215</v>
      </c>
      <c r="B122" s="29">
        <f>COUNTIF(Report_Données!D:E,Classement[[#This Row],[Equipe]])+Classement[[#This Row],[Colonne3]]</f>
        <v>19</v>
      </c>
      <c r="C122" s="29">
        <f>SUMPRODUCT(Report[But Dom]*(Report[Domicile]=Classement[[#This Row],[Equipe]]))+SUMPRODUCT(Report[But Ext]*(Report[Extérieur]=Classement[[#This Row],[Equipe]]))+Classement[[#This Row],[Colonne1]]</f>
        <v>22</v>
      </c>
      <c r="D122" s="29">
        <f>SUMPRODUCT(Report[But Ext]*(Report[Domicile]=Classement[[#This Row],[Equipe]]))+SUMPRODUCT(Report[But Dom]*(Report[Extérieur]=Classement[[#This Row],[Equipe]]))+Classement[[#This Row],[Colonne2]]</f>
        <v>32</v>
      </c>
      <c r="E122" s="96">
        <v>17</v>
      </c>
      <c r="F122" s="96">
        <v>21</v>
      </c>
      <c r="G122" s="96">
        <v>30</v>
      </c>
      <c r="H122" s="96">
        <f>IF(Classement[[#This Row],[Equipe]]=Report_Données!$D:$D,SUM(Report_Données!$P:$P),3)</f>
        <v>3</v>
      </c>
      <c r="L122" s="32"/>
      <c r="N122" s="3" t="s">
        <v>195</v>
      </c>
    </row>
    <row r="123" spans="1:14" ht="20.100000000000001" customHeight="1" x14ac:dyDescent="0.25">
      <c r="A123" s="3" t="s">
        <v>216</v>
      </c>
      <c r="B123" s="29">
        <f>COUNTIF(Report_Données!D:E,Classement[[#This Row],[Equipe]])+Classement[[#This Row],[Colonne3]]</f>
        <v>19</v>
      </c>
      <c r="C123" s="29">
        <f>SUMPRODUCT(Report[But Dom]*(Report[Domicile]=Classement[[#This Row],[Equipe]]))+SUMPRODUCT(Report[But Ext]*(Report[Extérieur]=Classement[[#This Row],[Equipe]]))+Classement[[#This Row],[Colonne1]]</f>
        <v>21</v>
      </c>
      <c r="D123" s="29">
        <f>SUMPRODUCT(Report[But Ext]*(Report[Domicile]=Classement[[#This Row],[Equipe]]))+SUMPRODUCT(Report[But Dom]*(Report[Extérieur]=Classement[[#This Row],[Equipe]]))+Classement[[#This Row],[Colonne2]]</f>
        <v>22</v>
      </c>
      <c r="E123" s="96">
        <v>17</v>
      </c>
      <c r="F123" s="96">
        <v>19</v>
      </c>
      <c r="G123" s="96">
        <v>20</v>
      </c>
      <c r="H123" s="96">
        <f>IF(Classement[[#This Row],[Equipe]]=Report_Données!$D:$D,SUM(Report_Données!$P:$P),3)</f>
        <v>3</v>
      </c>
      <c r="L123" s="32"/>
      <c r="N123" s="3" t="s">
        <v>195</v>
      </c>
    </row>
    <row r="124" spans="1:14" ht="20.100000000000001" customHeight="1" x14ac:dyDescent="0.25">
      <c r="A124" s="3" t="s">
        <v>217</v>
      </c>
      <c r="B124" s="29">
        <f>COUNTIF(Report_Données!D:E,Classement[[#This Row],[Equipe]])+Classement[[#This Row],[Colonne3]]</f>
        <v>19</v>
      </c>
      <c r="C124" s="29">
        <f>SUMPRODUCT(Report[But Dom]*(Report[Domicile]=Classement[[#This Row],[Equipe]]))+SUMPRODUCT(Report[But Ext]*(Report[Extérieur]=Classement[[#This Row],[Equipe]]))+Classement[[#This Row],[Colonne1]]</f>
        <v>20</v>
      </c>
      <c r="D124" s="29">
        <f>SUMPRODUCT(Report[But Ext]*(Report[Domicile]=Classement[[#This Row],[Equipe]]))+SUMPRODUCT(Report[But Dom]*(Report[Extérieur]=Classement[[#This Row],[Equipe]]))+Classement[[#This Row],[Colonne2]]</f>
        <v>17</v>
      </c>
      <c r="E124" s="96">
        <v>17</v>
      </c>
      <c r="F124" s="96">
        <v>19</v>
      </c>
      <c r="G124" s="96">
        <v>13</v>
      </c>
      <c r="H124" s="96">
        <f>IF(Classement[[#This Row],[Equipe]]=Report_Données!$D:$D,SUM(Report_Données!$P:$P),3)</f>
        <v>3</v>
      </c>
      <c r="L124" s="32"/>
      <c r="N124" s="3" t="s">
        <v>195</v>
      </c>
    </row>
    <row r="125" spans="1:14" ht="20.100000000000001" customHeight="1" x14ac:dyDescent="0.25">
      <c r="A125" s="3" t="s">
        <v>218</v>
      </c>
      <c r="B125" s="29">
        <f>COUNTIF(Report_Données!D:E,Classement[[#This Row],[Equipe]])+Classement[[#This Row],[Colonne3]]</f>
        <v>19</v>
      </c>
      <c r="C125" s="29">
        <f>SUMPRODUCT(Report[But Dom]*(Report[Domicile]=Classement[[#This Row],[Equipe]]))+SUMPRODUCT(Report[But Ext]*(Report[Extérieur]=Classement[[#This Row],[Equipe]]))+Classement[[#This Row],[Colonne1]]</f>
        <v>39</v>
      </c>
      <c r="D125" s="29">
        <f>SUMPRODUCT(Report[But Ext]*(Report[Domicile]=Classement[[#This Row],[Equipe]]))+SUMPRODUCT(Report[But Dom]*(Report[Extérieur]=Classement[[#This Row],[Equipe]]))+Classement[[#This Row],[Colonne2]]</f>
        <v>26</v>
      </c>
      <c r="E125" s="96">
        <v>17</v>
      </c>
      <c r="F125" s="96">
        <v>37</v>
      </c>
      <c r="G125" s="96">
        <v>25</v>
      </c>
      <c r="H125" s="96">
        <f>IF(Classement[[#This Row],[Equipe]]=Report_Données!$D:$D,SUM(Report_Données!$P:$P),3)</f>
        <v>3</v>
      </c>
      <c r="L125" s="31"/>
      <c r="N125" s="3" t="s">
        <v>195</v>
      </c>
    </row>
    <row r="126" spans="1:14" ht="20.100000000000001" customHeight="1" x14ac:dyDescent="0.25">
      <c r="A126" s="3" t="s">
        <v>219</v>
      </c>
      <c r="B126" s="29">
        <f>COUNTIF(Report_Données!D:E,Classement[[#This Row],[Equipe]])+Classement[[#This Row],[Colonne3]]</f>
        <v>19</v>
      </c>
      <c r="C126" s="29">
        <f>SUMPRODUCT(Report[But Dom]*(Report[Domicile]=Classement[[#This Row],[Equipe]]))+SUMPRODUCT(Report[But Ext]*(Report[Extérieur]=Classement[[#This Row],[Equipe]]))+Classement[[#This Row],[Colonne1]]</f>
        <v>19</v>
      </c>
      <c r="D126" s="29">
        <f>SUMPRODUCT(Report[But Ext]*(Report[Domicile]=Classement[[#This Row],[Equipe]]))+SUMPRODUCT(Report[But Dom]*(Report[Extérieur]=Classement[[#This Row],[Equipe]]))+Classement[[#This Row],[Colonne2]]</f>
        <v>26</v>
      </c>
      <c r="E126" s="96">
        <v>17</v>
      </c>
      <c r="F126" s="96">
        <v>19</v>
      </c>
      <c r="G126" s="96">
        <v>26</v>
      </c>
      <c r="H126" s="96">
        <f>IF(Classement[[#This Row],[Equipe]]=Report_Données!$D:$D,SUM(Report_Données!$P:$P),3)</f>
        <v>3</v>
      </c>
      <c r="L126" s="32"/>
      <c r="N126" s="3" t="s">
        <v>195</v>
      </c>
    </row>
    <row r="127" spans="1:14" ht="20.100000000000001" customHeight="1" x14ac:dyDescent="0.25">
      <c r="A127" s="28"/>
      <c r="B127" s="30"/>
      <c r="C127" s="30"/>
      <c r="D127" s="30"/>
      <c r="E127" s="96"/>
      <c r="F127" s="96"/>
      <c r="G127" s="96"/>
      <c r="H127" s="96">
        <f>IF(Classement[[#This Row],[Equipe]]=Report_Données!$D:$D,SUM(Report_Données!$P:$P),3)</f>
        <v>3</v>
      </c>
    </row>
    <row r="128" spans="1:14" ht="20.100000000000001" customHeight="1" x14ac:dyDescent="0.25">
      <c r="A128" s="3" t="s">
        <v>252</v>
      </c>
      <c r="B128" s="29">
        <f>COUNTIF(Report_Données!D:E,Classement[[#This Row],[Equipe]])+Classement[[#This Row],[Colonne3]]</f>
        <v>16</v>
      </c>
      <c r="C128" s="29">
        <f>SUMPRODUCT(Report[But Dom]*(Report[Domicile]=Classement[[#This Row],[Equipe]]))+SUMPRODUCT(Report[But Ext]*(Report[Extérieur]=Classement[[#This Row],[Equipe]]))+Classement[[#This Row],[Colonne1]]</f>
        <v>19</v>
      </c>
      <c r="D128" s="29">
        <f>SUMPRODUCT(Report[But Ext]*(Report[Domicile]=Classement[[#This Row],[Equipe]]))+SUMPRODUCT(Report[But Dom]*(Report[Extérieur]=Classement[[#This Row],[Equipe]]))+Classement[[#This Row],[Colonne2]]</f>
        <v>8</v>
      </c>
      <c r="E128" s="96">
        <v>14</v>
      </c>
      <c r="F128" s="96">
        <v>18</v>
      </c>
      <c r="G128" s="96">
        <v>8</v>
      </c>
      <c r="H128" s="96">
        <f>IF(Classement[[#This Row],[Equipe]]=Report_Données!$D:$D,SUM(Report_Données!$P:$P),3)</f>
        <v>3</v>
      </c>
      <c r="L128" s="32"/>
    </row>
    <row r="129" spans="1:14" ht="20.100000000000001" customHeight="1" x14ac:dyDescent="0.25">
      <c r="A129" s="3" t="s">
        <v>253</v>
      </c>
      <c r="B129" s="29">
        <f>COUNTIF(Report_Données!D:E,Classement[[#This Row],[Equipe]])+Classement[[#This Row],[Colonne3]]</f>
        <v>16</v>
      </c>
      <c r="C129" s="29">
        <f>SUMPRODUCT(Report[But Dom]*(Report[Domicile]=Classement[[#This Row],[Equipe]]))+SUMPRODUCT(Report[But Ext]*(Report[Extérieur]=Classement[[#This Row],[Equipe]]))+Classement[[#This Row],[Colonne1]]</f>
        <v>10</v>
      </c>
      <c r="D129" s="29">
        <f>SUMPRODUCT(Report[But Ext]*(Report[Domicile]=Classement[[#This Row],[Equipe]]))+SUMPRODUCT(Report[But Dom]*(Report[Extérieur]=Classement[[#This Row],[Equipe]]))+Classement[[#This Row],[Colonne2]]</f>
        <v>22</v>
      </c>
      <c r="E129" s="96">
        <v>14</v>
      </c>
      <c r="F129" s="96">
        <v>9</v>
      </c>
      <c r="G129" s="96">
        <v>22</v>
      </c>
      <c r="H129" s="96">
        <f>IF(Classement[[#This Row],[Equipe]]=Report_Données!$D:$D,SUM(Report_Données!$P:$P),3)</f>
        <v>3</v>
      </c>
      <c r="L129" s="32"/>
      <c r="N129" s="3" t="s">
        <v>195</v>
      </c>
    </row>
    <row r="130" spans="1:14" ht="20.100000000000001" customHeight="1" x14ac:dyDescent="0.25">
      <c r="A130" s="3" t="s">
        <v>254</v>
      </c>
      <c r="B130" s="29">
        <f>COUNTIF(Report_Données!D:E,Classement[[#This Row],[Equipe]])+Classement[[#This Row],[Colonne3]]</f>
        <v>16</v>
      </c>
      <c r="C130" s="29">
        <f>SUMPRODUCT(Report[But Dom]*(Report[Domicile]=Classement[[#This Row],[Equipe]]))+SUMPRODUCT(Report[But Ext]*(Report[Extérieur]=Classement[[#This Row],[Equipe]]))+Classement[[#This Row],[Colonne1]]</f>
        <v>16</v>
      </c>
      <c r="D130" s="29">
        <f>SUMPRODUCT(Report[But Ext]*(Report[Domicile]=Classement[[#This Row],[Equipe]]))+SUMPRODUCT(Report[But Dom]*(Report[Extérieur]=Classement[[#This Row],[Equipe]]))+Classement[[#This Row],[Colonne2]]</f>
        <v>14</v>
      </c>
      <c r="E130" s="96">
        <v>14</v>
      </c>
      <c r="F130" s="96">
        <v>13</v>
      </c>
      <c r="G130" s="96">
        <v>13</v>
      </c>
      <c r="H130" s="96">
        <f>IF(Classement[[#This Row],[Equipe]]=Report_Données!$D:$D,SUM(Report_Données!$P:$P),3)</f>
        <v>3</v>
      </c>
      <c r="L130" s="32"/>
      <c r="N130" s="3" t="s">
        <v>195</v>
      </c>
    </row>
    <row r="131" spans="1:14" ht="20.100000000000001" customHeight="1" x14ac:dyDescent="0.25">
      <c r="A131" s="3" t="s">
        <v>255</v>
      </c>
      <c r="B131" s="29">
        <f>COUNTIF(Report_Données!D:E,Classement[[#This Row],[Equipe]])+Classement[[#This Row],[Colonne3]]</f>
        <v>16</v>
      </c>
      <c r="C131" s="29">
        <f>SUMPRODUCT(Report[But Dom]*(Report[Domicile]=Classement[[#This Row],[Equipe]]))+SUMPRODUCT(Report[But Ext]*(Report[Extérieur]=Classement[[#This Row],[Equipe]]))+Classement[[#This Row],[Colonne1]]</f>
        <v>13</v>
      </c>
      <c r="D131" s="29">
        <f>SUMPRODUCT(Report[But Ext]*(Report[Domicile]=Classement[[#This Row],[Equipe]]))+SUMPRODUCT(Report[But Dom]*(Report[Extérieur]=Classement[[#This Row],[Equipe]]))+Classement[[#This Row],[Colonne2]]</f>
        <v>26</v>
      </c>
      <c r="E131" s="96">
        <v>14</v>
      </c>
      <c r="F131" s="96">
        <v>12</v>
      </c>
      <c r="G131" s="96">
        <v>23</v>
      </c>
      <c r="H131" s="96">
        <f>IF(Classement[[#This Row],[Equipe]]=Report_Données!$D:$D,SUM(Report_Données!$P:$P),3)</f>
        <v>3</v>
      </c>
      <c r="L131" s="32"/>
      <c r="N131" s="3" t="s">
        <v>195</v>
      </c>
    </row>
    <row r="132" spans="1:14" ht="20.100000000000001" customHeight="1" x14ac:dyDescent="0.25">
      <c r="A132" s="3" t="s">
        <v>256</v>
      </c>
      <c r="B132" s="29">
        <f>COUNTIF(Report_Données!D:E,Classement[[#This Row],[Equipe]])+Classement[[#This Row],[Colonne3]]</f>
        <v>16</v>
      </c>
      <c r="C132" s="29">
        <f>SUMPRODUCT(Report[But Dom]*(Report[Domicile]=Classement[[#This Row],[Equipe]]))+SUMPRODUCT(Report[But Ext]*(Report[Extérieur]=Classement[[#This Row],[Equipe]]))+Classement[[#This Row],[Colonne1]]</f>
        <v>20</v>
      </c>
      <c r="D132" s="29">
        <f>SUMPRODUCT(Report[But Ext]*(Report[Domicile]=Classement[[#This Row],[Equipe]]))+SUMPRODUCT(Report[But Dom]*(Report[Extérieur]=Classement[[#This Row],[Equipe]]))+Classement[[#This Row],[Colonne2]]</f>
        <v>17</v>
      </c>
      <c r="E132" s="96">
        <v>14</v>
      </c>
      <c r="F132" s="96">
        <v>20</v>
      </c>
      <c r="G132" s="96">
        <v>16</v>
      </c>
      <c r="H132" s="96">
        <f>IF(Classement[[#This Row],[Equipe]]=Report_Données!$D:$D,SUM(Report_Données!$P:$P),3)</f>
        <v>3</v>
      </c>
      <c r="L132" s="32"/>
      <c r="N132" s="3" t="s">
        <v>195</v>
      </c>
    </row>
    <row r="133" spans="1:14" ht="20.100000000000001" customHeight="1" x14ac:dyDescent="0.25">
      <c r="A133" s="3" t="s">
        <v>257</v>
      </c>
      <c r="B133" s="29">
        <f>COUNTIF(Report_Données!D:E,Classement[[#This Row],[Equipe]])+Classement[[#This Row],[Colonne3]]</f>
        <v>16</v>
      </c>
      <c r="C133" s="29">
        <f>SUMPRODUCT(Report[But Dom]*(Report[Domicile]=Classement[[#This Row],[Equipe]]))+SUMPRODUCT(Report[But Ext]*(Report[Extérieur]=Classement[[#This Row],[Equipe]]))+Classement[[#This Row],[Colonne1]]</f>
        <v>14</v>
      </c>
      <c r="D133" s="29">
        <f>SUMPRODUCT(Report[But Ext]*(Report[Domicile]=Classement[[#This Row],[Equipe]]))+SUMPRODUCT(Report[But Dom]*(Report[Extérieur]=Classement[[#This Row],[Equipe]]))+Classement[[#This Row],[Colonne2]]</f>
        <v>15</v>
      </c>
      <c r="E133" s="96">
        <v>14</v>
      </c>
      <c r="F133" s="96">
        <v>12</v>
      </c>
      <c r="G133" s="96">
        <v>15</v>
      </c>
      <c r="H133" s="96">
        <f>IF(Classement[[#This Row],[Equipe]]=Report_Données!$D:$D,SUM(Report_Données!$P:$P),3)</f>
        <v>3</v>
      </c>
      <c r="L133" s="32"/>
      <c r="N133" s="3" t="s">
        <v>195</v>
      </c>
    </row>
    <row r="134" spans="1:14" ht="20.100000000000001" customHeight="1" x14ac:dyDescent="0.25">
      <c r="A134" s="3" t="s">
        <v>258</v>
      </c>
      <c r="B134" s="29">
        <f>COUNTIF(Report_Données!D:E,Classement[[#This Row],[Equipe]])+Classement[[#This Row],[Colonne3]]</f>
        <v>16</v>
      </c>
      <c r="C134" s="29">
        <f>SUMPRODUCT(Report[But Dom]*(Report[Domicile]=Classement[[#This Row],[Equipe]]))+SUMPRODUCT(Report[But Ext]*(Report[Extérieur]=Classement[[#This Row],[Equipe]]))+Classement[[#This Row],[Colonne1]]</f>
        <v>24</v>
      </c>
      <c r="D134" s="29">
        <f>SUMPRODUCT(Report[But Ext]*(Report[Domicile]=Classement[[#This Row],[Equipe]]))+SUMPRODUCT(Report[But Dom]*(Report[Extérieur]=Classement[[#This Row],[Equipe]]))+Classement[[#This Row],[Colonne2]]</f>
        <v>19</v>
      </c>
      <c r="E134" s="96">
        <v>14</v>
      </c>
      <c r="F134" s="96">
        <v>24</v>
      </c>
      <c r="G134" s="96">
        <v>17</v>
      </c>
      <c r="H134" s="96">
        <f>IF(Classement[[#This Row],[Equipe]]=Report_Données!$D:$D,SUM(Report_Données!$P:$P),3)</f>
        <v>3</v>
      </c>
      <c r="L134" s="31"/>
      <c r="N134" s="3" t="s">
        <v>195</v>
      </c>
    </row>
    <row r="135" spans="1:14" ht="20.100000000000001" customHeight="1" x14ac:dyDescent="0.25">
      <c r="A135" s="3" t="s">
        <v>259</v>
      </c>
      <c r="B135" s="29">
        <f>COUNTIF(Report_Données!D:E,Classement[[#This Row],[Equipe]])+Classement[[#This Row],[Colonne3]]</f>
        <v>15</v>
      </c>
      <c r="C135" s="29">
        <f>SUMPRODUCT(Report[But Dom]*(Report[Domicile]=Classement[[#This Row],[Equipe]]))+SUMPRODUCT(Report[But Ext]*(Report[Extérieur]=Classement[[#This Row],[Equipe]]))+Classement[[#This Row],[Colonne1]]</f>
        <v>20</v>
      </c>
      <c r="D135" s="29">
        <f>SUMPRODUCT(Report[But Ext]*(Report[Domicile]=Classement[[#This Row],[Equipe]]))+SUMPRODUCT(Report[But Dom]*(Report[Extérieur]=Classement[[#This Row],[Equipe]]))+Classement[[#This Row],[Colonne2]]</f>
        <v>16</v>
      </c>
      <c r="E135" s="96">
        <v>14</v>
      </c>
      <c r="F135" s="96">
        <v>20</v>
      </c>
      <c r="G135" s="96">
        <v>15</v>
      </c>
      <c r="H135" s="96">
        <f>IF(Classement[[#This Row],[Equipe]]=Report_Données!$D:$D,SUM(Report_Données!$P:$P),3)</f>
        <v>3</v>
      </c>
      <c r="L135" s="32"/>
      <c r="N135" s="3" t="s">
        <v>195</v>
      </c>
    </row>
    <row r="136" spans="1:14" ht="20.100000000000001" customHeight="1" x14ac:dyDescent="0.25">
      <c r="A136" s="3" t="s">
        <v>260</v>
      </c>
      <c r="B136" s="29">
        <f>COUNTIF(Report_Données!D:E,Classement[[#This Row],[Equipe]])+Classement[[#This Row],[Colonne3]]</f>
        <v>15</v>
      </c>
      <c r="C136" s="29">
        <f>SUMPRODUCT(Report[But Dom]*(Report[Domicile]=Classement[[#This Row],[Equipe]]))+SUMPRODUCT(Report[But Ext]*(Report[Extérieur]=Classement[[#This Row],[Equipe]]))+Classement[[#This Row],[Colonne1]]</f>
        <v>13</v>
      </c>
      <c r="D136" s="29">
        <f>SUMPRODUCT(Report[But Ext]*(Report[Domicile]=Classement[[#This Row],[Equipe]]))+SUMPRODUCT(Report[But Dom]*(Report[Extérieur]=Classement[[#This Row],[Equipe]]))+Classement[[#This Row],[Colonne2]]</f>
        <v>12</v>
      </c>
      <c r="E136" s="96">
        <v>14</v>
      </c>
      <c r="F136" s="96">
        <v>13</v>
      </c>
      <c r="G136" s="96">
        <v>12</v>
      </c>
      <c r="H136" s="96">
        <f>IF(Classement[[#This Row],[Equipe]]=Report_Données!$D:$D,SUM(Report_Données!$P:$P),3)</f>
        <v>3</v>
      </c>
      <c r="K136" s="37"/>
      <c r="M136" s="3" t="s">
        <v>195</v>
      </c>
    </row>
    <row r="137" spans="1:14" ht="20.100000000000001" customHeight="1" x14ac:dyDescent="0.25">
      <c r="A137" s="28"/>
      <c r="B137" s="30"/>
      <c r="C137" s="30"/>
      <c r="D137" s="30"/>
      <c r="E137" s="96"/>
      <c r="F137" s="96"/>
      <c r="G137" s="96"/>
      <c r="H137" s="96">
        <f>IF(Classement[[#This Row],[Equipe]]=Report_Données!$D:$D,SUM(Report_Données!$P:$P),3)</f>
        <v>3</v>
      </c>
    </row>
    <row r="138" spans="1:14" ht="20.100000000000001" customHeight="1" x14ac:dyDescent="0.25">
      <c r="A138" s="3" t="s">
        <v>261</v>
      </c>
      <c r="B138" s="29">
        <f>COUNTIF(Report_Données!D:E,Classement[[#This Row],[Equipe]])+Classement[[#This Row],[Colonne3]]</f>
        <v>18</v>
      </c>
      <c r="C138" s="29">
        <f>SUMPRODUCT(Report[But Dom]*(Report[Domicile]=Classement[[#This Row],[Equipe]]))+SUMPRODUCT(Report[But Ext]*(Report[Extérieur]=Classement[[#This Row],[Equipe]]))+Classement[[#This Row],[Colonne1]]</f>
        <v>14</v>
      </c>
      <c r="D138" s="29">
        <f>SUMPRODUCT(Report[But Ext]*(Report[Domicile]=Classement[[#This Row],[Equipe]]))+SUMPRODUCT(Report[But Dom]*(Report[Extérieur]=Classement[[#This Row],[Equipe]]))+Classement[[#This Row],[Colonne2]]</f>
        <v>25</v>
      </c>
      <c r="E138" s="96">
        <v>17</v>
      </c>
      <c r="F138" s="96">
        <v>14</v>
      </c>
      <c r="G138" s="96">
        <v>22</v>
      </c>
      <c r="H138" s="96">
        <f>IF(Classement[[#This Row],[Equipe]]=Report_Données!$D:$D,SUM(Report_Données!$P:$P),3)</f>
        <v>3</v>
      </c>
      <c r="K138" s="37"/>
      <c r="L138" s="3" t="s">
        <v>195</v>
      </c>
    </row>
    <row r="139" spans="1:14" ht="20.100000000000001" customHeight="1" x14ac:dyDescent="0.25">
      <c r="A139" s="3" t="s">
        <v>262</v>
      </c>
      <c r="B139" s="29">
        <f>COUNTIF(Report_Données!D:E,Classement[[#This Row],[Equipe]])+Classement[[#This Row],[Colonne3]]</f>
        <v>18</v>
      </c>
      <c r="C139" s="29">
        <f>SUMPRODUCT(Report[But Dom]*(Report[Domicile]=Classement[[#This Row],[Equipe]]))+SUMPRODUCT(Report[But Ext]*(Report[Extérieur]=Classement[[#This Row],[Equipe]]))+Classement[[#This Row],[Colonne1]]</f>
        <v>14</v>
      </c>
      <c r="D139" s="29">
        <f>SUMPRODUCT(Report[But Ext]*(Report[Domicile]=Classement[[#This Row],[Equipe]]))+SUMPRODUCT(Report[But Dom]*(Report[Extérieur]=Classement[[#This Row],[Equipe]]))+Classement[[#This Row],[Colonne2]]</f>
        <v>27</v>
      </c>
      <c r="E139" s="96">
        <v>17</v>
      </c>
      <c r="F139" s="96">
        <v>13</v>
      </c>
      <c r="G139" s="96">
        <v>26</v>
      </c>
      <c r="H139" s="96">
        <f>IF(Classement[[#This Row],[Equipe]]=Report_Données!$D:$D,SUM(Report_Données!$P:$P),3)</f>
        <v>3</v>
      </c>
      <c r="K139" s="37"/>
      <c r="L139" s="3" t="s">
        <v>195</v>
      </c>
    </row>
    <row r="140" spans="1:14" ht="20.100000000000001" customHeight="1" x14ac:dyDescent="0.25">
      <c r="A140" s="3" t="s">
        <v>263</v>
      </c>
      <c r="B140" s="29">
        <f>COUNTIF(Report_Données!D:E,Classement[[#This Row],[Equipe]])+Classement[[#This Row],[Colonne3]]</f>
        <v>18</v>
      </c>
      <c r="C140" s="29">
        <f>SUMPRODUCT(Report[But Dom]*(Report[Domicile]=Classement[[#This Row],[Equipe]]))+SUMPRODUCT(Report[But Ext]*(Report[Extérieur]=Classement[[#This Row],[Equipe]]))+Classement[[#This Row],[Colonne1]]</f>
        <v>20</v>
      </c>
      <c r="D140" s="29">
        <f>SUMPRODUCT(Report[But Ext]*(Report[Domicile]=Classement[[#This Row],[Equipe]]))+SUMPRODUCT(Report[But Dom]*(Report[Extérieur]=Classement[[#This Row],[Equipe]]))+Classement[[#This Row],[Colonne2]]</f>
        <v>27</v>
      </c>
      <c r="E140" s="96">
        <v>17</v>
      </c>
      <c r="F140" s="96">
        <v>18</v>
      </c>
      <c r="G140" s="96">
        <v>26</v>
      </c>
      <c r="H140" s="96">
        <f>IF(Classement[[#This Row],[Equipe]]=Report_Données!$D:$D,SUM(Report_Données!$P:$P),3)</f>
        <v>3</v>
      </c>
      <c r="K140" s="37"/>
      <c r="L140" s="3" t="s">
        <v>195</v>
      </c>
    </row>
    <row r="141" spans="1:14" ht="20.100000000000001" customHeight="1" x14ac:dyDescent="0.25">
      <c r="A141" s="3" t="s">
        <v>264</v>
      </c>
      <c r="B141" s="29">
        <f>COUNTIF(Report_Données!D:E,Classement[[#This Row],[Equipe]])+Classement[[#This Row],[Colonne3]]</f>
        <v>18</v>
      </c>
      <c r="C141" s="29">
        <f>SUMPRODUCT(Report[But Dom]*(Report[Domicile]=Classement[[#This Row],[Equipe]]))+SUMPRODUCT(Report[But Ext]*(Report[Extérieur]=Classement[[#This Row],[Equipe]]))+Classement[[#This Row],[Colonne1]]</f>
        <v>21</v>
      </c>
      <c r="D141" s="29">
        <f>SUMPRODUCT(Report[But Ext]*(Report[Domicile]=Classement[[#This Row],[Equipe]]))+SUMPRODUCT(Report[But Dom]*(Report[Extérieur]=Classement[[#This Row],[Equipe]]))+Classement[[#This Row],[Colonne2]]</f>
        <v>24</v>
      </c>
      <c r="E141" s="96">
        <v>17</v>
      </c>
      <c r="F141" s="96">
        <v>18</v>
      </c>
      <c r="G141" s="96">
        <v>24</v>
      </c>
      <c r="H141" s="96">
        <f>IF(Classement[[#This Row],[Equipe]]=Report_Données!$D:$D,SUM(Report_Données!$P:$P),3)</f>
        <v>3</v>
      </c>
      <c r="K141" s="37"/>
      <c r="L141" s="3" t="s">
        <v>195</v>
      </c>
    </row>
    <row r="142" spans="1:14" ht="20.100000000000001" customHeight="1" x14ac:dyDescent="0.25">
      <c r="A142" s="3" t="s">
        <v>265</v>
      </c>
      <c r="B142" s="29">
        <f>COUNTIF(Report_Données!D:E,Classement[[#This Row],[Equipe]])+Classement[[#This Row],[Colonne3]]</f>
        <v>18</v>
      </c>
      <c r="C142" s="29">
        <f>SUMPRODUCT(Report[But Dom]*(Report[Domicile]=Classement[[#This Row],[Equipe]]))+SUMPRODUCT(Report[But Ext]*(Report[Extérieur]=Classement[[#This Row],[Equipe]]))+Classement[[#This Row],[Colonne1]]</f>
        <v>14</v>
      </c>
      <c r="D142" s="29">
        <f>SUMPRODUCT(Report[But Ext]*(Report[Domicile]=Classement[[#This Row],[Equipe]]))+SUMPRODUCT(Report[But Dom]*(Report[Extérieur]=Classement[[#This Row],[Equipe]]))+Classement[[#This Row],[Colonne2]]</f>
        <v>16</v>
      </c>
      <c r="E142" s="96">
        <v>17</v>
      </c>
      <c r="F142" s="96">
        <v>14</v>
      </c>
      <c r="G142" s="96">
        <v>15</v>
      </c>
      <c r="H142" s="96">
        <f>IF(Classement[[#This Row],[Equipe]]=Report_Données!$D:$D,SUM(Report_Données!$P:$P),3)</f>
        <v>3</v>
      </c>
      <c r="K142" s="37"/>
      <c r="L142" s="3" t="s">
        <v>195</v>
      </c>
    </row>
    <row r="143" spans="1:14" ht="20.100000000000001" customHeight="1" x14ac:dyDescent="0.25">
      <c r="A143" s="3" t="s">
        <v>266</v>
      </c>
      <c r="B143" s="29">
        <f>COUNTIF(Report_Données!D:E,Classement[[#This Row],[Equipe]])+Classement[[#This Row],[Colonne3]]</f>
        <v>18</v>
      </c>
      <c r="C143" s="29">
        <f>SUMPRODUCT(Report[But Dom]*(Report[Domicile]=Classement[[#This Row],[Equipe]]))+SUMPRODUCT(Report[But Ext]*(Report[Extérieur]=Classement[[#This Row],[Equipe]]))+Classement[[#This Row],[Colonne1]]</f>
        <v>40</v>
      </c>
      <c r="D143" s="29">
        <f>SUMPRODUCT(Report[But Ext]*(Report[Domicile]=Classement[[#This Row],[Equipe]]))+SUMPRODUCT(Report[But Dom]*(Report[Extérieur]=Classement[[#This Row],[Equipe]]))+Classement[[#This Row],[Colonne2]]</f>
        <v>14</v>
      </c>
      <c r="E143" s="96">
        <v>17</v>
      </c>
      <c r="F143" s="96">
        <v>37</v>
      </c>
      <c r="G143" s="96">
        <v>13</v>
      </c>
      <c r="H143" s="96">
        <f>IF(Classement[[#This Row],[Equipe]]=Report_Données!$D:$D,SUM(Report_Données!$P:$P),3)</f>
        <v>3</v>
      </c>
      <c r="K143" s="36"/>
      <c r="L143" s="3" t="s">
        <v>195</v>
      </c>
    </row>
    <row r="144" spans="1:14" ht="20.100000000000001" customHeight="1" x14ac:dyDescent="0.25">
      <c r="A144" s="3" t="s">
        <v>267</v>
      </c>
      <c r="B144" s="29">
        <f>COUNTIF(Report_Données!D:E,Classement[[#This Row],[Equipe]])+Classement[[#This Row],[Colonne3]]</f>
        <v>18</v>
      </c>
      <c r="C144" s="29">
        <f>SUMPRODUCT(Report[But Dom]*(Report[Domicile]=Classement[[#This Row],[Equipe]]))+SUMPRODUCT(Report[But Ext]*(Report[Extérieur]=Classement[[#This Row],[Equipe]]))+Classement[[#This Row],[Colonne1]]</f>
        <v>19</v>
      </c>
      <c r="D144" s="29">
        <f>SUMPRODUCT(Report[But Ext]*(Report[Domicile]=Classement[[#This Row],[Equipe]]))+SUMPRODUCT(Report[But Dom]*(Report[Extérieur]=Classement[[#This Row],[Equipe]]))+Classement[[#This Row],[Colonne2]]</f>
        <v>11</v>
      </c>
      <c r="E144" s="96">
        <v>17</v>
      </c>
      <c r="F144" s="96">
        <v>18</v>
      </c>
      <c r="G144" s="96">
        <v>10</v>
      </c>
      <c r="H144" s="96">
        <f>IF(Classement[[#This Row],[Equipe]]=Report_Données!$D:$D,SUM(Report_Données!$P:$P),3)</f>
        <v>3</v>
      </c>
      <c r="K144" s="37"/>
      <c r="L144" s="3" t="s">
        <v>195</v>
      </c>
    </row>
    <row r="145" spans="1:13" ht="20.100000000000001" customHeight="1" x14ac:dyDescent="0.25">
      <c r="A145" s="3" t="s">
        <v>268</v>
      </c>
      <c r="B145" s="29">
        <f>COUNTIF(Report_Données!D:E,Classement[[#This Row],[Equipe]])+Classement[[#This Row],[Colonne3]]</f>
        <v>18</v>
      </c>
      <c r="C145" s="29">
        <f>SUMPRODUCT(Report[But Dom]*(Report[Domicile]=Classement[[#This Row],[Equipe]]))+SUMPRODUCT(Report[But Ext]*(Report[Extérieur]=Classement[[#This Row],[Equipe]]))+Classement[[#This Row],[Colonne1]]</f>
        <v>11</v>
      </c>
      <c r="D145" s="29">
        <f>SUMPRODUCT(Report[But Ext]*(Report[Domicile]=Classement[[#This Row],[Equipe]]))+SUMPRODUCT(Report[But Dom]*(Report[Extérieur]=Classement[[#This Row],[Equipe]]))+Classement[[#This Row],[Colonne2]]</f>
        <v>12</v>
      </c>
      <c r="E145" s="96">
        <v>17</v>
      </c>
      <c r="F145" s="96">
        <v>10</v>
      </c>
      <c r="G145" s="96">
        <v>12</v>
      </c>
      <c r="H145" s="96">
        <f>IF(Classement[[#This Row],[Equipe]]=Report_Données!$D:$D,SUM(Report_Données!$P:$P),3)</f>
        <v>3</v>
      </c>
      <c r="K145" s="37"/>
      <c r="L145" s="3" t="s">
        <v>195</v>
      </c>
    </row>
    <row r="146" spans="1:13" ht="20.100000000000001" customHeight="1" x14ac:dyDescent="0.25">
      <c r="A146" s="3" t="s">
        <v>269</v>
      </c>
      <c r="B146" s="29">
        <f>COUNTIF(Report_Données!D:E,Classement[[#This Row],[Equipe]])+Classement[[#This Row],[Colonne3]]</f>
        <v>18</v>
      </c>
      <c r="C146" s="29">
        <f>SUMPRODUCT(Report[But Dom]*(Report[Domicile]=Classement[[#This Row],[Equipe]]))+SUMPRODUCT(Report[But Ext]*(Report[Extérieur]=Classement[[#This Row],[Equipe]]))+Classement[[#This Row],[Colonne1]]</f>
        <v>17</v>
      </c>
      <c r="D146" s="29">
        <f>SUMPRODUCT(Report[But Ext]*(Report[Domicile]=Classement[[#This Row],[Equipe]]))+SUMPRODUCT(Report[But Dom]*(Report[Extérieur]=Classement[[#This Row],[Equipe]]))+Classement[[#This Row],[Colonne2]]</f>
        <v>23</v>
      </c>
      <c r="E146" s="96">
        <v>17</v>
      </c>
      <c r="F146" s="96">
        <v>16</v>
      </c>
      <c r="G146" s="96">
        <v>21</v>
      </c>
      <c r="H146" s="96">
        <f>IF(Classement[[#This Row],[Equipe]]=Report_Données!$D:$D,SUM(Report_Données!$P:$P),3)</f>
        <v>3</v>
      </c>
    </row>
    <row r="147" spans="1:13" ht="20.100000000000001" customHeight="1" x14ac:dyDescent="0.25">
      <c r="A147" s="3" t="s">
        <v>270</v>
      </c>
      <c r="B147" s="29">
        <f>COUNTIF(Report_Données!D:E,Classement[[#This Row],[Equipe]])+Classement[[#This Row],[Colonne3]]</f>
        <v>18</v>
      </c>
      <c r="C147" s="29">
        <f>SUMPRODUCT(Report[But Dom]*(Report[Domicile]=Classement[[#This Row],[Equipe]]))+SUMPRODUCT(Report[But Ext]*(Report[Extérieur]=Classement[[#This Row],[Equipe]]))+Classement[[#This Row],[Colonne1]]</f>
        <v>26</v>
      </c>
      <c r="D147" s="29">
        <f>SUMPRODUCT(Report[But Ext]*(Report[Domicile]=Classement[[#This Row],[Equipe]]))+SUMPRODUCT(Report[But Dom]*(Report[Extérieur]=Classement[[#This Row],[Equipe]]))+Classement[[#This Row],[Colonne2]]</f>
        <v>19</v>
      </c>
      <c r="E147" s="96">
        <v>17</v>
      </c>
      <c r="F147" s="96">
        <v>25</v>
      </c>
      <c r="G147" s="96">
        <v>17</v>
      </c>
      <c r="H147" s="96">
        <f>IF(Classement[[#This Row],[Equipe]]=Report_Données!$D:$D,SUM(Report_Données!$P:$P),3)</f>
        <v>3</v>
      </c>
    </row>
    <row r="148" spans="1:13" ht="20.100000000000001" customHeight="1" x14ac:dyDescent="0.25">
      <c r="A148" s="3" t="s">
        <v>271</v>
      </c>
      <c r="B148" s="29">
        <f>COUNTIF(Report_Données!D:E,Classement[[#This Row],[Equipe]])+Classement[[#This Row],[Colonne3]]</f>
        <v>18</v>
      </c>
      <c r="C148" s="29">
        <f>SUMPRODUCT(Report[But Dom]*(Report[Domicile]=Classement[[#This Row],[Equipe]]))+SUMPRODUCT(Report[But Ext]*(Report[Extérieur]=Classement[[#This Row],[Equipe]]))+Classement[[#This Row],[Colonne1]]</f>
        <v>29</v>
      </c>
      <c r="D148" s="29">
        <f>SUMPRODUCT(Report[But Ext]*(Report[Domicile]=Classement[[#This Row],[Equipe]]))+SUMPRODUCT(Report[But Dom]*(Report[Extérieur]=Classement[[#This Row],[Equipe]]))+Classement[[#This Row],[Colonne2]]</f>
        <v>16</v>
      </c>
      <c r="E148" s="96">
        <v>17</v>
      </c>
      <c r="F148" s="96">
        <v>27</v>
      </c>
      <c r="G148" s="96">
        <v>15</v>
      </c>
      <c r="H148" s="96">
        <f>IF(Classement[[#This Row],[Equipe]]=Report_Données!$D:$D,SUM(Report_Données!$P:$P),3)</f>
        <v>3</v>
      </c>
    </row>
    <row r="149" spans="1:13" ht="20.100000000000001" customHeight="1" x14ac:dyDescent="0.25">
      <c r="A149" s="3" t="s">
        <v>272</v>
      </c>
      <c r="B149" s="29">
        <f>COUNTIF(Report_Données!D:E,Classement[[#This Row],[Equipe]])+Classement[[#This Row],[Colonne3]]</f>
        <v>18</v>
      </c>
      <c r="C149" s="29">
        <f>SUMPRODUCT(Report[But Dom]*(Report[Domicile]=Classement[[#This Row],[Equipe]]))+SUMPRODUCT(Report[But Ext]*(Report[Extérieur]=Classement[[#This Row],[Equipe]]))+Classement[[#This Row],[Colonne1]]</f>
        <v>16</v>
      </c>
      <c r="D149" s="29">
        <f>SUMPRODUCT(Report[But Ext]*(Report[Domicile]=Classement[[#This Row],[Equipe]]))+SUMPRODUCT(Report[But Dom]*(Report[Extérieur]=Classement[[#This Row],[Equipe]]))+Classement[[#This Row],[Colonne2]]</f>
        <v>27</v>
      </c>
      <c r="E149" s="96">
        <v>17</v>
      </c>
      <c r="F149" s="96">
        <v>15</v>
      </c>
      <c r="G149" s="96">
        <v>24</v>
      </c>
      <c r="H149" s="96">
        <f>IF(Classement[[#This Row],[Equipe]]=Report_Données!$D:$D,SUM(Report_Données!$P:$P),3)</f>
        <v>3</v>
      </c>
    </row>
    <row r="150" spans="1:13" ht="20.100000000000001" customHeight="1" x14ac:dyDescent="0.25">
      <c r="A150" s="28"/>
      <c r="B150" s="30"/>
      <c r="C150" s="30"/>
      <c r="D150" s="30"/>
      <c r="E150" s="96"/>
      <c r="F150" s="96"/>
      <c r="G150" s="96"/>
      <c r="H150" s="96">
        <f>IF(Classement[[#This Row],[Equipe]]=Report_Données!$D:$D,SUM(Report_Données!$P:$P),3)</f>
        <v>3</v>
      </c>
      <c r="J150" s="37"/>
    </row>
    <row r="151" spans="1:13" ht="20.100000000000001" customHeight="1" x14ac:dyDescent="0.25">
      <c r="A151" s="3" t="s">
        <v>273</v>
      </c>
      <c r="B151" s="29">
        <f>COUNTIF(Report_Données!D:E,Classement[[#This Row],[Equipe]])+Classement[[#This Row],[Colonne3]]</f>
        <v>15</v>
      </c>
      <c r="C151" s="29">
        <f>SUMPRODUCT(Report[But Dom]*(Report[Domicile]=Classement[[#This Row],[Equipe]]))+SUMPRODUCT(Report[But Ext]*(Report[Extérieur]=Classement[[#This Row],[Equipe]]))+Classement[[#This Row],[Colonne1]]</f>
        <v>22</v>
      </c>
      <c r="D151" s="29">
        <f>SUMPRODUCT(Report[But Ext]*(Report[Domicile]=Classement[[#This Row],[Equipe]]))+SUMPRODUCT(Report[But Dom]*(Report[Extérieur]=Classement[[#This Row],[Equipe]]))+Classement[[#This Row],[Colonne2]]</f>
        <v>24</v>
      </c>
      <c r="E151" s="96">
        <v>14</v>
      </c>
      <c r="F151" s="96">
        <v>19</v>
      </c>
      <c r="G151" s="96">
        <v>22</v>
      </c>
      <c r="H151" s="96">
        <f>IF(Classement[[#This Row],[Equipe]]=Report_Données!$D:$D,SUM(Report_Données!$P:$P),3)</f>
        <v>3</v>
      </c>
      <c r="K151" s="37"/>
      <c r="M151" s="3" t="s">
        <v>195</v>
      </c>
    </row>
    <row r="152" spans="1:13" ht="20.100000000000001" customHeight="1" x14ac:dyDescent="0.25">
      <c r="A152" s="3" t="s">
        <v>274</v>
      </c>
      <c r="B152" s="29">
        <f>COUNTIF(Report_Données!D:E,Classement[[#This Row],[Equipe]])+Classement[[#This Row],[Colonne3]]</f>
        <v>15</v>
      </c>
      <c r="C152" s="29">
        <f>SUMPRODUCT(Report[But Dom]*(Report[Domicile]=Classement[[#This Row],[Equipe]]))+SUMPRODUCT(Report[But Ext]*(Report[Extérieur]=Classement[[#This Row],[Equipe]]))+Classement[[#This Row],[Colonne1]]</f>
        <v>29</v>
      </c>
      <c r="D152" s="29">
        <f>SUMPRODUCT(Report[But Ext]*(Report[Domicile]=Classement[[#This Row],[Equipe]]))+SUMPRODUCT(Report[But Dom]*(Report[Extérieur]=Classement[[#This Row],[Equipe]]))+Classement[[#This Row],[Colonne2]]</f>
        <v>23</v>
      </c>
      <c r="E152" s="96">
        <v>14</v>
      </c>
      <c r="F152" s="96">
        <v>27</v>
      </c>
      <c r="G152" s="96">
        <v>20</v>
      </c>
      <c r="H152" s="96">
        <f>IF(Classement[[#This Row],[Equipe]]=Report_Données!$D:$D,SUM(Report_Données!$P:$P),3)</f>
        <v>3</v>
      </c>
      <c r="K152" s="36"/>
      <c r="M152" s="3" t="s">
        <v>195</v>
      </c>
    </row>
    <row r="153" spans="1:13" ht="20.100000000000001" customHeight="1" x14ac:dyDescent="0.25">
      <c r="A153" s="3" t="s">
        <v>275</v>
      </c>
      <c r="B153" s="29">
        <f>COUNTIF(Report_Données!D:E,Classement[[#This Row],[Equipe]])+Classement[[#This Row],[Colonne3]]</f>
        <v>15</v>
      </c>
      <c r="C153" s="29">
        <f>SUMPRODUCT(Report[But Dom]*(Report[Domicile]=Classement[[#This Row],[Equipe]]))+SUMPRODUCT(Report[But Ext]*(Report[Extérieur]=Classement[[#This Row],[Equipe]]))+Classement[[#This Row],[Colonne1]]</f>
        <v>22</v>
      </c>
      <c r="D153" s="29">
        <f>SUMPRODUCT(Report[But Ext]*(Report[Domicile]=Classement[[#This Row],[Equipe]]))+SUMPRODUCT(Report[But Dom]*(Report[Extérieur]=Classement[[#This Row],[Equipe]]))+Classement[[#This Row],[Colonne2]]</f>
        <v>20</v>
      </c>
      <c r="E153" s="96">
        <v>14</v>
      </c>
      <c r="F153" s="96">
        <v>22</v>
      </c>
      <c r="G153" s="96">
        <v>18</v>
      </c>
      <c r="H153" s="96">
        <f>IF(Classement[[#This Row],[Equipe]]=Report_Données!$D:$D,SUM(Report_Données!$P:$P),3)</f>
        <v>3</v>
      </c>
      <c r="K153" s="37"/>
      <c r="M153" s="3" t="s">
        <v>195</v>
      </c>
    </row>
    <row r="154" spans="1:13" ht="20.100000000000001" customHeight="1" x14ac:dyDescent="0.25">
      <c r="A154" s="3" t="s">
        <v>276</v>
      </c>
      <c r="B154" s="29">
        <f>COUNTIF(Report_Données!D:E,Classement[[#This Row],[Equipe]])+Classement[[#This Row],[Colonne3]]</f>
        <v>15</v>
      </c>
      <c r="C154" s="29">
        <f>SUMPRODUCT(Report[But Dom]*(Report[Domicile]=Classement[[#This Row],[Equipe]]))+SUMPRODUCT(Report[But Ext]*(Report[Extérieur]=Classement[[#This Row],[Equipe]]))+Classement[[#This Row],[Colonne1]]</f>
        <v>15</v>
      </c>
      <c r="D154" s="29">
        <f>SUMPRODUCT(Report[But Ext]*(Report[Domicile]=Classement[[#This Row],[Equipe]]))+SUMPRODUCT(Report[But Dom]*(Report[Extérieur]=Classement[[#This Row],[Equipe]]))+Classement[[#This Row],[Colonne2]]</f>
        <v>16</v>
      </c>
      <c r="E154" s="96">
        <v>14</v>
      </c>
      <c r="F154" s="96">
        <v>13</v>
      </c>
      <c r="G154" s="96">
        <v>16</v>
      </c>
      <c r="H154" s="96">
        <f>IF(Classement[[#This Row],[Equipe]]=Report_Données!$D:$D,SUM(Report_Données!$P:$P),3)</f>
        <v>3</v>
      </c>
      <c r="K154" s="37"/>
      <c r="M154" s="3" t="s">
        <v>195</v>
      </c>
    </row>
    <row r="155" spans="1:13" ht="20.100000000000001" customHeight="1" x14ac:dyDescent="0.25">
      <c r="A155" s="3" t="s">
        <v>277</v>
      </c>
      <c r="B155" s="29">
        <f>COUNTIF(Report_Données!D:E,Classement[[#This Row],[Equipe]])+Classement[[#This Row],[Colonne3]]</f>
        <v>15</v>
      </c>
      <c r="C155" s="29">
        <f>SUMPRODUCT(Report[But Dom]*(Report[Domicile]=Classement[[#This Row],[Equipe]]))+SUMPRODUCT(Report[But Ext]*(Report[Extérieur]=Classement[[#This Row],[Equipe]]))+Classement[[#This Row],[Colonne1]]</f>
        <v>19</v>
      </c>
      <c r="D155" s="29">
        <f>SUMPRODUCT(Report[But Ext]*(Report[Domicile]=Classement[[#This Row],[Equipe]]))+SUMPRODUCT(Report[But Dom]*(Report[Extérieur]=Classement[[#This Row],[Equipe]]))+Classement[[#This Row],[Colonne2]]</f>
        <v>22</v>
      </c>
      <c r="E155" s="96">
        <v>14</v>
      </c>
      <c r="F155" s="96">
        <v>19</v>
      </c>
      <c r="G155" s="96">
        <v>20</v>
      </c>
      <c r="H155" s="96">
        <f>IF(Classement[[#This Row],[Equipe]]=Report_Données!$D:$D,SUM(Report_Données!$P:$P),3)</f>
        <v>3</v>
      </c>
      <c r="K155" s="37"/>
      <c r="M155" s="3" t="s">
        <v>195</v>
      </c>
    </row>
    <row r="156" spans="1:13" ht="20.100000000000001" customHeight="1" x14ac:dyDescent="0.25">
      <c r="A156" s="3" t="s">
        <v>278</v>
      </c>
      <c r="B156" s="29">
        <f>COUNTIF(Report_Données!D:E,Classement[[#This Row],[Equipe]])+Classement[[#This Row],[Colonne3]]</f>
        <v>15</v>
      </c>
      <c r="C156" s="29">
        <f>SUMPRODUCT(Report[But Dom]*(Report[Domicile]=Classement[[#This Row],[Equipe]]))+SUMPRODUCT(Report[But Ext]*(Report[Extérieur]=Classement[[#This Row],[Equipe]]))+Classement[[#This Row],[Colonne1]]</f>
        <v>19</v>
      </c>
      <c r="D156" s="29">
        <f>SUMPRODUCT(Report[But Ext]*(Report[Domicile]=Classement[[#This Row],[Equipe]]))+SUMPRODUCT(Report[But Dom]*(Report[Extérieur]=Classement[[#This Row],[Equipe]]))+Classement[[#This Row],[Colonne2]]</f>
        <v>31</v>
      </c>
      <c r="E156" s="96">
        <v>14</v>
      </c>
      <c r="F156" s="96">
        <v>17</v>
      </c>
      <c r="G156" s="96">
        <v>30</v>
      </c>
      <c r="H156" s="96">
        <f>IF(Classement[[#This Row],[Equipe]]=Report_Données!$D:$D,SUM(Report_Données!$P:$P),3)</f>
        <v>3</v>
      </c>
      <c r="K156" s="37"/>
      <c r="M156" s="3" t="s">
        <v>195</v>
      </c>
    </row>
    <row r="157" spans="1:13" ht="20.100000000000001" customHeight="1" x14ac:dyDescent="0.25">
      <c r="A157" s="3" t="s">
        <v>279</v>
      </c>
      <c r="B157" s="29">
        <f>COUNTIF(Report_Données!D:E,Classement[[#This Row],[Equipe]])+Classement[[#This Row],[Colonne3]]</f>
        <v>15</v>
      </c>
      <c r="C157" s="29">
        <f>SUMPRODUCT(Report[But Dom]*(Report[Domicile]=Classement[[#This Row],[Equipe]]))+SUMPRODUCT(Report[But Ext]*(Report[Extérieur]=Classement[[#This Row],[Equipe]]))+Classement[[#This Row],[Colonne1]]</f>
        <v>35</v>
      </c>
      <c r="D157" s="29">
        <f>SUMPRODUCT(Report[But Ext]*(Report[Domicile]=Classement[[#This Row],[Equipe]]))+SUMPRODUCT(Report[But Dom]*(Report[Extérieur]=Classement[[#This Row],[Equipe]]))+Classement[[#This Row],[Colonne2]]</f>
        <v>14</v>
      </c>
      <c r="E157" s="96">
        <v>14</v>
      </c>
      <c r="F157" s="96">
        <v>34</v>
      </c>
      <c r="G157" s="96">
        <v>13</v>
      </c>
      <c r="H157" s="96">
        <f>IF(Classement[[#This Row],[Equipe]]=Report_Données!$D:$D,SUM(Report_Données!$P:$P),3)</f>
        <v>3</v>
      </c>
      <c r="K157" s="36"/>
      <c r="M157" s="3" t="s">
        <v>195</v>
      </c>
    </row>
    <row r="158" spans="1:13" ht="20.100000000000001" customHeight="1" x14ac:dyDescent="0.25">
      <c r="A158" s="3" t="s">
        <v>280</v>
      </c>
      <c r="B158" s="29">
        <f>COUNTIF(Report_Données!D:E,Classement[[#This Row],[Equipe]])+Classement[[#This Row],[Colonne3]]</f>
        <v>15</v>
      </c>
      <c r="C158" s="29">
        <f>SUMPRODUCT(Report[But Dom]*(Report[Domicile]=Classement[[#This Row],[Equipe]]))+SUMPRODUCT(Report[But Ext]*(Report[Extérieur]=Classement[[#This Row],[Equipe]]))+Classement[[#This Row],[Colonne1]]</f>
        <v>18</v>
      </c>
      <c r="D158" s="29">
        <f>SUMPRODUCT(Report[But Ext]*(Report[Domicile]=Classement[[#This Row],[Equipe]]))+SUMPRODUCT(Report[But Dom]*(Report[Extérieur]=Classement[[#This Row],[Equipe]]))+Classement[[#This Row],[Colonne2]]</f>
        <v>20</v>
      </c>
      <c r="E158" s="96">
        <v>14</v>
      </c>
      <c r="F158" s="96">
        <v>18</v>
      </c>
      <c r="G158" s="96">
        <v>18</v>
      </c>
      <c r="H158" s="96">
        <f>IF(Classement[[#This Row],[Equipe]]=Report_Données!$D:$D,SUM(Report_Données!$P:$P),3)</f>
        <v>3</v>
      </c>
      <c r="K158" s="37"/>
      <c r="M158" s="3" t="s">
        <v>195</v>
      </c>
    </row>
    <row r="159" spans="1:13" ht="20.100000000000001" customHeight="1" x14ac:dyDescent="0.25">
      <c r="A159" s="3" t="s">
        <v>281</v>
      </c>
      <c r="B159" s="29">
        <f>COUNTIF(Report_Données!D:E,Classement[[#This Row],[Equipe]])+Classement[[#This Row],[Colonne3]]</f>
        <v>15</v>
      </c>
      <c r="C159" s="29">
        <f>SUMPRODUCT(Report[But Dom]*(Report[Domicile]=Classement[[#This Row],[Equipe]]))+SUMPRODUCT(Report[But Ext]*(Report[Extérieur]=Classement[[#This Row],[Equipe]]))+Classement[[#This Row],[Colonne1]]</f>
        <v>11</v>
      </c>
      <c r="D159" s="29">
        <f>SUMPRODUCT(Report[But Ext]*(Report[Domicile]=Classement[[#This Row],[Equipe]]))+SUMPRODUCT(Report[But Dom]*(Report[Extérieur]=Classement[[#This Row],[Equipe]]))+Classement[[#This Row],[Colonne2]]</f>
        <v>26</v>
      </c>
      <c r="E159" s="96">
        <v>14</v>
      </c>
      <c r="F159" s="96">
        <v>10</v>
      </c>
      <c r="G159" s="96">
        <v>24</v>
      </c>
      <c r="H159" s="96">
        <f>IF(Classement[[#This Row],[Equipe]]=Report_Données!$D:$D,SUM(Report_Données!$P:$P),3)</f>
        <v>3</v>
      </c>
    </row>
    <row r="160" spans="1:13" ht="20.100000000000001" customHeight="1" x14ac:dyDescent="0.25">
      <c r="A160" s="3" t="s">
        <v>282</v>
      </c>
      <c r="B160" s="29">
        <f>COUNTIF(Report_Données!D:E,Classement[[#This Row],[Equipe]])+Classement[[#This Row],[Colonne3]]</f>
        <v>15</v>
      </c>
      <c r="C160" s="29">
        <f>SUMPRODUCT(Report[But Dom]*(Report[Domicile]=Classement[[#This Row],[Equipe]]))+SUMPRODUCT(Report[But Ext]*(Report[Extérieur]=Classement[[#This Row],[Equipe]]))+Classement[[#This Row],[Colonne1]]</f>
        <v>15</v>
      </c>
      <c r="D160" s="29">
        <f>SUMPRODUCT(Report[But Ext]*(Report[Domicile]=Classement[[#This Row],[Equipe]]))+SUMPRODUCT(Report[But Dom]*(Report[Extérieur]=Classement[[#This Row],[Equipe]]))+Classement[[#This Row],[Colonne2]]</f>
        <v>48</v>
      </c>
      <c r="E160" s="96">
        <v>14</v>
      </c>
      <c r="F160" s="96">
        <v>13</v>
      </c>
      <c r="G160" s="96">
        <v>48</v>
      </c>
      <c r="H160" s="96">
        <f>IF(Classement[[#This Row],[Equipe]]=Report_Données!$D:$D,SUM(Report_Données!$P:$P),3)</f>
        <v>3</v>
      </c>
    </row>
    <row r="161" spans="1:13" ht="20.100000000000001" customHeight="1" x14ac:dyDescent="0.25">
      <c r="A161" s="3" t="s">
        <v>283</v>
      </c>
      <c r="B161" s="29">
        <f>COUNTIF(Report_Données!D:E,Classement[[#This Row],[Equipe]])+Classement[[#This Row],[Colonne3]]</f>
        <v>15</v>
      </c>
      <c r="C161" s="29">
        <f>SUMPRODUCT(Report[But Dom]*(Report[Domicile]=Classement[[#This Row],[Equipe]]))+SUMPRODUCT(Report[But Ext]*(Report[Extérieur]=Classement[[#This Row],[Equipe]]))+Classement[[#This Row],[Colonne1]]</f>
        <v>28</v>
      </c>
      <c r="D161" s="29">
        <f>SUMPRODUCT(Report[But Ext]*(Report[Domicile]=Classement[[#This Row],[Equipe]]))+SUMPRODUCT(Report[But Dom]*(Report[Extérieur]=Classement[[#This Row],[Equipe]]))+Classement[[#This Row],[Colonne2]]</f>
        <v>17</v>
      </c>
      <c r="E161" s="96">
        <v>14</v>
      </c>
      <c r="F161" s="96">
        <v>27</v>
      </c>
      <c r="G161" s="96">
        <v>16</v>
      </c>
      <c r="H161" s="96">
        <f>IF(Classement[[#This Row],[Equipe]]=Report_Données!$D:$D,SUM(Report_Données!$P:$P),3)</f>
        <v>3</v>
      </c>
      <c r="J161" s="37"/>
    </row>
    <row r="162" spans="1:13" ht="20.100000000000001" customHeight="1" x14ac:dyDescent="0.25">
      <c r="A162" s="3" t="s">
        <v>284</v>
      </c>
      <c r="B162" s="29">
        <f>COUNTIF(Report_Données!D:E,Classement[[#This Row],[Equipe]])+Classement[[#This Row],[Colonne3]]</f>
        <v>15</v>
      </c>
      <c r="C162" s="29">
        <f>SUMPRODUCT(Report[But Dom]*(Report[Domicile]=Classement[[#This Row],[Equipe]]))+SUMPRODUCT(Report[But Ext]*(Report[Extérieur]=Classement[[#This Row],[Equipe]]))+Classement[[#This Row],[Colonne1]]</f>
        <v>38</v>
      </c>
      <c r="D162" s="29">
        <f>SUMPRODUCT(Report[But Ext]*(Report[Domicile]=Classement[[#This Row],[Equipe]]))+SUMPRODUCT(Report[But Dom]*(Report[Extérieur]=Classement[[#This Row],[Equipe]]))+Classement[[#This Row],[Colonne2]]</f>
        <v>10</v>
      </c>
      <c r="E162" s="96">
        <v>14</v>
      </c>
      <c r="F162" s="96">
        <v>36</v>
      </c>
      <c r="G162" s="96">
        <v>10</v>
      </c>
      <c r="H162" s="96">
        <f>IF(Classement[[#This Row],[Equipe]]=Report_Données!$D:$D,SUM(Report_Données!$P:$P),3)</f>
        <v>3</v>
      </c>
      <c r="J162" s="36"/>
    </row>
    <row r="163" spans="1:13" ht="20.100000000000001" customHeight="1" x14ac:dyDescent="0.25">
      <c r="A163" s="28"/>
      <c r="B163" s="30"/>
      <c r="C163" s="30"/>
      <c r="D163" s="30"/>
      <c r="E163" s="96"/>
      <c r="F163" s="96"/>
      <c r="G163" s="96"/>
      <c r="H163" s="96">
        <f>IF(Classement[[#This Row],[Equipe]]=Report_Données!$D:$D,SUM(Report_Données!$P:$P),3)</f>
        <v>3</v>
      </c>
      <c r="J163" s="36"/>
    </row>
    <row r="164" spans="1:13" ht="20.100000000000001" customHeight="1" x14ac:dyDescent="0.25">
      <c r="A164" s="3" t="s">
        <v>285</v>
      </c>
      <c r="B164" s="29">
        <f>COUNTIF(Report_Données!D:E,Classement[[#This Row],[Equipe]])+Classement[[#This Row],[Colonne3]]</f>
        <v>16</v>
      </c>
      <c r="C164" s="29">
        <f>SUMPRODUCT(Report[But Dom]*(Report[Domicile]=Classement[[#This Row],[Equipe]]))+SUMPRODUCT(Report[But Ext]*(Report[Extérieur]=Classement[[#This Row],[Equipe]]))+Classement[[#This Row],[Colonne1]]</f>
        <v>8</v>
      </c>
      <c r="D164" s="29">
        <f>SUMPRODUCT(Report[But Ext]*(Report[Domicile]=Classement[[#This Row],[Equipe]]))+SUMPRODUCT(Report[But Dom]*(Report[Extérieur]=Classement[[#This Row],[Equipe]]))+Classement[[#This Row],[Colonne2]]</f>
        <v>30</v>
      </c>
      <c r="E164" s="96">
        <v>15</v>
      </c>
      <c r="F164" s="96">
        <v>7</v>
      </c>
      <c r="G164" s="96">
        <v>28</v>
      </c>
      <c r="H164" s="96">
        <f>IF(Classement[[#This Row],[Equipe]]=Report_Données!$D:$D,SUM(Report_Données!$P:$P),3)</f>
        <v>3</v>
      </c>
      <c r="K164" s="37"/>
      <c r="M164" s="3" t="s">
        <v>195</v>
      </c>
    </row>
    <row r="165" spans="1:13" ht="20.100000000000001" customHeight="1" x14ac:dyDescent="0.25">
      <c r="A165" s="3" t="s">
        <v>286</v>
      </c>
      <c r="B165" s="29">
        <f>COUNTIF(Report_Données!D:E,Classement[[#This Row],[Equipe]])+Classement[[#This Row],[Colonne3]]</f>
        <v>16</v>
      </c>
      <c r="C165" s="29">
        <f>SUMPRODUCT(Report[But Dom]*(Report[Domicile]=Classement[[#This Row],[Equipe]]))+SUMPRODUCT(Report[But Ext]*(Report[Extérieur]=Classement[[#This Row],[Equipe]]))+Classement[[#This Row],[Colonne1]]</f>
        <v>11</v>
      </c>
      <c r="D165" s="29">
        <f>SUMPRODUCT(Report[But Ext]*(Report[Domicile]=Classement[[#This Row],[Equipe]]))+SUMPRODUCT(Report[But Dom]*(Report[Extérieur]=Classement[[#This Row],[Equipe]]))+Classement[[#This Row],[Colonne2]]</f>
        <v>27</v>
      </c>
      <c r="E165" s="96">
        <v>15</v>
      </c>
      <c r="F165" s="96">
        <v>9</v>
      </c>
      <c r="G165" s="96">
        <v>26</v>
      </c>
      <c r="H165" s="96">
        <f>IF(Classement[[#This Row],[Equipe]]=Report_Données!$D:$D,SUM(Report_Données!$P:$P),3)</f>
        <v>3</v>
      </c>
      <c r="K165" s="37"/>
      <c r="M165" s="3" t="s">
        <v>195</v>
      </c>
    </row>
    <row r="166" spans="1:13" ht="20.100000000000001" customHeight="1" x14ac:dyDescent="0.25">
      <c r="A166" s="3" t="s">
        <v>287</v>
      </c>
      <c r="B166" s="29">
        <f>COUNTIF(Report_Données!D:E,Classement[[#This Row],[Equipe]])+Classement[[#This Row],[Colonne3]]</f>
        <v>16</v>
      </c>
      <c r="C166" s="29">
        <f>SUMPRODUCT(Report[But Dom]*(Report[Domicile]=Classement[[#This Row],[Equipe]]))+SUMPRODUCT(Report[But Ext]*(Report[Extérieur]=Classement[[#This Row],[Equipe]]))+Classement[[#This Row],[Colonne1]]</f>
        <v>19</v>
      </c>
      <c r="D166" s="29">
        <f>SUMPRODUCT(Report[But Ext]*(Report[Domicile]=Classement[[#This Row],[Equipe]]))+SUMPRODUCT(Report[But Dom]*(Report[Extérieur]=Classement[[#This Row],[Equipe]]))+Classement[[#This Row],[Colonne2]]</f>
        <v>18</v>
      </c>
      <c r="E166" s="96">
        <v>15</v>
      </c>
      <c r="F166" s="96">
        <v>17</v>
      </c>
      <c r="G166" s="96">
        <v>18</v>
      </c>
      <c r="H166" s="96">
        <f>IF(Classement[[#This Row],[Equipe]]=Report_Données!$D:$D,SUM(Report_Données!$P:$P),3)</f>
        <v>3</v>
      </c>
      <c r="K166" s="37"/>
      <c r="M166" s="3" t="s">
        <v>195</v>
      </c>
    </row>
    <row r="167" spans="1:13" ht="20.100000000000001" customHeight="1" x14ac:dyDescent="0.25">
      <c r="A167" s="3" t="s">
        <v>288</v>
      </c>
      <c r="B167" s="29">
        <f>COUNTIF(Report_Données!D:E,Classement[[#This Row],[Equipe]])+Classement[[#This Row],[Colonne3]]</f>
        <v>16</v>
      </c>
      <c r="C167" s="29">
        <f>SUMPRODUCT(Report[But Dom]*(Report[Domicile]=Classement[[#This Row],[Equipe]]))+SUMPRODUCT(Report[But Ext]*(Report[Extérieur]=Classement[[#This Row],[Equipe]]))+Classement[[#This Row],[Colonne1]]</f>
        <v>21</v>
      </c>
      <c r="D167" s="29">
        <f>SUMPRODUCT(Report[But Ext]*(Report[Domicile]=Classement[[#This Row],[Equipe]]))+SUMPRODUCT(Report[But Dom]*(Report[Extérieur]=Classement[[#This Row],[Equipe]]))+Classement[[#This Row],[Colonne2]]</f>
        <v>9</v>
      </c>
      <c r="E167" s="96">
        <v>15</v>
      </c>
      <c r="F167" s="96">
        <v>20</v>
      </c>
      <c r="G167" s="96">
        <v>7</v>
      </c>
      <c r="H167" s="96">
        <f>IF(Classement[[#This Row],[Equipe]]=Report_Données!$D:$D,SUM(Report_Données!$P:$P),3)</f>
        <v>3</v>
      </c>
      <c r="K167" s="37"/>
      <c r="M167" s="3" t="s">
        <v>195</v>
      </c>
    </row>
    <row r="168" spans="1:13" ht="20.100000000000001" customHeight="1" x14ac:dyDescent="0.25">
      <c r="A168" s="3" t="s">
        <v>289</v>
      </c>
      <c r="B168" s="29">
        <f>COUNTIF(Report_Données!D:E,Classement[[#This Row],[Equipe]])+Classement[[#This Row],[Colonne3]]</f>
        <v>16</v>
      </c>
      <c r="C168" s="29">
        <f>SUMPRODUCT(Report[But Dom]*(Report[Domicile]=Classement[[#This Row],[Equipe]]))+SUMPRODUCT(Report[But Ext]*(Report[Extérieur]=Classement[[#This Row],[Equipe]]))+Classement[[#This Row],[Colonne1]]</f>
        <v>20</v>
      </c>
      <c r="D168" s="29">
        <f>SUMPRODUCT(Report[But Ext]*(Report[Domicile]=Classement[[#This Row],[Equipe]]))+SUMPRODUCT(Report[But Dom]*(Report[Extérieur]=Classement[[#This Row],[Equipe]]))+Classement[[#This Row],[Colonne2]]</f>
        <v>25</v>
      </c>
      <c r="E168" s="96">
        <v>15</v>
      </c>
      <c r="F168" s="96">
        <v>20</v>
      </c>
      <c r="G168" s="96">
        <v>23</v>
      </c>
      <c r="H168" s="96">
        <f>IF(Classement[[#This Row],[Equipe]]=Report_Données!$D:$D,SUM(Report_Données!$P:$P),3)</f>
        <v>3</v>
      </c>
      <c r="K168" s="37"/>
      <c r="M168" s="3" t="s">
        <v>195</v>
      </c>
    </row>
    <row r="169" spans="1:13" ht="20.100000000000001" customHeight="1" x14ac:dyDescent="0.25">
      <c r="A169" s="3" t="s">
        <v>290</v>
      </c>
      <c r="B169" s="29">
        <f>COUNTIF(Report_Données!D:E,Classement[[#This Row],[Equipe]])+Classement[[#This Row],[Colonne3]]</f>
        <v>16</v>
      </c>
      <c r="C169" s="29">
        <f>SUMPRODUCT(Report[But Dom]*(Report[Domicile]=Classement[[#This Row],[Equipe]]))+SUMPRODUCT(Report[But Ext]*(Report[Extérieur]=Classement[[#This Row],[Equipe]]))+Classement[[#This Row],[Colonne1]]</f>
        <v>13</v>
      </c>
      <c r="D169" s="29">
        <f>SUMPRODUCT(Report[But Ext]*(Report[Domicile]=Classement[[#This Row],[Equipe]]))+SUMPRODUCT(Report[But Dom]*(Report[Extérieur]=Classement[[#This Row],[Equipe]]))+Classement[[#This Row],[Colonne2]]</f>
        <v>16</v>
      </c>
      <c r="E169" s="96">
        <v>15</v>
      </c>
      <c r="F169" s="96">
        <v>13</v>
      </c>
      <c r="G169" s="96">
        <v>16</v>
      </c>
      <c r="H169" s="96">
        <f>IF(Classement[[#This Row],[Equipe]]=Report_Données!$D:$D,SUM(Report_Données!$P:$P),3)</f>
        <v>3</v>
      </c>
      <c r="K169" s="37"/>
      <c r="M169" s="3" t="s">
        <v>195</v>
      </c>
    </row>
    <row r="170" spans="1:13" ht="20.100000000000001" customHeight="1" x14ac:dyDescent="0.25">
      <c r="A170" s="3" t="s">
        <v>291</v>
      </c>
      <c r="B170" s="29">
        <f>COUNTIF(Report_Données!D:E,Classement[[#This Row],[Equipe]])+Classement[[#This Row],[Colonne3]]</f>
        <v>16</v>
      </c>
      <c r="C170" s="29">
        <f>SUMPRODUCT(Report[But Dom]*(Report[Domicile]=Classement[[#This Row],[Equipe]]))+SUMPRODUCT(Report[But Ext]*(Report[Extérieur]=Classement[[#This Row],[Equipe]]))+Classement[[#This Row],[Colonne1]]</f>
        <v>18</v>
      </c>
      <c r="D170" s="29">
        <f>SUMPRODUCT(Report[But Ext]*(Report[Domicile]=Classement[[#This Row],[Equipe]]))+SUMPRODUCT(Report[But Dom]*(Report[Extérieur]=Classement[[#This Row],[Equipe]]))+Classement[[#This Row],[Colonne2]]</f>
        <v>25</v>
      </c>
      <c r="E170" s="96">
        <v>15</v>
      </c>
      <c r="F170" s="96">
        <v>17</v>
      </c>
      <c r="G170" s="96">
        <v>25</v>
      </c>
      <c r="H170" s="96">
        <f>IF(Classement[[#This Row],[Equipe]]=Report_Données!$D:$D,SUM(Report_Données!$P:$P),3)</f>
        <v>3</v>
      </c>
      <c r="K170" s="37"/>
      <c r="M170" s="3" t="s">
        <v>195</v>
      </c>
    </row>
    <row r="171" spans="1:13" ht="20.100000000000001" customHeight="1" x14ac:dyDescent="0.25">
      <c r="A171" s="3" t="s">
        <v>292</v>
      </c>
      <c r="B171" s="29">
        <f>COUNTIF(Report_Données!D:E,Classement[[#This Row],[Equipe]])+Classement[[#This Row],[Colonne3]]</f>
        <v>16</v>
      </c>
      <c r="C171" s="29">
        <f>SUMPRODUCT(Report[But Dom]*(Report[Domicile]=Classement[[#This Row],[Equipe]]))+SUMPRODUCT(Report[But Ext]*(Report[Extérieur]=Classement[[#This Row],[Equipe]]))+Classement[[#This Row],[Colonne1]]</f>
        <v>24</v>
      </c>
      <c r="D171" s="29">
        <f>SUMPRODUCT(Report[But Ext]*(Report[Domicile]=Classement[[#This Row],[Equipe]]))+SUMPRODUCT(Report[But Dom]*(Report[Extérieur]=Classement[[#This Row],[Equipe]]))+Classement[[#This Row],[Colonne2]]</f>
        <v>13</v>
      </c>
      <c r="E171" s="96">
        <v>15</v>
      </c>
      <c r="F171" s="96">
        <v>22</v>
      </c>
      <c r="G171" s="96">
        <v>12</v>
      </c>
      <c r="H171" s="96">
        <f>IF(Classement[[#This Row],[Equipe]]=Report_Données!$D:$D,SUM(Report_Données!$P:$P),3)</f>
        <v>3</v>
      </c>
      <c r="K171" s="37"/>
      <c r="M171" s="3" t="s">
        <v>195</v>
      </c>
    </row>
    <row r="172" spans="1:13" ht="20.100000000000001" customHeight="1" x14ac:dyDescent="0.25">
      <c r="A172" s="3" t="s">
        <v>293</v>
      </c>
      <c r="B172" s="29">
        <f>COUNTIF(Report_Données!D:E,Classement[[#This Row],[Equipe]])+Classement[[#This Row],[Colonne3]]</f>
        <v>16</v>
      </c>
      <c r="C172" s="29">
        <f>SUMPRODUCT(Report[But Dom]*(Report[Domicile]=Classement[[#This Row],[Equipe]]))+SUMPRODUCT(Report[But Ext]*(Report[Extérieur]=Classement[[#This Row],[Equipe]]))+Classement[[#This Row],[Colonne1]]</f>
        <v>19</v>
      </c>
      <c r="D172" s="29">
        <f>SUMPRODUCT(Report[But Ext]*(Report[Domicile]=Classement[[#This Row],[Equipe]]))+SUMPRODUCT(Report[But Dom]*(Report[Extérieur]=Classement[[#This Row],[Equipe]]))+Classement[[#This Row],[Colonne2]]</f>
        <v>24</v>
      </c>
      <c r="E172" s="96">
        <v>15</v>
      </c>
      <c r="F172" s="96">
        <v>18</v>
      </c>
      <c r="G172" s="96">
        <v>23</v>
      </c>
      <c r="H172" s="96">
        <f>IF(Classement[[#This Row],[Equipe]]=Report_Données!$D:$D,SUM(Report_Données!$P:$P),3)</f>
        <v>3</v>
      </c>
      <c r="L172" s="3" t="s">
        <v>195</v>
      </c>
    </row>
    <row r="173" spans="1:13" ht="20.100000000000001" customHeight="1" x14ac:dyDescent="0.25">
      <c r="A173" s="3" t="s">
        <v>294</v>
      </c>
      <c r="B173" s="29">
        <f>COUNTIF(Report_Données!D:E,Classement[[#This Row],[Equipe]])+Classement[[#This Row],[Colonne3]]</f>
        <v>16</v>
      </c>
      <c r="C173" s="29">
        <f>SUMPRODUCT(Report[But Dom]*(Report[Domicile]=Classement[[#This Row],[Equipe]]))+SUMPRODUCT(Report[But Ext]*(Report[Extérieur]=Classement[[#This Row],[Equipe]]))+Classement[[#This Row],[Colonne1]]</f>
        <v>38</v>
      </c>
      <c r="D173" s="29">
        <f>SUMPRODUCT(Report[But Ext]*(Report[Domicile]=Classement[[#This Row],[Equipe]]))+SUMPRODUCT(Report[But Dom]*(Report[Extérieur]=Classement[[#This Row],[Equipe]]))+Classement[[#This Row],[Colonne2]]</f>
        <v>7</v>
      </c>
      <c r="E173" s="96">
        <v>15</v>
      </c>
      <c r="F173" s="96">
        <v>38</v>
      </c>
      <c r="G173" s="96">
        <v>7</v>
      </c>
      <c r="H173" s="96">
        <f>IF(Classement[[#This Row],[Equipe]]=Report_Données!$D:$D,SUM(Report_Données!$P:$P),3)</f>
        <v>3</v>
      </c>
      <c r="L173" s="3" t="s">
        <v>195</v>
      </c>
    </row>
    <row r="174" spans="1:13" ht="20.100000000000001" customHeight="1" x14ac:dyDescent="0.25">
      <c r="A174" s="3" t="s">
        <v>295</v>
      </c>
      <c r="B174" s="29">
        <f>COUNTIF(Report_Données!D:E,Classement[[#This Row],[Equipe]])+Classement[[#This Row],[Colonne3]]</f>
        <v>16</v>
      </c>
      <c r="C174" s="29">
        <f>SUMPRODUCT(Report[But Dom]*(Report[Domicile]=Classement[[#This Row],[Equipe]]))+SUMPRODUCT(Report[But Ext]*(Report[Extérieur]=Classement[[#This Row],[Equipe]]))+Classement[[#This Row],[Colonne1]]</f>
        <v>15</v>
      </c>
      <c r="D174" s="29">
        <f>SUMPRODUCT(Report[But Ext]*(Report[Domicile]=Classement[[#This Row],[Equipe]]))+SUMPRODUCT(Report[But Dom]*(Report[Extérieur]=Classement[[#This Row],[Equipe]]))+Classement[[#This Row],[Colonne2]]</f>
        <v>18</v>
      </c>
      <c r="E174" s="96">
        <v>15</v>
      </c>
      <c r="F174" s="96">
        <v>15</v>
      </c>
      <c r="G174" s="96">
        <v>17</v>
      </c>
      <c r="H174" s="96">
        <f>IF(Classement[[#This Row],[Equipe]]=Report_Données!$D:$D,SUM(Report_Données!$P:$P),3)</f>
        <v>3</v>
      </c>
    </row>
    <row r="175" spans="1:13" ht="20.100000000000001" customHeight="1" x14ac:dyDescent="0.25">
      <c r="A175" s="3" t="s">
        <v>296</v>
      </c>
      <c r="B175" s="29">
        <f>COUNTIF(Report_Données!D:E,Classement[[#This Row],[Equipe]])+Classement[[#This Row],[Colonne3]]</f>
        <v>16</v>
      </c>
      <c r="C175" s="29">
        <f>SUMPRODUCT(Report[But Dom]*(Report[Domicile]=Classement[[#This Row],[Equipe]]))+SUMPRODUCT(Report[But Ext]*(Report[Extérieur]=Classement[[#This Row],[Equipe]]))+Classement[[#This Row],[Colonne1]]</f>
        <v>20</v>
      </c>
      <c r="D175" s="29">
        <f>SUMPRODUCT(Report[But Ext]*(Report[Domicile]=Classement[[#This Row],[Equipe]]))+SUMPRODUCT(Report[But Dom]*(Report[Extérieur]=Classement[[#This Row],[Equipe]]))+Classement[[#This Row],[Colonne2]]</f>
        <v>14</v>
      </c>
      <c r="E175" s="96">
        <v>15</v>
      </c>
      <c r="F175" s="96">
        <v>19</v>
      </c>
      <c r="G175" s="96">
        <v>13</v>
      </c>
      <c r="H175" s="96">
        <f>IF(Classement[[#This Row],[Equipe]]=Report_Données!$D:$D,SUM(Report_Données!$P:$P),3)</f>
        <v>3</v>
      </c>
    </row>
    <row r="176" spans="1:13" ht="20.100000000000001" customHeight="1" x14ac:dyDescent="0.25">
      <c r="A176" s="28"/>
      <c r="B176" s="30"/>
      <c r="C176" s="30"/>
      <c r="D176" s="30"/>
      <c r="E176" s="96"/>
      <c r="F176" s="96"/>
      <c r="G176" s="96"/>
      <c r="H176" s="96">
        <f>IF(Classement[[#This Row],[Equipe]]=Report_Données!$D:$D,SUM(Report_Données!$P:$P),3)</f>
        <v>3</v>
      </c>
    </row>
    <row r="177" spans="1:13" ht="20.100000000000001" customHeight="1" x14ac:dyDescent="0.25">
      <c r="A177" s="3" t="s">
        <v>297</v>
      </c>
      <c r="B177" s="29">
        <f>COUNTIF(Report_Données!D:E,Classement[[#This Row],[Equipe]])+Classement[[#This Row],[Colonne3]]</f>
        <v>15</v>
      </c>
      <c r="C177" s="29">
        <f>SUMPRODUCT(Report[But Dom]*(Report[Domicile]=Classement[[#This Row],[Equipe]]))+SUMPRODUCT(Report[But Ext]*(Report[Extérieur]=Classement[[#This Row],[Equipe]]))+Classement[[#This Row],[Colonne1]]</f>
        <v>12</v>
      </c>
      <c r="D177" s="29">
        <f>SUMPRODUCT(Report[But Ext]*(Report[Domicile]=Classement[[#This Row],[Equipe]]))+SUMPRODUCT(Report[But Dom]*(Report[Extérieur]=Classement[[#This Row],[Equipe]]))+Classement[[#This Row],[Colonne2]]</f>
        <v>16</v>
      </c>
      <c r="E177" s="96">
        <v>14</v>
      </c>
      <c r="F177" s="96">
        <v>12</v>
      </c>
      <c r="G177" s="96">
        <v>14</v>
      </c>
      <c r="H177" s="96">
        <f>IF(Classement[[#This Row],[Equipe]]=Report_Données!$D:$D,SUM(Report_Données!$P:$P),3)</f>
        <v>3</v>
      </c>
      <c r="K177" s="37"/>
      <c r="M177" s="3" t="s">
        <v>195</v>
      </c>
    </row>
    <row r="178" spans="1:13" ht="20.100000000000001" customHeight="1" x14ac:dyDescent="0.25">
      <c r="A178" s="3" t="s">
        <v>298</v>
      </c>
      <c r="B178" s="29">
        <f>COUNTIF(Report_Données!D:E,Classement[[#This Row],[Equipe]])+Classement[[#This Row],[Colonne3]]</f>
        <v>15</v>
      </c>
      <c r="C178" s="29">
        <f>SUMPRODUCT(Report[But Dom]*(Report[Domicile]=Classement[[#This Row],[Equipe]]))+SUMPRODUCT(Report[But Ext]*(Report[Extérieur]=Classement[[#This Row],[Equipe]]))+Classement[[#This Row],[Colonne1]]</f>
        <v>9</v>
      </c>
      <c r="D178" s="29">
        <f>SUMPRODUCT(Report[But Ext]*(Report[Domicile]=Classement[[#This Row],[Equipe]]))+SUMPRODUCT(Report[But Dom]*(Report[Extérieur]=Classement[[#This Row],[Equipe]]))+Classement[[#This Row],[Colonne2]]</f>
        <v>22</v>
      </c>
      <c r="E178" s="96">
        <v>14</v>
      </c>
      <c r="F178" s="96">
        <v>8</v>
      </c>
      <c r="G178" s="96">
        <v>21</v>
      </c>
      <c r="H178" s="96">
        <f>IF(Classement[[#This Row],[Equipe]]=Report_Données!$D:$D,SUM(Report_Données!$P:$P),3)</f>
        <v>3</v>
      </c>
      <c r="K178" s="37"/>
      <c r="M178" s="3" t="s">
        <v>195</v>
      </c>
    </row>
    <row r="179" spans="1:13" ht="20.100000000000001" customHeight="1" x14ac:dyDescent="0.25">
      <c r="A179" s="3" t="s">
        <v>299</v>
      </c>
      <c r="B179" s="29">
        <f>COUNTIF(Report_Données!D:E,Classement[[#This Row],[Equipe]])+Classement[[#This Row],[Colonne3]]</f>
        <v>15</v>
      </c>
      <c r="C179" s="29">
        <f>SUMPRODUCT(Report[But Dom]*(Report[Domicile]=Classement[[#This Row],[Equipe]]))+SUMPRODUCT(Report[But Ext]*(Report[Extérieur]=Classement[[#This Row],[Equipe]]))+Classement[[#This Row],[Colonne1]]</f>
        <v>19</v>
      </c>
      <c r="D179" s="29">
        <f>SUMPRODUCT(Report[But Ext]*(Report[Domicile]=Classement[[#This Row],[Equipe]]))+SUMPRODUCT(Report[But Dom]*(Report[Extérieur]=Classement[[#This Row],[Equipe]]))+Classement[[#This Row],[Colonne2]]</f>
        <v>21</v>
      </c>
      <c r="E179" s="96">
        <v>14</v>
      </c>
      <c r="F179" s="96">
        <v>19</v>
      </c>
      <c r="G179" s="96">
        <v>18</v>
      </c>
      <c r="H179" s="96">
        <f>IF(Classement[[#This Row],[Equipe]]=Report_Données!$D:$D,SUM(Report_Données!$P:$P),3)</f>
        <v>3</v>
      </c>
      <c r="K179" s="37"/>
      <c r="M179" s="3" t="s">
        <v>195</v>
      </c>
    </row>
    <row r="180" spans="1:13" ht="20.100000000000001" customHeight="1" x14ac:dyDescent="0.25">
      <c r="A180" s="3" t="s">
        <v>300</v>
      </c>
      <c r="B180" s="29">
        <f>COUNTIF(Report_Données!D:E,Classement[[#This Row],[Equipe]])+Classement[[#This Row],[Colonne3]]</f>
        <v>15</v>
      </c>
      <c r="C180" s="29">
        <f>SUMPRODUCT(Report[But Dom]*(Report[Domicile]=Classement[[#This Row],[Equipe]]))+SUMPRODUCT(Report[But Ext]*(Report[Extérieur]=Classement[[#This Row],[Equipe]]))+Classement[[#This Row],[Colonne1]]</f>
        <v>21</v>
      </c>
      <c r="D180" s="29">
        <f>SUMPRODUCT(Report[But Ext]*(Report[Domicile]=Classement[[#This Row],[Equipe]]))+SUMPRODUCT(Report[But Dom]*(Report[Extérieur]=Classement[[#This Row],[Equipe]]))+Classement[[#This Row],[Colonne2]]</f>
        <v>7</v>
      </c>
      <c r="E180" s="96">
        <v>14</v>
      </c>
      <c r="F180" s="96">
        <v>19</v>
      </c>
      <c r="G180" s="96">
        <v>7</v>
      </c>
      <c r="H180" s="96">
        <f>IF(Classement[[#This Row],[Equipe]]=Report_Données!$D:$D,SUM(Report_Données!$P:$P),3)</f>
        <v>3</v>
      </c>
      <c r="K180" s="37"/>
      <c r="M180" s="3" t="s">
        <v>195</v>
      </c>
    </row>
    <row r="181" spans="1:13" ht="20.100000000000001" customHeight="1" x14ac:dyDescent="0.25">
      <c r="A181" s="3" t="s">
        <v>301</v>
      </c>
      <c r="B181" s="29">
        <f>COUNTIF(Report_Données!D:E,Classement[[#This Row],[Equipe]])+Classement[[#This Row],[Colonne3]]</f>
        <v>15</v>
      </c>
      <c r="C181" s="29">
        <f>SUMPRODUCT(Report[But Dom]*(Report[Domicile]=Classement[[#This Row],[Equipe]]))+SUMPRODUCT(Report[But Ext]*(Report[Extérieur]=Classement[[#This Row],[Equipe]]))+Classement[[#This Row],[Colonne1]]</f>
        <v>11</v>
      </c>
      <c r="D181" s="29">
        <f>SUMPRODUCT(Report[But Ext]*(Report[Domicile]=Classement[[#This Row],[Equipe]]))+SUMPRODUCT(Report[But Dom]*(Report[Extérieur]=Classement[[#This Row],[Equipe]]))+Classement[[#This Row],[Colonne2]]</f>
        <v>12</v>
      </c>
      <c r="E181" s="96">
        <v>14</v>
      </c>
      <c r="F181" s="96">
        <v>10</v>
      </c>
      <c r="G181" s="96">
        <v>10</v>
      </c>
      <c r="H181" s="96">
        <f>IF(Classement[[#This Row],[Equipe]]=Report_Données!$D:$D,SUM(Report_Données!$P:$P),3)</f>
        <v>3</v>
      </c>
      <c r="K181" s="37"/>
      <c r="M181" s="3" t="s">
        <v>195</v>
      </c>
    </row>
    <row r="182" spans="1:13" ht="20.100000000000001" customHeight="1" x14ac:dyDescent="0.25">
      <c r="A182" s="3" t="s">
        <v>302</v>
      </c>
      <c r="B182" s="29">
        <f>COUNTIF(Report_Données!D:E,Classement[[#This Row],[Equipe]])+Classement[[#This Row],[Colonne3]]</f>
        <v>15</v>
      </c>
      <c r="C182" s="29">
        <f>SUMPRODUCT(Report[But Dom]*(Report[Domicile]=Classement[[#This Row],[Equipe]]))+SUMPRODUCT(Report[But Ext]*(Report[Extérieur]=Classement[[#This Row],[Equipe]]))+Classement[[#This Row],[Colonne1]]</f>
        <v>14</v>
      </c>
      <c r="D182" s="29">
        <f>SUMPRODUCT(Report[But Ext]*(Report[Domicile]=Classement[[#This Row],[Equipe]]))+SUMPRODUCT(Report[But Dom]*(Report[Extérieur]=Classement[[#This Row],[Equipe]]))+Classement[[#This Row],[Colonne2]]</f>
        <v>10</v>
      </c>
      <c r="E182" s="96">
        <v>14</v>
      </c>
      <c r="F182" s="96">
        <v>14</v>
      </c>
      <c r="G182" s="96">
        <v>8</v>
      </c>
      <c r="H182" s="96">
        <f>IF(Classement[[#This Row],[Equipe]]=Report_Données!$D:$D,SUM(Report_Données!$P:$P),3)</f>
        <v>3</v>
      </c>
      <c r="K182" s="37"/>
      <c r="M182" s="3" t="s">
        <v>195</v>
      </c>
    </row>
    <row r="183" spans="1:13" ht="20.100000000000001" customHeight="1" x14ac:dyDescent="0.25">
      <c r="A183" s="3" t="s">
        <v>303</v>
      </c>
      <c r="B183" s="29">
        <f>COUNTIF(Report_Données!D:E,Classement[[#This Row],[Equipe]])+Classement[[#This Row],[Colonne3]]</f>
        <v>15</v>
      </c>
      <c r="C183" s="29">
        <f>SUMPRODUCT(Report[But Dom]*(Report[Domicile]=Classement[[#This Row],[Equipe]]))+SUMPRODUCT(Report[But Ext]*(Report[Extérieur]=Classement[[#This Row],[Equipe]]))+Classement[[#This Row],[Colonne1]]</f>
        <v>14</v>
      </c>
      <c r="D183" s="29">
        <f>SUMPRODUCT(Report[But Ext]*(Report[Domicile]=Classement[[#This Row],[Equipe]]))+SUMPRODUCT(Report[But Dom]*(Report[Extérieur]=Classement[[#This Row],[Equipe]]))+Classement[[#This Row],[Colonne2]]</f>
        <v>12</v>
      </c>
      <c r="E183" s="96">
        <v>14</v>
      </c>
      <c r="F183" s="96">
        <v>13</v>
      </c>
      <c r="G183" s="96">
        <v>11</v>
      </c>
      <c r="H183" s="96">
        <f>IF(Classement[[#This Row],[Equipe]]=Report_Données!$D:$D,SUM(Report_Données!$P:$P),3)</f>
        <v>3</v>
      </c>
      <c r="K183" s="37"/>
      <c r="M183" s="3" t="s">
        <v>195</v>
      </c>
    </row>
    <row r="184" spans="1:13" ht="20.100000000000001" customHeight="1" x14ac:dyDescent="0.25">
      <c r="A184" s="3" t="s">
        <v>304</v>
      </c>
      <c r="B184" s="29">
        <f>COUNTIF(Report_Données!D:E,Classement[[#This Row],[Equipe]])+Classement[[#This Row],[Colonne3]]</f>
        <v>15</v>
      </c>
      <c r="C184" s="29">
        <f>SUMPRODUCT(Report[But Dom]*(Report[Domicile]=Classement[[#This Row],[Equipe]]))+SUMPRODUCT(Report[But Ext]*(Report[Extérieur]=Classement[[#This Row],[Equipe]]))+Classement[[#This Row],[Colonne1]]</f>
        <v>28</v>
      </c>
      <c r="D184" s="29">
        <f>SUMPRODUCT(Report[But Ext]*(Report[Domicile]=Classement[[#This Row],[Equipe]]))+SUMPRODUCT(Report[But Dom]*(Report[Extérieur]=Classement[[#This Row],[Equipe]]))+Classement[[#This Row],[Colonne2]]</f>
        <v>12</v>
      </c>
      <c r="E184" s="96">
        <v>14</v>
      </c>
      <c r="F184" s="96">
        <v>25</v>
      </c>
      <c r="G184" s="96">
        <v>12</v>
      </c>
      <c r="H184" s="96">
        <f>IF(Classement[[#This Row],[Equipe]]=Report_Données!$D:$D,SUM(Report_Données!$P:$P),3)</f>
        <v>3</v>
      </c>
      <c r="K184" s="36"/>
      <c r="M184" s="3" t="s">
        <v>195</v>
      </c>
    </row>
    <row r="185" spans="1:13" ht="20.100000000000001" customHeight="1" x14ac:dyDescent="0.25">
      <c r="A185" s="3" t="s">
        <v>305</v>
      </c>
      <c r="B185" s="29">
        <f>COUNTIF(Report_Données!D:E,Classement[[#This Row],[Equipe]])+Classement[[#This Row],[Colonne3]]</f>
        <v>15</v>
      </c>
      <c r="C185" s="29">
        <f>SUMPRODUCT(Report[But Dom]*(Report[Domicile]=Classement[[#This Row],[Equipe]]))+SUMPRODUCT(Report[But Ext]*(Report[Extérieur]=Classement[[#This Row],[Equipe]]))+Classement[[#This Row],[Colonne1]]</f>
        <v>20</v>
      </c>
      <c r="D185" s="29">
        <f>SUMPRODUCT(Report[But Ext]*(Report[Domicile]=Classement[[#This Row],[Equipe]]))+SUMPRODUCT(Report[But Dom]*(Report[Extérieur]=Classement[[#This Row],[Equipe]]))+Classement[[#This Row],[Colonne2]]</f>
        <v>14</v>
      </c>
      <c r="E185" s="96">
        <v>14</v>
      </c>
      <c r="F185" s="96">
        <v>19</v>
      </c>
      <c r="G185" s="96">
        <v>12</v>
      </c>
      <c r="H185" s="96">
        <f>IF(Classement[[#This Row],[Equipe]]=Report_Données!$D:$D,SUM(Report_Données!$P:$P),3)</f>
        <v>3</v>
      </c>
      <c r="K185" s="37"/>
      <c r="M185" s="3" t="s">
        <v>195</v>
      </c>
    </row>
    <row r="186" spans="1:13" ht="20.100000000000001" customHeight="1" x14ac:dyDescent="0.25">
      <c r="A186" s="3" t="s">
        <v>306</v>
      </c>
      <c r="B186" s="29">
        <f>COUNTIF(Report_Données!D:E,Classement[[#This Row],[Equipe]])+Classement[[#This Row],[Colonne3]]</f>
        <v>15</v>
      </c>
      <c r="C186" s="29">
        <f>SUMPRODUCT(Report[But Dom]*(Report[Domicile]=Classement[[#This Row],[Equipe]]))+SUMPRODUCT(Report[But Ext]*(Report[Extérieur]=Classement[[#This Row],[Equipe]]))+Classement[[#This Row],[Colonne1]]</f>
        <v>16</v>
      </c>
      <c r="D186" s="29">
        <f>SUMPRODUCT(Report[But Ext]*(Report[Domicile]=Classement[[#This Row],[Equipe]]))+SUMPRODUCT(Report[But Dom]*(Report[Extérieur]=Classement[[#This Row],[Equipe]]))+Classement[[#This Row],[Colonne2]]</f>
        <v>13</v>
      </c>
      <c r="E186" s="96">
        <v>14</v>
      </c>
      <c r="F186" s="96">
        <v>15</v>
      </c>
      <c r="G186" s="96">
        <v>13</v>
      </c>
      <c r="H186" s="96">
        <f>IF(Classement[[#This Row],[Equipe]]=Report_Données!$D:$D,SUM(Report_Données!$P:$P),3)</f>
        <v>3</v>
      </c>
      <c r="K186" s="37"/>
      <c r="M186" s="3" t="s">
        <v>195</v>
      </c>
    </row>
    <row r="187" spans="1:13" ht="20.100000000000001" customHeight="1" x14ac:dyDescent="0.25">
      <c r="A187" s="3" t="s">
        <v>307</v>
      </c>
      <c r="B187" s="29">
        <f>COUNTIF(Report_Données!D:E,Classement[[#This Row],[Equipe]])+Classement[[#This Row],[Colonne3]]</f>
        <v>15</v>
      </c>
      <c r="C187" s="29">
        <f>SUMPRODUCT(Report[But Dom]*(Report[Domicile]=Classement[[#This Row],[Equipe]]))+SUMPRODUCT(Report[But Ext]*(Report[Extérieur]=Classement[[#This Row],[Equipe]]))+Classement[[#This Row],[Colonne1]]</f>
        <v>9</v>
      </c>
      <c r="D187" s="29">
        <f>SUMPRODUCT(Report[But Ext]*(Report[Domicile]=Classement[[#This Row],[Equipe]]))+SUMPRODUCT(Report[But Dom]*(Report[Extérieur]=Classement[[#This Row],[Equipe]]))+Classement[[#This Row],[Colonne2]]</f>
        <v>22</v>
      </c>
      <c r="E187" s="96">
        <v>14</v>
      </c>
      <c r="F187" s="96">
        <v>8</v>
      </c>
      <c r="G187" s="96">
        <v>19</v>
      </c>
      <c r="H187" s="96">
        <f>IF(Classement[[#This Row],[Equipe]]=Report_Données!$D:$D,SUM(Report_Données!$P:$P),3)</f>
        <v>3</v>
      </c>
      <c r="L187" s="3" t="s">
        <v>195</v>
      </c>
    </row>
    <row r="188" spans="1:13" ht="20.100000000000001" customHeight="1" x14ac:dyDescent="0.25">
      <c r="A188" s="3" t="s">
        <v>308</v>
      </c>
      <c r="B188" s="29">
        <f>COUNTIF(Report_Données!D:E,Classement[[#This Row],[Equipe]])+Classement[[#This Row],[Colonne3]]</f>
        <v>15</v>
      </c>
      <c r="C188" s="29">
        <f>SUMPRODUCT(Report[But Dom]*(Report[Domicile]=Classement[[#This Row],[Equipe]]))+SUMPRODUCT(Report[But Ext]*(Report[Extérieur]=Classement[[#This Row],[Equipe]]))+Classement[[#This Row],[Colonne1]]</f>
        <v>17</v>
      </c>
      <c r="D188" s="29">
        <f>SUMPRODUCT(Report[But Ext]*(Report[Domicile]=Classement[[#This Row],[Equipe]]))+SUMPRODUCT(Report[But Dom]*(Report[Extérieur]=Classement[[#This Row],[Equipe]]))+Classement[[#This Row],[Colonne2]]</f>
        <v>16</v>
      </c>
      <c r="E188" s="96">
        <v>14</v>
      </c>
      <c r="F188" s="96">
        <v>14</v>
      </c>
      <c r="G188" s="96">
        <v>15</v>
      </c>
      <c r="H188" s="96">
        <f>IF(Classement[[#This Row],[Equipe]]=Report_Données!$D:$D,SUM(Report_Données!$P:$P),3)</f>
        <v>3</v>
      </c>
      <c r="J188" s="37"/>
      <c r="L188" s="3" t="s">
        <v>195</v>
      </c>
    </row>
    <row r="189" spans="1:13" ht="20.100000000000001" customHeight="1" x14ac:dyDescent="0.25">
      <c r="A189" s="3" t="s">
        <v>309</v>
      </c>
      <c r="B189" s="29">
        <f>COUNTIF(Report_Données!D:E,Classement[[#This Row],[Equipe]])+Classement[[#This Row],[Colonne3]]</f>
        <v>15</v>
      </c>
      <c r="C189" s="29">
        <f>SUMPRODUCT(Report[But Dom]*(Report[Domicile]=Classement[[#This Row],[Equipe]]))+SUMPRODUCT(Report[But Ext]*(Report[Extérieur]=Classement[[#This Row],[Equipe]]))+Classement[[#This Row],[Colonne1]]</f>
        <v>11</v>
      </c>
      <c r="D189" s="29">
        <f>SUMPRODUCT(Report[But Ext]*(Report[Domicile]=Classement[[#This Row],[Equipe]]))+SUMPRODUCT(Report[But Dom]*(Report[Extérieur]=Classement[[#This Row],[Equipe]]))+Classement[[#This Row],[Colonne2]]</f>
        <v>17</v>
      </c>
      <c r="E189" s="96">
        <v>14</v>
      </c>
      <c r="F189" s="96">
        <v>11</v>
      </c>
      <c r="G189" s="96">
        <v>16</v>
      </c>
      <c r="H189" s="96">
        <f>IF(Classement[[#This Row],[Equipe]]=Report_Données!$D:$D,SUM(Report_Données!$P:$P),3)</f>
        <v>3</v>
      </c>
      <c r="J189" s="37"/>
    </row>
    <row r="190" spans="1:13" ht="20.100000000000001" customHeight="1" x14ac:dyDescent="0.25">
      <c r="A190" s="3" t="s">
        <v>310</v>
      </c>
      <c r="B190" s="29">
        <f>COUNTIF(Report_Données!D:E,Classement[[#This Row],[Equipe]])+Classement[[#This Row],[Colonne3]]</f>
        <v>15</v>
      </c>
      <c r="C190" s="29">
        <f>SUMPRODUCT(Report[But Dom]*(Report[Domicile]=Classement[[#This Row],[Equipe]]))+SUMPRODUCT(Report[But Ext]*(Report[Extérieur]=Classement[[#This Row],[Equipe]]))+Classement[[#This Row],[Colonne1]]</f>
        <v>18</v>
      </c>
      <c r="D190" s="29">
        <f>SUMPRODUCT(Report[But Ext]*(Report[Domicile]=Classement[[#This Row],[Equipe]]))+SUMPRODUCT(Report[But Dom]*(Report[Extérieur]=Classement[[#This Row],[Equipe]]))+Classement[[#This Row],[Colonne2]]</f>
        <v>22</v>
      </c>
      <c r="E190" s="96">
        <v>14</v>
      </c>
      <c r="F190" s="96">
        <v>16</v>
      </c>
      <c r="G190" s="96">
        <v>21</v>
      </c>
      <c r="H190" s="96">
        <f>IF(Classement[[#This Row],[Equipe]]=Report_Données!$D:$D,SUM(Report_Données!$P:$P),3)</f>
        <v>3</v>
      </c>
      <c r="J190" s="37"/>
    </row>
    <row r="191" spans="1:13" ht="20.100000000000001" customHeight="1" x14ac:dyDescent="0.25">
      <c r="A191" s="3" t="s">
        <v>311</v>
      </c>
      <c r="B191" s="29">
        <f>COUNTIF(Report_Données!D:E,Classement[[#This Row],[Equipe]])+Classement[[#This Row],[Colonne3]]</f>
        <v>15</v>
      </c>
      <c r="C191" s="29">
        <f>SUMPRODUCT(Report[But Dom]*(Report[Domicile]=Classement[[#This Row],[Equipe]]))+SUMPRODUCT(Report[But Ext]*(Report[Extérieur]=Classement[[#This Row],[Equipe]]))+Classement[[#This Row],[Colonne1]]</f>
        <v>9</v>
      </c>
      <c r="D191" s="29">
        <f>SUMPRODUCT(Report[But Ext]*(Report[Domicile]=Classement[[#This Row],[Equipe]]))+SUMPRODUCT(Report[But Dom]*(Report[Extérieur]=Classement[[#This Row],[Equipe]]))+Classement[[#This Row],[Colonne2]]</f>
        <v>25</v>
      </c>
      <c r="E191" s="96">
        <v>14</v>
      </c>
      <c r="F191" s="96">
        <v>7</v>
      </c>
      <c r="G191" s="96">
        <v>24</v>
      </c>
      <c r="H191" s="96">
        <f>IF(Classement[[#This Row],[Equipe]]=Report_Données!$D:$D,SUM(Report_Données!$P:$P),3)</f>
        <v>3</v>
      </c>
      <c r="J191" s="37"/>
    </row>
    <row r="192" spans="1:13" ht="20.100000000000001" customHeight="1" x14ac:dyDescent="0.25">
      <c r="A192" s="3" t="s">
        <v>312</v>
      </c>
      <c r="B192" s="29">
        <f>COUNTIF(Report_Données!D:E,Classement[[#This Row],[Equipe]])+Classement[[#This Row],[Colonne3]]</f>
        <v>15</v>
      </c>
      <c r="C192" s="29">
        <f>SUMPRODUCT(Report[But Dom]*(Report[Domicile]=Classement[[#This Row],[Equipe]]))+SUMPRODUCT(Report[But Ext]*(Report[Extérieur]=Classement[[#This Row],[Equipe]]))+Classement[[#This Row],[Colonne1]]</f>
        <v>24</v>
      </c>
      <c r="D192" s="29">
        <f>SUMPRODUCT(Report[But Ext]*(Report[Domicile]=Classement[[#This Row],[Equipe]]))+SUMPRODUCT(Report[But Dom]*(Report[Extérieur]=Classement[[#This Row],[Equipe]]))+Classement[[#This Row],[Colonne2]]</f>
        <v>11</v>
      </c>
      <c r="E192" s="96">
        <v>14</v>
      </c>
      <c r="F192" s="96">
        <v>22</v>
      </c>
      <c r="G192" s="96">
        <v>11</v>
      </c>
      <c r="H192" s="96">
        <f>IF(Classement[[#This Row],[Equipe]]=Report_Données!$D:$D,SUM(Report_Données!$P:$P),3)</f>
        <v>3</v>
      </c>
      <c r="J192" s="37"/>
    </row>
    <row r="193" spans="1:13" ht="20.100000000000001" customHeight="1" x14ac:dyDescent="0.25">
      <c r="A193" s="28"/>
      <c r="B193" s="30"/>
      <c r="C193" s="30"/>
      <c r="D193" s="30"/>
      <c r="E193" s="96"/>
      <c r="F193" s="96"/>
      <c r="G193" s="96"/>
      <c r="H193" s="96">
        <f>IF(Classement[[#This Row],[Equipe]]=Report_Données!$D:$D,SUM(Report_Données!$P:$P),3)</f>
        <v>3</v>
      </c>
      <c r="J193" s="37"/>
    </row>
    <row r="194" spans="1:13" ht="20.100000000000001" customHeight="1" x14ac:dyDescent="0.25">
      <c r="A194" s="3" t="s">
        <v>313</v>
      </c>
      <c r="B194" s="29">
        <f>COUNTIF(Report_Données!D:E,Classement[[#This Row],[Equipe]])+Classement[[#This Row],[Colonne3]]</f>
        <v>10</v>
      </c>
      <c r="C194" s="29">
        <f>SUMPRODUCT(Report[But Dom]*(Report[Domicile]=Classement[[#This Row],[Equipe]]))+SUMPRODUCT(Report[But Ext]*(Report[Extérieur]=Classement[[#This Row],[Equipe]]))+Classement[[#This Row],[Colonne1]]</f>
        <v>11</v>
      </c>
      <c r="D194" s="29">
        <f>SUMPRODUCT(Report[But Ext]*(Report[Domicile]=Classement[[#This Row],[Equipe]]))+SUMPRODUCT(Report[But Dom]*(Report[Extérieur]=Classement[[#This Row],[Equipe]]))+Classement[[#This Row],[Colonne2]]</f>
        <v>15</v>
      </c>
      <c r="E194" s="96">
        <v>10</v>
      </c>
      <c r="F194" s="96">
        <v>11</v>
      </c>
      <c r="G194" s="96">
        <v>15</v>
      </c>
      <c r="H194" s="96">
        <f>IF(Classement[[#This Row],[Equipe]]=Report_Données!$D:$D,SUM(Report_Données!$P:$P),3)</f>
        <v>3</v>
      </c>
      <c r="K194" s="37"/>
      <c r="M194" s="3" t="s">
        <v>195</v>
      </c>
    </row>
    <row r="195" spans="1:13" ht="20.100000000000001" customHeight="1" x14ac:dyDescent="0.25">
      <c r="A195" s="3" t="s">
        <v>314</v>
      </c>
      <c r="B195" s="29">
        <f>COUNTIF(Report_Données!D:E,Classement[[#This Row],[Equipe]])+Classement[[#This Row],[Colonne3]]</f>
        <v>10</v>
      </c>
      <c r="C195" s="29">
        <f>SUMPRODUCT(Report[But Dom]*(Report[Domicile]=Classement[[#This Row],[Equipe]]))+SUMPRODUCT(Report[But Ext]*(Report[Extérieur]=Classement[[#This Row],[Equipe]]))+Classement[[#This Row],[Colonne1]]</f>
        <v>7</v>
      </c>
      <c r="D195" s="29">
        <f>SUMPRODUCT(Report[But Ext]*(Report[Domicile]=Classement[[#This Row],[Equipe]]))+SUMPRODUCT(Report[But Dom]*(Report[Extérieur]=Classement[[#This Row],[Equipe]]))+Classement[[#This Row],[Colonne2]]</f>
        <v>8</v>
      </c>
      <c r="E195" s="96">
        <v>10</v>
      </c>
      <c r="F195" s="96">
        <v>7</v>
      </c>
      <c r="G195" s="96">
        <v>8</v>
      </c>
      <c r="H195" s="96">
        <f>IF(Classement[[#This Row],[Equipe]]=Report_Données!$D:$D,SUM(Report_Données!$P:$P),3)</f>
        <v>3</v>
      </c>
      <c r="K195" s="37"/>
      <c r="M195" s="3" t="s">
        <v>195</v>
      </c>
    </row>
    <row r="196" spans="1:13" ht="20.100000000000001" customHeight="1" x14ac:dyDescent="0.25">
      <c r="A196" s="3" t="s">
        <v>315</v>
      </c>
      <c r="B196" s="29">
        <f>COUNTIF(Report_Données!D:E,Classement[[#This Row],[Equipe]])+Classement[[#This Row],[Colonne3]]</f>
        <v>11</v>
      </c>
      <c r="C196" s="29">
        <f>SUMPRODUCT(Report[But Dom]*(Report[Domicile]=Classement[[#This Row],[Equipe]]))+SUMPRODUCT(Report[But Ext]*(Report[Extérieur]=Classement[[#This Row],[Equipe]]))+Classement[[#This Row],[Colonne1]]</f>
        <v>20</v>
      </c>
      <c r="D196" s="29">
        <f>SUMPRODUCT(Report[But Ext]*(Report[Domicile]=Classement[[#This Row],[Equipe]]))+SUMPRODUCT(Report[But Dom]*(Report[Extérieur]=Classement[[#This Row],[Equipe]]))+Classement[[#This Row],[Colonne2]]</f>
        <v>13</v>
      </c>
      <c r="E196" s="96">
        <v>10</v>
      </c>
      <c r="F196" s="96">
        <v>19</v>
      </c>
      <c r="G196" s="96">
        <v>11</v>
      </c>
      <c r="H196" s="96">
        <f>IF(Classement[[#This Row],[Equipe]]=Report_Données!$D:$D,SUM(Report_Données!$P:$P),3)</f>
        <v>3</v>
      </c>
      <c r="K196" s="37"/>
      <c r="M196" s="3" t="s">
        <v>195</v>
      </c>
    </row>
    <row r="197" spans="1:13" ht="20.100000000000001" customHeight="1" x14ac:dyDescent="0.25">
      <c r="A197" s="3" t="s">
        <v>316</v>
      </c>
      <c r="B197" s="29">
        <f>COUNTIF(Report_Données!D:E,Classement[[#This Row],[Equipe]])+Classement[[#This Row],[Colonne3]]</f>
        <v>10</v>
      </c>
      <c r="C197" s="29">
        <f>SUMPRODUCT(Report[But Dom]*(Report[Domicile]=Classement[[#This Row],[Equipe]]))+SUMPRODUCT(Report[But Ext]*(Report[Extérieur]=Classement[[#This Row],[Equipe]]))+Classement[[#This Row],[Colonne1]]</f>
        <v>8</v>
      </c>
      <c r="D197" s="29">
        <f>SUMPRODUCT(Report[But Ext]*(Report[Domicile]=Classement[[#This Row],[Equipe]]))+SUMPRODUCT(Report[But Dom]*(Report[Extérieur]=Classement[[#This Row],[Equipe]]))+Classement[[#This Row],[Colonne2]]</f>
        <v>14</v>
      </c>
      <c r="E197" s="96">
        <v>10</v>
      </c>
      <c r="F197" s="96">
        <v>8</v>
      </c>
      <c r="G197" s="96">
        <v>14</v>
      </c>
      <c r="H197" s="96">
        <f>IF(Classement[[#This Row],[Equipe]]=Report_Données!$D:$D,SUM(Report_Données!$P:$P),3)</f>
        <v>3</v>
      </c>
      <c r="K197" s="37"/>
      <c r="M197" s="3" t="s">
        <v>195</v>
      </c>
    </row>
    <row r="198" spans="1:13" ht="20.100000000000001" customHeight="1" x14ac:dyDescent="0.25">
      <c r="A198" s="3" t="s">
        <v>317</v>
      </c>
      <c r="B198" s="29">
        <f>COUNTIF(Report_Données!D:E,Classement[[#This Row],[Equipe]])+Classement[[#This Row],[Colonne3]]</f>
        <v>10</v>
      </c>
      <c r="C198" s="29">
        <f>SUMPRODUCT(Report[But Dom]*(Report[Domicile]=Classement[[#This Row],[Equipe]]))+SUMPRODUCT(Report[But Ext]*(Report[Extérieur]=Classement[[#This Row],[Equipe]]))+Classement[[#This Row],[Colonne1]]</f>
        <v>19</v>
      </c>
      <c r="D198" s="29">
        <f>SUMPRODUCT(Report[But Ext]*(Report[Domicile]=Classement[[#This Row],[Equipe]]))+SUMPRODUCT(Report[But Dom]*(Report[Extérieur]=Classement[[#This Row],[Equipe]]))+Classement[[#This Row],[Colonne2]]</f>
        <v>10</v>
      </c>
      <c r="E198" s="96">
        <v>10</v>
      </c>
      <c r="F198" s="96">
        <v>19</v>
      </c>
      <c r="G198" s="96">
        <v>10</v>
      </c>
      <c r="H198" s="96">
        <f>IF(Classement[[#This Row],[Equipe]]=Report_Données!$D:$D,SUM(Report_Données!$P:$P),3)</f>
        <v>3</v>
      </c>
      <c r="K198" s="37"/>
      <c r="M198" s="3" t="s">
        <v>195</v>
      </c>
    </row>
    <row r="199" spans="1:13" ht="20.100000000000001" customHeight="1" x14ac:dyDescent="0.25">
      <c r="A199" s="3" t="s">
        <v>318</v>
      </c>
      <c r="B199" s="29">
        <f>COUNTIF(Report_Données!D:E,Classement[[#This Row],[Equipe]])+Classement[[#This Row],[Colonne3]]</f>
        <v>10</v>
      </c>
      <c r="C199" s="29">
        <f>SUMPRODUCT(Report[But Dom]*(Report[Domicile]=Classement[[#This Row],[Equipe]]))+SUMPRODUCT(Report[But Ext]*(Report[Extérieur]=Classement[[#This Row],[Equipe]]))+Classement[[#This Row],[Colonne1]]</f>
        <v>9</v>
      </c>
      <c r="D199" s="29">
        <f>SUMPRODUCT(Report[But Ext]*(Report[Domicile]=Classement[[#This Row],[Equipe]]))+SUMPRODUCT(Report[But Dom]*(Report[Extérieur]=Classement[[#This Row],[Equipe]]))+Classement[[#This Row],[Colonne2]]</f>
        <v>17</v>
      </c>
      <c r="E199" s="96">
        <v>10</v>
      </c>
      <c r="F199" s="96">
        <v>9</v>
      </c>
      <c r="G199" s="96">
        <v>17</v>
      </c>
      <c r="H199" s="96">
        <f>IF(Classement[[#This Row],[Equipe]]=Report_Données!$D:$D,SUM(Report_Données!$P:$P),3)</f>
        <v>3</v>
      </c>
      <c r="K199" s="37"/>
      <c r="M199" s="3" t="s">
        <v>195</v>
      </c>
    </row>
    <row r="200" spans="1:13" ht="20.100000000000001" customHeight="1" x14ac:dyDescent="0.25">
      <c r="A200" s="3" t="s">
        <v>319</v>
      </c>
      <c r="B200" s="29">
        <f>COUNTIF(Report_Données!D:E,Classement[[#This Row],[Equipe]])+Classement[[#This Row],[Colonne3]]</f>
        <v>10</v>
      </c>
      <c r="C200" s="29">
        <f>SUMPRODUCT(Report[But Dom]*(Report[Domicile]=Classement[[#This Row],[Equipe]]))+SUMPRODUCT(Report[But Ext]*(Report[Extérieur]=Classement[[#This Row],[Equipe]]))+Classement[[#This Row],[Colonne1]]</f>
        <v>21</v>
      </c>
      <c r="D200" s="29">
        <f>SUMPRODUCT(Report[But Ext]*(Report[Domicile]=Classement[[#This Row],[Equipe]]))+SUMPRODUCT(Report[But Dom]*(Report[Extérieur]=Classement[[#This Row],[Equipe]]))+Classement[[#This Row],[Colonne2]]</f>
        <v>6</v>
      </c>
      <c r="E200" s="96">
        <v>10</v>
      </c>
      <c r="F200" s="96">
        <v>21</v>
      </c>
      <c r="G200" s="96">
        <v>6</v>
      </c>
      <c r="H200" s="96">
        <f>IF(Classement[[#This Row],[Equipe]]=Report_Données!$D:$D,SUM(Report_Données!$P:$P),3)</f>
        <v>3</v>
      </c>
      <c r="K200" s="37"/>
      <c r="M200" s="3" t="s">
        <v>195</v>
      </c>
    </row>
    <row r="201" spans="1:13" ht="20.100000000000001" customHeight="1" x14ac:dyDescent="0.25">
      <c r="A201" s="3" t="s">
        <v>320</v>
      </c>
      <c r="B201" s="29">
        <f>COUNTIF(Report_Données!D:E,Classement[[#This Row],[Equipe]])+Classement[[#This Row],[Colonne3]]</f>
        <v>10</v>
      </c>
      <c r="C201" s="29">
        <f>SUMPRODUCT(Report[But Dom]*(Report[Domicile]=Classement[[#This Row],[Equipe]]))+SUMPRODUCT(Report[But Ext]*(Report[Extérieur]=Classement[[#This Row],[Equipe]]))+Classement[[#This Row],[Colonne1]]</f>
        <v>7</v>
      </c>
      <c r="D201" s="29">
        <f>SUMPRODUCT(Report[But Ext]*(Report[Domicile]=Classement[[#This Row],[Equipe]]))+SUMPRODUCT(Report[But Dom]*(Report[Extérieur]=Classement[[#This Row],[Equipe]]))+Classement[[#This Row],[Colonne2]]</f>
        <v>11</v>
      </c>
      <c r="E201" s="96">
        <v>10</v>
      </c>
      <c r="F201" s="96">
        <v>7</v>
      </c>
      <c r="G201" s="96">
        <v>11</v>
      </c>
      <c r="H201" s="96">
        <f>IF(Classement[[#This Row],[Equipe]]=Report_Données!$D:$D,SUM(Report_Données!$P:$P),3)</f>
        <v>3</v>
      </c>
      <c r="K201" s="37"/>
      <c r="M201" s="3" t="s">
        <v>195</v>
      </c>
    </row>
    <row r="202" spans="1:13" ht="20.100000000000001" customHeight="1" x14ac:dyDescent="0.25">
      <c r="A202" s="3" t="s">
        <v>321</v>
      </c>
      <c r="B202" s="29">
        <f>COUNTIF(Report_Données!D:E,Classement[[#This Row],[Equipe]])+Classement[[#This Row],[Colonne3]]</f>
        <v>10</v>
      </c>
      <c r="C202" s="29">
        <f>SUMPRODUCT(Report[But Dom]*(Report[Domicile]=Classement[[#This Row],[Equipe]]))+SUMPRODUCT(Report[But Ext]*(Report[Extérieur]=Classement[[#This Row],[Equipe]]))+Classement[[#This Row],[Colonne1]]</f>
        <v>15</v>
      </c>
      <c r="D202" s="29">
        <f>SUMPRODUCT(Report[But Ext]*(Report[Domicile]=Classement[[#This Row],[Equipe]]))+SUMPRODUCT(Report[But Dom]*(Report[Extérieur]=Classement[[#This Row],[Equipe]]))+Classement[[#This Row],[Colonne2]]</f>
        <v>12</v>
      </c>
      <c r="E202" s="96">
        <v>10</v>
      </c>
      <c r="F202" s="96">
        <v>15</v>
      </c>
      <c r="G202" s="96">
        <v>12</v>
      </c>
      <c r="H202" s="96">
        <f>IF(Classement[[#This Row],[Equipe]]=Report_Données!$D:$D,SUM(Report_Données!$P:$P),3)</f>
        <v>3</v>
      </c>
      <c r="K202" s="37"/>
      <c r="M202" s="3" t="s">
        <v>195</v>
      </c>
    </row>
    <row r="203" spans="1:13" ht="20.100000000000001" customHeight="1" x14ac:dyDescent="0.25">
      <c r="A203" s="3" t="s">
        <v>322</v>
      </c>
      <c r="B203" s="29">
        <f>COUNTIF(Report_Données!D:E,Classement[[#This Row],[Equipe]])+Classement[[#This Row],[Colonne3]]</f>
        <v>10</v>
      </c>
      <c r="C203" s="29">
        <f>SUMPRODUCT(Report[But Dom]*(Report[Domicile]=Classement[[#This Row],[Equipe]]))+SUMPRODUCT(Report[But Ext]*(Report[Extérieur]=Classement[[#This Row],[Equipe]]))+Classement[[#This Row],[Colonne1]]</f>
        <v>6</v>
      </c>
      <c r="D203" s="29">
        <f>SUMPRODUCT(Report[But Ext]*(Report[Domicile]=Classement[[#This Row],[Equipe]]))+SUMPRODUCT(Report[But Dom]*(Report[Extérieur]=Classement[[#This Row],[Equipe]]))+Classement[[#This Row],[Colonne2]]</f>
        <v>13</v>
      </c>
      <c r="E203" s="96">
        <v>10</v>
      </c>
      <c r="F203" s="96">
        <v>6</v>
      </c>
      <c r="G203" s="96">
        <v>13</v>
      </c>
      <c r="H203" s="96">
        <f>IF(Classement[[#This Row],[Equipe]]=Report_Données!$D:$D,SUM(Report_Données!$P:$P),3)</f>
        <v>3</v>
      </c>
      <c r="K203" s="37"/>
      <c r="M203" s="3" t="s">
        <v>195</v>
      </c>
    </row>
    <row r="204" spans="1:13" ht="20.100000000000001" customHeight="1" x14ac:dyDescent="0.25">
      <c r="A204" s="3" t="s">
        <v>323</v>
      </c>
      <c r="B204" s="29">
        <f>COUNTIF(Report_Données!D:E,Classement[[#This Row],[Equipe]])+Classement[[#This Row],[Colonne3]]</f>
        <v>10</v>
      </c>
      <c r="C204" s="29">
        <f>SUMPRODUCT(Report[But Dom]*(Report[Domicile]=Classement[[#This Row],[Equipe]]))+SUMPRODUCT(Report[But Ext]*(Report[Extérieur]=Classement[[#This Row],[Equipe]]))+Classement[[#This Row],[Colonne1]]</f>
        <v>11</v>
      </c>
      <c r="D204" s="29">
        <f>SUMPRODUCT(Report[But Ext]*(Report[Domicile]=Classement[[#This Row],[Equipe]]))+SUMPRODUCT(Report[But Dom]*(Report[Extérieur]=Classement[[#This Row],[Equipe]]))+Classement[[#This Row],[Colonne2]]</f>
        <v>14</v>
      </c>
      <c r="E204" s="96">
        <v>10</v>
      </c>
      <c r="F204" s="96">
        <v>11</v>
      </c>
      <c r="G204" s="96">
        <v>14</v>
      </c>
      <c r="H204" s="96">
        <f>IF(Classement[[#This Row],[Equipe]]=Report_Données!$D:$D,SUM(Report_Données!$P:$P),3)</f>
        <v>3</v>
      </c>
      <c r="K204" s="37"/>
      <c r="M204" s="3" t="s">
        <v>195</v>
      </c>
    </row>
    <row r="205" spans="1:13" ht="20.100000000000001" customHeight="1" x14ac:dyDescent="0.25">
      <c r="A205" s="3" t="s">
        <v>324</v>
      </c>
      <c r="B205" s="29">
        <f>COUNTIF(Report_Données!D:E,Classement[[#This Row],[Equipe]])+Classement[[#This Row],[Colonne3]]</f>
        <v>10</v>
      </c>
      <c r="C205" s="29">
        <f>SUMPRODUCT(Report[But Dom]*(Report[Domicile]=Classement[[#This Row],[Equipe]]))+SUMPRODUCT(Report[But Ext]*(Report[Extérieur]=Classement[[#This Row],[Equipe]]))+Classement[[#This Row],[Colonne1]]</f>
        <v>10</v>
      </c>
      <c r="D205" s="29">
        <f>SUMPRODUCT(Report[But Ext]*(Report[Domicile]=Classement[[#This Row],[Equipe]]))+SUMPRODUCT(Report[But Dom]*(Report[Extérieur]=Classement[[#This Row],[Equipe]]))+Classement[[#This Row],[Colonne2]]</f>
        <v>19</v>
      </c>
      <c r="E205" s="96">
        <v>10</v>
      </c>
      <c r="F205" s="96">
        <v>10</v>
      </c>
      <c r="G205" s="96">
        <v>19</v>
      </c>
      <c r="H205" s="96">
        <f>IF(Classement[[#This Row],[Equipe]]=Report_Données!$D:$D,SUM(Report_Données!$P:$P),3)</f>
        <v>3</v>
      </c>
      <c r="K205" s="37"/>
      <c r="M205" s="3" t="s">
        <v>195</v>
      </c>
    </row>
    <row r="206" spans="1:13" ht="20.100000000000001" customHeight="1" x14ac:dyDescent="0.25">
      <c r="A206" s="3" t="s">
        <v>325</v>
      </c>
      <c r="B206" s="29">
        <f>COUNTIF(Report_Données!D:E,Classement[[#This Row],[Equipe]])+Classement[[#This Row],[Colonne3]]</f>
        <v>10</v>
      </c>
      <c r="C206" s="29">
        <f>SUMPRODUCT(Report[But Dom]*(Report[Domicile]=Classement[[#This Row],[Equipe]]))+SUMPRODUCT(Report[But Ext]*(Report[Extérieur]=Classement[[#This Row],[Equipe]]))+Classement[[#This Row],[Colonne1]]</f>
        <v>12</v>
      </c>
      <c r="D206" s="29">
        <f>SUMPRODUCT(Report[But Ext]*(Report[Domicile]=Classement[[#This Row],[Equipe]]))+SUMPRODUCT(Report[But Dom]*(Report[Extérieur]=Classement[[#This Row],[Equipe]]))+Classement[[#This Row],[Colonne2]]</f>
        <v>18</v>
      </c>
      <c r="E206" s="96">
        <v>10</v>
      </c>
      <c r="F206" s="96">
        <v>12</v>
      </c>
      <c r="G206" s="96">
        <v>18</v>
      </c>
      <c r="H206" s="96">
        <f>IF(Classement[[#This Row],[Equipe]]=Report_Données!$D:$D,SUM(Report_Données!$P:$P),3)</f>
        <v>3</v>
      </c>
      <c r="K206" s="37"/>
      <c r="M206" s="3" t="s">
        <v>195</v>
      </c>
    </row>
    <row r="207" spans="1:13" ht="20.100000000000001" customHeight="1" x14ac:dyDescent="0.25">
      <c r="A207" s="3" t="s">
        <v>326</v>
      </c>
      <c r="B207" s="29">
        <f>COUNTIF(Report_Données!D:E,Classement[[#This Row],[Equipe]])+Classement[[#This Row],[Colonne3]]</f>
        <v>10</v>
      </c>
      <c r="C207" s="29">
        <f>SUMPRODUCT(Report[But Dom]*(Report[Domicile]=Classement[[#This Row],[Equipe]]))+SUMPRODUCT(Report[But Ext]*(Report[Extérieur]=Classement[[#This Row],[Equipe]]))+Classement[[#This Row],[Colonne1]]</f>
        <v>17</v>
      </c>
      <c r="D207" s="29">
        <f>SUMPRODUCT(Report[But Ext]*(Report[Domicile]=Classement[[#This Row],[Equipe]]))+SUMPRODUCT(Report[But Dom]*(Report[Extérieur]=Classement[[#This Row],[Equipe]]))+Classement[[#This Row],[Colonne2]]</f>
        <v>13</v>
      </c>
      <c r="E207" s="96">
        <v>10</v>
      </c>
      <c r="F207" s="96">
        <v>17</v>
      </c>
      <c r="G207" s="96">
        <v>13</v>
      </c>
      <c r="H207" s="96">
        <f>IF(Classement[[#This Row],[Equipe]]=Report_Données!$D:$D,SUM(Report_Données!$P:$P),3)</f>
        <v>3</v>
      </c>
      <c r="K207" s="37"/>
      <c r="M207" s="3" t="s">
        <v>195</v>
      </c>
    </row>
    <row r="208" spans="1:13" ht="20.100000000000001" customHeight="1" x14ac:dyDescent="0.25">
      <c r="A208" s="3" t="s">
        <v>327</v>
      </c>
      <c r="B208" s="29">
        <f>COUNTIF(Report_Données!D:E,Classement[[#This Row],[Equipe]])+Classement[[#This Row],[Colonne3]]</f>
        <v>10</v>
      </c>
      <c r="C208" s="29">
        <f>SUMPRODUCT(Report[But Dom]*(Report[Domicile]=Classement[[#This Row],[Equipe]]))+SUMPRODUCT(Report[But Ext]*(Report[Extérieur]=Classement[[#This Row],[Equipe]]))+Classement[[#This Row],[Colonne1]]</f>
        <v>17</v>
      </c>
      <c r="D208" s="29">
        <f>SUMPRODUCT(Report[But Ext]*(Report[Domicile]=Classement[[#This Row],[Equipe]]))+SUMPRODUCT(Report[But Dom]*(Report[Extérieur]=Classement[[#This Row],[Equipe]]))+Classement[[#This Row],[Colonne2]]</f>
        <v>16</v>
      </c>
      <c r="E208" s="96">
        <v>10</v>
      </c>
      <c r="F208" s="96">
        <v>17</v>
      </c>
      <c r="G208" s="96">
        <v>16</v>
      </c>
      <c r="H208" s="96">
        <f>IF(Classement[[#This Row],[Equipe]]=Report_Données!$D:$D,SUM(Report_Données!$P:$P),3)</f>
        <v>3</v>
      </c>
      <c r="K208" s="37"/>
      <c r="M208" s="3" t="s">
        <v>195</v>
      </c>
    </row>
    <row r="209" spans="1:13" ht="20.100000000000001" customHeight="1" x14ac:dyDescent="0.25">
      <c r="A209" s="3" t="s">
        <v>328</v>
      </c>
      <c r="B209" s="29">
        <f>COUNTIF(Report_Données!D:E,Classement[[#This Row],[Equipe]])+Classement[[#This Row],[Colonne3]]</f>
        <v>10</v>
      </c>
      <c r="C209" s="29">
        <f>SUMPRODUCT(Report[But Dom]*(Report[Domicile]=Classement[[#This Row],[Equipe]]))+SUMPRODUCT(Report[But Ext]*(Report[Extérieur]=Classement[[#This Row],[Equipe]]))+Classement[[#This Row],[Colonne1]]</f>
        <v>13</v>
      </c>
      <c r="D209" s="29">
        <f>SUMPRODUCT(Report[But Ext]*(Report[Domicile]=Classement[[#This Row],[Equipe]]))+SUMPRODUCT(Report[But Dom]*(Report[Extérieur]=Classement[[#This Row],[Equipe]]))+Classement[[#This Row],[Colonne2]]</f>
        <v>11</v>
      </c>
      <c r="E209" s="96">
        <v>10</v>
      </c>
      <c r="F209" s="96">
        <v>13</v>
      </c>
      <c r="G209" s="96">
        <v>11</v>
      </c>
      <c r="H209" s="96">
        <f>IF(Classement[[#This Row],[Equipe]]=Report_Données!$D:$D,SUM(Report_Données!$P:$P),3)</f>
        <v>3</v>
      </c>
      <c r="K209" s="37"/>
      <c r="M209" s="3" t="s">
        <v>195</v>
      </c>
    </row>
    <row r="210" spans="1:13" ht="20.100000000000001" customHeight="1" x14ac:dyDescent="0.25">
      <c r="A210" s="3" t="s">
        <v>329</v>
      </c>
      <c r="B210" s="29">
        <f>COUNTIF(Report_Données!D:E,Classement[[#This Row],[Equipe]])+Classement[[#This Row],[Colonne3]]</f>
        <v>10</v>
      </c>
      <c r="C210" s="29">
        <f>SUMPRODUCT(Report[But Dom]*(Report[Domicile]=Classement[[#This Row],[Equipe]]))+SUMPRODUCT(Report[But Ext]*(Report[Extérieur]=Classement[[#This Row],[Equipe]]))+Classement[[#This Row],[Colonne1]]</f>
        <v>18</v>
      </c>
      <c r="D210" s="29">
        <f>SUMPRODUCT(Report[But Ext]*(Report[Domicile]=Classement[[#This Row],[Equipe]]))+SUMPRODUCT(Report[But Dom]*(Report[Extérieur]=Classement[[#This Row],[Equipe]]))+Classement[[#This Row],[Colonne2]]</f>
        <v>10</v>
      </c>
      <c r="E210" s="96">
        <v>10</v>
      </c>
      <c r="F210" s="96">
        <v>18</v>
      </c>
      <c r="G210" s="96">
        <v>10</v>
      </c>
      <c r="H210" s="96">
        <f>IF(Classement[[#This Row],[Equipe]]=Report_Données!$D:$D,SUM(Report_Données!$P:$P),3)</f>
        <v>3</v>
      </c>
      <c r="K210" s="37"/>
      <c r="M210" s="3" t="s">
        <v>195</v>
      </c>
    </row>
    <row r="211" spans="1:13" ht="20.100000000000001" customHeight="1" x14ac:dyDescent="0.25">
      <c r="A211" s="3" t="s">
        <v>330</v>
      </c>
      <c r="B211" s="29">
        <f>COUNTIF(Report_Données!D:E,Classement[[#This Row],[Equipe]])+Classement[[#This Row],[Colonne3]]</f>
        <v>10</v>
      </c>
      <c r="C211" s="29">
        <f>SUMPRODUCT(Report[But Dom]*(Report[Domicile]=Classement[[#This Row],[Equipe]]))+SUMPRODUCT(Report[But Ext]*(Report[Extérieur]=Classement[[#This Row],[Equipe]]))+Classement[[#This Row],[Colonne1]]</f>
        <v>12</v>
      </c>
      <c r="D211" s="29">
        <f>SUMPRODUCT(Report[But Ext]*(Report[Domicile]=Classement[[#This Row],[Equipe]]))+SUMPRODUCT(Report[But Dom]*(Report[Extérieur]=Classement[[#This Row],[Equipe]]))+Classement[[#This Row],[Colonne2]]</f>
        <v>14</v>
      </c>
      <c r="E211" s="96">
        <v>10</v>
      </c>
      <c r="F211" s="96">
        <v>12</v>
      </c>
      <c r="G211" s="96">
        <v>14</v>
      </c>
      <c r="H211" s="96">
        <f>IF(Classement[[#This Row],[Equipe]]=Report_Données!$D:$D,SUM(Report_Données!$P:$P),3)</f>
        <v>3</v>
      </c>
      <c r="K211" s="37"/>
      <c r="M211" s="3" t="s">
        <v>195</v>
      </c>
    </row>
    <row r="212" spans="1:13" ht="20.100000000000001" customHeight="1" x14ac:dyDescent="0.25">
      <c r="A212" s="28"/>
      <c r="B212" s="30"/>
      <c r="C212" s="30"/>
      <c r="D212" s="30"/>
      <c r="E212" s="96"/>
      <c r="F212" s="96"/>
      <c r="G212" s="96"/>
      <c r="H212" s="96">
        <f>IF(Classement[[#This Row],[Equipe]]=Report_Données!$D:$D,SUM(Report_Données!$P:$P),3)</f>
        <v>3</v>
      </c>
    </row>
    <row r="213" spans="1:13" ht="20.100000000000001" customHeight="1" x14ac:dyDescent="0.25">
      <c r="A213" s="3" t="s">
        <v>331</v>
      </c>
      <c r="B213" s="29">
        <f>COUNTIF(Report_Données!D:E,Classement[[#This Row],[Equipe]])+Classement[[#This Row],[Colonne3]]</f>
        <v>16</v>
      </c>
      <c r="C213" s="29">
        <f>SUMPRODUCT(Report[But Dom]*(Report[Domicile]=Classement[[#This Row],[Equipe]]))+SUMPRODUCT(Report[But Ext]*(Report[Extérieur]=Classement[[#This Row],[Equipe]]))+Classement[[#This Row],[Colonne1]]</f>
        <v>17</v>
      </c>
      <c r="D213" s="29">
        <f>SUMPRODUCT(Report[But Ext]*(Report[Domicile]=Classement[[#This Row],[Equipe]]))+SUMPRODUCT(Report[But Dom]*(Report[Extérieur]=Classement[[#This Row],[Equipe]]))+Classement[[#This Row],[Colonne2]]</f>
        <v>15</v>
      </c>
      <c r="E213" s="96">
        <v>15</v>
      </c>
      <c r="F213" s="96">
        <v>17</v>
      </c>
      <c r="G213" s="96">
        <v>14</v>
      </c>
      <c r="H213" s="96">
        <f>IF(Classement[[#This Row],[Equipe]]=Report_Données!$D:$D,SUM(Report_Données!$P:$P),3)</f>
        <v>3</v>
      </c>
      <c r="K213" s="37"/>
      <c r="M213" s="3" t="s">
        <v>195</v>
      </c>
    </row>
    <row r="214" spans="1:13" ht="20.100000000000001" customHeight="1" x14ac:dyDescent="0.25">
      <c r="A214" s="3" t="s">
        <v>332</v>
      </c>
      <c r="B214" s="29">
        <f>COUNTIF(Report_Données!D:E,Classement[[#This Row],[Equipe]])+Classement[[#This Row],[Colonne3]]</f>
        <v>16</v>
      </c>
      <c r="C214" s="29">
        <f>SUMPRODUCT(Report[But Dom]*(Report[Domicile]=Classement[[#This Row],[Equipe]]))+SUMPRODUCT(Report[But Ext]*(Report[Extérieur]=Classement[[#This Row],[Equipe]]))+Classement[[#This Row],[Colonne1]]</f>
        <v>21</v>
      </c>
      <c r="D214" s="29">
        <f>SUMPRODUCT(Report[But Ext]*(Report[Domicile]=Classement[[#This Row],[Equipe]]))+SUMPRODUCT(Report[But Dom]*(Report[Extérieur]=Classement[[#This Row],[Equipe]]))+Classement[[#This Row],[Colonne2]]</f>
        <v>24</v>
      </c>
      <c r="E214" s="96">
        <v>15</v>
      </c>
      <c r="F214" s="96">
        <v>19</v>
      </c>
      <c r="G214" s="96">
        <v>23</v>
      </c>
      <c r="H214" s="96">
        <f>IF(Classement[[#This Row],[Equipe]]=Report_Données!$D:$D,SUM(Report_Données!$P:$P),3)</f>
        <v>3</v>
      </c>
      <c r="K214" s="37"/>
      <c r="M214" s="3" t="s">
        <v>195</v>
      </c>
    </row>
    <row r="215" spans="1:13" ht="20.100000000000001" customHeight="1" x14ac:dyDescent="0.25">
      <c r="A215" s="3" t="s">
        <v>333</v>
      </c>
      <c r="B215" s="29">
        <f>COUNTIF(Report_Données!D:E,Classement[[#This Row],[Equipe]])+Classement[[#This Row],[Colonne3]]</f>
        <v>16</v>
      </c>
      <c r="C215" s="29">
        <f>SUMPRODUCT(Report[But Dom]*(Report[Domicile]=Classement[[#This Row],[Equipe]]))+SUMPRODUCT(Report[But Ext]*(Report[Extérieur]=Classement[[#This Row],[Equipe]]))+Classement[[#This Row],[Colonne1]]</f>
        <v>12</v>
      </c>
      <c r="D215" s="29">
        <f>SUMPRODUCT(Report[But Ext]*(Report[Domicile]=Classement[[#This Row],[Equipe]]))+SUMPRODUCT(Report[But Dom]*(Report[Extérieur]=Classement[[#This Row],[Equipe]]))+Classement[[#This Row],[Colonne2]]</f>
        <v>15</v>
      </c>
      <c r="E215" s="96">
        <v>15</v>
      </c>
      <c r="F215" s="96">
        <v>12</v>
      </c>
      <c r="G215" s="96">
        <v>14</v>
      </c>
      <c r="H215" s="96">
        <f>IF(Classement[[#This Row],[Equipe]]=Report_Données!$D:$D,SUM(Report_Données!$P:$P),3)</f>
        <v>3</v>
      </c>
      <c r="K215" s="37"/>
      <c r="M215" s="3" t="s">
        <v>195</v>
      </c>
    </row>
    <row r="216" spans="1:13" ht="20.100000000000001" customHeight="1" x14ac:dyDescent="0.25">
      <c r="A216" s="3" t="s">
        <v>334</v>
      </c>
      <c r="B216" s="29">
        <f>COUNTIF(Report_Données!D:E,Classement[[#This Row],[Equipe]])+Classement[[#This Row],[Colonne3]]</f>
        <v>16</v>
      </c>
      <c r="C216" s="29">
        <f>SUMPRODUCT(Report[But Dom]*(Report[Domicile]=Classement[[#This Row],[Equipe]]))+SUMPRODUCT(Report[But Ext]*(Report[Extérieur]=Classement[[#This Row],[Equipe]]))+Classement[[#This Row],[Colonne1]]</f>
        <v>22</v>
      </c>
      <c r="D216" s="29">
        <f>SUMPRODUCT(Report[But Ext]*(Report[Domicile]=Classement[[#This Row],[Equipe]]))+SUMPRODUCT(Report[But Dom]*(Report[Extérieur]=Classement[[#This Row],[Equipe]]))+Classement[[#This Row],[Colonne2]]</f>
        <v>10</v>
      </c>
      <c r="E216" s="96">
        <v>15</v>
      </c>
      <c r="F216" s="96">
        <v>21</v>
      </c>
      <c r="G216" s="96">
        <v>10</v>
      </c>
      <c r="H216" s="96">
        <f>IF(Classement[[#This Row],[Equipe]]=Report_Données!$D:$D,SUM(Report_Données!$P:$P),3)</f>
        <v>3</v>
      </c>
      <c r="K216" s="37"/>
      <c r="M216" s="3" t="s">
        <v>195</v>
      </c>
    </row>
    <row r="217" spans="1:13" ht="20.100000000000001" customHeight="1" x14ac:dyDescent="0.25">
      <c r="A217" s="3" t="s">
        <v>335</v>
      </c>
      <c r="B217" s="29">
        <f>COUNTIF(Report_Données!D:E,Classement[[#This Row],[Equipe]])+Classement[[#This Row],[Colonne3]]</f>
        <v>16</v>
      </c>
      <c r="C217" s="29">
        <f>SUMPRODUCT(Report[But Dom]*(Report[Domicile]=Classement[[#This Row],[Equipe]]))+SUMPRODUCT(Report[But Ext]*(Report[Extérieur]=Classement[[#This Row],[Equipe]]))+Classement[[#This Row],[Colonne1]]</f>
        <v>10</v>
      </c>
      <c r="D217" s="29">
        <f>SUMPRODUCT(Report[But Ext]*(Report[Domicile]=Classement[[#This Row],[Equipe]]))+SUMPRODUCT(Report[But Dom]*(Report[Extérieur]=Classement[[#This Row],[Equipe]]))+Classement[[#This Row],[Colonne2]]</f>
        <v>20</v>
      </c>
      <c r="E217" s="96">
        <v>15</v>
      </c>
      <c r="F217" s="96">
        <v>10</v>
      </c>
      <c r="G217" s="96">
        <v>19</v>
      </c>
      <c r="H217" s="96">
        <f>IF(Classement[[#This Row],[Equipe]]=Report_Données!$D:$D,SUM(Report_Données!$P:$P),3)</f>
        <v>3</v>
      </c>
      <c r="K217" s="37"/>
      <c r="M217" s="3" t="s">
        <v>195</v>
      </c>
    </row>
    <row r="218" spans="1:13" ht="20.100000000000001" customHeight="1" x14ac:dyDescent="0.25">
      <c r="A218" s="3" t="s">
        <v>336</v>
      </c>
      <c r="B218" s="29">
        <f>COUNTIF(Report_Données!D:E,Classement[[#This Row],[Equipe]])+Classement[[#This Row],[Colonne3]]</f>
        <v>16</v>
      </c>
      <c r="C218" s="29">
        <f>SUMPRODUCT(Report[But Dom]*(Report[Domicile]=Classement[[#This Row],[Equipe]]))+SUMPRODUCT(Report[But Ext]*(Report[Extérieur]=Classement[[#This Row],[Equipe]]))+Classement[[#This Row],[Colonne1]]</f>
        <v>16</v>
      </c>
      <c r="D218" s="29">
        <f>SUMPRODUCT(Report[But Ext]*(Report[Domicile]=Classement[[#This Row],[Equipe]]))+SUMPRODUCT(Report[But Dom]*(Report[Extérieur]=Classement[[#This Row],[Equipe]]))+Classement[[#This Row],[Colonne2]]</f>
        <v>22</v>
      </c>
      <c r="E218" s="96">
        <v>15</v>
      </c>
      <c r="F218" s="96">
        <v>15</v>
      </c>
      <c r="G218" s="96">
        <v>21</v>
      </c>
      <c r="H218" s="96">
        <f>IF(Classement[[#This Row],[Equipe]]=Report_Données!$D:$D,SUM(Report_Données!$P:$P),3)</f>
        <v>3</v>
      </c>
      <c r="K218" s="37"/>
      <c r="M218" s="3" t="s">
        <v>195</v>
      </c>
    </row>
    <row r="219" spans="1:13" ht="20.100000000000001" customHeight="1" x14ac:dyDescent="0.25">
      <c r="A219" s="3" t="s">
        <v>337</v>
      </c>
      <c r="B219" s="29">
        <f>COUNTIF(Report_Données!D:E,Classement[[#This Row],[Equipe]])+Classement[[#This Row],[Colonne3]]</f>
        <v>16</v>
      </c>
      <c r="C219" s="29">
        <f>SUMPRODUCT(Report[But Dom]*(Report[Domicile]=Classement[[#This Row],[Equipe]]))+SUMPRODUCT(Report[But Ext]*(Report[Extérieur]=Classement[[#This Row],[Equipe]]))+Classement[[#This Row],[Colonne1]]</f>
        <v>16</v>
      </c>
      <c r="D219" s="29">
        <f>SUMPRODUCT(Report[But Ext]*(Report[Domicile]=Classement[[#This Row],[Equipe]]))+SUMPRODUCT(Report[But Dom]*(Report[Extérieur]=Classement[[#This Row],[Equipe]]))+Classement[[#This Row],[Colonne2]]</f>
        <v>18</v>
      </c>
      <c r="E219" s="96">
        <v>15</v>
      </c>
      <c r="F219" s="96">
        <v>15</v>
      </c>
      <c r="G219" s="96">
        <v>18</v>
      </c>
      <c r="H219" s="96">
        <f>IF(Classement[[#This Row],[Equipe]]=Report_Données!$D:$D,SUM(Report_Données!$P:$P),3)</f>
        <v>3</v>
      </c>
      <c r="K219" s="37"/>
      <c r="M219" s="3" t="s">
        <v>195</v>
      </c>
    </row>
    <row r="220" spans="1:13" ht="20.100000000000001" customHeight="1" x14ac:dyDescent="0.25">
      <c r="A220" s="3" t="s">
        <v>338</v>
      </c>
      <c r="B220" s="29">
        <f>COUNTIF(Report_Données!D:E,Classement[[#This Row],[Equipe]])+Classement[[#This Row],[Colonne3]]</f>
        <v>16</v>
      </c>
      <c r="C220" s="29">
        <f>SUMPRODUCT(Report[But Dom]*(Report[Domicile]=Classement[[#This Row],[Equipe]]))+SUMPRODUCT(Report[But Ext]*(Report[Extérieur]=Classement[[#This Row],[Equipe]]))+Classement[[#This Row],[Colonne1]]</f>
        <v>31</v>
      </c>
      <c r="D220" s="29">
        <f>SUMPRODUCT(Report[But Ext]*(Report[Domicile]=Classement[[#This Row],[Equipe]]))+SUMPRODUCT(Report[But Dom]*(Report[Extérieur]=Classement[[#This Row],[Equipe]]))+Classement[[#This Row],[Colonne2]]</f>
        <v>16</v>
      </c>
      <c r="E220" s="96">
        <v>15</v>
      </c>
      <c r="F220" s="96">
        <v>29</v>
      </c>
      <c r="G220" s="96">
        <v>15</v>
      </c>
      <c r="H220" s="96">
        <f>IF(Classement[[#This Row],[Equipe]]=Report_Données!$D:$D,SUM(Report_Données!$P:$P),3)</f>
        <v>3</v>
      </c>
      <c r="K220" s="36"/>
      <c r="M220" s="3" t="s">
        <v>195</v>
      </c>
    </row>
    <row r="221" spans="1:13" ht="20.100000000000001" customHeight="1" x14ac:dyDescent="0.25">
      <c r="A221" s="3" t="s">
        <v>339</v>
      </c>
      <c r="B221" s="29">
        <f>COUNTIF(Report_Données!D:E,Classement[[#This Row],[Equipe]])+Classement[[#This Row],[Colonne3]]</f>
        <v>16</v>
      </c>
      <c r="C221" s="29">
        <f>SUMPRODUCT(Report[But Dom]*(Report[Domicile]=Classement[[#This Row],[Equipe]]))+SUMPRODUCT(Report[But Ext]*(Report[Extérieur]=Classement[[#This Row],[Equipe]]))+Classement[[#This Row],[Colonne1]]</f>
        <v>18</v>
      </c>
      <c r="D221" s="29">
        <f>SUMPRODUCT(Report[But Ext]*(Report[Domicile]=Classement[[#This Row],[Equipe]]))+SUMPRODUCT(Report[But Dom]*(Report[Extérieur]=Classement[[#This Row],[Equipe]]))+Classement[[#This Row],[Colonne2]]</f>
        <v>18</v>
      </c>
      <c r="E221" s="96">
        <v>15</v>
      </c>
      <c r="F221" s="96">
        <v>17</v>
      </c>
      <c r="G221" s="96">
        <v>17</v>
      </c>
      <c r="H221" s="96">
        <f>IF(Classement[[#This Row],[Equipe]]=Report_Données!$D:$D,SUM(Report_Données!$P:$P),3)</f>
        <v>3</v>
      </c>
      <c r="K221" s="37"/>
      <c r="M221" s="3" t="s">
        <v>195</v>
      </c>
    </row>
    <row r="222" spans="1:13" ht="20.100000000000001" customHeight="1" x14ac:dyDescent="0.25">
      <c r="A222" s="3" t="s">
        <v>340</v>
      </c>
      <c r="B222" s="29">
        <f>COUNTIF(Report_Données!D:E,Classement[[#This Row],[Equipe]])+Classement[[#This Row],[Colonne3]]</f>
        <v>16</v>
      </c>
      <c r="C222" s="29">
        <f>SUMPRODUCT(Report[But Dom]*(Report[Domicile]=Classement[[#This Row],[Equipe]]))+SUMPRODUCT(Report[But Ext]*(Report[Extérieur]=Classement[[#This Row],[Equipe]]))+Classement[[#This Row],[Colonne1]]</f>
        <v>14</v>
      </c>
      <c r="D222" s="29">
        <f>SUMPRODUCT(Report[But Ext]*(Report[Domicile]=Classement[[#This Row],[Equipe]]))+SUMPRODUCT(Report[But Dom]*(Report[Extérieur]=Classement[[#This Row],[Equipe]]))+Classement[[#This Row],[Colonne2]]</f>
        <v>25</v>
      </c>
      <c r="E222" s="96">
        <v>15</v>
      </c>
      <c r="F222" s="96">
        <v>13</v>
      </c>
      <c r="G222" s="96">
        <v>23</v>
      </c>
      <c r="H222" s="96">
        <f>IF(Classement[[#This Row],[Equipe]]=Report_Données!$D:$D,SUM(Report_Données!$P:$P),3)</f>
        <v>3</v>
      </c>
      <c r="K222" s="37"/>
      <c r="M222" s="3" t="s">
        <v>195</v>
      </c>
    </row>
    <row r="223" spans="1:13" ht="20.100000000000001" customHeight="1" x14ac:dyDescent="0.25">
      <c r="A223" s="3" t="s">
        <v>341</v>
      </c>
      <c r="B223" s="29">
        <f>COUNTIF(Report_Données!D:E,Classement[[#This Row],[Equipe]])+Classement[[#This Row],[Colonne3]]</f>
        <v>16</v>
      </c>
      <c r="C223" s="29">
        <f>SUMPRODUCT(Report[But Dom]*(Report[Domicile]=Classement[[#This Row],[Equipe]]))+SUMPRODUCT(Report[But Ext]*(Report[Extérieur]=Classement[[#This Row],[Equipe]]))+Classement[[#This Row],[Colonne1]]</f>
        <v>18</v>
      </c>
      <c r="D223" s="29">
        <f>SUMPRODUCT(Report[But Ext]*(Report[Domicile]=Classement[[#This Row],[Equipe]]))+SUMPRODUCT(Report[But Dom]*(Report[Extérieur]=Classement[[#This Row],[Equipe]]))+Classement[[#This Row],[Colonne2]]</f>
        <v>15</v>
      </c>
      <c r="E223" s="96">
        <v>15</v>
      </c>
      <c r="F223" s="96">
        <v>17</v>
      </c>
      <c r="G223" s="96">
        <v>15</v>
      </c>
      <c r="H223" s="96">
        <f>IF(Classement[[#This Row],[Equipe]]=Report_Données!$D:$D,SUM(Report_Données!$P:$P),3)</f>
        <v>3</v>
      </c>
      <c r="K223" s="37"/>
      <c r="M223" s="3" t="s">
        <v>195</v>
      </c>
    </row>
    <row r="224" spans="1:13" ht="20.100000000000001" customHeight="1" x14ac:dyDescent="0.25">
      <c r="A224" s="3" t="s">
        <v>342</v>
      </c>
      <c r="B224" s="29">
        <f>COUNTIF(Report_Données!D:E,Classement[[#This Row],[Equipe]])+Classement[[#This Row],[Colonne3]]</f>
        <v>16</v>
      </c>
      <c r="C224" s="29">
        <f>SUMPRODUCT(Report[But Dom]*(Report[Domicile]=Classement[[#This Row],[Equipe]]))+SUMPRODUCT(Report[But Ext]*(Report[Extérieur]=Classement[[#This Row],[Equipe]]))+Classement[[#This Row],[Colonne1]]</f>
        <v>28</v>
      </c>
      <c r="D224" s="29">
        <f>SUMPRODUCT(Report[But Ext]*(Report[Domicile]=Classement[[#This Row],[Equipe]]))+SUMPRODUCT(Report[But Dom]*(Report[Extérieur]=Classement[[#This Row],[Equipe]]))+Classement[[#This Row],[Colonne2]]</f>
        <v>14</v>
      </c>
      <c r="E224" s="96">
        <v>15</v>
      </c>
      <c r="F224" s="96">
        <v>27</v>
      </c>
      <c r="G224" s="96">
        <v>12</v>
      </c>
      <c r="H224" s="96">
        <f>IF(Classement[[#This Row],[Equipe]]=Report_Données!$D:$D,SUM(Report_Données!$P:$P),3)</f>
        <v>3</v>
      </c>
      <c r="K224" s="36"/>
      <c r="M224" s="3" t="s">
        <v>195</v>
      </c>
    </row>
    <row r="225" spans="1:13" ht="20.100000000000001" customHeight="1" x14ac:dyDescent="0.25">
      <c r="A225" s="3" t="s">
        <v>343</v>
      </c>
      <c r="B225" s="29">
        <f>COUNTIF(Report_Données!D:E,Classement[[#This Row],[Equipe]])+Classement[[#This Row],[Colonne3]]</f>
        <v>16</v>
      </c>
      <c r="C225" s="29">
        <f>SUMPRODUCT(Report[But Dom]*(Report[Domicile]=Classement[[#This Row],[Equipe]]))+SUMPRODUCT(Report[But Ext]*(Report[Extérieur]=Classement[[#This Row],[Equipe]]))+Classement[[#This Row],[Colonne1]]</f>
        <v>19</v>
      </c>
      <c r="D225" s="29">
        <f>SUMPRODUCT(Report[But Ext]*(Report[Domicile]=Classement[[#This Row],[Equipe]]))+SUMPRODUCT(Report[But Dom]*(Report[Extérieur]=Classement[[#This Row],[Equipe]]))+Classement[[#This Row],[Colonne2]]</f>
        <v>16</v>
      </c>
      <c r="E225" s="96">
        <v>15</v>
      </c>
      <c r="F225" s="96">
        <v>17</v>
      </c>
      <c r="G225" s="96">
        <v>15</v>
      </c>
      <c r="H225" s="96">
        <f>IF(Classement[[#This Row],[Equipe]]=Report_Données!$D:$D,SUM(Report_Données!$P:$P),3)</f>
        <v>3</v>
      </c>
      <c r="K225" s="37"/>
      <c r="M225" s="3" t="s">
        <v>195</v>
      </c>
    </row>
    <row r="226" spans="1:13" ht="20.100000000000001" customHeight="1" x14ac:dyDescent="0.25">
      <c r="A226" s="3" t="s">
        <v>344</v>
      </c>
      <c r="B226" s="29">
        <f>COUNTIF(Report_Données!D:E,Classement[[#This Row],[Equipe]])+Classement[[#This Row],[Colonne3]]</f>
        <v>16</v>
      </c>
      <c r="C226" s="29">
        <f>SUMPRODUCT(Report[But Dom]*(Report[Domicile]=Classement[[#This Row],[Equipe]]))+SUMPRODUCT(Report[But Ext]*(Report[Extérieur]=Classement[[#This Row],[Equipe]]))+Classement[[#This Row],[Colonne1]]</f>
        <v>15</v>
      </c>
      <c r="D226" s="29">
        <f>SUMPRODUCT(Report[But Ext]*(Report[Domicile]=Classement[[#This Row],[Equipe]]))+SUMPRODUCT(Report[But Dom]*(Report[Extérieur]=Classement[[#This Row],[Equipe]]))+Classement[[#This Row],[Colonne2]]</f>
        <v>29</v>
      </c>
      <c r="E226" s="96">
        <v>15</v>
      </c>
      <c r="F226" s="96">
        <v>14</v>
      </c>
      <c r="G226" s="96">
        <v>27</v>
      </c>
      <c r="H226" s="96">
        <f>IF(Classement[[#This Row],[Equipe]]=Report_Données!$D:$D,SUM(Report_Données!$P:$P),3)</f>
        <v>3</v>
      </c>
      <c r="K226" s="37"/>
    </row>
    <row r="227" spans="1:13" ht="20.100000000000001" customHeight="1" x14ac:dyDescent="0.25">
      <c r="A227" s="28"/>
      <c r="B227" s="30"/>
      <c r="C227" s="30"/>
      <c r="D227" s="30"/>
      <c r="E227" s="96"/>
      <c r="F227" s="96"/>
      <c r="G227" s="96"/>
      <c r="H227" s="96">
        <f>IF(Classement[[#This Row],[Equipe]]=Report_Données!$D:$D,SUM(Report_Données!$P:$P),3)</f>
        <v>3</v>
      </c>
    </row>
    <row r="228" spans="1:13" ht="20.100000000000001" customHeight="1" x14ac:dyDescent="0.25">
      <c r="A228" s="3" t="s">
        <v>345</v>
      </c>
      <c r="B228" s="29">
        <f>COUNTIF(Report_Données!D:E,Classement[[#This Row],[Equipe]])+Classement[[#This Row],[Colonne3]]</f>
        <v>16</v>
      </c>
      <c r="C228" s="29">
        <f>SUMPRODUCT(Report[But Dom]*(Report[Domicile]=Classement[[#This Row],[Equipe]]))+SUMPRODUCT(Report[But Ext]*(Report[Extérieur]=Classement[[#This Row],[Equipe]]))+Classement[[#This Row],[Colonne1]]</f>
        <v>18</v>
      </c>
      <c r="D228" s="29">
        <f>SUMPRODUCT(Report[But Ext]*(Report[Domicile]=Classement[[#This Row],[Equipe]]))+SUMPRODUCT(Report[But Dom]*(Report[Extérieur]=Classement[[#This Row],[Equipe]]))+Classement[[#This Row],[Colonne2]]</f>
        <v>25</v>
      </c>
      <c r="E228" s="96">
        <v>15</v>
      </c>
      <c r="F228" s="96">
        <v>16</v>
      </c>
      <c r="G228" s="96">
        <v>23</v>
      </c>
      <c r="H228" s="96">
        <f>IF(Classement[[#This Row],[Equipe]]=Report_Données!$D:$D,SUM(Report_Données!$P:$P),3)</f>
        <v>3</v>
      </c>
    </row>
    <row r="229" spans="1:13" ht="20.100000000000001" customHeight="1" x14ac:dyDescent="0.25">
      <c r="A229" s="3" t="s">
        <v>346</v>
      </c>
      <c r="B229" s="29">
        <f>COUNTIF(Report_Données!D:E,Classement[[#This Row],[Equipe]])+Classement[[#This Row],[Colonne3]]</f>
        <v>16</v>
      </c>
      <c r="C229" s="29">
        <f>SUMPRODUCT(Report[But Dom]*(Report[Domicile]=Classement[[#This Row],[Equipe]]))+SUMPRODUCT(Report[But Ext]*(Report[Extérieur]=Classement[[#This Row],[Equipe]]))+Classement[[#This Row],[Colonne1]]</f>
        <v>14</v>
      </c>
      <c r="D229" s="29">
        <f>SUMPRODUCT(Report[But Ext]*(Report[Domicile]=Classement[[#This Row],[Equipe]]))+SUMPRODUCT(Report[But Dom]*(Report[Extérieur]=Classement[[#This Row],[Equipe]]))+Classement[[#This Row],[Colonne2]]</f>
        <v>31</v>
      </c>
      <c r="E229" s="96">
        <v>15</v>
      </c>
      <c r="F229" s="96">
        <v>13</v>
      </c>
      <c r="G229" s="96">
        <v>31</v>
      </c>
      <c r="H229" s="96">
        <f>IF(Classement[[#This Row],[Equipe]]=Report_Données!$D:$D,SUM(Report_Données!$P:$P),3)</f>
        <v>3</v>
      </c>
      <c r="J229" s="37"/>
    </row>
    <row r="230" spans="1:13" ht="20.100000000000001" customHeight="1" x14ac:dyDescent="0.25">
      <c r="A230" s="3" t="s">
        <v>347</v>
      </c>
      <c r="B230" s="29">
        <f>COUNTIF(Report_Données!D:E,Classement[[#This Row],[Equipe]])+Classement[[#This Row],[Colonne3]]</f>
        <v>16</v>
      </c>
      <c r="C230" s="29">
        <f>SUMPRODUCT(Report[But Dom]*(Report[Domicile]=Classement[[#This Row],[Equipe]]))+SUMPRODUCT(Report[But Ext]*(Report[Extérieur]=Classement[[#This Row],[Equipe]]))+Classement[[#This Row],[Colonne1]]</f>
        <v>33</v>
      </c>
      <c r="D230" s="29">
        <f>SUMPRODUCT(Report[But Ext]*(Report[Domicile]=Classement[[#This Row],[Equipe]]))+SUMPRODUCT(Report[But Dom]*(Report[Extérieur]=Classement[[#This Row],[Equipe]]))+Classement[[#This Row],[Colonne2]]</f>
        <v>14</v>
      </c>
      <c r="E230" s="96">
        <v>15</v>
      </c>
      <c r="F230" s="96">
        <v>33</v>
      </c>
      <c r="G230" s="96">
        <v>14</v>
      </c>
      <c r="H230" s="96">
        <f>IF(Classement[[#This Row],[Equipe]]=Report_Données!$D:$D,SUM(Report_Données!$P:$P),3)</f>
        <v>3</v>
      </c>
      <c r="J230" s="37"/>
    </row>
    <row r="231" spans="1:13" ht="20.100000000000001" customHeight="1" x14ac:dyDescent="0.25">
      <c r="A231" s="3" t="s">
        <v>348</v>
      </c>
      <c r="B231" s="29">
        <f>COUNTIF(Report_Données!D:E,Classement[[#This Row],[Equipe]])+Classement[[#This Row],[Colonne3]]</f>
        <v>16</v>
      </c>
      <c r="C231" s="29">
        <f>SUMPRODUCT(Report[But Dom]*(Report[Domicile]=Classement[[#This Row],[Equipe]]))+SUMPRODUCT(Report[But Ext]*(Report[Extérieur]=Classement[[#This Row],[Equipe]]))+Classement[[#This Row],[Colonne1]]</f>
        <v>20</v>
      </c>
      <c r="D231" s="29">
        <f>SUMPRODUCT(Report[But Ext]*(Report[Domicile]=Classement[[#This Row],[Equipe]]))+SUMPRODUCT(Report[But Dom]*(Report[Extérieur]=Classement[[#This Row],[Equipe]]))+Classement[[#This Row],[Colonne2]]</f>
        <v>33</v>
      </c>
      <c r="E231" s="96">
        <v>15</v>
      </c>
      <c r="F231" s="96">
        <v>19</v>
      </c>
      <c r="G231" s="96">
        <v>30</v>
      </c>
      <c r="H231" s="96">
        <f>IF(Classement[[#This Row],[Equipe]]=Report_Données!$D:$D,SUM(Report_Données!$P:$P),3)</f>
        <v>3</v>
      </c>
      <c r="J231" s="36"/>
    </row>
    <row r="232" spans="1:13" ht="20.100000000000001" customHeight="1" x14ac:dyDescent="0.25">
      <c r="A232" s="3" t="s">
        <v>349</v>
      </c>
      <c r="B232" s="29">
        <f>COUNTIF(Report_Données!D:E,Classement[[#This Row],[Equipe]])+Classement[[#This Row],[Colonne3]]</f>
        <v>16</v>
      </c>
      <c r="C232" s="29">
        <f>SUMPRODUCT(Report[But Dom]*(Report[Domicile]=Classement[[#This Row],[Equipe]]))+SUMPRODUCT(Report[But Ext]*(Report[Extérieur]=Classement[[#This Row],[Equipe]]))+Classement[[#This Row],[Colonne1]]</f>
        <v>16</v>
      </c>
      <c r="D232" s="29">
        <f>SUMPRODUCT(Report[But Ext]*(Report[Domicile]=Classement[[#This Row],[Equipe]]))+SUMPRODUCT(Report[But Dom]*(Report[Extérieur]=Classement[[#This Row],[Equipe]]))+Classement[[#This Row],[Colonne2]]</f>
        <v>14</v>
      </c>
      <c r="E232" s="96">
        <v>15</v>
      </c>
      <c r="F232" s="96">
        <v>15</v>
      </c>
      <c r="G232" s="96">
        <v>13</v>
      </c>
      <c r="H232" s="96">
        <f>IF(Classement[[#This Row],[Equipe]]=Report_Données!$D:$D,SUM(Report_Données!$P:$P),3)</f>
        <v>3</v>
      </c>
      <c r="J232" s="37"/>
    </row>
    <row r="233" spans="1:13" ht="20.100000000000001" customHeight="1" x14ac:dyDescent="0.25">
      <c r="A233" s="3" t="s">
        <v>350</v>
      </c>
      <c r="B233" s="29">
        <f>COUNTIF(Report_Données!D:E,Classement[[#This Row],[Equipe]])+Classement[[#This Row],[Colonne3]]</f>
        <v>16</v>
      </c>
      <c r="C233" s="29">
        <f>SUMPRODUCT(Report[But Dom]*(Report[Domicile]=Classement[[#This Row],[Equipe]]))+SUMPRODUCT(Report[But Ext]*(Report[Extérieur]=Classement[[#This Row],[Equipe]]))+Classement[[#This Row],[Colonne1]]</f>
        <v>32</v>
      </c>
      <c r="D233" s="29">
        <f>SUMPRODUCT(Report[But Ext]*(Report[Domicile]=Classement[[#This Row],[Equipe]]))+SUMPRODUCT(Report[But Dom]*(Report[Extérieur]=Classement[[#This Row],[Equipe]]))+Classement[[#This Row],[Colonne2]]</f>
        <v>30</v>
      </c>
      <c r="E233" s="96">
        <v>15</v>
      </c>
      <c r="F233" s="96">
        <v>28</v>
      </c>
      <c r="G233" s="96">
        <v>30</v>
      </c>
      <c r="H233" s="96">
        <f>IF(Classement[[#This Row],[Equipe]]=Report_Données!$D:$D,SUM(Report_Données!$P:$P),3)</f>
        <v>3</v>
      </c>
      <c r="J233" s="37"/>
    </row>
    <row r="234" spans="1:13" ht="20.100000000000001" customHeight="1" x14ac:dyDescent="0.25">
      <c r="A234" s="3" t="s">
        <v>351</v>
      </c>
      <c r="B234" s="29">
        <f>COUNTIF(Report_Données!D:E,Classement[[#This Row],[Equipe]])+Classement[[#This Row],[Colonne3]]</f>
        <v>16</v>
      </c>
      <c r="C234" s="29">
        <f>SUMPRODUCT(Report[But Dom]*(Report[Domicile]=Classement[[#This Row],[Equipe]]))+SUMPRODUCT(Report[But Ext]*(Report[Extérieur]=Classement[[#This Row],[Equipe]]))+Classement[[#This Row],[Colonne1]]</f>
        <v>20</v>
      </c>
      <c r="D234" s="29">
        <f>SUMPRODUCT(Report[But Ext]*(Report[Domicile]=Classement[[#This Row],[Equipe]]))+SUMPRODUCT(Report[But Dom]*(Report[Extérieur]=Classement[[#This Row],[Equipe]]))+Classement[[#This Row],[Colonne2]]</f>
        <v>25</v>
      </c>
      <c r="E234" s="96">
        <v>15</v>
      </c>
      <c r="F234" s="96">
        <v>20</v>
      </c>
      <c r="G234" s="96">
        <v>23</v>
      </c>
      <c r="H234" s="96">
        <f>IF(Classement[[#This Row],[Equipe]]=Report_Données!$D:$D,SUM(Report_Données!$P:$P),3)</f>
        <v>3</v>
      </c>
      <c r="J234" s="36"/>
    </row>
    <row r="235" spans="1:13" ht="20.100000000000001" customHeight="1" x14ac:dyDescent="0.25">
      <c r="A235" s="3" t="s">
        <v>352</v>
      </c>
      <c r="B235" s="29">
        <f>COUNTIF(Report_Données!D:E,Classement[[#This Row],[Equipe]])+Classement[[#This Row],[Colonne3]]</f>
        <v>16</v>
      </c>
      <c r="C235" s="29">
        <f>SUMPRODUCT(Report[But Dom]*(Report[Domicile]=Classement[[#This Row],[Equipe]]))+SUMPRODUCT(Report[But Ext]*(Report[Extérieur]=Classement[[#This Row],[Equipe]]))+Classement[[#This Row],[Colonne1]]</f>
        <v>21</v>
      </c>
      <c r="D235" s="29">
        <f>SUMPRODUCT(Report[But Ext]*(Report[Domicile]=Classement[[#This Row],[Equipe]]))+SUMPRODUCT(Report[But Dom]*(Report[Extérieur]=Classement[[#This Row],[Equipe]]))+Classement[[#This Row],[Colonne2]]</f>
        <v>15</v>
      </c>
      <c r="E235" s="96">
        <v>15</v>
      </c>
      <c r="F235" s="96">
        <v>21</v>
      </c>
      <c r="G235" s="96">
        <v>12</v>
      </c>
      <c r="H235" s="96">
        <f>IF(Classement[[#This Row],[Equipe]]=Report_Données!$D:$D,SUM(Report_Données!$P:$P),3)</f>
        <v>3</v>
      </c>
      <c r="J235" s="37"/>
    </row>
    <row r="236" spans="1:13" ht="20.100000000000001" customHeight="1" x14ac:dyDescent="0.25">
      <c r="A236" s="3" t="s">
        <v>353</v>
      </c>
      <c r="B236" s="29">
        <f>COUNTIF(Report_Données!D:E,Classement[[#This Row],[Equipe]])+Classement[[#This Row],[Colonne3]]</f>
        <v>16</v>
      </c>
      <c r="C236" s="29">
        <f>SUMPRODUCT(Report[But Dom]*(Report[Domicile]=Classement[[#This Row],[Equipe]]))+SUMPRODUCT(Report[But Ext]*(Report[Extérieur]=Classement[[#This Row],[Equipe]]))+Classement[[#This Row],[Colonne1]]</f>
        <v>23</v>
      </c>
      <c r="D236" s="29">
        <f>SUMPRODUCT(Report[But Ext]*(Report[Domicile]=Classement[[#This Row],[Equipe]]))+SUMPRODUCT(Report[But Dom]*(Report[Extérieur]=Classement[[#This Row],[Equipe]]))+Classement[[#This Row],[Colonne2]]</f>
        <v>14</v>
      </c>
      <c r="E236" s="96">
        <v>15</v>
      </c>
      <c r="F236" s="96">
        <v>22</v>
      </c>
      <c r="G236" s="96">
        <v>13</v>
      </c>
      <c r="H236" s="96">
        <f>IF(Classement[[#This Row],[Equipe]]=Report_Données!$D:$D,SUM(Report_Données!$P:$P),3)</f>
        <v>3</v>
      </c>
      <c r="J236" s="37"/>
    </row>
    <row r="237" spans="1:13" ht="20.100000000000001" customHeight="1" x14ac:dyDescent="0.25">
      <c r="A237" s="3" t="s">
        <v>354</v>
      </c>
      <c r="B237" s="29">
        <f>COUNTIF(Report_Données!D:E,Classement[[#This Row],[Equipe]])+Classement[[#This Row],[Colonne3]]</f>
        <v>16</v>
      </c>
      <c r="C237" s="29">
        <f>SUMPRODUCT(Report[But Dom]*(Report[Domicile]=Classement[[#This Row],[Equipe]]))+SUMPRODUCT(Report[But Ext]*(Report[Extérieur]=Classement[[#This Row],[Equipe]]))+Classement[[#This Row],[Colonne1]]</f>
        <v>21</v>
      </c>
      <c r="D237" s="29">
        <f>SUMPRODUCT(Report[But Ext]*(Report[Domicile]=Classement[[#This Row],[Equipe]]))+SUMPRODUCT(Report[But Dom]*(Report[Extérieur]=Classement[[#This Row],[Equipe]]))+Classement[[#This Row],[Colonne2]]</f>
        <v>39</v>
      </c>
      <c r="E237" s="96">
        <v>15</v>
      </c>
      <c r="F237" s="96">
        <v>19</v>
      </c>
      <c r="G237" s="96">
        <v>37</v>
      </c>
      <c r="H237" s="96">
        <f>IF(Classement[[#This Row],[Equipe]]=Report_Données!$D:$D,SUM(Report_Données!$P:$P),3)</f>
        <v>3</v>
      </c>
      <c r="J237" s="37"/>
    </row>
    <row r="238" spans="1:13" ht="20.100000000000001" customHeight="1" x14ac:dyDescent="0.25">
      <c r="A238" s="3" t="s">
        <v>355</v>
      </c>
      <c r="B238" s="29">
        <f>COUNTIF(Report_Données!D:E,Classement[[#This Row],[Equipe]])+Classement[[#This Row],[Colonne3]]</f>
        <v>16</v>
      </c>
      <c r="C238" s="29">
        <f>SUMPRODUCT(Report[But Dom]*(Report[Domicile]=Classement[[#This Row],[Equipe]]))+SUMPRODUCT(Report[But Ext]*(Report[Extérieur]=Classement[[#This Row],[Equipe]]))+Classement[[#This Row],[Colonne1]]</f>
        <v>16</v>
      </c>
      <c r="D238" s="29">
        <f>SUMPRODUCT(Report[But Ext]*(Report[Domicile]=Classement[[#This Row],[Equipe]]))+SUMPRODUCT(Report[But Dom]*(Report[Extérieur]=Classement[[#This Row],[Equipe]]))+Classement[[#This Row],[Colonne2]]</f>
        <v>30</v>
      </c>
      <c r="E238" s="96">
        <v>15</v>
      </c>
      <c r="F238" s="96">
        <v>16</v>
      </c>
      <c r="G238" s="96">
        <v>26</v>
      </c>
      <c r="H238" s="96">
        <f>IF(Classement[[#This Row],[Equipe]]=Report_Données!$D:$D,SUM(Report_Données!$P:$P),3)</f>
        <v>3</v>
      </c>
      <c r="J238" s="37"/>
    </row>
    <row r="239" spans="1:13" ht="20.100000000000001" customHeight="1" x14ac:dyDescent="0.25">
      <c r="A239" s="3" t="s">
        <v>356</v>
      </c>
      <c r="B239" s="29">
        <f>COUNTIF(Report_Données!D:E,Classement[[#This Row],[Equipe]])+Classement[[#This Row],[Colonne3]]</f>
        <v>16</v>
      </c>
      <c r="C239" s="29">
        <f>SUMPRODUCT(Report[But Dom]*(Report[Domicile]=Classement[[#This Row],[Equipe]]))+SUMPRODUCT(Report[But Ext]*(Report[Extérieur]=Classement[[#This Row],[Equipe]]))+Classement[[#This Row],[Colonne1]]</f>
        <v>40</v>
      </c>
      <c r="D239" s="29">
        <f>SUMPRODUCT(Report[But Ext]*(Report[Domicile]=Classement[[#This Row],[Equipe]]))+SUMPRODUCT(Report[But Dom]*(Report[Extérieur]=Classement[[#This Row],[Equipe]]))+Classement[[#This Row],[Colonne2]]</f>
        <v>12</v>
      </c>
      <c r="E239" s="96">
        <v>15</v>
      </c>
      <c r="F239" s="96">
        <v>37</v>
      </c>
      <c r="G239" s="96">
        <v>11</v>
      </c>
      <c r="H239" s="96">
        <f>IF(Classement[[#This Row],[Equipe]]=Report_Données!$D:$D,SUM(Report_Données!$P:$P),3)</f>
        <v>3</v>
      </c>
      <c r="J239" s="37"/>
    </row>
    <row r="240" spans="1:13" ht="20.100000000000001" customHeight="1" x14ac:dyDescent="0.25">
      <c r="A240" s="3" t="s">
        <v>357</v>
      </c>
      <c r="B240" s="29">
        <f>COUNTIF(Report_Données!D:E,Classement[[#This Row],[Equipe]])+Classement[[#This Row],[Colonne3]]</f>
        <v>16</v>
      </c>
      <c r="C240" s="29">
        <f>SUMPRODUCT(Report[But Dom]*(Report[Domicile]=Classement[[#This Row],[Equipe]]))+SUMPRODUCT(Report[But Ext]*(Report[Extérieur]=Classement[[#This Row],[Equipe]]))+Classement[[#This Row],[Colonne1]]</f>
        <v>18</v>
      </c>
      <c r="D240" s="29">
        <f>SUMPRODUCT(Report[But Ext]*(Report[Domicile]=Classement[[#This Row],[Equipe]]))+SUMPRODUCT(Report[But Dom]*(Report[Extérieur]=Classement[[#This Row],[Equipe]]))+Classement[[#This Row],[Colonne2]]</f>
        <v>29</v>
      </c>
      <c r="E240" s="96">
        <v>15</v>
      </c>
      <c r="F240" s="96">
        <v>15</v>
      </c>
      <c r="G240" s="96">
        <v>29</v>
      </c>
      <c r="H240" s="96">
        <f>IF(Classement[[#This Row],[Equipe]]=Report_Données!$D:$D,SUM(Report_Données!$P:$P),3)</f>
        <v>3</v>
      </c>
      <c r="J240" s="36"/>
    </row>
    <row r="241" spans="1:13" ht="20.100000000000001" customHeight="1" x14ac:dyDescent="0.25">
      <c r="A241" s="3" t="s">
        <v>358</v>
      </c>
      <c r="B241" s="29">
        <f>COUNTIF(Report_Données!D:E,Classement[[#This Row],[Equipe]])+Classement[[#This Row],[Colonne3]]</f>
        <v>16</v>
      </c>
      <c r="C241" s="29">
        <f>SUMPRODUCT(Report[But Dom]*(Report[Domicile]=Classement[[#This Row],[Equipe]]))+SUMPRODUCT(Report[But Ext]*(Report[Extérieur]=Classement[[#This Row],[Equipe]]))+Classement[[#This Row],[Colonne1]]</f>
        <v>28</v>
      </c>
      <c r="D241" s="29">
        <f>SUMPRODUCT(Report[But Ext]*(Report[Domicile]=Classement[[#This Row],[Equipe]]))+SUMPRODUCT(Report[But Dom]*(Report[Extérieur]=Classement[[#This Row],[Equipe]]))+Classement[[#This Row],[Colonne2]]</f>
        <v>12</v>
      </c>
      <c r="E241" s="96">
        <v>15</v>
      </c>
      <c r="F241" s="96">
        <v>28</v>
      </c>
      <c r="G241" s="96">
        <v>12</v>
      </c>
      <c r="H241" s="96">
        <f>IF(Classement[[#This Row],[Equipe]]=Report_Données!$D:$D,SUM(Report_Données!$P:$P),3)</f>
        <v>3</v>
      </c>
      <c r="J241" s="37"/>
    </row>
    <row r="242" spans="1:13" ht="20.100000000000001" customHeight="1" x14ac:dyDescent="0.25">
      <c r="A242" s="3" t="s">
        <v>359</v>
      </c>
      <c r="B242" s="29">
        <f>COUNTIF(Report_Données!D:E,Classement[[#This Row],[Equipe]])+Classement[[#This Row],[Colonne3]]</f>
        <v>16</v>
      </c>
      <c r="C242" s="29">
        <f>SUMPRODUCT(Report[But Dom]*(Report[Domicile]=Classement[[#This Row],[Equipe]]))+SUMPRODUCT(Report[But Ext]*(Report[Extérieur]=Classement[[#This Row],[Equipe]]))+Classement[[#This Row],[Colonne1]]</f>
        <v>17</v>
      </c>
      <c r="D242" s="29">
        <f>SUMPRODUCT(Report[But Ext]*(Report[Domicile]=Classement[[#This Row],[Equipe]]))+SUMPRODUCT(Report[But Dom]*(Report[Extérieur]=Classement[[#This Row],[Equipe]]))+Classement[[#This Row],[Colonne2]]</f>
        <v>24</v>
      </c>
      <c r="E242" s="96">
        <v>15</v>
      </c>
      <c r="F242" s="96">
        <v>17</v>
      </c>
      <c r="G242" s="96">
        <v>23</v>
      </c>
      <c r="H242" s="96">
        <f>IF(Classement[[#This Row],[Equipe]]=Report_Données!$D:$D,SUM(Report_Données!$P:$P),3)</f>
        <v>3</v>
      </c>
      <c r="J242" s="36"/>
    </row>
    <row r="243" spans="1:13" ht="20.100000000000001" customHeight="1" x14ac:dyDescent="0.25">
      <c r="A243" s="3" t="s">
        <v>360</v>
      </c>
      <c r="B243" s="29">
        <f>COUNTIF(Report_Données!D:E,Classement[[#This Row],[Equipe]])+Classement[[#This Row],[Colonne3]]</f>
        <v>16</v>
      </c>
      <c r="C243" s="29">
        <f>SUMPRODUCT(Report[But Dom]*(Report[Domicile]=Classement[[#This Row],[Equipe]]))+SUMPRODUCT(Report[But Ext]*(Report[Extérieur]=Classement[[#This Row],[Equipe]]))+Classement[[#This Row],[Colonne1]]</f>
        <v>24</v>
      </c>
      <c r="D243" s="29">
        <f>SUMPRODUCT(Report[But Ext]*(Report[Domicile]=Classement[[#This Row],[Equipe]]))+SUMPRODUCT(Report[But Dom]*(Report[Extérieur]=Classement[[#This Row],[Equipe]]))+Classement[[#This Row],[Colonne2]]</f>
        <v>14</v>
      </c>
      <c r="E243" s="96">
        <v>15</v>
      </c>
      <c r="F243" s="96">
        <v>22</v>
      </c>
      <c r="G243" s="96">
        <v>14</v>
      </c>
      <c r="H243" s="96">
        <f>IF(Classement[[#This Row],[Equipe]]=Report_Données!$D:$D,SUM(Report_Données!$P:$P),3)</f>
        <v>3</v>
      </c>
      <c r="J243" s="37"/>
    </row>
    <row r="244" spans="1:13" ht="20.100000000000001" customHeight="1" x14ac:dyDescent="0.25">
      <c r="A244" s="28"/>
      <c r="B244" s="30"/>
      <c r="C244" s="30"/>
      <c r="D244" s="30"/>
      <c r="E244" s="96"/>
      <c r="F244" s="96"/>
      <c r="G244" s="96"/>
      <c r="H244" s="96">
        <f>IF(Classement[[#This Row],[Equipe]]=Report_Données!$D:$D,SUM(Report_Données!$P:$P),3)</f>
        <v>3</v>
      </c>
      <c r="J244" s="37"/>
    </row>
    <row r="245" spans="1:13" ht="20.100000000000001" customHeight="1" x14ac:dyDescent="0.25">
      <c r="A245" s="3" t="s">
        <v>361</v>
      </c>
      <c r="B245" s="29">
        <f>COUNTIF(Report_Données!D:E,Classement[[#This Row],[Equipe]])+Classement[[#This Row],[Colonne3]]</f>
        <v>10</v>
      </c>
      <c r="C245" s="29">
        <f>SUMPRODUCT(Report[But Dom]*(Report[Domicile]=Classement[[#This Row],[Equipe]]))+SUMPRODUCT(Report[But Ext]*(Report[Extérieur]=Classement[[#This Row],[Equipe]]))+Classement[[#This Row],[Colonne1]]</f>
        <v>9</v>
      </c>
      <c r="D245" s="29">
        <f>SUMPRODUCT(Report[But Ext]*(Report[Domicile]=Classement[[#This Row],[Equipe]]))+SUMPRODUCT(Report[But Dom]*(Report[Extérieur]=Classement[[#This Row],[Equipe]]))+Classement[[#This Row],[Colonne2]]</f>
        <v>13</v>
      </c>
      <c r="E245" s="96">
        <v>9</v>
      </c>
      <c r="F245" s="96">
        <v>8</v>
      </c>
      <c r="G245" s="96">
        <v>13</v>
      </c>
      <c r="H245" s="96">
        <f>IF(Classement[[#This Row],[Equipe]]=Report_Données!$D:$D,SUM(Report_Données!$P:$P),3)</f>
        <v>3</v>
      </c>
      <c r="K245" s="37"/>
      <c r="M245" s="3" t="s">
        <v>195</v>
      </c>
    </row>
    <row r="246" spans="1:13" ht="20.100000000000001" customHeight="1" x14ac:dyDescent="0.25">
      <c r="A246" s="3" t="s">
        <v>362</v>
      </c>
      <c r="B246" s="29">
        <f>COUNTIF(Report_Données!D:E,Classement[[#This Row],[Equipe]])+Classement[[#This Row],[Colonne3]]</f>
        <v>10</v>
      </c>
      <c r="C246" s="29">
        <f>SUMPRODUCT(Report[But Dom]*(Report[Domicile]=Classement[[#This Row],[Equipe]]))+SUMPRODUCT(Report[But Ext]*(Report[Extérieur]=Classement[[#This Row],[Equipe]]))+Classement[[#This Row],[Colonne1]]</f>
        <v>13</v>
      </c>
      <c r="D246" s="29">
        <f>SUMPRODUCT(Report[But Ext]*(Report[Domicile]=Classement[[#This Row],[Equipe]]))+SUMPRODUCT(Report[But Dom]*(Report[Extérieur]=Classement[[#This Row],[Equipe]]))+Classement[[#This Row],[Colonne2]]</f>
        <v>13</v>
      </c>
      <c r="E246" s="96">
        <v>9</v>
      </c>
      <c r="F246" s="96">
        <v>12</v>
      </c>
      <c r="G246" s="96">
        <v>11</v>
      </c>
      <c r="H246" s="96">
        <f>IF(Classement[[#This Row],[Equipe]]=Report_Données!$D:$D,SUM(Report_Données!$P:$P),3)</f>
        <v>3</v>
      </c>
      <c r="K246" s="37"/>
      <c r="M246" s="3" t="s">
        <v>195</v>
      </c>
    </row>
    <row r="247" spans="1:13" ht="20.100000000000001" customHeight="1" x14ac:dyDescent="0.25">
      <c r="A247" s="3" t="s">
        <v>363</v>
      </c>
      <c r="B247" s="29">
        <f>COUNTIF(Report_Données!D:E,Classement[[#This Row],[Equipe]])+Classement[[#This Row],[Colonne3]]</f>
        <v>9</v>
      </c>
      <c r="C247" s="29">
        <f>SUMPRODUCT(Report[But Dom]*(Report[Domicile]=Classement[[#This Row],[Equipe]]))+SUMPRODUCT(Report[But Ext]*(Report[Extérieur]=Classement[[#This Row],[Equipe]]))+Classement[[#This Row],[Colonne1]]</f>
        <v>10</v>
      </c>
      <c r="D247" s="29">
        <f>SUMPRODUCT(Report[But Ext]*(Report[Domicile]=Classement[[#This Row],[Equipe]]))+SUMPRODUCT(Report[But Dom]*(Report[Extérieur]=Classement[[#This Row],[Equipe]]))+Classement[[#This Row],[Colonne2]]</f>
        <v>13</v>
      </c>
      <c r="E247" s="96">
        <v>9</v>
      </c>
      <c r="F247" s="96">
        <v>10</v>
      </c>
      <c r="G247" s="96">
        <v>13</v>
      </c>
      <c r="H247" s="96">
        <f>IF(Classement[[#This Row],[Equipe]]=Report_Données!$D:$D,SUM(Report_Données!$P:$P),3)</f>
        <v>3</v>
      </c>
      <c r="K247" s="37"/>
      <c r="M247" s="3" t="s">
        <v>195</v>
      </c>
    </row>
    <row r="248" spans="1:13" ht="20.100000000000001" customHeight="1" x14ac:dyDescent="0.25">
      <c r="A248" s="3" t="s">
        <v>364</v>
      </c>
      <c r="B248" s="29">
        <f>COUNTIF(Report_Données!D:E,Classement[[#This Row],[Equipe]])+Classement[[#This Row],[Colonne3]]</f>
        <v>9</v>
      </c>
      <c r="C248" s="29">
        <f>SUMPRODUCT(Report[But Dom]*(Report[Domicile]=Classement[[#This Row],[Equipe]]))+SUMPRODUCT(Report[But Ext]*(Report[Extérieur]=Classement[[#This Row],[Equipe]]))+Classement[[#This Row],[Colonne1]]</f>
        <v>10</v>
      </c>
      <c r="D248" s="29">
        <f>SUMPRODUCT(Report[But Ext]*(Report[Domicile]=Classement[[#This Row],[Equipe]]))+SUMPRODUCT(Report[But Dom]*(Report[Extérieur]=Classement[[#This Row],[Equipe]]))+Classement[[#This Row],[Colonne2]]</f>
        <v>7</v>
      </c>
      <c r="E248" s="96">
        <v>9</v>
      </c>
      <c r="F248" s="96">
        <v>10</v>
      </c>
      <c r="G248" s="96">
        <v>7</v>
      </c>
      <c r="H248" s="96">
        <f>IF(Classement[[#This Row],[Equipe]]=Report_Données!$D:$D,SUM(Report_Données!$P:$P),3)</f>
        <v>3</v>
      </c>
      <c r="K248" s="37"/>
      <c r="M248" s="3" t="s">
        <v>195</v>
      </c>
    </row>
    <row r="249" spans="1:13" ht="20.100000000000001" customHeight="1" x14ac:dyDescent="0.25">
      <c r="A249" s="3" t="s">
        <v>365</v>
      </c>
      <c r="B249" s="29">
        <f>COUNTIF(Report_Données!D:E,Classement[[#This Row],[Equipe]])+Classement[[#This Row],[Colonne3]]</f>
        <v>9</v>
      </c>
      <c r="C249" s="29">
        <f>SUMPRODUCT(Report[But Dom]*(Report[Domicile]=Classement[[#This Row],[Equipe]]))+SUMPRODUCT(Report[But Ext]*(Report[Extérieur]=Classement[[#This Row],[Equipe]]))+Classement[[#This Row],[Colonne1]]</f>
        <v>6</v>
      </c>
      <c r="D249" s="29">
        <f>SUMPRODUCT(Report[But Ext]*(Report[Domicile]=Classement[[#This Row],[Equipe]]))+SUMPRODUCT(Report[But Dom]*(Report[Extérieur]=Classement[[#This Row],[Equipe]]))+Classement[[#This Row],[Colonne2]]</f>
        <v>9</v>
      </c>
      <c r="E249" s="96">
        <v>9</v>
      </c>
      <c r="F249" s="96">
        <v>6</v>
      </c>
      <c r="G249" s="96">
        <v>9</v>
      </c>
      <c r="H249" s="96">
        <f>IF(Classement[[#This Row],[Equipe]]=Report_Données!$D:$D,SUM(Report_Données!$P:$P),3)</f>
        <v>3</v>
      </c>
      <c r="K249" s="37"/>
      <c r="M249" s="3" t="s">
        <v>195</v>
      </c>
    </row>
    <row r="250" spans="1:13" ht="20.100000000000001" customHeight="1" x14ac:dyDescent="0.25">
      <c r="A250" s="3" t="s">
        <v>366</v>
      </c>
      <c r="B250" s="29">
        <f>COUNTIF(Report_Données!D:E,Classement[[#This Row],[Equipe]])+Classement[[#This Row],[Colonne3]]</f>
        <v>9</v>
      </c>
      <c r="C250" s="29">
        <f>SUMPRODUCT(Report[But Dom]*(Report[Domicile]=Classement[[#This Row],[Equipe]]))+SUMPRODUCT(Report[But Ext]*(Report[Extérieur]=Classement[[#This Row],[Equipe]]))+Classement[[#This Row],[Colonne1]]</f>
        <v>6</v>
      </c>
      <c r="D250" s="29">
        <f>SUMPRODUCT(Report[But Ext]*(Report[Domicile]=Classement[[#This Row],[Equipe]]))+SUMPRODUCT(Report[But Dom]*(Report[Extérieur]=Classement[[#This Row],[Equipe]]))+Classement[[#This Row],[Colonne2]]</f>
        <v>12</v>
      </c>
      <c r="E250" s="96">
        <v>9</v>
      </c>
      <c r="F250" s="96">
        <v>6</v>
      </c>
      <c r="G250" s="96">
        <v>12</v>
      </c>
      <c r="H250" s="96">
        <f>IF(Classement[[#This Row],[Equipe]]=Report_Données!$D:$D,SUM(Report_Données!$P:$P),3)</f>
        <v>3</v>
      </c>
      <c r="K250" s="37"/>
      <c r="M250" s="3" t="s">
        <v>195</v>
      </c>
    </row>
    <row r="251" spans="1:13" ht="20.100000000000001" customHeight="1" x14ac:dyDescent="0.25">
      <c r="A251" s="3" t="s">
        <v>367</v>
      </c>
      <c r="B251" s="29">
        <f>COUNTIF(Report_Données!D:E,Classement[[#This Row],[Equipe]])+Classement[[#This Row],[Colonne3]]</f>
        <v>10</v>
      </c>
      <c r="C251" s="29">
        <f>SUMPRODUCT(Report[But Dom]*(Report[Domicile]=Classement[[#This Row],[Equipe]]))+SUMPRODUCT(Report[But Ext]*(Report[Extérieur]=Classement[[#This Row],[Equipe]]))+Classement[[#This Row],[Colonne1]]</f>
        <v>10</v>
      </c>
      <c r="D251" s="29">
        <f>SUMPRODUCT(Report[But Ext]*(Report[Domicile]=Classement[[#This Row],[Equipe]]))+SUMPRODUCT(Report[But Dom]*(Report[Extérieur]=Classement[[#This Row],[Equipe]]))+Classement[[#This Row],[Colonne2]]</f>
        <v>16</v>
      </c>
      <c r="E251" s="96">
        <v>9</v>
      </c>
      <c r="F251" s="96">
        <v>10</v>
      </c>
      <c r="G251" s="96">
        <v>15</v>
      </c>
      <c r="H251" s="96">
        <f>IF(Classement[[#This Row],[Equipe]]=Report_Données!$D:$D,SUM(Report_Données!$P:$P),3)</f>
        <v>3</v>
      </c>
      <c r="K251" s="37"/>
      <c r="M251" s="3" t="s">
        <v>195</v>
      </c>
    </row>
    <row r="252" spans="1:13" ht="20.100000000000001" customHeight="1" x14ac:dyDescent="0.25">
      <c r="A252" s="3" t="s">
        <v>368</v>
      </c>
      <c r="B252" s="29">
        <f>COUNTIF(Report_Données!D:E,Classement[[#This Row],[Equipe]])+Classement[[#This Row],[Colonne3]]</f>
        <v>10</v>
      </c>
      <c r="C252" s="29">
        <f>SUMPRODUCT(Report[But Dom]*(Report[Domicile]=Classement[[#This Row],[Equipe]]))+SUMPRODUCT(Report[But Ext]*(Report[Extérieur]=Classement[[#This Row],[Equipe]]))+Classement[[#This Row],[Colonne1]]</f>
        <v>24</v>
      </c>
      <c r="D252" s="29">
        <f>SUMPRODUCT(Report[But Ext]*(Report[Domicile]=Classement[[#This Row],[Equipe]]))+SUMPRODUCT(Report[But Dom]*(Report[Extérieur]=Classement[[#This Row],[Equipe]]))+Classement[[#This Row],[Colonne2]]</f>
        <v>12</v>
      </c>
      <c r="E252" s="96">
        <v>9</v>
      </c>
      <c r="F252" s="96">
        <v>22</v>
      </c>
      <c r="G252" s="96">
        <v>11</v>
      </c>
      <c r="H252" s="96">
        <f>IF(Classement[[#This Row],[Equipe]]=Report_Données!$D:$D,SUM(Report_Données!$P:$P),3)</f>
        <v>3</v>
      </c>
      <c r="K252" s="37"/>
      <c r="M252" s="3" t="s">
        <v>195</v>
      </c>
    </row>
    <row r="253" spans="1:13" ht="20.100000000000001" customHeight="1" x14ac:dyDescent="0.25">
      <c r="A253" s="3" t="s">
        <v>369</v>
      </c>
      <c r="B253" s="29">
        <f>COUNTIF(Report_Données!D:E,Classement[[#This Row],[Equipe]])+Classement[[#This Row],[Colonne3]]</f>
        <v>10</v>
      </c>
      <c r="C253" s="29">
        <f>SUMPRODUCT(Report[But Dom]*(Report[Domicile]=Classement[[#This Row],[Equipe]]))+SUMPRODUCT(Report[But Ext]*(Report[Extérieur]=Classement[[#This Row],[Equipe]]))+Classement[[#This Row],[Colonne1]]</f>
        <v>19</v>
      </c>
      <c r="D253" s="29">
        <f>SUMPRODUCT(Report[But Ext]*(Report[Domicile]=Classement[[#This Row],[Equipe]]))+SUMPRODUCT(Report[But Dom]*(Report[Extérieur]=Classement[[#This Row],[Equipe]]))+Classement[[#This Row],[Colonne2]]</f>
        <v>12</v>
      </c>
      <c r="E253" s="96">
        <v>9</v>
      </c>
      <c r="F253" s="96">
        <v>17</v>
      </c>
      <c r="G253" s="96">
        <v>11</v>
      </c>
      <c r="H253" s="96">
        <f>IF(Classement[[#This Row],[Equipe]]=Report_Données!$D:$D,SUM(Report_Données!$P:$P),3)</f>
        <v>3</v>
      </c>
      <c r="K253" s="37"/>
      <c r="M253" s="3" t="s">
        <v>195</v>
      </c>
    </row>
    <row r="254" spans="1:13" ht="20.100000000000001" customHeight="1" x14ac:dyDescent="0.25">
      <c r="A254" s="3" t="s">
        <v>370</v>
      </c>
      <c r="B254" s="29">
        <f>COUNTIF(Report_Données!D:E,Classement[[#This Row],[Equipe]])+Classement[[#This Row],[Colonne3]]</f>
        <v>10</v>
      </c>
      <c r="C254" s="29">
        <f>SUMPRODUCT(Report[But Dom]*(Report[Domicile]=Classement[[#This Row],[Equipe]]))+SUMPRODUCT(Report[But Ext]*(Report[Extérieur]=Classement[[#This Row],[Equipe]]))+Classement[[#This Row],[Colonne1]]</f>
        <v>10</v>
      </c>
      <c r="D254" s="29">
        <f>SUMPRODUCT(Report[But Ext]*(Report[Domicile]=Classement[[#This Row],[Equipe]]))+SUMPRODUCT(Report[But Dom]*(Report[Extérieur]=Classement[[#This Row],[Equipe]]))+Classement[[#This Row],[Colonne2]]</f>
        <v>9</v>
      </c>
      <c r="E254" s="96">
        <v>9</v>
      </c>
      <c r="F254" s="96">
        <v>9</v>
      </c>
      <c r="G254" s="96">
        <v>9</v>
      </c>
      <c r="H254" s="96">
        <f>IF(Classement[[#This Row],[Equipe]]=Report_Données!$D:$D,SUM(Report_Données!$P:$P),3)</f>
        <v>3</v>
      </c>
      <c r="K254" s="37"/>
      <c r="M254" s="3" t="s">
        <v>195</v>
      </c>
    </row>
    <row r="255" spans="1:13" ht="20.100000000000001" customHeight="1" x14ac:dyDescent="0.25">
      <c r="A255" s="3" t="s">
        <v>371</v>
      </c>
      <c r="B255" s="29">
        <f>COUNTIF(Report_Données!D:E,Classement[[#This Row],[Equipe]])+Classement[[#This Row],[Colonne3]]</f>
        <v>10</v>
      </c>
      <c r="C255" s="29">
        <f>SUMPRODUCT(Report[But Dom]*(Report[Domicile]=Classement[[#This Row],[Equipe]]))+SUMPRODUCT(Report[But Ext]*(Report[Extérieur]=Classement[[#This Row],[Equipe]]))+Classement[[#This Row],[Colonne1]]</f>
        <v>9</v>
      </c>
      <c r="D255" s="29">
        <f>SUMPRODUCT(Report[But Ext]*(Report[Domicile]=Classement[[#This Row],[Equipe]]))+SUMPRODUCT(Report[But Dom]*(Report[Extérieur]=Classement[[#This Row],[Equipe]]))+Classement[[#This Row],[Colonne2]]</f>
        <v>19</v>
      </c>
      <c r="E255" s="96">
        <v>10</v>
      </c>
      <c r="F255" s="96">
        <v>9</v>
      </c>
      <c r="G255" s="96">
        <v>19</v>
      </c>
      <c r="H255" s="96">
        <f>IF(Classement[[#This Row],[Equipe]]=Report_Données!$D:$D,SUM(Report_Données!$P:$P),3)</f>
        <v>3</v>
      </c>
      <c r="K255" s="37"/>
      <c r="M255" s="3" t="s">
        <v>195</v>
      </c>
    </row>
    <row r="256" spans="1:13" ht="20.100000000000001" customHeight="1" x14ac:dyDescent="0.25">
      <c r="A256" s="3" t="s">
        <v>372</v>
      </c>
      <c r="B256" s="29">
        <f>COUNTIF(Report_Données!D:E,Classement[[#This Row],[Equipe]])+Classement[[#This Row],[Colonne3]]</f>
        <v>9</v>
      </c>
      <c r="C256" s="29">
        <f>SUMPRODUCT(Report[But Dom]*(Report[Domicile]=Classement[[#This Row],[Equipe]]))+SUMPRODUCT(Report[But Ext]*(Report[Extérieur]=Classement[[#This Row],[Equipe]]))+Classement[[#This Row],[Colonne1]]</f>
        <v>7</v>
      </c>
      <c r="D256" s="29">
        <f>SUMPRODUCT(Report[But Ext]*(Report[Domicile]=Classement[[#This Row],[Equipe]]))+SUMPRODUCT(Report[But Dom]*(Report[Extérieur]=Classement[[#This Row],[Equipe]]))+Classement[[#This Row],[Colonne2]]</f>
        <v>11</v>
      </c>
      <c r="E256" s="96">
        <v>9</v>
      </c>
      <c r="F256" s="96">
        <v>7</v>
      </c>
      <c r="G256" s="96">
        <v>11</v>
      </c>
      <c r="H256" s="96">
        <f>IF(Classement[[#This Row],[Equipe]]=Report_Données!$D:$D,SUM(Report_Données!$P:$P),3)</f>
        <v>3</v>
      </c>
      <c r="K256" s="37"/>
      <c r="M256" s="3" t="s">
        <v>195</v>
      </c>
    </row>
    <row r="257" spans="1:13" ht="20.100000000000001" customHeight="1" x14ac:dyDescent="0.25">
      <c r="A257" s="3" t="s">
        <v>373</v>
      </c>
      <c r="B257" s="29">
        <f>COUNTIF(Report_Données!D:E,Classement[[#This Row],[Equipe]])+Classement[[#This Row],[Colonne3]]</f>
        <v>9</v>
      </c>
      <c r="C257" s="29">
        <f>SUMPRODUCT(Report[But Dom]*(Report[Domicile]=Classement[[#This Row],[Equipe]]))+SUMPRODUCT(Report[But Ext]*(Report[Extérieur]=Classement[[#This Row],[Equipe]]))+Classement[[#This Row],[Colonne1]]</f>
        <v>8</v>
      </c>
      <c r="D257" s="29">
        <f>SUMPRODUCT(Report[But Ext]*(Report[Domicile]=Classement[[#This Row],[Equipe]]))+SUMPRODUCT(Report[But Dom]*(Report[Extérieur]=Classement[[#This Row],[Equipe]]))+Classement[[#This Row],[Colonne2]]</f>
        <v>8</v>
      </c>
      <c r="E257" s="96">
        <v>9</v>
      </c>
      <c r="F257" s="96">
        <v>8</v>
      </c>
      <c r="G257" s="96">
        <v>8</v>
      </c>
      <c r="H257" s="96">
        <f>IF(Classement[[#This Row],[Equipe]]=Report_Données!$D:$D,SUM(Report_Données!$P:$P),3)</f>
        <v>3</v>
      </c>
      <c r="K257" s="37"/>
      <c r="M257" s="3" t="s">
        <v>195</v>
      </c>
    </row>
    <row r="258" spans="1:13" ht="20.100000000000001" customHeight="1" x14ac:dyDescent="0.25">
      <c r="A258" s="3" t="s">
        <v>374</v>
      </c>
      <c r="B258" s="29">
        <f>COUNTIF(Report_Données!D:E,Classement[[#This Row],[Equipe]])+Classement[[#This Row],[Colonne3]]</f>
        <v>10</v>
      </c>
      <c r="C258" s="29">
        <f>SUMPRODUCT(Report[But Dom]*(Report[Domicile]=Classement[[#This Row],[Equipe]]))+SUMPRODUCT(Report[But Ext]*(Report[Extérieur]=Classement[[#This Row],[Equipe]]))+Classement[[#This Row],[Colonne1]]</f>
        <v>12</v>
      </c>
      <c r="D258" s="29">
        <f>SUMPRODUCT(Report[But Ext]*(Report[Domicile]=Classement[[#This Row],[Equipe]]))+SUMPRODUCT(Report[But Dom]*(Report[Extérieur]=Classement[[#This Row],[Equipe]]))+Classement[[#This Row],[Colonne2]]</f>
        <v>8</v>
      </c>
      <c r="E258" s="96">
        <v>9</v>
      </c>
      <c r="F258" s="96">
        <v>12</v>
      </c>
      <c r="G258" s="96">
        <v>7</v>
      </c>
      <c r="H258" s="96">
        <f>IF(Classement[[#This Row],[Equipe]]=Report_Données!$D:$D,SUM(Report_Données!$P:$P),3)</f>
        <v>3</v>
      </c>
      <c r="K258" s="37"/>
      <c r="M258" s="3" t="s">
        <v>195</v>
      </c>
    </row>
    <row r="259" spans="1:13" ht="20.100000000000001" customHeight="1" x14ac:dyDescent="0.25">
      <c r="A259" s="3" t="s">
        <v>375</v>
      </c>
      <c r="B259" s="29">
        <f>COUNTIF(Report_Données!D:E,Classement[[#This Row],[Equipe]])+Classement[[#This Row],[Colonne3]]</f>
        <v>10</v>
      </c>
      <c r="C259" s="29">
        <f>SUMPRODUCT(Report[But Dom]*(Report[Domicile]=Classement[[#This Row],[Equipe]]))+SUMPRODUCT(Report[But Ext]*(Report[Extérieur]=Classement[[#This Row],[Equipe]]))+Classement[[#This Row],[Colonne1]]</f>
        <v>12</v>
      </c>
      <c r="D259" s="29">
        <f>SUMPRODUCT(Report[But Ext]*(Report[Domicile]=Classement[[#This Row],[Equipe]]))+SUMPRODUCT(Report[But Dom]*(Report[Extérieur]=Classement[[#This Row],[Equipe]]))+Classement[[#This Row],[Colonne2]]</f>
        <v>11</v>
      </c>
      <c r="E259" s="96">
        <v>9</v>
      </c>
      <c r="F259" s="96">
        <v>11</v>
      </c>
      <c r="G259" s="96">
        <v>9</v>
      </c>
      <c r="H259" s="96">
        <f>IF(Classement[[#This Row],[Equipe]]=Report_Données!$D:$D,SUM(Report_Données!$P:$P),3)</f>
        <v>3</v>
      </c>
      <c r="K259" s="37"/>
      <c r="M259" s="3" t="s">
        <v>195</v>
      </c>
    </row>
    <row r="260" spans="1:13" ht="20.100000000000001" customHeight="1" x14ac:dyDescent="0.25">
      <c r="A260" s="3" t="s">
        <v>376</v>
      </c>
      <c r="B260" s="29">
        <f>COUNTIF(Report_Données!D:E,Classement[[#This Row],[Equipe]])+Classement[[#This Row],[Colonne3]]</f>
        <v>9</v>
      </c>
      <c r="C260" s="29">
        <f>SUMPRODUCT(Report[But Dom]*(Report[Domicile]=Classement[[#This Row],[Equipe]]))+SUMPRODUCT(Report[But Ext]*(Report[Extérieur]=Classement[[#This Row],[Equipe]]))+Classement[[#This Row],[Colonne1]]</f>
        <v>11</v>
      </c>
      <c r="D260" s="29">
        <f>SUMPRODUCT(Report[But Ext]*(Report[Domicile]=Classement[[#This Row],[Equipe]]))+SUMPRODUCT(Report[But Dom]*(Report[Extérieur]=Classement[[#This Row],[Equipe]]))+Classement[[#This Row],[Colonne2]]</f>
        <v>3</v>
      </c>
      <c r="E260" s="96">
        <v>9</v>
      </c>
      <c r="F260" s="96">
        <v>11</v>
      </c>
      <c r="G260" s="96">
        <v>3</v>
      </c>
      <c r="H260" s="96">
        <f>IF(Classement[[#This Row],[Equipe]]=Report_Données!$D:$D,SUM(Report_Données!$P:$P),3)</f>
        <v>3</v>
      </c>
      <c r="K260" s="37"/>
      <c r="M260" s="3" t="s">
        <v>195</v>
      </c>
    </row>
    <row r="261" spans="1:13" ht="20.100000000000001" customHeight="1" x14ac:dyDescent="0.25">
      <c r="A261" s="3" t="s">
        <v>377</v>
      </c>
      <c r="B261" s="29">
        <f>COUNTIF(Report_Données!D:E,Classement[[#This Row],[Equipe]])+Classement[[#This Row],[Colonne3]]</f>
        <v>9</v>
      </c>
      <c r="C261" s="29">
        <f>SUMPRODUCT(Report[But Dom]*(Report[Domicile]=Classement[[#This Row],[Equipe]]))+SUMPRODUCT(Report[But Ext]*(Report[Extérieur]=Classement[[#This Row],[Equipe]]))+Classement[[#This Row],[Colonne1]]</f>
        <v>9</v>
      </c>
      <c r="D261" s="29">
        <f>SUMPRODUCT(Report[But Ext]*(Report[Domicile]=Classement[[#This Row],[Equipe]]))+SUMPRODUCT(Report[But Dom]*(Report[Extérieur]=Classement[[#This Row],[Equipe]]))+Classement[[#This Row],[Colonne2]]</f>
        <v>6</v>
      </c>
      <c r="E261" s="96">
        <v>9</v>
      </c>
      <c r="F261" s="96">
        <v>9</v>
      </c>
      <c r="G261" s="96">
        <v>6</v>
      </c>
      <c r="H261" s="96">
        <f>IF(Classement[[#This Row],[Equipe]]=Report_Données!$D:$D,SUM(Report_Données!$P:$P),3)</f>
        <v>3</v>
      </c>
      <c r="K261" s="37"/>
      <c r="M261" s="3" t="s">
        <v>195</v>
      </c>
    </row>
    <row r="262" spans="1:13" ht="20.100000000000001" customHeight="1" x14ac:dyDescent="0.25">
      <c r="A262" s="3" t="s">
        <v>378</v>
      </c>
      <c r="B262" s="29">
        <f>COUNTIF(Report_Données!D:E,Classement[[#This Row],[Equipe]])+Classement[[#This Row],[Colonne3]]</f>
        <v>10</v>
      </c>
      <c r="C262" s="29">
        <f>SUMPRODUCT(Report[But Dom]*(Report[Domicile]=Classement[[#This Row],[Equipe]]))+SUMPRODUCT(Report[But Ext]*(Report[Extérieur]=Classement[[#This Row],[Equipe]]))+Classement[[#This Row],[Colonne1]]</f>
        <v>10</v>
      </c>
      <c r="D262" s="29">
        <f>SUMPRODUCT(Report[But Ext]*(Report[Domicile]=Classement[[#This Row],[Equipe]]))+SUMPRODUCT(Report[But Dom]*(Report[Extérieur]=Classement[[#This Row],[Equipe]]))+Classement[[#This Row],[Colonne2]]</f>
        <v>13</v>
      </c>
      <c r="E262" s="96">
        <v>10</v>
      </c>
      <c r="F262" s="96">
        <v>10</v>
      </c>
      <c r="G262" s="96">
        <v>13</v>
      </c>
      <c r="H262" s="96">
        <f>IF(Classement[[#This Row],[Equipe]]=Report_Données!$D:$D,SUM(Report_Données!$P:$P),3)</f>
        <v>3</v>
      </c>
      <c r="K262" s="37"/>
    </row>
    <row r="263" spans="1:13" ht="20.100000000000001" customHeight="1" x14ac:dyDescent="0.25">
      <c r="A263" s="28"/>
      <c r="B263" s="30"/>
      <c r="C263" s="30"/>
      <c r="D263" s="30"/>
      <c r="E263" s="96"/>
      <c r="F263" s="96"/>
      <c r="G263" s="96"/>
      <c r="H263" s="96">
        <f>IF(Classement[[#This Row],[Equipe]]=Report_Données!$D:$D,SUM(Report_Données!$P:$P),3)</f>
        <v>3</v>
      </c>
    </row>
    <row r="264" spans="1:13" ht="20.100000000000001" customHeight="1" x14ac:dyDescent="0.25">
      <c r="A264" s="3" t="s">
        <v>379</v>
      </c>
      <c r="B264" s="29">
        <f>COUNTIF(Report_Données!D:E,Classement[[#This Row],[Equipe]])+Classement[[#This Row],[Colonne3]]</f>
        <v>16</v>
      </c>
      <c r="C264" s="29">
        <f>SUMPRODUCT(Report[But Dom]*(Report[Domicile]=Classement[[#This Row],[Equipe]]))+SUMPRODUCT(Report[But Ext]*(Report[Extérieur]=Classement[[#This Row],[Equipe]]))+Classement[[#This Row],[Colonne1]]</f>
        <v>25</v>
      </c>
      <c r="D264" s="29">
        <f>SUMPRODUCT(Report[But Ext]*(Report[Domicile]=Classement[[#This Row],[Equipe]]))+SUMPRODUCT(Report[But Dom]*(Report[Extérieur]=Classement[[#This Row],[Equipe]]))+Classement[[#This Row],[Colonne2]]</f>
        <v>9</v>
      </c>
      <c r="E264" s="96">
        <v>15</v>
      </c>
      <c r="F264" s="96">
        <v>19</v>
      </c>
      <c r="G264" s="96">
        <v>9</v>
      </c>
      <c r="H264" s="96">
        <f>IF(Classement[[#This Row],[Equipe]]=Report_Données!$D:$D,SUM(Report_Données!$P:$P),3)</f>
        <v>3</v>
      </c>
    </row>
    <row r="265" spans="1:13" ht="20.100000000000001" customHeight="1" x14ac:dyDescent="0.25">
      <c r="A265" s="3" t="s">
        <v>380</v>
      </c>
      <c r="B265" s="29">
        <f>COUNTIF(Report_Données!D:E,Classement[[#This Row],[Equipe]])+Classement[[#This Row],[Colonne3]]</f>
        <v>16</v>
      </c>
      <c r="C265" s="29">
        <f>SUMPRODUCT(Report[But Dom]*(Report[Domicile]=Classement[[#This Row],[Equipe]]))+SUMPRODUCT(Report[But Ext]*(Report[Extérieur]=Classement[[#This Row],[Equipe]]))+Classement[[#This Row],[Colonne1]]</f>
        <v>12</v>
      </c>
      <c r="D265" s="29">
        <f>SUMPRODUCT(Report[But Ext]*(Report[Domicile]=Classement[[#This Row],[Equipe]]))+SUMPRODUCT(Report[But Dom]*(Report[Extérieur]=Classement[[#This Row],[Equipe]]))+Classement[[#This Row],[Colonne2]]</f>
        <v>25</v>
      </c>
      <c r="E265" s="96">
        <v>15</v>
      </c>
      <c r="F265" s="96">
        <v>11</v>
      </c>
      <c r="G265" s="96">
        <v>25</v>
      </c>
      <c r="H265" s="96">
        <f>IF(Classement[[#This Row],[Equipe]]=Report_Données!$D:$D,SUM(Report_Données!$P:$P),3)</f>
        <v>3</v>
      </c>
      <c r="J265" s="37"/>
    </row>
    <row r="266" spans="1:13" ht="20.100000000000001" customHeight="1" x14ac:dyDescent="0.25">
      <c r="A266" s="3" t="s">
        <v>381</v>
      </c>
      <c r="B266" s="29">
        <f>COUNTIF(Report_Données!D:E,Classement[[#This Row],[Equipe]])+Classement[[#This Row],[Colonne3]]</f>
        <v>16</v>
      </c>
      <c r="C266" s="29">
        <f>SUMPRODUCT(Report[But Dom]*(Report[Domicile]=Classement[[#This Row],[Equipe]]))+SUMPRODUCT(Report[But Ext]*(Report[Extérieur]=Classement[[#This Row],[Equipe]]))+Classement[[#This Row],[Colonne1]]</f>
        <v>21</v>
      </c>
      <c r="D266" s="29">
        <f>SUMPRODUCT(Report[But Ext]*(Report[Domicile]=Classement[[#This Row],[Equipe]]))+SUMPRODUCT(Report[But Dom]*(Report[Extérieur]=Classement[[#This Row],[Equipe]]))+Classement[[#This Row],[Colonne2]]</f>
        <v>15</v>
      </c>
      <c r="E266" s="96">
        <v>15</v>
      </c>
      <c r="F266" s="96">
        <v>21</v>
      </c>
      <c r="G266" s="96">
        <v>14</v>
      </c>
      <c r="H266" s="96">
        <f>IF(Classement[[#This Row],[Equipe]]=Report_Données!$D:$D,SUM(Report_Données!$P:$P),3)</f>
        <v>3</v>
      </c>
      <c r="J266" s="37"/>
    </row>
    <row r="267" spans="1:13" ht="20.100000000000001" customHeight="1" x14ac:dyDescent="0.25">
      <c r="A267" s="3" t="s">
        <v>382</v>
      </c>
      <c r="B267" s="29">
        <f>COUNTIF(Report_Données!D:E,Classement[[#This Row],[Equipe]])+Classement[[#This Row],[Colonne3]]</f>
        <v>16</v>
      </c>
      <c r="C267" s="29">
        <f>SUMPRODUCT(Report[But Dom]*(Report[Domicile]=Classement[[#This Row],[Equipe]]))+SUMPRODUCT(Report[But Ext]*(Report[Extérieur]=Classement[[#This Row],[Equipe]]))+Classement[[#This Row],[Colonne1]]</f>
        <v>17</v>
      </c>
      <c r="D267" s="29">
        <f>SUMPRODUCT(Report[But Ext]*(Report[Domicile]=Classement[[#This Row],[Equipe]]))+SUMPRODUCT(Report[But Dom]*(Report[Extérieur]=Classement[[#This Row],[Equipe]]))+Classement[[#This Row],[Colonne2]]</f>
        <v>24</v>
      </c>
      <c r="E267" s="96">
        <v>15</v>
      </c>
      <c r="F267" s="96">
        <v>14</v>
      </c>
      <c r="G267" s="96">
        <v>23</v>
      </c>
      <c r="H267" s="96">
        <f>IF(Classement[[#This Row],[Equipe]]=Report_Données!$D:$D,SUM(Report_Données!$P:$P),3)</f>
        <v>3</v>
      </c>
      <c r="J267" s="37"/>
    </row>
    <row r="268" spans="1:13" ht="20.100000000000001" customHeight="1" x14ac:dyDescent="0.25">
      <c r="A268" s="3" t="s">
        <v>383</v>
      </c>
      <c r="B268" s="29">
        <f>COUNTIF(Report_Données!D:E,Classement[[#This Row],[Equipe]])+Classement[[#This Row],[Colonne3]]</f>
        <v>16</v>
      </c>
      <c r="C268" s="29">
        <f>SUMPRODUCT(Report[But Dom]*(Report[Domicile]=Classement[[#This Row],[Equipe]]))+SUMPRODUCT(Report[But Ext]*(Report[Extérieur]=Classement[[#This Row],[Equipe]]))+Classement[[#This Row],[Colonne1]]</f>
        <v>23</v>
      </c>
      <c r="D268" s="29">
        <f>SUMPRODUCT(Report[But Ext]*(Report[Domicile]=Classement[[#This Row],[Equipe]]))+SUMPRODUCT(Report[But Dom]*(Report[Extérieur]=Classement[[#This Row],[Equipe]]))+Classement[[#This Row],[Colonne2]]</f>
        <v>29</v>
      </c>
      <c r="E268" s="96">
        <v>15</v>
      </c>
      <c r="F268" s="96">
        <v>22</v>
      </c>
      <c r="G268" s="96">
        <v>27</v>
      </c>
      <c r="H268" s="96">
        <f>IF(Classement[[#This Row],[Equipe]]=Report_Données!$D:$D,SUM(Report_Données!$P:$P),3)</f>
        <v>3</v>
      </c>
      <c r="J268" s="37"/>
    </row>
    <row r="269" spans="1:13" ht="20.100000000000001" customHeight="1" x14ac:dyDescent="0.25">
      <c r="A269" s="3" t="s">
        <v>384</v>
      </c>
      <c r="B269" s="29">
        <f>COUNTIF(Report_Données!D:E,Classement[[#This Row],[Equipe]])+Classement[[#This Row],[Colonne3]]</f>
        <v>16</v>
      </c>
      <c r="C269" s="29">
        <f>SUMPRODUCT(Report[But Dom]*(Report[Domicile]=Classement[[#This Row],[Equipe]]))+SUMPRODUCT(Report[But Ext]*(Report[Extérieur]=Classement[[#This Row],[Equipe]]))+Classement[[#This Row],[Colonne1]]</f>
        <v>31</v>
      </c>
      <c r="D269" s="29">
        <f>SUMPRODUCT(Report[But Ext]*(Report[Domicile]=Classement[[#This Row],[Equipe]]))+SUMPRODUCT(Report[But Dom]*(Report[Extérieur]=Classement[[#This Row],[Equipe]]))+Classement[[#This Row],[Colonne2]]</f>
        <v>5</v>
      </c>
      <c r="E269" s="96">
        <v>15</v>
      </c>
      <c r="F269" s="96">
        <v>29</v>
      </c>
      <c r="G269" s="96">
        <v>5</v>
      </c>
      <c r="H269" s="96">
        <f>IF(Classement[[#This Row],[Equipe]]=Report_Données!$D:$D,SUM(Report_Données!$P:$P),3)</f>
        <v>3</v>
      </c>
      <c r="J269" s="37"/>
    </row>
    <row r="270" spans="1:13" ht="20.100000000000001" customHeight="1" x14ac:dyDescent="0.25">
      <c r="A270" s="3" t="s">
        <v>385</v>
      </c>
      <c r="B270" s="29">
        <f>COUNTIF(Report_Données!D:E,Classement[[#This Row],[Equipe]])+Classement[[#This Row],[Colonne3]]</f>
        <v>16</v>
      </c>
      <c r="C270" s="29">
        <f>SUMPRODUCT(Report[But Dom]*(Report[Domicile]=Classement[[#This Row],[Equipe]]))+SUMPRODUCT(Report[But Ext]*(Report[Extérieur]=Classement[[#This Row],[Equipe]]))+Classement[[#This Row],[Colonne1]]</f>
        <v>19</v>
      </c>
      <c r="D270" s="29">
        <f>SUMPRODUCT(Report[But Ext]*(Report[Domicile]=Classement[[#This Row],[Equipe]]))+SUMPRODUCT(Report[But Dom]*(Report[Extérieur]=Classement[[#This Row],[Equipe]]))+Classement[[#This Row],[Colonne2]]</f>
        <v>29</v>
      </c>
      <c r="E270" s="96">
        <v>15</v>
      </c>
      <c r="F270" s="96">
        <v>19</v>
      </c>
      <c r="G270" s="96">
        <v>27</v>
      </c>
      <c r="H270" s="96">
        <f>IF(Classement[[#This Row],[Equipe]]=Report_Données!$D:$D,SUM(Report_Données!$P:$P),3)</f>
        <v>3</v>
      </c>
      <c r="J270" s="36"/>
    </row>
    <row r="271" spans="1:13" ht="20.100000000000001" customHeight="1" x14ac:dyDescent="0.25">
      <c r="A271" s="3" t="s">
        <v>386</v>
      </c>
      <c r="B271" s="29">
        <f>COUNTIF(Report_Données!D:E,Classement[[#This Row],[Equipe]])+Classement[[#This Row],[Colonne3]]</f>
        <v>16</v>
      </c>
      <c r="C271" s="29">
        <f>SUMPRODUCT(Report[But Dom]*(Report[Domicile]=Classement[[#This Row],[Equipe]]))+SUMPRODUCT(Report[But Ext]*(Report[Extérieur]=Classement[[#This Row],[Equipe]]))+Classement[[#This Row],[Colonne1]]</f>
        <v>17</v>
      </c>
      <c r="D271" s="29">
        <f>SUMPRODUCT(Report[But Ext]*(Report[Domicile]=Classement[[#This Row],[Equipe]]))+SUMPRODUCT(Report[But Dom]*(Report[Extérieur]=Classement[[#This Row],[Equipe]]))+Classement[[#This Row],[Colonne2]]</f>
        <v>18</v>
      </c>
      <c r="E271" s="96">
        <v>15</v>
      </c>
      <c r="F271" s="96">
        <v>16</v>
      </c>
      <c r="G271" s="96">
        <v>18</v>
      </c>
      <c r="H271" s="96">
        <f>IF(Classement[[#This Row],[Equipe]]=Report_Données!$D:$D,SUM(Report_Données!$P:$P),3)</f>
        <v>3</v>
      </c>
      <c r="J271" s="37"/>
    </row>
    <row r="272" spans="1:13" ht="20.100000000000001" customHeight="1" x14ac:dyDescent="0.25">
      <c r="A272" s="3" t="s">
        <v>387</v>
      </c>
      <c r="B272" s="29">
        <f>COUNTIF(Report_Données!D:E,Classement[[#This Row],[Equipe]])+Classement[[#This Row],[Colonne3]]</f>
        <v>16</v>
      </c>
      <c r="C272" s="29">
        <f>SUMPRODUCT(Report[But Dom]*(Report[Domicile]=Classement[[#This Row],[Equipe]]))+SUMPRODUCT(Report[But Ext]*(Report[Extérieur]=Classement[[#This Row],[Equipe]]))+Classement[[#This Row],[Colonne1]]</f>
        <v>32</v>
      </c>
      <c r="D272" s="29">
        <f>SUMPRODUCT(Report[But Ext]*(Report[Domicile]=Classement[[#This Row],[Equipe]]))+SUMPRODUCT(Report[But Dom]*(Report[Extérieur]=Classement[[#This Row],[Equipe]]))+Classement[[#This Row],[Colonne2]]</f>
        <v>13</v>
      </c>
      <c r="E272" s="96">
        <v>15</v>
      </c>
      <c r="F272" s="96">
        <v>31</v>
      </c>
      <c r="G272" s="96">
        <v>10</v>
      </c>
      <c r="H272" s="96">
        <f>IF(Classement[[#This Row],[Equipe]]=Report_Données!$D:$D,SUM(Report_Données!$P:$P),3)</f>
        <v>3</v>
      </c>
      <c r="J272" s="37"/>
    </row>
    <row r="273" spans="1:17" ht="20.100000000000001" customHeight="1" x14ac:dyDescent="0.25">
      <c r="A273" s="3" t="s">
        <v>388</v>
      </c>
      <c r="B273" s="29">
        <f>COUNTIF(Report_Données!D:E,Classement[[#This Row],[Equipe]])+Classement[[#This Row],[Colonne3]]</f>
        <v>16</v>
      </c>
      <c r="C273" s="29">
        <f>SUMPRODUCT(Report[But Dom]*(Report[Domicile]=Classement[[#This Row],[Equipe]]))+SUMPRODUCT(Report[But Ext]*(Report[Extérieur]=Classement[[#This Row],[Equipe]]))+Classement[[#This Row],[Colonne1]]</f>
        <v>14</v>
      </c>
      <c r="D273" s="29">
        <f>SUMPRODUCT(Report[But Ext]*(Report[Domicile]=Classement[[#This Row],[Equipe]]))+SUMPRODUCT(Report[But Dom]*(Report[Extérieur]=Classement[[#This Row],[Equipe]]))+Classement[[#This Row],[Colonne2]]</f>
        <v>15</v>
      </c>
      <c r="E273" s="96">
        <v>15</v>
      </c>
      <c r="F273" s="96">
        <v>14</v>
      </c>
      <c r="G273" s="96">
        <v>14</v>
      </c>
      <c r="H273" s="96">
        <f>IF(Classement[[#This Row],[Equipe]]=Report_Données!$D:$D,SUM(Report_Données!$P:$P),3)</f>
        <v>3</v>
      </c>
      <c r="J273" s="36"/>
    </row>
    <row r="274" spans="1:17" ht="20.100000000000001" customHeight="1" x14ac:dyDescent="0.25">
      <c r="A274" s="3" t="s">
        <v>389</v>
      </c>
      <c r="B274" s="29">
        <f>COUNTIF(Report_Données!D:E,Classement[[#This Row],[Equipe]])+Classement[[#This Row],[Colonne3]]</f>
        <v>16</v>
      </c>
      <c r="C274" s="29">
        <f>SUMPRODUCT(Report[But Dom]*(Report[Domicile]=Classement[[#This Row],[Equipe]]))+SUMPRODUCT(Report[But Ext]*(Report[Extérieur]=Classement[[#This Row],[Equipe]]))+Classement[[#This Row],[Colonne1]]</f>
        <v>34</v>
      </c>
      <c r="D274" s="29">
        <f>SUMPRODUCT(Report[But Ext]*(Report[Domicile]=Classement[[#This Row],[Equipe]]))+SUMPRODUCT(Report[But Dom]*(Report[Extérieur]=Classement[[#This Row],[Equipe]]))+Classement[[#This Row],[Colonne2]]</f>
        <v>11</v>
      </c>
      <c r="E274" s="96">
        <v>15</v>
      </c>
      <c r="F274" s="96">
        <v>33</v>
      </c>
      <c r="G274" s="96">
        <v>11</v>
      </c>
      <c r="H274" s="96">
        <f>IF(Classement[[#This Row],[Equipe]]=Report_Données!$D:$D,SUM(Report_Données!$P:$P),3)</f>
        <v>3</v>
      </c>
      <c r="J274" s="37"/>
    </row>
    <row r="275" spans="1:17" ht="20.100000000000001" customHeight="1" x14ac:dyDescent="0.25">
      <c r="A275" s="3" t="s">
        <v>390</v>
      </c>
      <c r="B275" s="29">
        <f>COUNTIF(Report_Données!D:E,Classement[[#This Row],[Equipe]])+Classement[[#This Row],[Colonne3]]</f>
        <v>16</v>
      </c>
      <c r="C275" s="29">
        <f>SUMPRODUCT(Report[But Dom]*(Report[Domicile]=Classement[[#This Row],[Equipe]]))+SUMPRODUCT(Report[But Ext]*(Report[Extérieur]=Classement[[#This Row],[Equipe]]))+Classement[[#This Row],[Colonne1]]</f>
        <v>13</v>
      </c>
      <c r="D275" s="29">
        <f>SUMPRODUCT(Report[But Ext]*(Report[Domicile]=Classement[[#This Row],[Equipe]]))+SUMPRODUCT(Report[But Dom]*(Report[Extérieur]=Classement[[#This Row],[Equipe]]))+Classement[[#This Row],[Colonne2]]</f>
        <v>30</v>
      </c>
      <c r="E275" s="96">
        <v>15</v>
      </c>
      <c r="F275" s="96">
        <v>11</v>
      </c>
      <c r="G275" s="96">
        <v>29</v>
      </c>
      <c r="H275" s="96">
        <f>IF(Classement[[#This Row],[Equipe]]=Report_Données!$D:$D,SUM(Report_Données!$P:$P),3)</f>
        <v>3</v>
      </c>
      <c r="J275" s="36"/>
    </row>
    <row r="276" spans="1:17" ht="20.100000000000001" customHeight="1" x14ac:dyDescent="0.25">
      <c r="A276" s="3" t="s">
        <v>391</v>
      </c>
      <c r="B276" s="29">
        <f>COUNTIF(Report_Données!D:E,Classement[[#This Row],[Equipe]])+Classement[[#This Row],[Colonne3]]</f>
        <v>16</v>
      </c>
      <c r="C276" s="29">
        <f>SUMPRODUCT(Report[But Dom]*(Report[Domicile]=Classement[[#This Row],[Equipe]]))+SUMPRODUCT(Report[But Ext]*(Report[Extérieur]=Classement[[#This Row],[Equipe]]))+Classement[[#This Row],[Colonne1]]</f>
        <v>14</v>
      </c>
      <c r="D276" s="29">
        <f>SUMPRODUCT(Report[But Ext]*(Report[Domicile]=Classement[[#This Row],[Equipe]]))+SUMPRODUCT(Report[But Dom]*(Report[Extérieur]=Classement[[#This Row],[Equipe]]))+Classement[[#This Row],[Colonne2]]</f>
        <v>19</v>
      </c>
      <c r="E276" s="96">
        <v>15</v>
      </c>
      <c r="F276" s="96">
        <v>14</v>
      </c>
      <c r="G276" s="96">
        <v>18</v>
      </c>
      <c r="H276" s="96">
        <f>IF(Classement[[#This Row],[Equipe]]=Report_Données!$D:$D,SUM(Report_Données!$P:$P),3)</f>
        <v>3</v>
      </c>
      <c r="J276" s="37"/>
    </row>
    <row r="277" spans="1:17" ht="20.100000000000001" customHeight="1" x14ac:dyDescent="0.25">
      <c r="A277" s="3" t="s">
        <v>392</v>
      </c>
      <c r="B277" s="29">
        <f>COUNTIF(Report_Données!D:E,Classement[[#This Row],[Equipe]])+Classement[[#This Row],[Colonne3]]</f>
        <v>16</v>
      </c>
      <c r="C277" s="29">
        <f>SUMPRODUCT(Report[But Dom]*(Report[Domicile]=Classement[[#This Row],[Equipe]]))+SUMPRODUCT(Report[But Ext]*(Report[Extérieur]=Classement[[#This Row],[Equipe]]))+Classement[[#This Row],[Colonne1]]</f>
        <v>7</v>
      </c>
      <c r="D277" s="29">
        <f>SUMPRODUCT(Report[But Ext]*(Report[Domicile]=Classement[[#This Row],[Equipe]]))+SUMPRODUCT(Report[But Dom]*(Report[Extérieur]=Classement[[#This Row],[Equipe]]))+Classement[[#This Row],[Colonne2]]</f>
        <v>37</v>
      </c>
      <c r="E277" s="96">
        <v>15</v>
      </c>
      <c r="F277" s="96">
        <v>7</v>
      </c>
      <c r="G277" s="96">
        <v>31</v>
      </c>
      <c r="H277" s="96">
        <f>IF(Classement[[#This Row],[Equipe]]=Report_Données!$D:$D,SUM(Report_Données!$P:$P),3)</f>
        <v>3</v>
      </c>
      <c r="J277" s="37"/>
    </row>
    <row r="278" spans="1:17" ht="20.100000000000001" customHeight="1" x14ac:dyDescent="0.25">
      <c r="A278" s="28"/>
      <c r="B278" s="30"/>
      <c r="C278" s="30"/>
      <c r="D278" s="30"/>
      <c r="E278" s="96"/>
      <c r="F278" s="96"/>
      <c r="G278" s="96"/>
      <c r="H278" s="96">
        <f>IF(Classement[[#This Row],[Equipe]]=Report_Données!$D:$D,SUM(Report_Données!$P:$P),3)</f>
        <v>3</v>
      </c>
      <c r="J278" s="37"/>
    </row>
    <row r="279" spans="1:17" ht="20.100000000000001" customHeight="1" x14ac:dyDescent="0.25">
      <c r="A279" s="3" t="s">
        <v>393</v>
      </c>
      <c r="B279" s="29">
        <f>COUNTIF(Report_Données!D:E,Classement[[#This Row],[Equipe]])+Classement[[#This Row],[Colonne3]]</f>
        <v>29</v>
      </c>
      <c r="C279" s="29">
        <f>SUMPRODUCT(Report[But Dom]*(Report[Domicile]=Classement[[#This Row],[Equipe]]))+SUMPRODUCT(Report[But Ext]*(Report[Extérieur]=Classement[[#This Row],[Equipe]]))+Classement[[#This Row],[Colonne1]]</f>
        <v>53</v>
      </c>
      <c r="D279" s="29">
        <f>SUMPRODUCT(Report[But Ext]*(Report[Domicile]=Classement[[#This Row],[Equipe]]))+SUMPRODUCT(Report[But Dom]*(Report[Extérieur]=Classement[[#This Row],[Equipe]]))+Classement[[#This Row],[Colonne2]]</f>
        <v>22</v>
      </c>
      <c r="E279" s="96">
        <v>27</v>
      </c>
      <c r="F279" s="96">
        <v>49</v>
      </c>
      <c r="G279" s="96">
        <v>18</v>
      </c>
      <c r="H279" s="96">
        <f>IF(Classement[[#This Row],[Equipe]]=Report_Données!$D:$D,SUM(Report_Données!$P:$P),3)</f>
        <v>3</v>
      </c>
      <c r="O279" s="31"/>
      <c r="Q279" s="3" t="s">
        <v>195</v>
      </c>
    </row>
    <row r="280" spans="1:17" ht="20.100000000000001" customHeight="1" x14ac:dyDescent="0.25">
      <c r="A280" s="3" t="s">
        <v>48</v>
      </c>
      <c r="B280" s="29">
        <f>COUNTIF(Report_Données!D:E,Classement[[#This Row],[Equipe]])+Classement[[#This Row],[Colonne3]]</f>
        <v>30</v>
      </c>
      <c r="C280" s="29">
        <f>SUMPRODUCT(Report[But Dom]*(Report[Domicile]=Classement[[#This Row],[Equipe]]))+SUMPRODUCT(Report[But Ext]*(Report[Extérieur]=Classement[[#This Row],[Equipe]]))+Classement[[#This Row],[Colonne1]]</f>
        <v>49</v>
      </c>
      <c r="D280" s="29">
        <f>SUMPRODUCT(Report[But Ext]*(Report[Domicile]=Classement[[#This Row],[Equipe]]))+SUMPRODUCT(Report[But Dom]*(Report[Extérieur]=Classement[[#This Row],[Equipe]]))+Classement[[#This Row],[Colonne2]]</f>
        <v>30</v>
      </c>
      <c r="E280" s="96">
        <v>28</v>
      </c>
      <c r="F280" s="96">
        <v>49</v>
      </c>
      <c r="G280" s="96">
        <v>30</v>
      </c>
      <c r="H280" s="96">
        <f>IF(Classement[[#This Row],[Equipe]]=Report_Données!$D:$D,SUM(Report_Données!$P:$P),3)</f>
        <v>3</v>
      </c>
      <c r="O280" s="31"/>
      <c r="Q280" s="3" t="s">
        <v>195</v>
      </c>
    </row>
    <row r="281" spans="1:17" ht="20.100000000000001" customHeight="1" x14ac:dyDescent="0.25">
      <c r="A281" s="3" t="s">
        <v>394</v>
      </c>
      <c r="B281" s="29">
        <f>COUNTIF(Report_Données!D:E,Classement[[#This Row],[Equipe]])+Classement[[#This Row],[Colonne3]]</f>
        <v>29</v>
      </c>
      <c r="C281" s="29">
        <f>SUMPRODUCT(Report[But Dom]*(Report[Domicile]=Classement[[#This Row],[Equipe]]))+SUMPRODUCT(Report[But Ext]*(Report[Extérieur]=Classement[[#This Row],[Equipe]]))+Classement[[#This Row],[Colonne1]]</f>
        <v>38</v>
      </c>
      <c r="D281" s="29">
        <f>SUMPRODUCT(Report[But Ext]*(Report[Domicile]=Classement[[#This Row],[Equipe]]))+SUMPRODUCT(Report[But Dom]*(Report[Extérieur]=Classement[[#This Row],[Equipe]]))+Classement[[#This Row],[Colonne2]]</f>
        <v>17</v>
      </c>
      <c r="E281" s="96">
        <v>28</v>
      </c>
      <c r="F281" s="96">
        <v>35</v>
      </c>
      <c r="G281" s="96">
        <v>17</v>
      </c>
      <c r="H281" s="96">
        <f>IF(Classement[[#This Row],[Equipe]]=Report_Données!$D:$D,SUM(Report_Données!$P:$P),3)</f>
        <v>3</v>
      </c>
      <c r="O281" s="31"/>
      <c r="Q281" s="3" t="s">
        <v>195</v>
      </c>
    </row>
    <row r="282" spans="1:17" ht="20.100000000000001" customHeight="1" x14ac:dyDescent="0.25">
      <c r="A282" s="3" t="s">
        <v>395</v>
      </c>
      <c r="B282" s="29">
        <f>COUNTIF(Report_Données!D:E,Classement[[#This Row],[Equipe]])+Classement[[#This Row],[Colonne3]]</f>
        <v>29</v>
      </c>
      <c r="C282" s="29">
        <f>SUMPRODUCT(Report[But Dom]*(Report[Domicile]=Classement[[#This Row],[Equipe]]))+SUMPRODUCT(Report[But Ext]*(Report[Extérieur]=Classement[[#This Row],[Equipe]]))+Classement[[#This Row],[Colonne1]]</f>
        <v>15</v>
      </c>
      <c r="D282" s="29">
        <f>SUMPRODUCT(Report[But Ext]*(Report[Domicile]=Classement[[#This Row],[Equipe]]))+SUMPRODUCT(Report[But Dom]*(Report[Extérieur]=Classement[[#This Row],[Equipe]]))+Classement[[#This Row],[Colonne2]]</f>
        <v>50</v>
      </c>
      <c r="E282" s="96">
        <v>28</v>
      </c>
      <c r="F282" s="96">
        <v>15</v>
      </c>
      <c r="G282" s="96">
        <v>47</v>
      </c>
      <c r="H282" s="96">
        <f>IF(Classement[[#This Row],[Equipe]]=Report_Données!$D:$D,SUM(Report_Données!$P:$P),3)</f>
        <v>3</v>
      </c>
      <c r="O282" s="32"/>
      <c r="Q282" s="3" t="s">
        <v>195</v>
      </c>
    </row>
    <row r="283" spans="1:17" ht="20.100000000000001" customHeight="1" x14ac:dyDescent="0.25">
      <c r="A283" s="3" t="s">
        <v>396</v>
      </c>
      <c r="B283" s="29">
        <f>COUNTIF(Report_Données!D:E,Classement[[#This Row],[Equipe]])+Classement[[#This Row],[Colonne3]]</f>
        <v>29</v>
      </c>
      <c r="C283" s="29">
        <f>SUMPRODUCT(Report[But Dom]*(Report[Domicile]=Classement[[#This Row],[Equipe]]))+SUMPRODUCT(Report[But Ext]*(Report[Extérieur]=Classement[[#This Row],[Equipe]]))+Classement[[#This Row],[Colonne1]]</f>
        <v>34</v>
      </c>
      <c r="D283" s="29">
        <f>SUMPRODUCT(Report[But Ext]*(Report[Domicile]=Classement[[#This Row],[Equipe]]))+SUMPRODUCT(Report[But Dom]*(Report[Extérieur]=Classement[[#This Row],[Equipe]]))+Classement[[#This Row],[Colonne2]]</f>
        <v>38</v>
      </c>
      <c r="E283" s="96">
        <v>28</v>
      </c>
      <c r="F283" s="96">
        <v>33</v>
      </c>
      <c r="G283" s="96">
        <v>36</v>
      </c>
      <c r="H283" s="96">
        <f>IF(Classement[[#This Row],[Equipe]]=Report_Données!$D:$D,SUM(Report_Données!$P:$P),3)</f>
        <v>3</v>
      </c>
      <c r="O283" s="31"/>
      <c r="Q283" s="3" t="s">
        <v>195</v>
      </c>
    </row>
    <row r="284" spans="1:17" ht="20.100000000000001" customHeight="1" x14ac:dyDescent="0.25">
      <c r="A284" s="3" t="s">
        <v>397</v>
      </c>
      <c r="B284" s="29">
        <f>COUNTIF(Report_Données!D:E,Classement[[#This Row],[Equipe]])+Classement[[#This Row],[Colonne3]]</f>
        <v>29</v>
      </c>
      <c r="C284" s="29">
        <f>SUMPRODUCT(Report[But Dom]*(Report[Domicile]=Classement[[#This Row],[Equipe]]))+SUMPRODUCT(Report[But Ext]*(Report[Extérieur]=Classement[[#This Row],[Equipe]]))+Classement[[#This Row],[Colonne1]]</f>
        <v>15</v>
      </c>
      <c r="D284" s="29">
        <f>SUMPRODUCT(Report[But Ext]*(Report[Domicile]=Classement[[#This Row],[Equipe]]))+SUMPRODUCT(Report[But Dom]*(Report[Extérieur]=Classement[[#This Row],[Equipe]]))+Classement[[#This Row],[Colonne2]]</f>
        <v>33</v>
      </c>
      <c r="E284" s="96">
        <v>28</v>
      </c>
      <c r="F284" s="96">
        <v>15</v>
      </c>
      <c r="G284" s="96">
        <v>33</v>
      </c>
      <c r="H284" s="96">
        <f>IF(Classement[[#This Row],[Equipe]]=Report_Données!$D:$D,SUM(Report_Données!$P:$P),3)</f>
        <v>3</v>
      </c>
      <c r="O284" s="32"/>
      <c r="Q284" s="3" t="s">
        <v>195</v>
      </c>
    </row>
    <row r="285" spans="1:17" ht="20.100000000000001" customHeight="1" x14ac:dyDescent="0.25">
      <c r="A285" s="3" t="s">
        <v>398</v>
      </c>
      <c r="B285" s="29">
        <f>COUNTIF(Report_Données!D:E,Classement[[#This Row],[Equipe]])+Classement[[#This Row],[Colonne3]]</f>
        <v>29</v>
      </c>
      <c r="C285" s="29">
        <f>SUMPRODUCT(Report[But Dom]*(Report[Domicile]=Classement[[#This Row],[Equipe]]))+SUMPRODUCT(Report[But Ext]*(Report[Extérieur]=Classement[[#This Row],[Equipe]]))+Classement[[#This Row],[Colonne1]]</f>
        <v>29</v>
      </c>
      <c r="D285" s="29">
        <f>SUMPRODUCT(Report[But Ext]*(Report[Domicile]=Classement[[#This Row],[Equipe]]))+SUMPRODUCT(Report[But Dom]*(Report[Extérieur]=Classement[[#This Row],[Equipe]]))+Classement[[#This Row],[Colonne2]]</f>
        <v>33</v>
      </c>
      <c r="E285" s="96">
        <v>28</v>
      </c>
      <c r="F285" s="96">
        <v>29</v>
      </c>
      <c r="G285" s="96">
        <v>32</v>
      </c>
      <c r="H285" s="96">
        <f>IF(Classement[[#This Row],[Equipe]]=Report_Données!$D:$D,SUM(Report_Données!$P:$P),3)</f>
        <v>3</v>
      </c>
      <c r="O285" s="31"/>
      <c r="Q285" s="3" t="s">
        <v>195</v>
      </c>
    </row>
    <row r="286" spans="1:17" ht="20.100000000000001" customHeight="1" x14ac:dyDescent="0.25">
      <c r="A286" s="3" t="s">
        <v>399</v>
      </c>
      <c r="B286" s="29">
        <f>COUNTIF(Report_Données!D:E,Classement[[#This Row],[Equipe]])+Classement[[#This Row],[Colonne3]]</f>
        <v>29</v>
      </c>
      <c r="C286" s="29">
        <f>SUMPRODUCT(Report[But Dom]*(Report[Domicile]=Classement[[#This Row],[Equipe]]))+SUMPRODUCT(Report[But Ext]*(Report[Extérieur]=Classement[[#This Row],[Equipe]]))+Classement[[#This Row],[Colonne1]]</f>
        <v>17</v>
      </c>
      <c r="D286" s="29">
        <f>SUMPRODUCT(Report[But Ext]*(Report[Domicile]=Classement[[#This Row],[Equipe]]))+SUMPRODUCT(Report[But Dom]*(Report[Extérieur]=Classement[[#This Row],[Equipe]]))+Classement[[#This Row],[Colonne2]]</f>
        <v>35</v>
      </c>
      <c r="E286" s="96">
        <v>28</v>
      </c>
      <c r="F286" s="96">
        <v>16</v>
      </c>
      <c r="G286" s="96">
        <v>35</v>
      </c>
      <c r="H286" s="96">
        <f>IF(Classement[[#This Row],[Equipe]]=Report_Données!$D:$D,SUM(Report_Données!$P:$P),3)</f>
        <v>3</v>
      </c>
      <c r="O286" s="32"/>
      <c r="Q286" s="3" t="s">
        <v>195</v>
      </c>
    </row>
    <row r="287" spans="1:17" ht="20.100000000000001" customHeight="1" x14ac:dyDescent="0.25">
      <c r="A287" s="3" t="s">
        <v>400</v>
      </c>
      <c r="B287" s="29">
        <f>COUNTIF(Report_Données!D:E,Classement[[#This Row],[Equipe]])+Classement[[#This Row],[Colonne3]]</f>
        <v>29</v>
      </c>
      <c r="C287" s="29">
        <f>SUMPRODUCT(Report[But Dom]*(Report[Domicile]=Classement[[#This Row],[Equipe]]))+SUMPRODUCT(Report[But Ext]*(Report[Extérieur]=Classement[[#This Row],[Equipe]]))+Classement[[#This Row],[Colonne1]]</f>
        <v>23</v>
      </c>
      <c r="D287" s="29">
        <f>SUMPRODUCT(Report[But Ext]*(Report[Domicile]=Classement[[#This Row],[Equipe]]))+SUMPRODUCT(Report[But Dom]*(Report[Extérieur]=Classement[[#This Row],[Equipe]]))+Classement[[#This Row],[Colonne2]]</f>
        <v>43</v>
      </c>
      <c r="E287" s="96">
        <v>28</v>
      </c>
      <c r="F287" s="96">
        <v>22</v>
      </c>
      <c r="G287" s="96">
        <v>39</v>
      </c>
      <c r="H287" s="96">
        <f>IF(Classement[[#This Row],[Equipe]]=Report_Données!$D:$D,SUM(Report_Données!$P:$P),3)</f>
        <v>3</v>
      </c>
      <c r="O287" s="32"/>
      <c r="Q287" s="3" t="s">
        <v>195</v>
      </c>
    </row>
    <row r="288" spans="1:17" ht="20.100000000000001" customHeight="1" x14ac:dyDescent="0.25">
      <c r="A288" s="3" t="s">
        <v>401</v>
      </c>
      <c r="B288" s="29">
        <f>COUNTIF(Report_Données!D:E,Classement[[#This Row],[Equipe]])+Classement[[#This Row],[Colonne3]]</f>
        <v>29</v>
      </c>
      <c r="C288" s="29">
        <f>SUMPRODUCT(Report[But Dom]*(Report[Domicile]=Classement[[#This Row],[Equipe]]))+SUMPRODUCT(Report[But Ext]*(Report[Extérieur]=Classement[[#This Row],[Equipe]]))+Classement[[#This Row],[Colonne1]]</f>
        <v>31</v>
      </c>
      <c r="D288" s="29">
        <f>SUMPRODUCT(Report[But Ext]*(Report[Domicile]=Classement[[#This Row],[Equipe]]))+SUMPRODUCT(Report[But Dom]*(Report[Extérieur]=Classement[[#This Row],[Equipe]]))+Classement[[#This Row],[Colonne2]]</f>
        <v>29</v>
      </c>
      <c r="E288" s="96">
        <v>28</v>
      </c>
      <c r="F288" s="96">
        <v>29</v>
      </c>
      <c r="G288" s="96">
        <v>28</v>
      </c>
      <c r="H288" s="96">
        <f>IF(Classement[[#This Row],[Equipe]]=Report_Données!$D:$D,SUM(Report_Données!$P:$P),3)</f>
        <v>3</v>
      </c>
      <c r="O288" s="31"/>
      <c r="Q288" s="3" t="s">
        <v>195</v>
      </c>
    </row>
    <row r="289" spans="1:17" ht="20.100000000000001" customHeight="1" x14ac:dyDescent="0.25">
      <c r="A289" s="3" t="s">
        <v>402</v>
      </c>
      <c r="B289" s="29">
        <f>COUNTIF(Report_Données!D:E,Classement[[#This Row],[Equipe]])+Classement[[#This Row],[Colonne3]]</f>
        <v>29</v>
      </c>
      <c r="C289" s="29">
        <f>SUMPRODUCT(Report[But Dom]*(Report[Domicile]=Classement[[#This Row],[Equipe]]))+SUMPRODUCT(Report[But Ext]*(Report[Extérieur]=Classement[[#This Row],[Equipe]]))+Classement[[#This Row],[Colonne1]]</f>
        <v>26</v>
      </c>
      <c r="D289" s="29">
        <f>SUMPRODUCT(Report[But Ext]*(Report[Domicile]=Classement[[#This Row],[Equipe]]))+SUMPRODUCT(Report[But Dom]*(Report[Extérieur]=Classement[[#This Row],[Equipe]]))+Classement[[#This Row],[Colonne2]]</f>
        <v>34</v>
      </c>
      <c r="E289" s="96">
        <v>28</v>
      </c>
      <c r="F289" s="96">
        <v>26</v>
      </c>
      <c r="G289" s="96">
        <v>33</v>
      </c>
      <c r="H289" s="96">
        <f>IF(Classement[[#This Row],[Equipe]]=Report_Données!$D:$D,SUM(Report_Données!$P:$P),3)</f>
        <v>3</v>
      </c>
      <c r="O289" s="31"/>
      <c r="Q289" s="3" t="s">
        <v>195</v>
      </c>
    </row>
    <row r="290" spans="1:17" ht="20.100000000000001" customHeight="1" x14ac:dyDescent="0.25">
      <c r="A290" s="3" t="s">
        <v>403</v>
      </c>
      <c r="B290" s="29">
        <f>COUNTIF(Report_Données!D:E,Classement[[#This Row],[Equipe]])+Classement[[#This Row],[Colonne3]]</f>
        <v>29</v>
      </c>
      <c r="C290" s="29">
        <f>SUMPRODUCT(Report[But Dom]*(Report[Domicile]=Classement[[#This Row],[Equipe]]))+SUMPRODUCT(Report[But Ext]*(Report[Extérieur]=Classement[[#This Row],[Equipe]]))+Classement[[#This Row],[Colonne1]]</f>
        <v>20</v>
      </c>
      <c r="D290" s="29">
        <f>SUMPRODUCT(Report[But Ext]*(Report[Domicile]=Classement[[#This Row],[Equipe]]))+SUMPRODUCT(Report[But Dom]*(Report[Extérieur]=Classement[[#This Row],[Equipe]]))+Classement[[#This Row],[Colonne2]]</f>
        <v>38</v>
      </c>
      <c r="E290" s="96">
        <v>28</v>
      </c>
      <c r="F290" s="96">
        <v>20</v>
      </c>
      <c r="G290" s="96">
        <v>36</v>
      </c>
      <c r="H290" s="96">
        <f>IF(Classement[[#This Row],[Equipe]]=Report_Données!$D:$D,SUM(Report_Données!$P:$P),3)</f>
        <v>3</v>
      </c>
      <c r="O290" s="32"/>
      <c r="Q290" s="3" t="s">
        <v>195</v>
      </c>
    </row>
    <row r="291" spans="1:17" ht="20.100000000000001" customHeight="1" x14ac:dyDescent="0.25">
      <c r="A291" s="3" t="s">
        <v>404</v>
      </c>
      <c r="B291" s="29">
        <f>COUNTIF(Report_Données!D:E,Classement[[#This Row],[Equipe]])+Classement[[#This Row],[Colonne3]]</f>
        <v>29</v>
      </c>
      <c r="C291" s="29">
        <f>SUMPRODUCT(Report[But Dom]*(Report[Domicile]=Classement[[#This Row],[Equipe]]))+SUMPRODUCT(Report[But Ext]*(Report[Extérieur]=Classement[[#This Row],[Equipe]]))+Classement[[#This Row],[Colonne1]]</f>
        <v>41</v>
      </c>
      <c r="D291" s="29">
        <f>SUMPRODUCT(Report[But Ext]*(Report[Domicile]=Classement[[#This Row],[Equipe]]))+SUMPRODUCT(Report[But Dom]*(Report[Extérieur]=Classement[[#This Row],[Equipe]]))+Classement[[#This Row],[Colonne2]]</f>
        <v>14</v>
      </c>
      <c r="E291" s="96">
        <v>27</v>
      </c>
      <c r="F291" s="96">
        <v>36</v>
      </c>
      <c r="G291" s="96">
        <v>14</v>
      </c>
      <c r="H291" s="96">
        <f>IF(Classement[[#This Row],[Equipe]]=Report_Données!$D:$D,SUM(Report_Données!$P:$P),3)</f>
        <v>3</v>
      </c>
      <c r="O291" s="31"/>
      <c r="Q291" s="3" t="s">
        <v>195</v>
      </c>
    </row>
    <row r="292" spans="1:17" ht="20.100000000000001" customHeight="1" x14ac:dyDescent="0.25">
      <c r="A292" s="3" t="s">
        <v>405</v>
      </c>
      <c r="B292" s="29">
        <f>COUNTIF(Report_Données!D:E,Classement[[#This Row],[Equipe]])+Classement[[#This Row],[Colonne3]]</f>
        <v>29</v>
      </c>
      <c r="C292" s="29">
        <f>SUMPRODUCT(Report[But Dom]*(Report[Domicile]=Classement[[#This Row],[Equipe]]))+SUMPRODUCT(Report[But Ext]*(Report[Extérieur]=Classement[[#This Row],[Equipe]]))+Classement[[#This Row],[Colonne1]]</f>
        <v>20</v>
      </c>
      <c r="D292" s="29">
        <f>SUMPRODUCT(Report[But Ext]*(Report[Domicile]=Classement[[#This Row],[Equipe]]))+SUMPRODUCT(Report[But Dom]*(Report[Extérieur]=Classement[[#This Row],[Equipe]]))+Classement[[#This Row],[Colonne2]]</f>
        <v>38</v>
      </c>
      <c r="E292" s="96">
        <v>28</v>
      </c>
      <c r="F292" s="96">
        <v>20</v>
      </c>
      <c r="G292" s="96">
        <v>36</v>
      </c>
      <c r="H292" s="96">
        <f>IF(Classement[[#This Row],[Equipe]]=Report_Données!$D:$D,SUM(Report_Données!$P:$P),3)</f>
        <v>3</v>
      </c>
      <c r="O292" s="32"/>
      <c r="Q292" s="3" t="s">
        <v>195</v>
      </c>
    </row>
    <row r="293" spans="1:17" ht="20.100000000000001" customHeight="1" x14ac:dyDescent="0.25">
      <c r="A293" s="3" t="s">
        <v>406</v>
      </c>
      <c r="B293" s="29">
        <f>COUNTIF(Report_Données!D:E,Classement[[#This Row],[Equipe]])+Classement[[#This Row],[Colonne3]]</f>
        <v>29</v>
      </c>
      <c r="C293" s="29">
        <f>SUMPRODUCT(Report[But Dom]*(Report[Domicile]=Classement[[#This Row],[Equipe]]))+SUMPRODUCT(Report[But Ext]*(Report[Extérieur]=Classement[[#This Row],[Equipe]]))+Classement[[#This Row],[Colonne1]]</f>
        <v>44</v>
      </c>
      <c r="D293" s="29">
        <f>SUMPRODUCT(Report[But Ext]*(Report[Domicile]=Classement[[#This Row],[Equipe]]))+SUMPRODUCT(Report[But Dom]*(Report[Extérieur]=Classement[[#This Row],[Equipe]]))+Classement[[#This Row],[Colonne2]]</f>
        <v>19</v>
      </c>
      <c r="E293" s="96">
        <v>28</v>
      </c>
      <c r="F293" s="96">
        <v>43</v>
      </c>
      <c r="G293" s="96">
        <v>19</v>
      </c>
      <c r="H293" s="96">
        <f>IF(Classement[[#This Row],[Equipe]]=Report_Données!$D:$D,SUM(Report_Données!$P:$P),3)</f>
        <v>3</v>
      </c>
      <c r="O293" s="31"/>
      <c r="Q293" s="3" t="s">
        <v>195</v>
      </c>
    </row>
    <row r="294" spans="1:17" ht="20.100000000000001" customHeight="1" x14ac:dyDescent="0.25">
      <c r="A294" s="3" t="s">
        <v>407</v>
      </c>
      <c r="B294" s="29">
        <f>COUNTIF(Report_Données!D:E,Classement[[#This Row],[Equipe]])+Classement[[#This Row],[Colonne3]]</f>
        <v>29</v>
      </c>
      <c r="C294" s="29">
        <f>SUMPRODUCT(Report[But Dom]*(Report[Domicile]=Classement[[#This Row],[Equipe]]))+SUMPRODUCT(Report[But Ext]*(Report[Extérieur]=Classement[[#This Row],[Equipe]]))+Classement[[#This Row],[Colonne1]]</f>
        <v>34</v>
      </c>
      <c r="D294" s="29">
        <f>SUMPRODUCT(Report[But Ext]*(Report[Domicile]=Classement[[#This Row],[Equipe]]))+SUMPRODUCT(Report[But Dom]*(Report[Extérieur]=Classement[[#This Row],[Equipe]]))+Classement[[#This Row],[Colonne2]]</f>
        <v>16</v>
      </c>
      <c r="E294" s="96">
        <v>28</v>
      </c>
      <c r="F294" s="96">
        <v>32</v>
      </c>
      <c r="G294" s="96">
        <v>16</v>
      </c>
      <c r="H294" s="96">
        <f>IF(Classement[[#This Row],[Equipe]]=Report_Données!$D:$D,SUM(Report_Données!$P:$P),3)</f>
        <v>3</v>
      </c>
      <c r="O294" s="31"/>
    </row>
    <row r="295" spans="1:17" ht="20.100000000000001" customHeight="1" x14ac:dyDescent="0.25">
      <c r="A295" s="28"/>
      <c r="B295" s="30"/>
      <c r="C295" s="30"/>
      <c r="D295" s="30"/>
      <c r="E295" s="96"/>
      <c r="F295" s="96"/>
      <c r="G295" s="96"/>
      <c r="H295" s="96">
        <f>IF(Classement[[#This Row],[Equipe]]=Report_Données!$D:$D,SUM(Report_Données!$P:$P),3)</f>
        <v>3</v>
      </c>
    </row>
    <row r="296" spans="1:17" ht="20.100000000000001" customHeight="1" x14ac:dyDescent="0.25">
      <c r="A296" s="3" t="s">
        <v>408</v>
      </c>
      <c r="B296" s="29">
        <f>COUNTIF(Report_Données!D:E,Classement[[#This Row],[Equipe]])+Classement[[#This Row],[Colonne3]]</f>
        <v>16</v>
      </c>
      <c r="C296" s="29">
        <f>SUMPRODUCT(Report[But Dom]*(Report[Domicile]=Classement[[#This Row],[Equipe]]))+SUMPRODUCT(Report[But Ext]*(Report[Extérieur]=Classement[[#This Row],[Equipe]]))+Classement[[#This Row],[Colonne1]]</f>
        <v>35</v>
      </c>
      <c r="D296" s="29">
        <f>SUMPRODUCT(Report[But Ext]*(Report[Domicile]=Classement[[#This Row],[Equipe]]))+SUMPRODUCT(Report[But Dom]*(Report[Extérieur]=Classement[[#This Row],[Equipe]]))+Classement[[#This Row],[Colonne2]]</f>
        <v>20</v>
      </c>
      <c r="E296" s="96">
        <v>15</v>
      </c>
      <c r="F296" s="96">
        <v>35</v>
      </c>
      <c r="G296" s="96">
        <v>20</v>
      </c>
      <c r="H296" s="96">
        <f>IF(Classement[[#This Row],[Equipe]]=Report_Données!$D:$D,SUM(Report_Données!$P:$P),3)</f>
        <v>3</v>
      </c>
    </row>
    <row r="297" spans="1:17" ht="20.100000000000001" customHeight="1" x14ac:dyDescent="0.25">
      <c r="A297" s="3" t="s">
        <v>409</v>
      </c>
      <c r="B297" s="29">
        <f>COUNTIF(Report_Données!D:E,Classement[[#This Row],[Equipe]])+Classement[[#This Row],[Colonne3]]</f>
        <v>16</v>
      </c>
      <c r="C297" s="29">
        <f>SUMPRODUCT(Report[But Dom]*(Report[Domicile]=Classement[[#This Row],[Equipe]]))+SUMPRODUCT(Report[But Ext]*(Report[Extérieur]=Classement[[#This Row],[Equipe]]))+Classement[[#This Row],[Colonne1]]</f>
        <v>20</v>
      </c>
      <c r="D297" s="29">
        <f>SUMPRODUCT(Report[But Ext]*(Report[Domicile]=Classement[[#This Row],[Equipe]]))+SUMPRODUCT(Report[But Dom]*(Report[Extérieur]=Classement[[#This Row],[Equipe]]))+Classement[[#This Row],[Colonne2]]</f>
        <v>31</v>
      </c>
      <c r="E297" s="96">
        <v>15</v>
      </c>
      <c r="F297" s="96">
        <v>16</v>
      </c>
      <c r="G297" s="96">
        <v>29</v>
      </c>
      <c r="H297" s="96">
        <f>IF(Classement[[#This Row],[Equipe]]=Report_Données!$D:$D,SUM(Report_Données!$P:$P),3)</f>
        <v>3</v>
      </c>
      <c r="J297" s="33" t="s">
        <v>195</v>
      </c>
    </row>
    <row r="298" spans="1:17" ht="20.100000000000001" customHeight="1" x14ac:dyDescent="0.25">
      <c r="A298" s="3" t="s">
        <v>410</v>
      </c>
      <c r="B298" s="29">
        <f>COUNTIF(Report_Données!D:E,Classement[[#This Row],[Equipe]])+Classement[[#This Row],[Colonne3]]</f>
        <v>16</v>
      </c>
      <c r="C298" s="29">
        <f>SUMPRODUCT(Report[But Dom]*(Report[Domicile]=Classement[[#This Row],[Equipe]]))+SUMPRODUCT(Report[But Ext]*(Report[Extérieur]=Classement[[#This Row],[Equipe]]))+Classement[[#This Row],[Colonne1]]</f>
        <v>22</v>
      </c>
      <c r="D298" s="29">
        <f>SUMPRODUCT(Report[But Ext]*(Report[Domicile]=Classement[[#This Row],[Equipe]]))+SUMPRODUCT(Report[But Dom]*(Report[Extérieur]=Classement[[#This Row],[Equipe]]))+Classement[[#This Row],[Colonne2]]</f>
        <v>25</v>
      </c>
      <c r="E298" s="96">
        <v>15</v>
      </c>
      <c r="F298" s="96">
        <v>19</v>
      </c>
      <c r="G298" s="96">
        <v>23</v>
      </c>
      <c r="H298" s="96">
        <f>IF(Classement[[#This Row],[Equipe]]=Report_Données!$D:$D,SUM(Report_Données!$P:$P),3)</f>
        <v>3</v>
      </c>
      <c r="J298" s="33" t="s">
        <v>195</v>
      </c>
    </row>
    <row r="299" spans="1:17" ht="20.100000000000001" customHeight="1" x14ac:dyDescent="0.25">
      <c r="A299" s="3" t="s">
        <v>411</v>
      </c>
      <c r="B299" s="29">
        <f>COUNTIF(Report_Données!D:E,Classement[[#This Row],[Equipe]])+Classement[[#This Row],[Colonne3]]</f>
        <v>16</v>
      </c>
      <c r="C299" s="29">
        <f>SUMPRODUCT(Report[But Dom]*(Report[Domicile]=Classement[[#This Row],[Equipe]]))+SUMPRODUCT(Report[But Ext]*(Report[Extérieur]=Classement[[#This Row],[Equipe]]))+Classement[[#This Row],[Colonne1]]</f>
        <v>17</v>
      </c>
      <c r="D299" s="29">
        <f>SUMPRODUCT(Report[But Ext]*(Report[Domicile]=Classement[[#This Row],[Equipe]]))+SUMPRODUCT(Report[But Dom]*(Report[Extérieur]=Classement[[#This Row],[Equipe]]))+Classement[[#This Row],[Colonne2]]</f>
        <v>28</v>
      </c>
      <c r="E299" s="96">
        <v>15</v>
      </c>
      <c r="F299" s="96">
        <v>17</v>
      </c>
      <c r="G299" s="96">
        <v>27</v>
      </c>
      <c r="H299" s="96">
        <f>IF(Classement[[#This Row],[Equipe]]=Report_Données!$D:$D,SUM(Report_Données!$P:$P),3)</f>
        <v>3</v>
      </c>
      <c r="J299" s="33" t="s">
        <v>195</v>
      </c>
    </row>
    <row r="300" spans="1:17" ht="20.100000000000001" customHeight="1" x14ac:dyDescent="0.25">
      <c r="A300" s="3" t="s">
        <v>412</v>
      </c>
      <c r="B300" s="29">
        <f>COUNTIF(Report_Données!D:E,Classement[[#This Row],[Equipe]])+Classement[[#This Row],[Colonne3]]</f>
        <v>16</v>
      </c>
      <c r="C300" s="29">
        <f>SUMPRODUCT(Report[But Dom]*(Report[Domicile]=Classement[[#This Row],[Equipe]]))+SUMPRODUCT(Report[But Ext]*(Report[Extérieur]=Classement[[#This Row],[Equipe]]))+Classement[[#This Row],[Colonne1]]</f>
        <v>25</v>
      </c>
      <c r="D300" s="29">
        <f>SUMPRODUCT(Report[But Ext]*(Report[Domicile]=Classement[[#This Row],[Equipe]]))+SUMPRODUCT(Report[But Dom]*(Report[Extérieur]=Classement[[#This Row],[Equipe]]))+Classement[[#This Row],[Colonne2]]</f>
        <v>18</v>
      </c>
      <c r="E300" s="96">
        <v>15</v>
      </c>
      <c r="F300" s="96">
        <v>24</v>
      </c>
      <c r="G300" s="96">
        <v>17</v>
      </c>
      <c r="H300" s="96">
        <f>IF(Classement[[#This Row],[Equipe]]=Report_Données!$D:$D,SUM(Report_Données!$P:$P),3)</f>
        <v>3</v>
      </c>
      <c r="J300" s="33" t="s">
        <v>195</v>
      </c>
    </row>
    <row r="301" spans="1:17" ht="20.100000000000001" customHeight="1" x14ac:dyDescent="0.25">
      <c r="A301" s="3" t="s">
        <v>413</v>
      </c>
      <c r="B301" s="29">
        <f>COUNTIF(Report_Données!D:E,Classement[[#This Row],[Equipe]])+Classement[[#This Row],[Colonne3]]</f>
        <v>16</v>
      </c>
      <c r="C301" s="29">
        <f>SUMPRODUCT(Report[But Dom]*(Report[Domicile]=Classement[[#This Row],[Equipe]]))+SUMPRODUCT(Report[But Ext]*(Report[Extérieur]=Classement[[#This Row],[Equipe]]))+Classement[[#This Row],[Colonne1]]</f>
        <v>18</v>
      </c>
      <c r="D301" s="29">
        <f>SUMPRODUCT(Report[But Ext]*(Report[Domicile]=Classement[[#This Row],[Equipe]]))+SUMPRODUCT(Report[But Dom]*(Report[Extérieur]=Classement[[#This Row],[Equipe]]))+Classement[[#This Row],[Colonne2]]</f>
        <v>34</v>
      </c>
      <c r="E301" s="96">
        <v>15</v>
      </c>
      <c r="F301" s="96">
        <v>16</v>
      </c>
      <c r="G301" s="96">
        <v>30</v>
      </c>
      <c r="H301" s="96">
        <f>IF(Classement[[#This Row],[Equipe]]=Report_Données!$D:$D,SUM(Report_Données!$P:$P),3)</f>
        <v>3</v>
      </c>
      <c r="J301" s="33" t="s">
        <v>195</v>
      </c>
    </row>
    <row r="302" spans="1:17" ht="20.100000000000001" customHeight="1" x14ac:dyDescent="0.25">
      <c r="A302" s="3" t="s">
        <v>414</v>
      </c>
      <c r="B302" s="29">
        <f>COUNTIF(Report_Données!D:E,Classement[[#This Row],[Equipe]])+Classement[[#This Row],[Colonne3]]</f>
        <v>16</v>
      </c>
      <c r="C302" s="29">
        <f>SUMPRODUCT(Report[But Dom]*(Report[Domicile]=Classement[[#This Row],[Equipe]]))+SUMPRODUCT(Report[But Ext]*(Report[Extérieur]=Classement[[#This Row],[Equipe]]))+Classement[[#This Row],[Colonne1]]</f>
        <v>21</v>
      </c>
      <c r="D302" s="29">
        <f>SUMPRODUCT(Report[But Ext]*(Report[Domicile]=Classement[[#This Row],[Equipe]]))+SUMPRODUCT(Report[But Dom]*(Report[Extérieur]=Classement[[#This Row],[Equipe]]))+Classement[[#This Row],[Colonne2]]</f>
        <v>24</v>
      </c>
      <c r="E302" s="96">
        <v>15</v>
      </c>
      <c r="F302" s="96">
        <v>20</v>
      </c>
      <c r="G302" s="96">
        <v>23</v>
      </c>
      <c r="H302" s="96">
        <f>IF(Classement[[#This Row],[Equipe]]=Report_Données!$D:$D,SUM(Report_Données!$P:$P),3)</f>
        <v>3</v>
      </c>
      <c r="J302" s="33" t="s">
        <v>195</v>
      </c>
    </row>
    <row r="303" spans="1:17" ht="20.100000000000001" customHeight="1" x14ac:dyDescent="0.25">
      <c r="A303" s="3" t="s">
        <v>415</v>
      </c>
      <c r="B303" s="29">
        <f>COUNTIF(Report_Données!D:E,Classement[[#This Row],[Equipe]])+Classement[[#This Row],[Colonne3]]</f>
        <v>16</v>
      </c>
      <c r="C303" s="29">
        <f>SUMPRODUCT(Report[But Dom]*(Report[Domicile]=Classement[[#This Row],[Equipe]]))+SUMPRODUCT(Report[But Ext]*(Report[Extérieur]=Classement[[#This Row],[Equipe]]))+Classement[[#This Row],[Colonne1]]</f>
        <v>39</v>
      </c>
      <c r="D303" s="29">
        <f>SUMPRODUCT(Report[But Ext]*(Report[Domicile]=Classement[[#This Row],[Equipe]]))+SUMPRODUCT(Report[But Dom]*(Report[Extérieur]=Classement[[#This Row],[Equipe]]))+Classement[[#This Row],[Colonne2]]</f>
        <v>15</v>
      </c>
      <c r="E303" s="96">
        <v>15</v>
      </c>
      <c r="F303" s="96">
        <v>38</v>
      </c>
      <c r="G303" s="96">
        <v>14</v>
      </c>
      <c r="H303" s="96">
        <f>IF(Classement[[#This Row],[Equipe]]=Report_Données!$D:$D,SUM(Report_Données!$P:$P),3)</f>
        <v>3</v>
      </c>
      <c r="J303" s="33" t="s">
        <v>195</v>
      </c>
    </row>
    <row r="304" spans="1:17" ht="20.100000000000001" customHeight="1" x14ac:dyDescent="0.25">
      <c r="A304" s="3" t="s">
        <v>416</v>
      </c>
      <c r="B304" s="29">
        <f>COUNTIF(Report_Données!D:E,Classement[[#This Row],[Equipe]])+Classement[[#This Row],[Colonne3]]</f>
        <v>16</v>
      </c>
      <c r="C304" s="29">
        <f>SUMPRODUCT(Report[But Dom]*(Report[Domicile]=Classement[[#This Row],[Equipe]]))+SUMPRODUCT(Report[But Ext]*(Report[Extérieur]=Classement[[#This Row],[Equipe]]))+Classement[[#This Row],[Colonne1]]</f>
        <v>22</v>
      </c>
      <c r="D304" s="29">
        <f>SUMPRODUCT(Report[But Ext]*(Report[Domicile]=Classement[[#This Row],[Equipe]]))+SUMPRODUCT(Report[But Dom]*(Report[Extérieur]=Classement[[#This Row],[Equipe]]))+Classement[[#This Row],[Colonne2]]</f>
        <v>26</v>
      </c>
      <c r="E304" s="96">
        <v>15</v>
      </c>
      <c r="F304" s="96">
        <v>22</v>
      </c>
      <c r="G304" s="96">
        <v>26</v>
      </c>
      <c r="H304" s="96">
        <f>IF(Classement[[#This Row],[Equipe]]=Report_Données!$D:$D,SUM(Report_Données!$P:$P),3)</f>
        <v>3</v>
      </c>
      <c r="J304" s="33" t="s">
        <v>195</v>
      </c>
    </row>
    <row r="305" spans="1:17" ht="20.100000000000001" customHeight="1" x14ac:dyDescent="0.25">
      <c r="A305" s="3" t="s">
        <v>417</v>
      </c>
      <c r="B305" s="29">
        <f>COUNTIF(Report_Données!D:E,Classement[[#This Row],[Equipe]])+Classement[[#This Row],[Colonne3]]</f>
        <v>16</v>
      </c>
      <c r="C305" s="29">
        <f>SUMPRODUCT(Report[But Dom]*(Report[Domicile]=Classement[[#This Row],[Equipe]]))+SUMPRODUCT(Report[But Ext]*(Report[Extérieur]=Classement[[#This Row],[Equipe]]))+Classement[[#This Row],[Colonne1]]</f>
        <v>19</v>
      </c>
      <c r="D305" s="29">
        <f>SUMPRODUCT(Report[But Ext]*(Report[Domicile]=Classement[[#This Row],[Equipe]]))+SUMPRODUCT(Report[But Dom]*(Report[Extérieur]=Classement[[#This Row],[Equipe]]))+Classement[[#This Row],[Colonne2]]</f>
        <v>17</v>
      </c>
      <c r="E305" s="96">
        <v>15</v>
      </c>
      <c r="F305" s="96">
        <v>17</v>
      </c>
      <c r="G305" s="96">
        <v>14</v>
      </c>
      <c r="H305" s="96">
        <f>IF(Classement[[#This Row],[Equipe]]=Report_Données!$D:$D,SUM(Report_Données!$P:$P),3)</f>
        <v>3</v>
      </c>
      <c r="J305" s="33" t="s">
        <v>195</v>
      </c>
    </row>
    <row r="306" spans="1:17" ht="20.100000000000001" customHeight="1" x14ac:dyDescent="0.25">
      <c r="A306" s="3" t="s">
        <v>418</v>
      </c>
      <c r="B306" s="29">
        <f>COUNTIF(Report_Données!D:E,Classement[[#This Row],[Equipe]])+Classement[[#This Row],[Colonne3]]</f>
        <v>16</v>
      </c>
      <c r="C306" s="29">
        <f>SUMPRODUCT(Report[But Dom]*(Report[Domicile]=Classement[[#This Row],[Equipe]]))+SUMPRODUCT(Report[But Ext]*(Report[Extérieur]=Classement[[#This Row],[Equipe]]))+Classement[[#This Row],[Colonne1]]</f>
        <v>14</v>
      </c>
      <c r="D306" s="29">
        <f>SUMPRODUCT(Report[But Ext]*(Report[Domicile]=Classement[[#This Row],[Equipe]]))+SUMPRODUCT(Report[But Dom]*(Report[Extérieur]=Classement[[#This Row],[Equipe]]))+Classement[[#This Row],[Colonne2]]</f>
        <v>29</v>
      </c>
      <c r="E306" s="96">
        <v>15</v>
      </c>
      <c r="F306" s="96">
        <v>13</v>
      </c>
      <c r="G306" s="96">
        <v>29</v>
      </c>
      <c r="H306" s="96">
        <f>IF(Classement[[#This Row],[Equipe]]=Report_Données!$D:$D,SUM(Report_Données!$P:$P),3)</f>
        <v>3</v>
      </c>
      <c r="J306" s="33" t="s">
        <v>195</v>
      </c>
    </row>
    <row r="307" spans="1:17" ht="20.100000000000001" customHeight="1" x14ac:dyDescent="0.25">
      <c r="A307" s="3" t="s">
        <v>419</v>
      </c>
      <c r="B307" s="29">
        <f>COUNTIF(Report_Données!D:E,Classement[[#This Row],[Equipe]])+Classement[[#This Row],[Colonne3]]</f>
        <v>16</v>
      </c>
      <c r="C307" s="29">
        <f>SUMPRODUCT(Report[But Dom]*(Report[Domicile]=Classement[[#This Row],[Equipe]]))+SUMPRODUCT(Report[But Ext]*(Report[Extérieur]=Classement[[#This Row],[Equipe]]))+Classement[[#This Row],[Colonne1]]</f>
        <v>29</v>
      </c>
      <c r="D307" s="29">
        <f>SUMPRODUCT(Report[But Ext]*(Report[Domicile]=Classement[[#This Row],[Equipe]]))+SUMPRODUCT(Report[But Dom]*(Report[Extérieur]=Classement[[#This Row],[Equipe]]))+Classement[[#This Row],[Colonne2]]</f>
        <v>14</v>
      </c>
      <c r="E307" s="96">
        <v>15</v>
      </c>
      <c r="F307" s="96">
        <v>28</v>
      </c>
      <c r="G307" s="96">
        <v>13</v>
      </c>
      <c r="H307" s="96">
        <f>IF(Classement[[#This Row],[Equipe]]=Report_Données!$D:$D,SUM(Report_Données!$P:$P),3)</f>
        <v>3</v>
      </c>
      <c r="J307" s="33" t="s">
        <v>195</v>
      </c>
    </row>
    <row r="308" spans="1:17" ht="20.100000000000001" customHeight="1" x14ac:dyDescent="0.25">
      <c r="A308" s="28"/>
      <c r="B308" s="30"/>
      <c r="C308" s="30"/>
      <c r="D308" s="30"/>
      <c r="E308" s="96"/>
      <c r="F308" s="96"/>
      <c r="G308" s="96"/>
      <c r="H308" s="96">
        <f>IF(Classement[[#This Row],[Equipe]]=Report_Données!$D:$D,SUM(Report_Données!$P:$P),3)</f>
        <v>3</v>
      </c>
    </row>
    <row r="309" spans="1:17" ht="20.100000000000001" customHeight="1" x14ac:dyDescent="0.25">
      <c r="A309" s="3" t="s">
        <v>420</v>
      </c>
      <c r="B309" s="29">
        <f>COUNTIF(Report_Données!D:E,Classement[[#This Row],[Equipe]])+Classement[[#This Row],[Colonne3]]</f>
        <v>17</v>
      </c>
      <c r="C309" s="29">
        <f>SUMPRODUCT(Report[But Dom]*(Report[Domicile]=Classement[[#This Row],[Equipe]]))+SUMPRODUCT(Report[But Ext]*(Report[Extérieur]=Classement[[#This Row],[Equipe]]))+Classement[[#This Row],[Colonne1]]</f>
        <v>11</v>
      </c>
      <c r="D309" s="29">
        <f>SUMPRODUCT(Report[But Ext]*(Report[Domicile]=Classement[[#This Row],[Equipe]]))+SUMPRODUCT(Report[But Dom]*(Report[Extérieur]=Classement[[#This Row],[Equipe]]))+Classement[[#This Row],[Colonne2]]</f>
        <v>23</v>
      </c>
      <c r="E309" s="96">
        <v>16</v>
      </c>
      <c r="F309" s="96">
        <v>11</v>
      </c>
      <c r="G309" s="96">
        <v>20</v>
      </c>
      <c r="H309" s="96">
        <f>IF(Classement[[#This Row],[Equipe]]=Report_Données!$D:$D,SUM(Report_Données!$P:$P),3)</f>
        <v>3</v>
      </c>
      <c r="O309" s="32"/>
      <c r="Q309" s="3" t="s">
        <v>195</v>
      </c>
    </row>
    <row r="310" spans="1:17" ht="20.100000000000001" customHeight="1" x14ac:dyDescent="0.25">
      <c r="A310" s="3" t="s">
        <v>421</v>
      </c>
      <c r="B310" s="29">
        <f>COUNTIF(Report_Données!D:E,Classement[[#This Row],[Equipe]])+Classement[[#This Row],[Colonne3]]</f>
        <v>17</v>
      </c>
      <c r="C310" s="29">
        <f>SUMPRODUCT(Report[But Dom]*(Report[Domicile]=Classement[[#This Row],[Equipe]]))+SUMPRODUCT(Report[But Ext]*(Report[Extérieur]=Classement[[#This Row],[Equipe]]))+Classement[[#This Row],[Colonne1]]</f>
        <v>33</v>
      </c>
      <c r="D310" s="29">
        <f>SUMPRODUCT(Report[But Ext]*(Report[Domicile]=Classement[[#This Row],[Equipe]]))+SUMPRODUCT(Report[But Dom]*(Report[Extérieur]=Classement[[#This Row],[Equipe]]))+Classement[[#This Row],[Colonne2]]</f>
        <v>15</v>
      </c>
      <c r="E310" s="96">
        <v>16</v>
      </c>
      <c r="F310" s="96">
        <v>31</v>
      </c>
      <c r="G310" s="96">
        <v>14</v>
      </c>
      <c r="H310" s="96">
        <f>IF(Classement[[#This Row],[Equipe]]=Report_Données!$D:$D,SUM(Report_Données!$P:$P),3)</f>
        <v>3</v>
      </c>
      <c r="O310" s="31"/>
      <c r="Q310" s="3" t="s">
        <v>195</v>
      </c>
    </row>
    <row r="311" spans="1:17" ht="20.100000000000001" customHeight="1" x14ac:dyDescent="0.25">
      <c r="A311" s="3" t="s">
        <v>422</v>
      </c>
      <c r="B311" s="29">
        <f>COUNTIF(Report_Données!D:E,Classement[[#This Row],[Equipe]])+Classement[[#This Row],[Colonne3]]</f>
        <v>17</v>
      </c>
      <c r="C311" s="29">
        <f>SUMPRODUCT(Report[But Dom]*(Report[Domicile]=Classement[[#This Row],[Equipe]]))+SUMPRODUCT(Report[But Ext]*(Report[Extérieur]=Classement[[#This Row],[Equipe]]))+Classement[[#This Row],[Colonne1]]</f>
        <v>7</v>
      </c>
      <c r="D311" s="29">
        <f>SUMPRODUCT(Report[But Ext]*(Report[Domicile]=Classement[[#This Row],[Equipe]]))+SUMPRODUCT(Report[But Dom]*(Report[Extérieur]=Classement[[#This Row],[Equipe]]))+Classement[[#This Row],[Colonne2]]</f>
        <v>41</v>
      </c>
      <c r="E311" s="96">
        <v>16</v>
      </c>
      <c r="F311" s="96">
        <v>7</v>
      </c>
      <c r="G311" s="96">
        <v>35</v>
      </c>
      <c r="H311" s="96">
        <f>IF(Classement[[#This Row],[Equipe]]=Report_Données!$D:$D,SUM(Report_Données!$P:$P),3)</f>
        <v>3</v>
      </c>
      <c r="O311" s="32"/>
      <c r="Q311" s="3" t="s">
        <v>195</v>
      </c>
    </row>
    <row r="312" spans="1:17" ht="20.100000000000001" customHeight="1" x14ac:dyDescent="0.25">
      <c r="A312" s="3" t="s">
        <v>423</v>
      </c>
      <c r="B312" s="29">
        <f>COUNTIF(Report_Données!D:E,Classement[[#This Row],[Equipe]])+Classement[[#This Row],[Colonne3]]</f>
        <v>17</v>
      </c>
      <c r="C312" s="29">
        <f>SUMPRODUCT(Report[But Dom]*(Report[Domicile]=Classement[[#This Row],[Equipe]]))+SUMPRODUCT(Report[But Ext]*(Report[Extérieur]=Classement[[#This Row],[Equipe]]))+Classement[[#This Row],[Colonne1]]</f>
        <v>45</v>
      </c>
      <c r="D312" s="29">
        <f>SUMPRODUCT(Report[But Ext]*(Report[Domicile]=Classement[[#This Row],[Equipe]]))+SUMPRODUCT(Report[But Dom]*(Report[Extérieur]=Classement[[#This Row],[Equipe]]))+Classement[[#This Row],[Colonne2]]</f>
        <v>10</v>
      </c>
      <c r="E312" s="96">
        <v>16</v>
      </c>
      <c r="F312" s="96">
        <v>43</v>
      </c>
      <c r="G312" s="96">
        <v>8</v>
      </c>
      <c r="H312" s="96">
        <f>IF(Classement[[#This Row],[Equipe]]=Report_Données!$D:$D,SUM(Report_Données!$P:$P),3)</f>
        <v>3</v>
      </c>
      <c r="O312" s="31"/>
      <c r="Q312" s="3" t="s">
        <v>195</v>
      </c>
    </row>
    <row r="313" spans="1:17" ht="20.100000000000001" customHeight="1" x14ac:dyDescent="0.25">
      <c r="A313" s="3" t="s">
        <v>424</v>
      </c>
      <c r="B313" s="29">
        <f>COUNTIF(Report_Données!D:E,Classement[[#This Row],[Equipe]])+Classement[[#This Row],[Colonne3]]</f>
        <v>17</v>
      </c>
      <c r="C313" s="29">
        <f>SUMPRODUCT(Report[But Dom]*(Report[Domicile]=Classement[[#This Row],[Equipe]]))+SUMPRODUCT(Report[But Ext]*(Report[Extérieur]=Classement[[#This Row],[Equipe]]))+Classement[[#This Row],[Colonne1]]</f>
        <v>11</v>
      </c>
      <c r="D313" s="29">
        <f>SUMPRODUCT(Report[But Ext]*(Report[Domicile]=Classement[[#This Row],[Equipe]]))+SUMPRODUCT(Report[But Dom]*(Report[Extérieur]=Classement[[#This Row],[Equipe]]))+Classement[[#This Row],[Colonne2]]</f>
        <v>21</v>
      </c>
      <c r="E313" s="96">
        <v>16</v>
      </c>
      <c r="F313" s="96">
        <v>11</v>
      </c>
      <c r="G313" s="96">
        <v>21</v>
      </c>
      <c r="H313" s="96">
        <f>IF(Classement[[#This Row],[Equipe]]=Report_Données!$D:$D,SUM(Report_Données!$P:$P),3)</f>
        <v>3</v>
      </c>
      <c r="O313" s="32"/>
      <c r="Q313" s="3" t="s">
        <v>195</v>
      </c>
    </row>
    <row r="314" spans="1:17" ht="20.100000000000001" customHeight="1" x14ac:dyDescent="0.25">
      <c r="A314" s="3" t="s">
        <v>425</v>
      </c>
      <c r="B314" s="29">
        <f>COUNTIF(Report_Données!D:E,Classement[[#This Row],[Equipe]])+Classement[[#This Row],[Colonne3]]</f>
        <v>17</v>
      </c>
      <c r="C314" s="29">
        <f>SUMPRODUCT(Report[But Dom]*(Report[Domicile]=Classement[[#This Row],[Equipe]]))+SUMPRODUCT(Report[But Ext]*(Report[Extérieur]=Classement[[#This Row],[Equipe]]))+Classement[[#This Row],[Colonne1]]</f>
        <v>9</v>
      </c>
      <c r="D314" s="29">
        <f>SUMPRODUCT(Report[But Ext]*(Report[Domicile]=Classement[[#This Row],[Equipe]]))+SUMPRODUCT(Report[But Dom]*(Report[Extérieur]=Classement[[#This Row],[Equipe]]))+Classement[[#This Row],[Colonne2]]</f>
        <v>18</v>
      </c>
      <c r="E314" s="96">
        <v>16</v>
      </c>
      <c r="F314" s="96">
        <v>9</v>
      </c>
      <c r="G314" s="96">
        <v>16</v>
      </c>
      <c r="H314" s="96">
        <f>IF(Classement[[#This Row],[Equipe]]=Report_Données!$D:$D,SUM(Report_Données!$P:$P),3)</f>
        <v>3</v>
      </c>
      <c r="O314" s="32"/>
      <c r="Q314" s="3" t="s">
        <v>195</v>
      </c>
    </row>
    <row r="315" spans="1:17" ht="20.100000000000001" customHeight="1" x14ac:dyDescent="0.25">
      <c r="A315" s="3" t="s">
        <v>426</v>
      </c>
      <c r="B315" s="29">
        <f>COUNTIF(Report_Données!D:E,Classement[[#This Row],[Equipe]])+Classement[[#This Row],[Colonne3]]</f>
        <v>17</v>
      </c>
      <c r="C315" s="29">
        <f>SUMPRODUCT(Report[But Dom]*(Report[Domicile]=Classement[[#This Row],[Equipe]]))+SUMPRODUCT(Report[But Ext]*(Report[Extérieur]=Classement[[#This Row],[Equipe]]))+Classement[[#This Row],[Colonne1]]</f>
        <v>21</v>
      </c>
      <c r="D315" s="29">
        <f>SUMPRODUCT(Report[But Ext]*(Report[Domicile]=Classement[[#This Row],[Equipe]]))+SUMPRODUCT(Report[But Dom]*(Report[Extérieur]=Classement[[#This Row],[Equipe]]))+Classement[[#This Row],[Colonne2]]</f>
        <v>20</v>
      </c>
      <c r="E315" s="96">
        <v>16</v>
      </c>
      <c r="F315" s="96">
        <v>21</v>
      </c>
      <c r="G315" s="96">
        <v>19</v>
      </c>
      <c r="H315" s="96">
        <f>IF(Classement[[#This Row],[Equipe]]=Report_Données!$D:$D,SUM(Report_Données!$P:$P),3)</f>
        <v>3</v>
      </c>
      <c r="O315" s="32"/>
      <c r="Q315" s="3" t="s">
        <v>195</v>
      </c>
    </row>
    <row r="316" spans="1:17" ht="20.100000000000001" customHeight="1" x14ac:dyDescent="0.25">
      <c r="A316" s="3" t="s">
        <v>427</v>
      </c>
      <c r="B316" s="29">
        <f>COUNTIF(Report_Données!D:E,Classement[[#This Row],[Equipe]])+Classement[[#This Row],[Colonne3]]</f>
        <v>17</v>
      </c>
      <c r="C316" s="29">
        <f>SUMPRODUCT(Report[But Dom]*(Report[Domicile]=Classement[[#This Row],[Equipe]]))+SUMPRODUCT(Report[But Ext]*(Report[Extérieur]=Classement[[#This Row],[Equipe]]))+Classement[[#This Row],[Colonne1]]</f>
        <v>24</v>
      </c>
      <c r="D316" s="29">
        <f>SUMPRODUCT(Report[But Ext]*(Report[Domicile]=Classement[[#This Row],[Equipe]]))+SUMPRODUCT(Report[But Dom]*(Report[Extérieur]=Classement[[#This Row],[Equipe]]))+Classement[[#This Row],[Colonne2]]</f>
        <v>13</v>
      </c>
      <c r="E316" s="96">
        <v>16</v>
      </c>
      <c r="F316" s="96">
        <v>22</v>
      </c>
      <c r="G316" s="96">
        <v>13</v>
      </c>
      <c r="H316" s="96">
        <f>IF(Classement[[#This Row],[Equipe]]=Report_Données!$D:$D,SUM(Report_Données!$P:$P),3)</f>
        <v>3</v>
      </c>
      <c r="O316" s="32"/>
      <c r="Q316" s="3" t="s">
        <v>195</v>
      </c>
    </row>
    <row r="317" spans="1:17" ht="20.100000000000001" customHeight="1" x14ac:dyDescent="0.25">
      <c r="A317" s="3" t="s">
        <v>428</v>
      </c>
      <c r="B317" s="29">
        <f>COUNTIF(Report_Données!D:E,Classement[[#This Row],[Equipe]])+Classement[[#This Row],[Colonne3]]</f>
        <v>17</v>
      </c>
      <c r="C317" s="29">
        <f>SUMPRODUCT(Report[But Dom]*(Report[Domicile]=Classement[[#This Row],[Equipe]]))+SUMPRODUCT(Report[But Ext]*(Report[Extérieur]=Classement[[#This Row],[Equipe]]))+Classement[[#This Row],[Colonne1]]</f>
        <v>27</v>
      </c>
      <c r="D317" s="29">
        <f>SUMPRODUCT(Report[But Ext]*(Report[Domicile]=Classement[[#This Row],[Equipe]]))+SUMPRODUCT(Report[But Dom]*(Report[Extérieur]=Classement[[#This Row],[Equipe]]))+Classement[[#This Row],[Colonne2]]</f>
        <v>7</v>
      </c>
      <c r="E317" s="96">
        <v>16</v>
      </c>
      <c r="F317" s="96">
        <v>21</v>
      </c>
      <c r="G317" s="96">
        <v>7</v>
      </c>
      <c r="H317" s="96">
        <f>IF(Classement[[#This Row],[Equipe]]=Report_Données!$D:$D,SUM(Report_Données!$P:$P),3)</f>
        <v>3</v>
      </c>
      <c r="O317" s="32"/>
      <c r="Q317" s="3" t="s">
        <v>195</v>
      </c>
    </row>
    <row r="318" spans="1:17" ht="20.100000000000001" customHeight="1" x14ac:dyDescent="0.25">
      <c r="A318" s="3" t="s">
        <v>429</v>
      </c>
      <c r="B318" s="29">
        <f>COUNTIF(Report_Données!D:E,Classement[[#This Row],[Equipe]])+Classement[[#This Row],[Colonne3]]</f>
        <v>17</v>
      </c>
      <c r="C318" s="29">
        <f>SUMPRODUCT(Report[But Dom]*(Report[Domicile]=Classement[[#This Row],[Equipe]]))+SUMPRODUCT(Report[But Ext]*(Report[Extérieur]=Classement[[#This Row],[Equipe]]))+Classement[[#This Row],[Colonne1]]</f>
        <v>22</v>
      </c>
      <c r="D318" s="29">
        <f>SUMPRODUCT(Report[But Ext]*(Report[Domicile]=Classement[[#This Row],[Equipe]]))+SUMPRODUCT(Report[But Dom]*(Report[Extérieur]=Classement[[#This Row],[Equipe]]))+Classement[[#This Row],[Colonne2]]</f>
        <v>17</v>
      </c>
      <c r="E318" s="96">
        <v>16</v>
      </c>
      <c r="F318" s="96">
        <v>22</v>
      </c>
      <c r="G318" s="96">
        <v>17</v>
      </c>
      <c r="H318" s="96">
        <f>IF(Classement[[#This Row],[Equipe]]=Report_Données!$D:$D,SUM(Report_Données!$P:$P),3)</f>
        <v>3</v>
      </c>
      <c r="O318" s="32"/>
      <c r="Q318" s="3" t="s">
        <v>195</v>
      </c>
    </row>
    <row r="319" spans="1:17" ht="20.100000000000001" customHeight="1" x14ac:dyDescent="0.25">
      <c r="A319" s="3" t="s">
        <v>430</v>
      </c>
      <c r="B319" s="29">
        <f>COUNTIF(Report_Données!D:E,Classement[[#This Row],[Equipe]])+Classement[[#This Row],[Colonne3]]</f>
        <v>17</v>
      </c>
      <c r="C319" s="29">
        <f>SUMPRODUCT(Report[But Dom]*(Report[Domicile]=Classement[[#This Row],[Equipe]]))+SUMPRODUCT(Report[But Ext]*(Report[Extérieur]=Classement[[#This Row],[Equipe]]))+Classement[[#This Row],[Colonne1]]</f>
        <v>12</v>
      </c>
      <c r="D319" s="29">
        <f>SUMPRODUCT(Report[But Ext]*(Report[Domicile]=Classement[[#This Row],[Equipe]]))+SUMPRODUCT(Report[But Dom]*(Report[Extérieur]=Classement[[#This Row],[Equipe]]))+Classement[[#This Row],[Colonne2]]</f>
        <v>23</v>
      </c>
      <c r="E319" s="96">
        <v>16</v>
      </c>
      <c r="F319" s="96">
        <v>11</v>
      </c>
      <c r="G319" s="96">
        <v>21</v>
      </c>
      <c r="H319" s="96">
        <f>IF(Classement[[#This Row],[Equipe]]=Report_Données!$D:$D,SUM(Report_Données!$P:$P),3)</f>
        <v>3</v>
      </c>
      <c r="O319" s="32"/>
      <c r="Q319" s="3" t="s">
        <v>195</v>
      </c>
    </row>
    <row r="320" spans="1:17" ht="20.100000000000001" customHeight="1" x14ac:dyDescent="0.25">
      <c r="A320" s="3" t="s">
        <v>431</v>
      </c>
      <c r="B320" s="29">
        <f>COUNTIF(Report_Données!D:E,Classement[[#This Row],[Equipe]])+Classement[[#This Row],[Colonne3]]</f>
        <v>17</v>
      </c>
      <c r="C320" s="29">
        <f>SUMPRODUCT(Report[But Dom]*(Report[Domicile]=Classement[[#This Row],[Equipe]]))+SUMPRODUCT(Report[But Ext]*(Report[Extérieur]=Classement[[#This Row],[Equipe]]))+Classement[[#This Row],[Colonne1]]</f>
        <v>31</v>
      </c>
      <c r="D320" s="29">
        <f>SUMPRODUCT(Report[But Ext]*(Report[Domicile]=Classement[[#This Row],[Equipe]]))+SUMPRODUCT(Report[But Dom]*(Report[Extérieur]=Classement[[#This Row],[Equipe]]))+Classement[[#This Row],[Colonne2]]</f>
        <v>14</v>
      </c>
      <c r="E320" s="96">
        <v>16</v>
      </c>
      <c r="F320" s="96">
        <v>29</v>
      </c>
      <c r="G320" s="96">
        <v>12</v>
      </c>
      <c r="H320" s="96">
        <f>IF(Classement[[#This Row],[Equipe]]=Report_Données!$D:$D,SUM(Report_Données!$P:$P),3)</f>
        <v>3</v>
      </c>
      <c r="O320" s="31"/>
      <c r="Q320" s="3" t="s">
        <v>195</v>
      </c>
    </row>
    <row r="321" spans="1:17" ht="20.100000000000001" customHeight="1" x14ac:dyDescent="0.25">
      <c r="A321" s="3" t="s">
        <v>432</v>
      </c>
      <c r="B321" s="29">
        <f>COUNTIF(Report_Données!D:E,Classement[[#This Row],[Equipe]])+Classement[[#This Row],[Colonne3]]</f>
        <v>17</v>
      </c>
      <c r="C321" s="29">
        <f>SUMPRODUCT(Report[But Dom]*(Report[Domicile]=Classement[[#This Row],[Equipe]]))+SUMPRODUCT(Report[But Ext]*(Report[Extérieur]=Classement[[#This Row],[Equipe]]))+Classement[[#This Row],[Colonne1]]</f>
        <v>10</v>
      </c>
      <c r="D321" s="29">
        <f>SUMPRODUCT(Report[But Ext]*(Report[Domicile]=Classement[[#This Row],[Equipe]]))+SUMPRODUCT(Report[But Dom]*(Report[Extérieur]=Classement[[#This Row],[Equipe]]))+Classement[[#This Row],[Colonne2]]</f>
        <v>20</v>
      </c>
      <c r="E321" s="96">
        <v>16</v>
      </c>
      <c r="F321" s="96">
        <v>9</v>
      </c>
      <c r="G321" s="96">
        <v>20</v>
      </c>
      <c r="H321" s="96">
        <f>IF(Classement[[#This Row],[Equipe]]=Report_Données!$D:$D,SUM(Report_Données!$P:$P),3)</f>
        <v>3</v>
      </c>
      <c r="O321" s="32"/>
      <c r="Q321" s="3" t="s">
        <v>195</v>
      </c>
    </row>
    <row r="322" spans="1:17" ht="20.100000000000001" customHeight="1" x14ac:dyDescent="0.25">
      <c r="A322" s="3" t="s">
        <v>433</v>
      </c>
      <c r="B322" s="29">
        <f>COUNTIF(Report_Données!D:E,Classement[[#This Row],[Equipe]])+Classement[[#This Row],[Colonne3]]</f>
        <v>17</v>
      </c>
      <c r="C322" s="29">
        <f>SUMPRODUCT(Report[But Dom]*(Report[Domicile]=Classement[[#This Row],[Equipe]]))+SUMPRODUCT(Report[But Ext]*(Report[Extérieur]=Classement[[#This Row],[Equipe]]))+Classement[[#This Row],[Colonne1]]</f>
        <v>13</v>
      </c>
      <c r="D322" s="29">
        <f>SUMPRODUCT(Report[But Ext]*(Report[Domicile]=Classement[[#This Row],[Equipe]]))+SUMPRODUCT(Report[But Dom]*(Report[Extérieur]=Classement[[#This Row],[Equipe]]))+Classement[[#This Row],[Colonne2]]</f>
        <v>23</v>
      </c>
      <c r="E322" s="96">
        <v>16</v>
      </c>
      <c r="F322" s="96">
        <v>10</v>
      </c>
      <c r="G322" s="96">
        <v>23</v>
      </c>
      <c r="H322" s="96">
        <f>IF(Classement[[#This Row],[Equipe]]=Report_Données!$D:$D,SUM(Report_Données!$P:$P),3)</f>
        <v>3</v>
      </c>
      <c r="O322" s="32"/>
      <c r="Q322" s="3" t="s">
        <v>195</v>
      </c>
    </row>
    <row r="323" spans="1:17" ht="20.100000000000001" customHeight="1" x14ac:dyDescent="0.25">
      <c r="A323" s="3" t="s">
        <v>434</v>
      </c>
      <c r="B323" s="29">
        <f>COUNTIF(Report_Données!D:E,Classement[[#This Row],[Equipe]])+Classement[[#This Row],[Colonne3]]</f>
        <v>17</v>
      </c>
      <c r="C323" s="29">
        <f>SUMPRODUCT(Report[But Dom]*(Report[Domicile]=Classement[[#This Row],[Equipe]]))+SUMPRODUCT(Report[But Ext]*(Report[Extérieur]=Classement[[#This Row],[Equipe]]))+Classement[[#This Row],[Colonne1]]</f>
        <v>14</v>
      </c>
      <c r="D323" s="29">
        <f>SUMPRODUCT(Report[But Ext]*(Report[Domicile]=Classement[[#This Row],[Equipe]]))+SUMPRODUCT(Report[But Dom]*(Report[Extérieur]=Classement[[#This Row],[Equipe]]))+Classement[[#This Row],[Colonne2]]</f>
        <v>14</v>
      </c>
      <c r="E323" s="96">
        <v>16</v>
      </c>
      <c r="F323" s="96">
        <v>14</v>
      </c>
      <c r="G323" s="96">
        <v>14</v>
      </c>
      <c r="H323" s="96">
        <f>IF(Classement[[#This Row],[Equipe]]=Report_Données!$D:$D,SUM(Report_Données!$P:$P),3)</f>
        <v>3</v>
      </c>
      <c r="O323" s="32"/>
      <c r="Q323" s="3" t="s">
        <v>195</v>
      </c>
    </row>
    <row r="324" spans="1:17" ht="20.100000000000001" customHeight="1" x14ac:dyDescent="0.25">
      <c r="A324" s="3" t="s">
        <v>435</v>
      </c>
      <c r="B324" s="29">
        <f>COUNTIF(Report_Données!D:E,Classement[[#This Row],[Equipe]])+Classement[[#This Row],[Colonne3]]</f>
        <v>17</v>
      </c>
      <c r="C324" s="29">
        <f>SUMPRODUCT(Report[But Dom]*(Report[Domicile]=Classement[[#This Row],[Equipe]]))+SUMPRODUCT(Report[But Ext]*(Report[Extérieur]=Classement[[#This Row],[Equipe]]))+Classement[[#This Row],[Colonne1]]</f>
        <v>15</v>
      </c>
      <c r="D324" s="29">
        <f>SUMPRODUCT(Report[But Ext]*(Report[Domicile]=Classement[[#This Row],[Equipe]]))+SUMPRODUCT(Report[But Dom]*(Report[Extérieur]=Classement[[#This Row],[Equipe]]))+Classement[[#This Row],[Colonne2]]</f>
        <v>26</v>
      </c>
      <c r="E324" s="96">
        <v>16</v>
      </c>
      <c r="F324" s="96">
        <v>15</v>
      </c>
      <c r="G324" s="96">
        <v>26</v>
      </c>
      <c r="H324" s="96">
        <f>IF(Classement[[#This Row],[Equipe]]=Report_Données!$D:$D,SUM(Report_Données!$P:$P),3)</f>
        <v>3</v>
      </c>
      <c r="O324" s="32"/>
    </row>
    <row r="325" spans="1:17" ht="20.100000000000001" customHeight="1" x14ac:dyDescent="0.25">
      <c r="A325" s="28"/>
      <c r="B325" s="30"/>
      <c r="C325" s="30"/>
      <c r="D325" s="30"/>
      <c r="E325" s="96"/>
      <c r="F325" s="96"/>
      <c r="G325" s="96"/>
      <c r="H325" s="96">
        <f>IF(Classement[[#This Row],[Equipe]]=Report_Données!$D:$D,SUM(Report_Données!$P:$P),3)</f>
        <v>3</v>
      </c>
    </row>
    <row r="326" spans="1:17" ht="20.100000000000001" customHeight="1" x14ac:dyDescent="0.25">
      <c r="A326" s="3" t="s">
        <v>436</v>
      </c>
      <c r="B326" s="29">
        <f>COUNTIF(Report_Données!D:E,Classement[[#This Row],[Equipe]])+Classement[[#This Row],[Colonne3]]</f>
        <v>17</v>
      </c>
      <c r="C326" s="29">
        <f>SUMPRODUCT(Report[But Dom]*(Report[Domicile]=Classement[[#This Row],[Equipe]]))+SUMPRODUCT(Report[But Ext]*(Report[Extérieur]=Classement[[#This Row],[Equipe]]))+Classement[[#This Row],[Colonne1]]</f>
        <v>25</v>
      </c>
      <c r="D326" s="29">
        <f>SUMPRODUCT(Report[But Ext]*(Report[Domicile]=Classement[[#This Row],[Equipe]]))+SUMPRODUCT(Report[But Dom]*(Report[Extérieur]=Classement[[#This Row],[Equipe]]))+Classement[[#This Row],[Colonne2]]</f>
        <v>25</v>
      </c>
      <c r="E326" s="96">
        <v>16</v>
      </c>
      <c r="F326" s="96">
        <v>24</v>
      </c>
      <c r="G326" s="96">
        <v>25</v>
      </c>
      <c r="H326" s="96">
        <f>IF(Classement[[#This Row],[Equipe]]=Report_Données!$D:$D,SUM(Report_Données!$P:$P),3)</f>
        <v>3</v>
      </c>
      <c r="O326" s="31"/>
      <c r="Q326" s="3" t="s">
        <v>195</v>
      </c>
    </row>
    <row r="327" spans="1:17" ht="20.100000000000001" customHeight="1" x14ac:dyDescent="0.25">
      <c r="A327" s="3" t="s">
        <v>437</v>
      </c>
      <c r="B327" s="29">
        <f>COUNTIF(Report_Données!D:E,Classement[[#This Row],[Equipe]])+Classement[[#This Row],[Colonne3]]</f>
        <v>17</v>
      </c>
      <c r="C327" s="29">
        <f>SUMPRODUCT(Report[But Dom]*(Report[Domicile]=Classement[[#This Row],[Equipe]]))+SUMPRODUCT(Report[But Ext]*(Report[Extérieur]=Classement[[#This Row],[Equipe]]))+Classement[[#This Row],[Colonne1]]</f>
        <v>20</v>
      </c>
      <c r="D327" s="29">
        <f>SUMPRODUCT(Report[But Ext]*(Report[Domicile]=Classement[[#This Row],[Equipe]]))+SUMPRODUCT(Report[But Dom]*(Report[Extérieur]=Classement[[#This Row],[Equipe]]))+Classement[[#This Row],[Colonne2]]</f>
        <v>24</v>
      </c>
      <c r="E327" s="96">
        <v>16</v>
      </c>
      <c r="F327" s="96">
        <v>18</v>
      </c>
      <c r="G327" s="96">
        <v>24</v>
      </c>
      <c r="H327" s="96">
        <f>IF(Classement[[#This Row],[Equipe]]=Report_Données!$D:$D,SUM(Report_Données!$P:$P),3)</f>
        <v>3</v>
      </c>
      <c r="O327" s="32"/>
      <c r="Q327" s="3" t="s">
        <v>195</v>
      </c>
    </row>
    <row r="328" spans="1:17" ht="20.100000000000001" customHeight="1" x14ac:dyDescent="0.25">
      <c r="A328" s="3" t="s">
        <v>438</v>
      </c>
      <c r="B328" s="29">
        <f>COUNTIF(Report_Données!D:E,Classement[[#This Row],[Equipe]])+Classement[[#This Row],[Colonne3]]</f>
        <v>17</v>
      </c>
      <c r="C328" s="29">
        <f>SUMPRODUCT(Report[But Dom]*(Report[Domicile]=Classement[[#This Row],[Equipe]]))+SUMPRODUCT(Report[But Ext]*(Report[Extérieur]=Classement[[#This Row],[Equipe]]))+Classement[[#This Row],[Colonne1]]</f>
        <v>32</v>
      </c>
      <c r="D328" s="29">
        <f>SUMPRODUCT(Report[But Ext]*(Report[Domicile]=Classement[[#This Row],[Equipe]]))+SUMPRODUCT(Report[But Dom]*(Report[Extérieur]=Classement[[#This Row],[Equipe]]))+Classement[[#This Row],[Colonne2]]</f>
        <v>25</v>
      </c>
      <c r="E328" s="96">
        <v>16</v>
      </c>
      <c r="F328" s="96">
        <v>28</v>
      </c>
      <c r="G328" s="96">
        <v>24</v>
      </c>
      <c r="H328" s="96">
        <f>IF(Classement[[#This Row],[Equipe]]=Report_Données!$D:$D,SUM(Report_Données!$P:$P),3)</f>
        <v>3</v>
      </c>
      <c r="O328" s="31"/>
      <c r="Q328" s="3" t="s">
        <v>195</v>
      </c>
    </row>
    <row r="329" spans="1:17" ht="20.100000000000001" customHeight="1" x14ac:dyDescent="0.25">
      <c r="A329" s="3" t="s">
        <v>439</v>
      </c>
      <c r="B329" s="29">
        <f>COUNTIF(Report_Données!D:E,Classement[[#This Row],[Equipe]])+Classement[[#This Row],[Colonne3]]</f>
        <v>18</v>
      </c>
      <c r="C329" s="29">
        <f>SUMPRODUCT(Report[But Dom]*(Report[Domicile]=Classement[[#This Row],[Equipe]]))+SUMPRODUCT(Report[But Ext]*(Report[Extérieur]=Classement[[#This Row],[Equipe]]))+Classement[[#This Row],[Colonne1]]</f>
        <v>21</v>
      </c>
      <c r="D329" s="29">
        <f>SUMPRODUCT(Report[But Ext]*(Report[Domicile]=Classement[[#This Row],[Equipe]]))+SUMPRODUCT(Report[But Dom]*(Report[Extérieur]=Classement[[#This Row],[Equipe]]))+Classement[[#This Row],[Colonne2]]</f>
        <v>27</v>
      </c>
      <c r="E329" s="96">
        <v>16</v>
      </c>
      <c r="F329" s="96">
        <v>21</v>
      </c>
      <c r="G329" s="96">
        <v>24</v>
      </c>
      <c r="H329" s="96">
        <f>IF(Classement[[#This Row],[Equipe]]=Report_Données!$D:$D,SUM(Report_Données!$P:$P),3)</f>
        <v>3</v>
      </c>
      <c r="O329" s="32"/>
      <c r="Q329" s="3" t="s">
        <v>195</v>
      </c>
    </row>
    <row r="330" spans="1:17" ht="20.100000000000001" customHeight="1" x14ac:dyDescent="0.25">
      <c r="A330" s="3" t="s">
        <v>440</v>
      </c>
      <c r="B330" s="29">
        <f>COUNTIF(Report_Données!D:E,Classement[[#This Row],[Equipe]])+Classement[[#This Row],[Colonne3]]</f>
        <v>17</v>
      </c>
      <c r="C330" s="29">
        <f>SUMPRODUCT(Report[But Dom]*(Report[Domicile]=Classement[[#This Row],[Equipe]]))+SUMPRODUCT(Report[But Ext]*(Report[Extérieur]=Classement[[#This Row],[Equipe]]))+Classement[[#This Row],[Colonne1]]</f>
        <v>12</v>
      </c>
      <c r="D330" s="29">
        <f>SUMPRODUCT(Report[But Ext]*(Report[Domicile]=Classement[[#This Row],[Equipe]]))+SUMPRODUCT(Report[But Dom]*(Report[Extérieur]=Classement[[#This Row],[Equipe]]))+Classement[[#This Row],[Colonne2]]</f>
        <v>26</v>
      </c>
      <c r="E330" s="96">
        <v>16</v>
      </c>
      <c r="F330" s="96">
        <v>12</v>
      </c>
      <c r="G330" s="96">
        <v>23</v>
      </c>
      <c r="H330" s="96">
        <f>IF(Classement[[#This Row],[Equipe]]=Report_Données!$D:$D,SUM(Report_Données!$P:$P),3)</f>
        <v>3</v>
      </c>
      <c r="O330" s="32"/>
      <c r="Q330" s="3" t="s">
        <v>195</v>
      </c>
    </row>
    <row r="331" spans="1:17" ht="20.100000000000001" customHeight="1" x14ac:dyDescent="0.25">
      <c r="A331" s="3" t="s">
        <v>441</v>
      </c>
      <c r="B331" s="29">
        <f>COUNTIF(Report_Données!D:E,Classement[[#This Row],[Equipe]])+Classement[[#This Row],[Colonne3]]</f>
        <v>17</v>
      </c>
      <c r="C331" s="29">
        <f>SUMPRODUCT(Report[But Dom]*(Report[Domicile]=Classement[[#This Row],[Equipe]]))+SUMPRODUCT(Report[But Ext]*(Report[Extérieur]=Classement[[#This Row],[Equipe]]))+Classement[[#This Row],[Colonne1]]</f>
        <v>50</v>
      </c>
      <c r="D331" s="29">
        <f>SUMPRODUCT(Report[But Ext]*(Report[Domicile]=Classement[[#This Row],[Equipe]]))+SUMPRODUCT(Report[But Dom]*(Report[Extérieur]=Classement[[#This Row],[Equipe]]))+Classement[[#This Row],[Colonne2]]</f>
        <v>14</v>
      </c>
      <c r="E331" s="96">
        <v>16</v>
      </c>
      <c r="F331" s="96">
        <v>47</v>
      </c>
      <c r="G331" s="96">
        <v>14</v>
      </c>
      <c r="H331" s="96">
        <f>IF(Classement[[#This Row],[Equipe]]=Report_Données!$D:$D,SUM(Report_Données!$P:$P),3)</f>
        <v>3</v>
      </c>
      <c r="O331" s="31"/>
      <c r="Q331" s="3" t="s">
        <v>195</v>
      </c>
    </row>
    <row r="332" spans="1:17" ht="20.100000000000001" customHeight="1" x14ac:dyDescent="0.25">
      <c r="A332" s="3" t="s">
        <v>442</v>
      </c>
      <c r="B332" s="29">
        <f>COUNTIF(Report_Données!D:E,Classement[[#This Row],[Equipe]])+Classement[[#This Row],[Colonne3]]</f>
        <v>17</v>
      </c>
      <c r="C332" s="29">
        <f>SUMPRODUCT(Report[But Dom]*(Report[Domicile]=Classement[[#This Row],[Equipe]]))+SUMPRODUCT(Report[But Ext]*(Report[Extérieur]=Classement[[#This Row],[Equipe]]))+Classement[[#This Row],[Colonne1]]</f>
        <v>26</v>
      </c>
      <c r="D332" s="29">
        <f>SUMPRODUCT(Report[But Ext]*(Report[Domicile]=Classement[[#This Row],[Equipe]]))+SUMPRODUCT(Report[But Dom]*(Report[Extérieur]=Classement[[#This Row],[Equipe]]))+Classement[[#This Row],[Colonne2]]</f>
        <v>24</v>
      </c>
      <c r="E332" s="96">
        <v>16</v>
      </c>
      <c r="F332" s="96">
        <v>24</v>
      </c>
      <c r="G332" s="96">
        <v>22</v>
      </c>
      <c r="H332" s="96">
        <f>IF(Classement[[#This Row],[Equipe]]=Report_Données!$D:$D,SUM(Report_Données!$P:$P),3)</f>
        <v>3</v>
      </c>
      <c r="O332" s="31"/>
      <c r="Q332" s="3" t="s">
        <v>195</v>
      </c>
    </row>
    <row r="333" spans="1:17" ht="20.100000000000001" customHeight="1" x14ac:dyDescent="0.25">
      <c r="A333" s="3" t="s">
        <v>443</v>
      </c>
      <c r="B333" s="29">
        <f>COUNTIF(Report_Données!D:E,Classement[[#This Row],[Equipe]])+Classement[[#This Row],[Colonne3]]</f>
        <v>17</v>
      </c>
      <c r="C333" s="29">
        <f>SUMPRODUCT(Report[But Dom]*(Report[Domicile]=Classement[[#This Row],[Equipe]]))+SUMPRODUCT(Report[But Ext]*(Report[Extérieur]=Classement[[#This Row],[Equipe]]))+Classement[[#This Row],[Colonne1]]</f>
        <v>36</v>
      </c>
      <c r="D333" s="29">
        <f>SUMPRODUCT(Report[But Ext]*(Report[Domicile]=Classement[[#This Row],[Equipe]]))+SUMPRODUCT(Report[But Dom]*(Report[Extérieur]=Classement[[#This Row],[Equipe]]))+Classement[[#This Row],[Colonne2]]</f>
        <v>21</v>
      </c>
      <c r="E333" s="96">
        <v>16</v>
      </c>
      <c r="F333" s="96">
        <v>34</v>
      </c>
      <c r="G333" s="96">
        <v>19</v>
      </c>
      <c r="H333" s="96">
        <f>IF(Classement[[#This Row],[Equipe]]=Report_Données!$D:$D,SUM(Report_Données!$P:$P),3)</f>
        <v>3</v>
      </c>
      <c r="O333" s="31"/>
      <c r="Q333" s="3" t="s">
        <v>195</v>
      </c>
    </row>
    <row r="334" spans="1:17" ht="20.100000000000001" customHeight="1" x14ac:dyDescent="0.25">
      <c r="A334" s="3" t="s">
        <v>444</v>
      </c>
      <c r="B334" s="29">
        <f>COUNTIF(Report_Données!D:E,Classement[[#This Row],[Equipe]])+Classement[[#This Row],[Colonne3]]</f>
        <v>17</v>
      </c>
      <c r="C334" s="29">
        <f>SUMPRODUCT(Report[But Dom]*(Report[Domicile]=Classement[[#This Row],[Equipe]]))+SUMPRODUCT(Report[But Ext]*(Report[Extérieur]=Classement[[#This Row],[Equipe]]))+Classement[[#This Row],[Colonne1]]</f>
        <v>16</v>
      </c>
      <c r="D334" s="29">
        <f>SUMPRODUCT(Report[But Ext]*(Report[Domicile]=Classement[[#This Row],[Equipe]]))+SUMPRODUCT(Report[But Dom]*(Report[Extérieur]=Classement[[#This Row],[Equipe]]))+Classement[[#This Row],[Colonne2]]</f>
        <v>37</v>
      </c>
      <c r="E334" s="96">
        <v>16</v>
      </c>
      <c r="F334" s="96">
        <v>16</v>
      </c>
      <c r="G334" s="96">
        <v>35</v>
      </c>
      <c r="H334" s="96">
        <f>IF(Classement[[#This Row],[Equipe]]=Report_Données!$D:$D,SUM(Report_Données!$P:$P),3)</f>
        <v>3</v>
      </c>
      <c r="O334" s="32"/>
      <c r="Q334" s="3" t="s">
        <v>195</v>
      </c>
    </row>
    <row r="335" spans="1:17" ht="20.100000000000001" customHeight="1" x14ac:dyDescent="0.25">
      <c r="A335" s="3" t="s">
        <v>445</v>
      </c>
      <c r="B335" s="29">
        <f>COUNTIF(Report_Données!D:E,Classement[[#This Row],[Equipe]])+Classement[[#This Row],[Colonne3]]</f>
        <v>17</v>
      </c>
      <c r="C335" s="29">
        <f>SUMPRODUCT(Report[But Dom]*(Report[Domicile]=Classement[[#This Row],[Equipe]]))+SUMPRODUCT(Report[But Ext]*(Report[Extérieur]=Classement[[#This Row],[Equipe]]))+Classement[[#This Row],[Colonne1]]</f>
        <v>23</v>
      </c>
      <c r="D335" s="29">
        <f>SUMPRODUCT(Report[But Ext]*(Report[Domicile]=Classement[[#This Row],[Equipe]]))+SUMPRODUCT(Report[But Dom]*(Report[Extérieur]=Classement[[#This Row],[Equipe]]))+Classement[[#This Row],[Colonne2]]</f>
        <v>40</v>
      </c>
      <c r="E335" s="96">
        <v>16</v>
      </c>
      <c r="F335" s="96">
        <v>22</v>
      </c>
      <c r="G335" s="96">
        <v>36</v>
      </c>
      <c r="H335" s="96">
        <f>IF(Classement[[#This Row],[Equipe]]=Report_Données!$D:$D,SUM(Report_Données!$P:$P),3)</f>
        <v>3</v>
      </c>
      <c r="O335" s="32"/>
    </row>
    <row r="336" spans="1:17" ht="20.100000000000001" customHeight="1" x14ac:dyDescent="0.25">
      <c r="A336" s="28"/>
      <c r="B336" s="30"/>
      <c r="C336" s="30"/>
      <c r="D336" s="30"/>
      <c r="E336" s="96"/>
      <c r="F336" s="96"/>
      <c r="G336" s="96"/>
      <c r="H336" s="96">
        <f>IF(Classement[[#This Row],[Equipe]]=Report_Données!$D:$D,SUM(Report_Données!$P:$P),3)</f>
        <v>3</v>
      </c>
    </row>
    <row r="337" spans="1:17" ht="20.100000000000001" customHeight="1" x14ac:dyDescent="0.25">
      <c r="A337" s="3" t="s">
        <v>446</v>
      </c>
      <c r="B337" s="29">
        <f>COUNTIF(Report_Données!D:E,Classement[[#This Row],[Equipe]])+Classement[[#This Row],[Colonne3]]</f>
        <v>15</v>
      </c>
      <c r="C337" s="29">
        <f>SUMPRODUCT(Report[But Dom]*(Report[Domicile]=Classement[[#This Row],[Equipe]]))+SUMPRODUCT(Report[But Ext]*(Report[Extérieur]=Classement[[#This Row],[Equipe]]))+Classement[[#This Row],[Colonne1]]</f>
        <v>28</v>
      </c>
      <c r="D337" s="29">
        <f>SUMPRODUCT(Report[But Ext]*(Report[Domicile]=Classement[[#This Row],[Equipe]]))+SUMPRODUCT(Report[But Dom]*(Report[Extérieur]=Classement[[#This Row],[Equipe]]))+Classement[[#This Row],[Colonne2]]</f>
        <v>21</v>
      </c>
      <c r="E337" s="96">
        <v>14</v>
      </c>
      <c r="F337" s="96">
        <v>26</v>
      </c>
      <c r="G337" s="96">
        <v>19</v>
      </c>
      <c r="H337" s="96">
        <f>IF(Classement[[#This Row],[Equipe]]=Report_Données!$D:$D,SUM(Report_Données!$P:$P),3)</f>
        <v>3</v>
      </c>
      <c r="O337" s="31"/>
      <c r="Q337" s="3" t="s">
        <v>195</v>
      </c>
    </row>
    <row r="338" spans="1:17" ht="20.100000000000001" customHeight="1" x14ac:dyDescent="0.25">
      <c r="A338" s="3" t="s">
        <v>447</v>
      </c>
      <c r="B338" s="29">
        <f>COUNTIF(Report_Données!D:E,Classement[[#This Row],[Equipe]])+Classement[[#This Row],[Colonne3]]</f>
        <v>15</v>
      </c>
      <c r="C338" s="29">
        <f>SUMPRODUCT(Report[But Dom]*(Report[Domicile]=Classement[[#This Row],[Equipe]]))+SUMPRODUCT(Report[But Ext]*(Report[Extérieur]=Classement[[#This Row],[Equipe]]))+Classement[[#This Row],[Colonne1]]</f>
        <v>13</v>
      </c>
      <c r="D338" s="29">
        <f>SUMPRODUCT(Report[But Ext]*(Report[Domicile]=Classement[[#This Row],[Equipe]]))+SUMPRODUCT(Report[But Dom]*(Report[Extérieur]=Classement[[#This Row],[Equipe]]))+Classement[[#This Row],[Colonne2]]</f>
        <v>28</v>
      </c>
      <c r="E338" s="96">
        <v>14</v>
      </c>
      <c r="F338" s="96">
        <v>12</v>
      </c>
      <c r="G338" s="96">
        <v>26</v>
      </c>
      <c r="H338" s="96">
        <f>IF(Classement[[#This Row],[Equipe]]=Report_Données!$D:$D,SUM(Report_Données!$P:$P),3)</f>
        <v>3</v>
      </c>
      <c r="O338" s="32"/>
      <c r="Q338" s="3" t="s">
        <v>195</v>
      </c>
    </row>
    <row r="339" spans="1:17" ht="20.100000000000001" customHeight="1" x14ac:dyDescent="0.25">
      <c r="A339" s="3" t="s">
        <v>448</v>
      </c>
      <c r="B339" s="29">
        <f>COUNTIF(Report_Données!D:E,Classement[[#This Row],[Equipe]])+Classement[[#This Row],[Colonne3]]</f>
        <v>15</v>
      </c>
      <c r="C339" s="29">
        <f>SUMPRODUCT(Report[But Dom]*(Report[Domicile]=Classement[[#This Row],[Equipe]]))+SUMPRODUCT(Report[But Ext]*(Report[Extérieur]=Classement[[#This Row],[Equipe]]))+Classement[[#This Row],[Colonne1]]</f>
        <v>19</v>
      </c>
      <c r="D339" s="29">
        <f>SUMPRODUCT(Report[But Ext]*(Report[Domicile]=Classement[[#This Row],[Equipe]]))+SUMPRODUCT(Report[But Dom]*(Report[Extérieur]=Classement[[#This Row],[Equipe]]))+Classement[[#This Row],[Colonne2]]</f>
        <v>24</v>
      </c>
      <c r="E339" s="96">
        <v>14</v>
      </c>
      <c r="F339" s="96">
        <v>19</v>
      </c>
      <c r="G339" s="96">
        <v>22</v>
      </c>
      <c r="H339" s="96">
        <f>IF(Classement[[#This Row],[Equipe]]=Report_Données!$D:$D,SUM(Report_Données!$P:$P),3)</f>
        <v>3</v>
      </c>
      <c r="O339" s="32"/>
      <c r="Q339" s="3" t="s">
        <v>195</v>
      </c>
    </row>
    <row r="340" spans="1:17" ht="20.100000000000001" customHeight="1" x14ac:dyDescent="0.25">
      <c r="A340" s="3" t="s">
        <v>449</v>
      </c>
      <c r="B340" s="29">
        <f>COUNTIF(Report_Données!D:E,Classement[[#This Row],[Equipe]])+Classement[[#This Row],[Colonne3]]</f>
        <v>15</v>
      </c>
      <c r="C340" s="29">
        <f>SUMPRODUCT(Report[But Dom]*(Report[Domicile]=Classement[[#This Row],[Equipe]]))+SUMPRODUCT(Report[But Ext]*(Report[Extérieur]=Classement[[#This Row],[Equipe]]))+Classement[[#This Row],[Colonne1]]</f>
        <v>15</v>
      </c>
      <c r="D340" s="29">
        <f>SUMPRODUCT(Report[But Ext]*(Report[Domicile]=Classement[[#This Row],[Equipe]]))+SUMPRODUCT(Report[But Dom]*(Report[Extérieur]=Classement[[#This Row],[Equipe]]))+Classement[[#This Row],[Colonne2]]</f>
        <v>17</v>
      </c>
      <c r="E340" s="96">
        <v>14</v>
      </c>
      <c r="F340" s="96">
        <v>13</v>
      </c>
      <c r="G340" s="96">
        <v>16</v>
      </c>
      <c r="H340" s="96">
        <f>IF(Classement[[#This Row],[Equipe]]=Report_Données!$D:$D,SUM(Report_Données!$P:$P),3)</f>
        <v>3</v>
      </c>
      <c r="O340" s="32"/>
      <c r="Q340" s="3" t="s">
        <v>195</v>
      </c>
    </row>
    <row r="341" spans="1:17" ht="20.100000000000001" customHeight="1" x14ac:dyDescent="0.25">
      <c r="A341" s="3" t="s">
        <v>450</v>
      </c>
      <c r="B341" s="29">
        <f>COUNTIF(Report_Données!D:E,Classement[[#This Row],[Equipe]])+Classement[[#This Row],[Colonne3]]</f>
        <v>15</v>
      </c>
      <c r="C341" s="29">
        <f>SUMPRODUCT(Report[But Dom]*(Report[Domicile]=Classement[[#This Row],[Equipe]]))+SUMPRODUCT(Report[But Ext]*(Report[Extérieur]=Classement[[#This Row],[Equipe]]))+Classement[[#This Row],[Colonne1]]</f>
        <v>23</v>
      </c>
      <c r="D341" s="29">
        <f>SUMPRODUCT(Report[But Ext]*(Report[Domicile]=Classement[[#This Row],[Equipe]]))+SUMPRODUCT(Report[But Dom]*(Report[Extérieur]=Classement[[#This Row],[Equipe]]))+Classement[[#This Row],[Colonne2]]</f>
        <v>26</v>
      </c>
      <c r="E341" s="96">
        <v>14</v>
      </c>
      <c r="F341" s="96">
        <v>23</v>
      </c>
      <c r="G341" s="96">
        <v>22</v>
      </c>
      <c r="H341" s="96">
        <f>IF(Classement[[#This Row],[Equipe]]=Report_Données!$D:$D,SUM(Report_Données!$P:$P),3)</f>
        <v>3</v>
      </c>
      <c r="O341" s="32"/>
      <c r="Q341" s="3" t="s">
        <v>195</v>
      </c>
    </row>
    <row r="342" spans="1:17" ht="20.100000000000001" customHeight="1" x14ac:dyDescent="0.25">
      <c r="A342" s="3" t="s">
        <v>451</v>
      </c>
      <c r="B342" s="29">
        <f>COUNTIF(Report_Données!D:E,Classement[[#This Row],[Equipe]])+Classement[[#This Row],[Colonne3]]</f>
        <v>15</v>
      </c>
      <c r="C342" s="29">
        <f>SUMPRODUCT(Report[But Dom]*(Report[Domicile]=Classement[[#This Row],[Equipe]]))+SUMPRODUCT(Report[But Ext]*(Report[Extérieur]=Classement[[#This Row],[Equipe]]))+Classement[[#This Row],[Colonne1]]</f>
        <v>15</v>
      </c>
      <c r="D342" s="29">
        <f>SUMPRODUCT(Report[But Ext]*(Report[Domicile]=Classement[[#This Row],[Equipe]]))+SUMPRODUCT(Report[But Dom]*(Report[Extérieur]=Classement[[#This Row],[Equipe]]))+Classement[[#This Row],[Colonne2]]</f>
        <v>23</v>
      </c>
      <c r="E342" s="96">
        <v>14</v>
      </c>
      <c r="F342" s="96">
        <v>15</v>
      </c>
      <c r="G342" s="96">
        <v>21</v>
      </c>
      <c r="H342" s="96">
        <f>IF(Classement[[#This Row],[Equipe]]=Report_Données!$D:$D,SUM(Report_Données!$P:$P),3)</f>
        <v>3</v>
      </c>
      <c r="O342" s="32"/>
      <c r="Q342" s="3" t="s">
        <v>195</v>
      </c>
    </row>
    <row r="343" spans="1:17" ht="20.100000000000001" customHeight="1" x14ac:dyDescent="0.25">
      <c r="A343" s="3" t="s">
        <v>452</v>
      </c>
      <c r="B343" s="29">
        <f>COUNTIF(Report_Données!D:E,Classement[[#This Row],[Equipe]])+Classement[[#This Row],[Colonne3]]</f>
        <v>15</v>
      </c>
      <c r="C343" s="29">
        <f>SUMPRODUCT(Report[But Dom]*(Report[Domicile]=Classement[[#This Row],[Equipe]]))+SUMPRODUCT(Report[But Ext]*(Report[Extérieur]=Classement[[#This Row],[Equipe]]))+Classement[[#This Row],[Colonne1]]</f>
        <v>25</v>
      </c>
      <c r="D343" s="29">
        <f>SUMPRODUCT(Report[But Ext]*(Report[Domicile]=Classement[[#This Row],[Equipe]]))+SUMPRODUCT(Report[But Dom]*(Report[Extérieur]=Classement[[#This Row],[Equipe]]))+Classement[[#This Row],[Colonne2]]</f>
        <v>13</v>
      </c>
      <c r="E343" s="96">
        <v>14</v>
      </c>
      <c r="F343" s="96">
        <v>24</v>
      </c>
      <c r="G343" s="96">
        <v>13</v>
      </c>
      <c r="H343" s="96">
        <f>IF(Classement[[#This Row],[Equipe]]=Report_Données!$D:$D,SUM(Report_Données!$P:$P),3)</f>
        <v>3</v>
      </c>
      <c r="O343" s="31"/>
      <c r="Q343" s="3" t="s">
        <v>195</v>
      </c>
    </row>
    <row r="344" spans="1:17" ht="20.100000000000001" customHeight="1" x14ac:dyDescent="0.25">
      <c r="A344" s="3" t="s">
        <v>453</v>
      </c>
      <c r="B344" s="29">
        <f>COUNTIF(Report_Données!D:E,Classement[[#This Row],[Equipe]])+Classement[[#This Row],[Colonne3]]</f>
        <v>15</v>
      </c>
      <c r="C344" s="29">
        <f>SUMPRODUCT(Report[But Dom]*(Report[Domicile]=Classement[[#This Row],[Equipe]]))+SUMPRODUCT(Report[But Ext]*(Report[Extérieur]=Classement[[#This Row],[Equipe]]))+Classement[[#This Row],[Colonne1]]</f>
        <v>18</v>
      </c>
      <c r="D344" s="29">
        <f>SUMPRODUCT(Report[But Ext]*(Report[Domicile]=Classement[[#This Row],[Equipe]]))+SUMPRODUCT(Report[But Dom]*(Report[Extérieur]=Classement[[#This Row],[Equipe]]))+Classement[[#This Row],[Colonne2]]</f>
        <v>29</v>
      </c>
      <c r="E344" s="96">
        <v>14</v>
      </c>
      <c r="F344" s="96">
        <v>16</v>
      </c>
      <c r="G344" s="96">
        <v>27</v>
      </c>
      <c r="H344" s="96">
        <f>IF(Classement[[#This Row],[Equipe]]=Report_Données!$D:$D,SUM(Report_Données!$P:$P),3)</f>
        <v>3</v>
      </c>
      <c r="O344" s="32"/>
      <c r="Q344" s="3" t="s">
        <v>195</v>
      </c>
    </row>
    <row r="345" spans="1:17" ht="20.100000000000001" customHeight="1" x14ac:dyDescent="0.25">
      <c r="A345" s="3" t="s">
        <v>454</v>
      </c>
      <c r="B345" s="29">
        <f>COUNTIF(Report_Données!D:E,Classement[[#This Row],[Equipe]])+Classement[[#This Row],[Colonne3]]</f>
        <v>15</v>
      </c>
      <c r="C345" s="29">
        <f>SUMPRODUCT(Report[But Dom]*(Report[Domicile]=Classement[[#This Row],[Equipe]]))+SUMPRODUCT(Report[But Ext]*(Report[Extérieur]=Classement[[#This Row],[Equipe]]))+Classement[[#This Row],[Colonne1]]</f>
        <v>15</v>
      </c>
      <c r="D345" s="29">
        <f>SUMPRODUCT(Report[But Ext]*(Report[Domicile]=Classement[[#This Row],[Equipe]]))+SUMPRODUCT(Report[But Dom]*(Report[Extérieur]=Classement[[#This Row],[Equipe]]))+Classement[[#This Row],[Colonne2]]</f>
        <v>19</v>
      </c>
      <c r="E345" s="96">
        <v>14</v>
      </c>
      <c r="F345" s="96">
        <v>15</v>
      </c>
      <c r="G345" s="96">
        <v>18</v>
      </c>
      <c r="H345" s="96">
        <f>IF(Classement[[#This Row],[Equipe]]=Report_Données!$D:$D,SUM(Report_Données!$P:$P),3)</f>
        <v>3</v>
      </c>
      <c r="O345" s="32"/>
      <c r="Q345" s="3" t="s">
        <v>195</v>
      </c>
    </row>
    <row r="346" spans="1:17" ht="20.100000000000001" customHeight="1" x14ac:dyDescent="0.25">
      <c r="A346" s="3" t="s">
        <v>455</v>
      </c>
      <c r="B346" s="29">
        <f>COUNTIF(Report_Données!D:E,Classement[[#This Row],[Equipe]])+Classement[[#This Row],[Colonne3]]</f>
        <v>15</v>
      </c>
      <c r="C346" s="29">
        <f>SUMPRODUCT(Report[But Dom]*(Report[Domicile]=Classement[[#This Row],[Equipe]]))+SUMPRODUCT(Report[But Ext]*(Report[Extérieur]=Classement[[#This Row],[Equipe]]))+Classement[[#This Row],[Colonne1]]</f>
        <v>38</v>
      </c>
      <c r="D346" s="29">
        <f>SUMPRODUCT(Report[But Ext]*(Report[Domicile]=Classement[[#This Row],[Equipe]]))+SUMPRODUCT(Report[But Dom]*(Report[Extérieur]=Classement[[#This Row],[Equipe]]))+Classement[[#This Row],[Colonne2]]</f>
        <v>13</v>
      </c>
      <c r="E346" s="96">
        <v>14</v>
      </c>
      <c r="F346" s="96">
        <v>34</v>
      </c>
      <c r="G346" s="96">
        <v>13</v>
      </c>
      <c r="H346" s="96">
        <f>IF(Classement[[#This Row],[Equipe]]=Report_Données!$D:$D,SUM(Report_Données!$P:$P),3)</f>
        <v>3</v>
      </c>
      <c r="O346" s="31"/>
      <c r="Q346" s="3" t="s">
        <v>195</v>
      </c>
    </row>
    <row r="347" spans="1:17" ht="20.100000000000001" customHeight="1" x14ac:dyDescent="0.25">
      <c r="A347" s="3" t="s">
        <v>456</v>
      </c>
      <c r="B347" s="29">
        <f>COUNTIF(Report_Données!D:E,Classement[[#This Row],[Equipe]])+Classement[[#This Row],[Colonne3]]</f>
        <v>15</v>
      </c>
      <c r="C347" s="29">
        <f>SUMPRODUCT(Report[But Dom]*(Report[Domicile]=Classement[[#This Row],[Equipe]]))+SUMPRODUCT(Report[But Ext]*(Report[Extérieur]=Classement[[#This Row],[Equipe]]))+Classement[[#This Row],[Colonne1]]</f>
        <v>20</v>
      </c>
      <c r="D347" s="29">
        <f>SUMPRODUCT(Report[But Ext]*(Report[Domicile]=Classement[[#This Row],[Equipe]]))+SUMPRODUCT(Report[But Dom]*(Report[Extérieur]=Classement[[#This Row],[Equipe]]))+Classement[[#This Row],[Colonne2]]</f>
        <v>12</v>
      </c>
      <c r="E347" s="96">
        <v>14</v>
      </c>
      <c r="F347" s="96">
        <v>18</v>
      </c>
      <c r="G347" s="96">
        <v>12</v>
      </c>
      <c r="H347" s="96">
        <f>IF(Classement[[#This Row],[Equipe]]=Report_Données!$D:$D,SUM(Report_Données!$P:$P),3)</f>
        <v>3</v>
      </c>
      <c r="O347" s="32"/>
      <c r="Q347" s="3" t="s">
        <v>195</v>
      </c>
    </row>
    <row r="348" spans="1:17" ht="20.100000000000001" customHeight="1" x14ac:dyDescent="0.25">
      <c r="A348" s="3" t="s">
        <v>457</v>
      </c>
      <c r="B348" s="29">
        <f>COUNTIF(Report_Données!D:E,Classement[[#This Row],[Equipe]])+Classement[[#This Row],[Colonne3]]</f>
        <v>15</v>
      </c>
      <c r="C348" s="29">
        <f>SUMPRODUCT(Report[But Dom]*(Report[Domicile]=Classement[[#This Row],[Equipe]]))+SUMPRODUCT(Report[But Ext]*(Report[Extérieur]=Classement[[#This Row],[Equipe]]))+Classement[[#This Row],[Colonne1]]</f>
        <v>18</v>
      </c>
      <c r="D348" s="29">
        <f>SUMPRODUCT(Report[But Ext]*(Report[Domicile]=Classement[[#This Row],[Equipe]]))+SUMPRODUCT(Report[But Dom]*(Report[Extérieur]=Classement[[#This Row],[Equipe]]))+Classement[[#This Row],[Colonne2]]</f>
        <v>19</v>
      </c>
      <c r="E348" s="96">
        <v>14</v>
      </c>
      <c r="F348" s="96">
        <v>16</v>
      </c>
      <c r="G348" s="96">
        <v>19</v>
      </c>
      <c r="H348" s="96">
        <f>IF(Classement[[#This Row],[Equipe]]=Report_Données!$D:$D,SUM(Report_Données!$P:$P),3)</f>
        <v>3</v>
      </c>
      <c r="O348" s="32"/>
    </row>
    <row r="349" spans="1:17" ht="20.100000000000001" customHeight="1" x14ac:dyDescent="0.25">
      <c r="A349" s="28"/>
      <c r="B349" s="30"/>
      <c r="C349" s="30"/>
      <c r="D349" s="30"/>
      <c r="E349" s="96"/>
      <c r="F349" s="96"/>
      <c r="G349" s="96"/>
      <c r="H349" s="96">
        <f>IF(Classement[[#This Row],[Equipe]]=Report_Données!$D:$D,SUM(Report_Données!$P:$P),3)</f>
        <v>3</v>
      </c>
    </row>
    <row r="350" spans="1:17" ht="20.100000000000001" customHeight="1" x14ac:dyDescent="0.25">
      <c r="A350" s="3" t="s">
        <v>458</v>
      </c>
      <c r="B350" s="29">
        <f>COUNTIF(Report_Données!D:E,Classement[[#This Row],[Equipe]])+Classement[[#This Row],[Colonne3]]</f>
        <v>16</v>
      </c>
      <c r="C350" s="29">
        <f>SUMPRODUCT(Report[But Dom]*(Report[Domicile]=Classement[[#This Row],[Equipe]]))+SUMPRODUCT(Report[But Ext]*(Report[Extérieur]=Classement[[#This Row],[Equipe]]))+Classement[[#This Row],[Colonne1]]</f>
        <v>31</v>
      </c>
      <c r="D350" s="29">
        <f>SUMPRODUCT(Report[But Ext]*(Report[Domicile]=Classement[[#This Row],[Equipe]]))+SUMPRODUCT(Report[But Dom]*(Report[Extérieur]=Classement[[#This Row],[Equipe]]))+Classement[[#This Row],[Colonne2]]</f>
        <v>20</v>
      </c>
      <c r="E350" s="96">
        <v>15</v>
      </c>
      <c r="F350" s="96">
        <v>29</v>
      </c>
      <c r="G350" s="96">
        <v>16</v>
      </c>
      <c r="H350" s="96">
        <f>IF(Classement[[#This Row],[Equipe]]=Report_Données!$D:$D,SUM(Report_Données!$P:$P),3)</f>
        <v>3</v>
      </c>
      <c r="O350" s="31"/>
      <c r="Q350" s="3" t="s">
        <v>195</v>
      </c>
    </row>
    <row r="351" spans="1:17" ht="20.100000000000001" customHeight="1" x14ac:dyDescent="0.25">
      <c r="A351" s="3" t="s">
        <v>459</v>
      </c>
      <c r="B351" s="29">
        <f>COUNTIF(Report_Données!D:E,Classement[[#This Row],[Equipe]])+Classement[[#This Row],[Colonne3]]</f>
        <v>16</v>
      </c>
      <c r="C351" s="29">
        <f>SUMPRODUCT(Report[But Dom]*(Report[Domicile]=Classement[[#This Row],[Equipe]]))+SUMPRODUCT(Report[But Ext]*(Report[Extérieur]=Classement[[#This Row],[Equipe]]))+Classement[[#This Row],[Colonne1]]</f>
        <v>23</v>
      </c>
      <c r="D351" s="29">
        <f>SUMPRODUCT(Report[But Ext]*(Report[Domicile]=Classement[[#This Row],[Equipe]]))+SUMPRODUCT(Report[But Dom]*(Report[Extérieur]=Classement[[#This Row],[Equipe]]))+Classement[[#This Row],[Colonne2]]</f>
        <v>13</v>
      </c>
      <c r="E351" s="96">
        <v>15</v>
      </c>
      <c r="F351" s="96">
        <v>23</v>
      </c>
      <c r="G351" s="96">
        <v>13</v>
      </c>
      <c r="H351" s="96">
        <f>IF(Classement[[#This Row],[Equipe]]=Report_Données!$D:$D,SUM(Report_Données!$P:$P),3)</f>
        <v>3</v>
      </c>
      <c r="O351" s="32"/>
      <c r="Q351" s="3" t="s">
        <v>195</v>
      </c>
    </row>
    <row r="352" spans="1:17" ht="20.100000000000001" customHeight="1" x14ac:dyDescent="0.25">
      <c r="A352" s="3" t="s">
        <v>460</v>
      </c>
      <c r="B352" s="29">
        <f>COUNTIF(Report_Données!D:E,Classement[[#This Row],[Equipe]])+Classement[[#This Row],[Colonne3]]</f>
        <v>16</v>
      </c>
      <c r="C352" s="29">
        <f>SUMPRODUCT(Report[But Dom]*(Report[Domicile]=Classement[[#This Row],[Equipe]]))+SUMPRODUCT(Report[But Ext]*(Report[Extérieur]=Classement[[#This Row],[Equipe]]))+Classement[[#This Row],[Colonne1]]</f>
        <v>20</v>
      </c>
      <c r="D352" s="29">
        <f>SUMPRODUCT(Report[But Ext]*(Report[Domicile]=Classement[[#This Row],[Equipe]]))+SUMPRODUCT(Report[But Dom]*(Report[Extérieur]=Classement[[#This Row],[Equipe]]))+Classement[[#This Row],[Colonne2]]</f>
        <v>27</v>
      </c>
      <c r="E352" s="96">
        <v>15</v>
      </c>
      <c r="F352" s="96">
        <v>18</v>
      </c>
      <c r="G352" s="96">
        <v>26</v>
      </c>
      <c r="H352" s="96">
        <f>IF(Classement[[#This Row],[Equipe]]=Report_Données!$D:$D,SUM(Report_Données!$P:$P),3)</f>
        <v>3</v>
      </c>
      <c r="O352" s="32"/>
      <c r="Q352" s="3" t="s">
        <v>195</v>
      </c>
    </row>
    <row r="353" spans="1:17" ht="20.100000000000001" customHeight="1" x14ac:dyDescent="0.25">
      <c r="A353" s="3" t="s">
        <v>461</v>
      </c>
      <c r="B353" s="29">
        <f>COUNTIF(Report_Données!D:E,Classement[[#This Row],[Equipe]])+Classement[[#This Row],[Colonne3]]</f>
        <v>16</v>
      </c>
      <c r="C353" s="29">
        <f>SUMPRODUCT(Report[But Dom]*(Report[Domicile]=Classement[[#This Row],[Equipe]]))+SUMPRODUCT(Report[But Ext]*(Report[Extérieur]=Classement[[#This Row],[Equipe]]))+Classement[[#This Row],[Colonne1]]</f>
        <v>25</v>
      </c>
      <c r="D353" s="29">
        <f>SUMPRODUCT(Report[But Ext]*(Report[Domicile]=Classement[[#This Row],[Equipe]]))+SUMPRODUCT(Report[But Dom]*(Report[Extérieur]=Classement[[#This Row],[Equipe]]))+Classement[[#This Row],[Colonne2]]</f>
        <v>23</v>
      </c>
      <c r="E353" s="96">
        <v>15</v>
      </c>
      <c r="F353" s="96">
        <v>21</v>
      </c>
      <c r="G353" s="96">
        <v>21</v>
      </c>
      <c r="H353" s="96">
        <f>IF(Classement[[#This Row],[Equipe]]=Report_Données!$D:$D,SUM(Report_Données!$P:$P),3)</f>
        <v>3</v>
      </c>
      <c r="O353" s="32"/>
      <c r="Q353" s="3" t="s">
        <v>195</v>
      </c>
    </row>
    <row r="354" spans="1:17" ht="20.100000000000001" customHeight="1" x14ac:dyDescent="0.25">
      <c r="A354" s="3" t="s">
        <v>462</v>
      </c>
      <c r="B354" s="29">
        <f>COUNTIF(Report_Données!D:E,Classement[[#This Row],[Equipe]])+Classement[[#This Row],[Colonne3]]</f>
        <v>16</v>
      </c>
      <c r="C354" s="29">
        <f>SUMPRODUCT(Report[But Dom]*(Report[Domicile]=Classement[[#This Row],[Equipe]]))+SUMPRODUCT(Report[But Ext]*(Report[Extérieur]=Classement[[#This Row],[Equipe]]))+Classement[[#This Row],[Colonne1]]</f>
        <v>38</v>
      </c>
      <c r="D354" s="29">
        <f>SUMPRODUCT(Report[But Ext]*(Report[Domicile]=Classement[[#This Row],[Equipe]]))+SUMPRODUCT(Report[But Dom]*(Report[Extérieur]=Classement[[#This Row],[Equipe]]))+Classement[[#This Row],[Colonne2]]</f>
        <v>19</v>
      </c>
      <c r="E354" s="96">
        <v>15</v>
      </c>
      <c r="F354" s="96">
        <v>37</v>
      </c>
      <c r="G354" s="96">
        <v>16</v>
      </c>
      <c r="H354" s="96">
        <f>IF(Classement[[#This Row],[Equipe]]=Report_Données!$D:$D,SUM(Report_Données!$P:$P),3)</f>
        <v>3</v>
      </c>
      <c r="O354" s="31"/>
      <c r="Q354" s="3" t="s">
        <v>195</v>
      </c>
    </row>
    <row r="355" spans="1:17" ht="20.100000000000001" customHeight="1" x14ac:dyDescent="0.25">
      <c r="A355" s="3" t="s">
        <v>463</v>
      </c>
      <c r="B355" s="29">
        <f>COUNTIF(Report_Données!D:E,Classement[[#This Row],[Equipe]])+Classement[[#This Row],[Colonne3]]</f>
        <v>16</v>
      </c>
      <c r="C355" s="29">
        <f>SUMPRODUCT(Report[But Dom]*(Report[Domicile]=Classement[[#This Row],[Equipe]]))+SUMPRODUCT(Report[But Ext]*(Report[Extérieur]=Classement[[#This Row],[Equipe]]))+Classement[[#This Row],[Colonne1]]</f>
        <v>22</v>
      </c>
      <c r="D355" s="29">
        <f>SUMPRODUCT(Report[But Ext]*(Report[Domicile]=Classement[[#This Row],[Equipe]]))+SUMPRODUCT(Report[But Dom]*(Report[Extérieur]=Classement[[#This Row],[Equipe]]))+Classement[[#This Row],[Colonne2]]</f>
        <v>27</v>
      </c>
      <c r="E355" s="96">
        <v>15</v>
      </c>
      <c r="F355" s="96">
        <v>20</v>
      </c>
      <c r="G355" s="96">
        <v>26</v>
      </c>
      <c r="H355" s="96">
        <f>IF(Classement[[#This Row],[Equipe]]=Report_Données!$D:$D,SUM(Report_Données!$P:$P),3)</f>
        <v>3</v>
      </c>
      <c r="O355" s="32"/>
      <c r="Q355" s="3" t="s">
        <v>195</v>
      </c>
    </row>
    <row r="356" spans="1:17" ht="20.100000000000001" customHeight="1" x14ac:dyDescent="0.25">
      <c r="A356" s="3" t="s">
        <v>464</v>
      </c>
      <c r="B356" s="29">
        <f>COUNTIF(Report_Données!D:E,Classement[[#This Row],[Equipe]])+Classement[[#This Row],[Colonne3]]</f>
        <v>16</v>
      </c>
      <c r="C356" s="29">
        <f>SUMPRODUCT(Report[But Dom]*(Report[Domicile]=Classement[[#This Row],[Equipe]]))+SUMPRODUCT(Report[But Ext]*(Report[Extérieur]=Classement[[#This Row],[Equipe]]))+Classement[[#This Row],[Colonne1]]</f>
        <v>19</v>
      </c>
      <c r="D356" s="29">
        <f>SUMPRODUCT(Report[But Ext]*(Report[Domicile]=Classement[[#This Row],[Equipe]]))+SUMPRODUCT(Report[But Dom]*(Report[Extérieur]=Classement[[#This Row],[Equipe]]))+Classement[[#This Row],[Colonne2]]</f>
        <v>34</v>
      </c>
      <c r="E356" s="96">
        <v>15</v>
      </c>
      <c r="F356" s="96">
        <v>19</v>
      </c>
      <c r="G356" s="96">
        <v>31</v>
      </c>
      <c r="H356" s="96">
        <f>IF(Classement[[#This Row],[Equipe]]=Report_Données!$D:$D,SUM(Report_Données!$P:$P),3)</f>
        <v>3</v>
      </c>
      <c r="O356" s="32"/>
      <c r="Q356" s="3" t="s">
        <v>195</v>
      </c>
    </row>
    <row r="357" spans="1:17" ht="20.100000000000001" customHeight="1" x14ac:dyDescent="0.25">
      <c r="A357" s="3" t="s">
        <v>465</v>
      </c>
      <c r="B357" s="29">
        <f>COUNTIF(Report_Données!D:E,Classement[[#This Row],[Equipe]])+Classement[[#This Row],[Colonne3]]</f>
        <v>16</v>
      </c>
      <c r="C357" s="29">
        <f>SUMPRODUCT(Report[But Dom]*(Report[Domicile]=Classement[[#This Row],[Equipe]]))+SUMPRODUCT(Report[But Ext]*(Report[Extérieur]=Classement[[#This Row],[Equipe]]))+Classement[[#This Row],[Colonne1]]</f>
        <v>40</v>
      </c>
      <c r="D357" s="29">
        <f>SUMPRODUCT(Report[But Ext]*(Report[Domicile]=Classement[[#This Row],[Equipe]]))+SUMPRODUCT(Report[But Dom]*(Report[Extérieur]=Classement[[#This Row],[Equipe]]))+Classement[[#This Row],[Colonne2]]</f>
        <v>17</v>
      </c>
      <c r="E357" s="96">
        <v>15</v>
      </c>
      <c r="F357" s="96">
        <v>39</v>
      </c>
      <c r="G357" s="96">
        <v>15</v>
      </c>
      <c r="H357" s="96">
        <f>IF(Classement[[#This Row],[Equipe]]=Report_Données!$D:$D,SUM(Report_Données!$P:$P),3)</f>
        <v>3</v>
      </c>
      <c r="O357" s="31"/>
      <c r="Q357" s="3" t="s">
        <v>195</v>
      </c>
    </row>
    <row r="358" spans="1:17" ht="20.100000000000001" customHeight="1" x14ac:dyDescent="0.25">
      <c r="A358" s="3" t="s">
        <v>466</v>
      </c>
      <c r="B358" s="29">
        <f>COUNTIF(Report_Données!D:E,Classement[[#This Row],[Equipe]])+Classement[[#This Row],[Colonne3]]</f>
        <v>16</v>
      </c>
      <c r="C358" s="29">
        <f>SUMPRODUCT(Report[But Dom]*(Report[Domicile]=Classement[[#This Row],[Equipe]]))+SUMPRODUCT(Report[But Ext]*(Report[Extérieur]=Classement[[#This Row],[Equipe]]))+Classement[[#This Row],[Colonne1]]</f>
        <v>29</v>
      </c>
      <c r="D358" s="29">
        <f>SUMPRODUCT(Report[But Ext]*(Report[Domicile]=Classement[[#This Row],[Equipe]]))+SUMPRODUCT(Report[But Dom]*(Report[Extérieur]=Classement[[#This Row],[Equipe]]))+Classement[[#This Row],[Colonne2]]</f>
        <v>28</v>
      </c>
      <c r="E358" s="96">
        <v>15</v>
      </c>
      <c r="F358" s="96">
        <v>29</v>
      </c>
      <c r="G358" s="96">
        <v>28</v>
      </c>
      <c r="H358" s="96">
        <f>IF(Classement[[#This Row],[Equipe]]=Report_Données!$D:$D,SUM(Report_Données!$P:$P),3)</f>
        <v>3</v>
      </c>
      <c r="O358" s="31"/>
      <c r="Q358" s="3" t="s">
        <v>195</v>
      </c>
    </row>
    <row r="359" spans="1:17" ht="20.100000000000001" customHeight="1" x14ac:dyDescent="0.25">
      <c r="A359" s="3" t="s">
        <v>467</v>
      </c>
      <c r="B359" s="29">
        <f>COUNTIF(Report_Données!D:E,Classement[[#This Row],[Equipe]])+Classement[[#This Row],[Colonne3]]</f>
        <v>16</v>
      </c>
      <c r="C359" s="29">
        <f>SUMPRODUCT(Report[But Dom]*(Report[Domicile]=Classement[[#This Row],[Equipe]]))+SUMPRODUCT(Report[But Ext]*(Report[Extérieur]=Classement[[#This Row],[Equipe]]))+Classement[[#This Row],[Colonne1]]</f>
        <v>14</v>
      </c>
      <c r="D359" s="29">
        <f>SUMPRODUCT(Report[But Ext]*(Report[Domicile]=Classement[[#This Row],[Equipe]]))+SUMPRODUCT(Report[But Dom]*(Report[Extérieur]=Classement[[#This Row],[Equipe]]))+Classement[[#This Row],[Colonne2]]</f>
        <v>29</v>
      </c>
      <c r="E359" s="96">
        <v>15</v>
      </c>
      <c r="F359" s="96">
        <v>12</v>
      </c>
      <c r="G359" s="96">
        <v>25</v>
      </c>
      <c r="H359" s="96">
        <f>IF(Classement[[#This Row],[Equipe]]=Report_Données!$D:$D,SUM(Report_Données!$P:$P),3)</f>
        <v>3</v>
      </c>
      <c r="O359" s="32"/>
      <c r="Q359" s="3" t="s">
        <v>195</v>
      </c>
    </row>
    <row r="360" spans="1:17" ht="20.100000000000001" customHeight="1" x14ac:dyDescent="0.25">
      <c r="A360" s="3" t="s">
        <v>468</v>
      </c>
      <c r="B360" s="29">
        <f>COUNTIF(Report_Données!D:E,Classement[[#This Row],[Equipe]])+Classement[[#This Row],[Colonne3]]</f>
        <v>16</v>
      </c>
      <c r="C360" s="29">
        <f>SUMPRODUCT(Report[But Dom]*(Report[Domicile]=Classement[[#This Row],[Equipe]]))+SUMPRODUCT(Report[But Ext]*(Report[Extérieur]=Classement[[#This Row],[Equipe]]))+Classement[[#This Row],[Colonne1]]</f>
        <v>12</v>
      </c>
      <c r="D360" s="29">
        <f>SUMPRODUCT(Report[But Ext]*(Report[Domicile]=Classement[[#This Row],[Equipe]]))+SUMPRODUCT(Report[But Dom]*(Report[Extérieur]=Classement[[#This Row],[Equipe]]))+Classement[[#This Row],[Colonne2]]</f>
        <v>22</v>
      </c>
      <c r="E360" s="96">
        <v>15</v>
      </c>
      <c r="F360" s="96">
        <v>10</v>
      </c>
      <c r="G360" s="96">
        <v>21</v>
      </c>
      <c r="H360" s="96">
        <f>IF(Classement[[#This Row],[Equipe]]=Report_Données!$D:$D,SUM(Report_Données!$P:$P),3)</f>
        <v>3</v>
      </c>
      <c r="O360" s="32"/>
      <c r="Q360" s="3" t="s">
        <v>195</v>
      </c>
    </row>
    <row r="361" spans="1:17" ht="20.100000000000001" customHeight="1" x14ac:dyDescent="0.25">
      <c r="A361" s="3" t="s">
        <v>469</v>
      </c>
      <c r="B361" s="29">
        <f>COUNTIF(Report_Données!D:E,Classement[[#This Row],[Equipe]])+Classement[[#This Row],[Colonne3]]</f>
        <v>16</v>
      </c>
      <c r="C361" s="29">
        <f>SUMPRODUCT(Report[But Dom]*(Report[Domicile]=Classement[[#This Row],[Equipe]]))+SUMPRODUCT(Report[But Ext]*(Report[Extérieur]=Classement[[#This Row],[Equipe]]))+Classement[[#This Row],[Colonne1]]</f>
        <v>17</v>
      </c>
      <c r="D361" s="29">
        <f>SUMPRODUCT(Report[But Ext]*(Report[Domicile]=Classement[[#This Row],[Equipe]]))+SUMPRODUCT(Report[But Dom]*(Report[Extérieur]=Classement[[#This Row],[Equipe]]))+Classement[[#This Row],[Colonne2]]</f>
        <v>30</v>
      </c>
      <c r="E361" s="96">
        <v>15</v>
      </c>
      <c r="F361" s="96">
        <v>16</v>
      </c>
      <c r="G361" s="96">
        <v>28</v>
      </c>
      <c r="H361" s="96">
        <f>IF(Classement[[#This Row],[Equipe]]=Report_Données!$D:$D,SUM(Report_Données!$P:$P),3)</f>
        <v>3</v>
      </c>
      <c r="O361" s="32"/>
      <c r="Q361" s="3" t="s">
        <v>195</v>
      </c>
    </row>
    <row r="362" spans="1:17" ht="20.100000000000001" customHeight="1" x14ac:dyDescent="0.25">
      <c r="A362" s="3" t="s">
        <v>470</v>
      </c>
      <c r="B362" s="29">
        <f>COUNTIF(Report_Données!D:E,Classement[[#This Row],[Equipe]])+Classement[[#This Row],[Colonne3]]</f>
        <v>16</v>
      </c>
      <c r="C362" s="29">
        <f>SUMPRODUCT(Report[But Dom]*(Report[Domicile]=Classement[[#This Row],[Equipe]]))+SUMPRODUCT(Report[But Ext]*(Report[Extérieur]=Classement[[#This Row],[Equipe]]))+Classement[[#This Row],[Colonne1]]</f>
        <v>27</v>
      </c>
      <c r="D362" s="29">
        <f>SUMPRODUCT(Report[But Ext]*(Report[Domicile]=Classement[[#This Row],[Equipe]]))+SUMPRODUCT(Report[But Dom]*(Report[Extérieur]=Classement[[#This Row],[Equipe]]))+Classement[[#This Row],[Colonne2]]</f>
        <v>19</v>
      </c>
      <c r="E362" s="96">
        <v>15</v>
      </c>
      <c r="F362" s="96">
        <v>23</v>
      </c>
      <c r="G362" s="96">
        <v>17</v>
      </c>
      <c r="H362" s="96">
        <f>IF(Classement[[#This Row],[Equipe]]=Report_Données!$D:$D,SUM(Report_Données!$P:$P),3)</f>
        <v>3</v>
      </c>
      <c r="O362" s="32"/>
      <c r="Q362" s="3" t="s">
        <v>195</v>
      </c>
    </row>
    <row r="363" spans="1:17" ht="20.100000000000001" customHeight="1" x14ac:dyDescent="0.25">
      <c r="A363" s="3" t="s">
        <v>471</v>
      </c>
      <c r="B363" s="29">
        <f>COUNTIF(Report_Données!D:E,Classement[[#This Row],[Equipe]])+Classement[[#This Row],[Colonne3]]</f>
        <v>16</v>
      </c>
      <c r="C363" s="29">
        <f>SUMPRODUCT(Report[But Dom]*(Report[Domicile]=Classement[[#This Row],[Equipe]]))+SUMPRODUCT(Report[But Ext]*(Report[Extérieur]=Classement[[#This Row],[Equipe]]))+Classement[[#This Row],[Colonne1]]</f>
        <v>24</v>
      </c>
      <c r="D363" s="29">
        <f>SUMPRODUCT(Report[But Ext]*(Report[Domicile]=Classement[[#This Row],[Equipe]]))+SUMPRODUCT(Report[But Dom]*(Report[Extérieur]=Classement[[#This Row],[Equipe]]))+Classement[[#This Row],[Colonne2]]</f>
        <v>16</v>
      </c>
      <c r="E363" s="96">
        <v>15</v>
      </c>
      <c r="F363" s="96">
        <v>21</v>
      </c>
      <c r="G363" s="96">
        <v>16</v>
      </c>
      <c r="H363" s="96">
        <f>IF(Classement[[#This Row],[Equipe]]=Report_Données!$D:$D,SUM(Report_Données!$P:$P),3)</f>
        <v>3</v>
      </c>
      <c r="O363" s="32"/>
      <c r="Q363" s="3" t="s">
        <v>195</v>
      </c>
    </row>
    <row r="364" spans="1:17" ht="20.100000000000001" customHeight="1" x14ac:dyDescent="0.25">
      <c r="A364" s="3" t="s">
        <v>472</v>
      </c>
      <c r="B364" s="29">
        <f>COUNTIF(Report_Données!D:E,Classement[[#This Row],[Equipe]])+Classement[[#This Row],[Colonne3]]</f>
        <v>16</v>
      </c>
      <c r="C364" s="29">
        <f>SUMPRODUCT(Report[But Dom]*(Report[Domicile]=Classement[[#This Row],[Equipe]]))+SUMPRODUCT(Report[But Ext]*(Report[Extérieur]=Classement[[#This Row],[Equipe]]))+Classement[[#This Row],[Colonne1]]</f>
        <v>17</v>
      </c>
      <c r="D364" s="29">
        <f>SUMPRODUCT(Report[But Ext]*(Report[Domicile]=Classement[[#This Row],[Equipe]]))+SUMPRODUCT(Report[But Dom]*(Report[Extérieur]=Classement[[#This Row],[Equipe]]))+Classement[[#This Row],[Colonne2]]</f>
        <v>24</v>
      </c>
      <c r="E364" s="96">
        <v>15</v>
      </c>
      <c r="F364" s="96">
        <v>16</v>
      </c>
      <c r="G364" s="96">
        <v>22</v>
      </c>
      <c r="H364" s="96">
        <f>IF(Classement[[#This Row],[Equipe]]=Report_Données!$D:$D,SUM(Report_Données!$P:$P),3)</f>
        <v>3</v>
      </c>
      <c r="O364" s="32"/>
      <c r="Q364" s="3" t="s">
        <v>195</v>
      </c>
    </row>
    <row r="365" spans="1:17" ht="20.100000000000001" customHeight="1" x14ac:dyDescent="0.25">
      <c r="A365" s="3" t="s">
        <v>473</v>
      </c>
      <c r="B365" s="29">
        <f>COUNTIF(Report_Données!D:E,Classement[[#This Row],[Equipe]])+Classement[[#This Row],[Colonne3]]</f>
        <v>16</v>
      </c>
      <c r="C365" s="29">
        <f>SUMPRODUCT(Report[But Dom]*(Report[Domicile]=Classement[[#This Row],[Equipe]]))+SUMPRODUCT(Report[But Ext]*(Report[Extérieur]=Classement[[#This Row],[Equipe]]))+Classement[[#This Row],[Colonne1]]</f>
        <v>26</v>
      </c>
      <c r="D365" s="29">
        <f>SUMPRODUCT(Report[But Ext]*(Report[Domicile]=Classement[[#This Row],[Equipe]]))+SUMPRODUCT(Report[But Dom]*(Report[Extérieur]=Classement[[#This Row],[Equipe]]))+Classement[[#This Row],[Colonne2]]</f>
        <v>36</v>
      </c>
      <c r="E365" s="96">
        <v>15</v>
      </c>
      <c r="F365" s="96">
        <v>23</v>
      </c>
      <c r="G365" s="96">
        <v>35</v>
      </c>
      <c r="H365" s="96">
        <f>IF(Classement[[#This Row],[Equipe]]=Report_Données!$D:$D,SUM(Report_Données!$P:$P),3)</f>
        <v>3</v>
      </c>
      <c r="O365" s="32"/>
      <c r="Q365" s="3" t="s">
        <v>195</v>
      </c>
    </row>
    <row r="366" spans="1:17" ht="20.100000000000001" customHeight="1" x14ac:dyDescent="0.25">
      <c r="A366" s="28"/>
      <c r="B366" s="30"/>
      <c r="C366" s="30"/>
      <c r="D366" s="30"/>
      <c r="E366" s="96"/>
      <c r="F366" s="96"/>
      <c r="G366" s="96"/>
      <c r="H366" s="96">
        <f>IF(Classement[[#This Row],[Equipe]]=Report_Données!$D:$D,SUM(Report_Données!$P:$P),3)</f>
        <v>493</v>
      </c>
    </row>
    <row r="367" spans="1:17" ht="20.100000000000001" customHeight="1" x14ac:dyDescent="0.25">
      <c r="A367" s="3" t="s">
        <v>474</v>
      </c>
      <c r="B367" s="29">
        <f>COUNTIF(Report_Données!D:E,Classement[[#This Row],[Equipe]])+Classement[[#This Row],[Colonne3]]</f>
        <v>13</v>
      </c>
      <c r="C367" s="29">
        <f>SUMPRODUCT(Report[But Dom]*(Report[Domicile]=Classement[[#This Row],[Equipe]]))+SUMPRODUCT(Report[But Ext]*(Report[Extérieur]=Classement[[#This Row],[Equipe]]))+Classement[[#This Row],[Colonne1]]</f>
        <v>22</v>
      </c>
      <c r="D367" s="29">
        <f>SUMPRODUCT(Report[But Ext]*(Report[Domicile]=Classement[[#This Row],[Equipe]]))+SUMPRODUCT(Report[But Dom]*(Report[Extérieur]=Classement[[#This Row],[Equipe]]))+Classement[[#This Row],[Colonne2]]</f>
        <v>17</v>
      </c>
      <c r="E367" s="96">
        <v>12</v>
      </c>
      <c r="F367" s="96">
        <v>21</v>
      </c>
      <c r="G367" s="96">
        <v>16</v>
      </c>
      <c r="H367" s="96">
        <f>IF(Classement[[#This Row],[Equipe]]=Report_Données!$D:$D,SUM(Report_Données!$P:$P),3)</f>
        <v>3</v>
      </c>
      <c r="N367" s="32"/>
      <c r="P367" s="3" t="s">
        <v>195</v>
      </c>
    </row>
    <row r="368" spans="1:17" ht="20.100000000000001" customHeight="1" x14ac:dyDescent="0.25">
      <c r="A368" s="3" t="s">
        <v>475</v>
      </c>
      <c r="B368" s="29">
        <f>COUNTIF(Report_Données!D:E,Classement[[#This Row],[Equipe]])+Classement[[#This Row],[Colonne3]]</f>
        <v>13</v>
      </c>
      <c r="C368" s="29">
        <f>SUMPRODUCT(Report[But Dom]*(Report[Domicile]=Classement[[#This Row],[Equipe]]))+SUMPRODUCT(Report[But Ext]*(Report[Extérieur]=Classement[[#This Row],[Equipe]]))+Classement[[#This Row],[Colonne1]]</f>
        <v>22</v>
      </c>
      <c r="D368" s="29">
        <f>SUMPRODUCT(Report[But Ext]*(Report[Domicile]=Classement[[#This Row],[Equipe]]))+SUMPRODUCT(Report[But Dom]*(Report[Extérieur]=Classement[[#This Row],[Equipe]]))+Classement[[#This Row],[Colonne2]]</f>
        <v>16</v>
      </c>
      <c r="E368" s="96">
        <v>12</v>
      </c>
      <c r="F368" s="96">
        <v>22</v>
      </c>
      <c r="G368" s="96">
        <v>15</v>
      </c>
      <c r="H368" s="96">
        <f>IF(Classement[[#This Row],[Equipe]]=Report_Données!$D:$D,SUM(Report_Données!$P:$P),3)</f>
        <v>3</v>
      </c>
      <c r="N368" s="32"/>
      <c r="P368" s="3" t="s">
        <v>195</v>
      </c>
    </row>
    <row r="369" spans="1:16" ht="20.100000000000001" customHeight="1" x14ac:dyDescent="0.25">
      <c r="A369" s="3" t="s">
        <v>476</v>
      </c>
      <c r="B369" s="29">
        <f>COUNTIF(Report_Données!D:E,Classement[[#This Row],[Equipe]])+Classement[[#This Row],[Colonne3]]</f>
        <v>13</v>
      </c>
      <c r="C369" s="29">
        <f>SUMPRODUCT(Report[But Dom]*(Report[Domicile]=Classement[[#This Row],[Equipe]]))+SUMPRODUCT(Report[But Ext]*(Report[Extérieur]=Classement[[#This Row],[Equipe]]))+Classement[[#This Row],[Colonne1]]</f>
        <v>25</v>
      </c>
      <c r="D369" s="29">
        <f>SUMPRODUCT(Report[But Ext]*(Report[Domicile]=Classement[[#This Row],[Equipe]]))+SUMPRODUCT(Report[But Dom]*(Report[Extérieur]=Classement[[#This Row],[Equipe]]))+Classement[[#This Row],[Colonne2]]</f>
        <v>17</v>
      </c>
      <c r="E369" s="96">
        <v>12</v>
      </c>
      <c r="F369" s="96">
        <v>23</v>
      </c>
      <c r="G369" s="96">
        <v>14</v>
      </c>
      <c r="H369" s="96">
        <f>IF(Classement[[#This Row],[Equipe]]=Report_Données!$D:$D,SUM(Report_Données!$P:$P),3)</f>
        <v>3</v>
      </c>
      <c r="N369" s="32"/>
      <c r="P369" s="3" t="s">
        <v>195</v>
      </c>
    </row>
    <row r="370" spans="1:16" ht="20.100000000000001" customHeight="1" x14ac:dyDescent="0.25">
      <c r="A370" s="3" t="s">
        <v>477</v>
      </c>
      <c r="B370" s="29">
        <f>COUNTIF(Report_Données!D:E,Classement[[#This Row],[Equipe]])+Classement[[#This Row],[Colonne3]]</f>
        <v>13</v>
      </c>
      <c r="C370" s="29">
        <f>SUMPRODUCT(Report[But Dom]*(Report[Domicile]=Classement[[#This Row],[Equipe]]))+SUMPRODUCT(Report[But Ext]*(Report[Extérieur]=Classement[[#This Row],[Equipe]]))+Classement[[#This Row],[Colonne1]]</f>
        <v>11</v>
      </c>
      <c r="D370" s="29">
        <f>SUMPRODUCT(Report[But Ext]*(Report[Domicile]=Classement[[#This Row],[Equipe]]))+SUMPRODUCT(Report[But Dom]*(Report[Extérieur]=Classement[[#This Row],[Equipe]]))+Classement[[#This Row],[Colonne2]]</f>
        <v>18</v>
      </c>
      <c r="E370" s="96">
        <v>12</v>
      </c>
      <c r="F370" s="96">
        <v>11</v>
      </c>
      <c r="G370" s="96">
        <v>18</v>
      </c>
      <c r="H370" s="96">
        <f>IF(Classement[[#This Row],[Equipe]]=Report_Données!$D:$D,SUM(Report_Données!$P:$P),3)</f>
        <v>3</v>
      </c>
      <c r="N370" s="32"/>
      <c r="P370" s="3" t="s">
        <v>195</v>
      </c>
    </row>
    <row r="371" spans="1:16" ht="20.100000000000001" customHeight="1" x14ac:dyDescent="0.25">
      <c r="A371" s="3" t="s">
        <v>478</v>
      </c>
      <c r="B371" s="29">
        <f>COUNTIF(Report_Données!D:E,Classement[[#This Row],[Equipe]])+Classement[[#This Row],[Colonne3]]</f>
        <v>13</v>
      </c>
      <c r="C371" s="29">
        <f>SUMPRODUCT(Report[But Dom]*(Report[Domicile]=Classement[[#This Row],[Equipe]]))+SUMPRODUCT(Report[But Ext]*(Report[Extérieur]=Classement[[#This Row],[Equipe]]))+Classement[[#This Row],[Colonne1]]</f>
        <v>12</v>
      </c>
      <c r="D371" s="29">
        <f>SUMPRODUCT(Report[But Ext]*(Report[Domicile]=Classement[[#This Row],[Equipe]]))+SUMPRODUCT(Report[But Dom]*(Report[Extérieur]=Classement[[#This Row],[Equipe]]))+Classement[[#This Row],[Colonne2]]</f>
        <v>16</v>
      </c>
      <c r="E371" s="96">
        <v>12</v>
      </c>
      <c r="F371" s="96">
        <v>12</v>
      </c>
      <c r="G371" s="96">
        <v>16</v>
      </c>
      <c r="H371" s="96">
        <f>IF(Classement[[#This Row],[Equipe]]=Report_Données!$D:$D,SUM(Report_Données!$P:$P),3)</f>
        <v>3</v>
      </c>
      <c r="N371" s="32"/>
      <c r="P371" s="3" t="s">
        <v>195</v>
      </c>
    </row>
    <row r="372" spans="1:16" ht="20.100000000000001" customHeight="1" x14ac:dyDescent="0.25">
      <c r="A372" s="3" t="s">
        <v>479</v>
      </c>
      <c r="B372" s="29">
        <f>COUNTIF(Report_Données!D:E,Classement[[#This Row],[Equipe]])+Classement[[#This Row],[Colonne3]]</f>
        <v>13</v>
      </c>
      <c r="C372" s="29">
        <f>SUMPRODUCT(Report[But Dom]*(Report[Domicile]=Classement[[#This Row],[Equipe]]))+SUMPRODUCT(Report[But Ext]*(Report[Extérieur]=Classement[[#This Row],[Equipe]]))+Classement[[#This Row],[Colonne1]]</f>
        <v>10</v>
      </c>
      <c r="D372" s="29">
        <f>SUMPRODUCT(Report[But Ext]*(Report[Domicile]=Classement[[#This Row],[Equipe]]))+SUMPRODUCT(Report[But Dom]*(Report[Extérieur]=Classement[[#This Row],[Equipe]]))+Classement[[#This Row],[Colonne2]]</f>
        <v>30</v>
      </c>
      <c r="E372" s="96">
        <v>12</v>
      </c>
      <c r="F372" s="96">
        <v>10</v>
      </c>
      <c r="G372" s="96">
        <v>30</v>
      </c>
      <c r="H372" s="96">
        <f>IF(Classement[[#This Row],[Equipe]]=Report_Données!$D:$D,SUM(Report_Données!$P:$P),3)</f>
        <v>3</v>
      </c>
      <c r="N372" s="32"/>
      <c r="P372" s="3" t="s">
        <v>195</v>
      </c>
    </row>
    <row r="373" spans="1:16" ht="20.100000000000001" customHeight="1" x14ac:dyDescent="0.25">
      <c r="A373" s="3" t="s">
        <v>480</v>
      </c>
      <c r="B373" s="29">
        <f>COUNTIF(Report_Données!D:E,Classement[[#This Row],[Equipe]])+Classement[[#This Row],[Colonne3]]</f>
        <v>13</v>
      </c>
      <c r="C373" s="29">
        <f>SUMPRODUCT(Report[But Dom]*(Report[Domicile]=Classement[[#This Row],[Equipe]]))+SUMPRODUCT(Report[But Ext]*(Report[Extérieur]=Classement[[#This Row],[Equipe]]))+Classement[[#This Row],[Colonne1]]</f>
        <v>15</v>
      </c>
      <c r="D373" s="29">
        <f>SUMPRODUCT(Report[But Ext]*(Report[Domicile]=Classement[[#This Row],[Equipe]]))+SUMPRODUCT(Report[But Dom]*(Report[Extérieur]=Classement[[#This Row],[Equipe]]))+Classement[[#This Row],[Colonne2]]</f>
        <v>23</v>
      </c>
      <c r="E373" s="96">
        <v>12</v>
      </c>
      <c r="F373" s="96">
        <v>12</v>
      </c>
      <c r="G373" s="96">
        <v>21</v>
      </c>
      <c r="H373" s="96">
        <f>IF(Classement[[#This Row],[Equipe]]=Report_Données!$D:$D,SUM(Report_Données!$P:$P),3)</f>
        <v>3</v>
      </c>
      <c r="N373" s="32"/>
      <c r="P373" s="3" t="s">
        <v>195</v>
      </c>
    </row>
    <row r="374" spans="1:16" ht="20.100000000000001" customHeight="1" x14ac:dyDescent="0.25">
      <c r="A374" s="3" t="s">
        <v>481</v>
      </c>
      <c r="B374" s="29">
        <f>COUNTIF(Report_Données!D:E,Classement[[#This Row],[Equipe]])+Classement[[#This Row],[Colonne3]]</f>
        <v>13</v>
      </c>
      <c r="C374" s="29">
        <f>SUMPRODUCT(Report[But Dom]*(Report[Domicile]=Classement[[#This Row],[Equipe]]))+SUMPRODUCT(Report[But Ext]*(Report[Extérieur]=Classement[[#This Row],[Equipe]]))+Classement[[#This Row],[Colonne1]]</f>
        <v>18</v>
      </c>
      <c r="D374" s="29">
        <f>SUMPRODUCT(Report[But Ext]*(Report[Domicile]=Classement[[#This Row],[Equipe]]))+SUMPRODUCT(Report[But Dom]*(Report[Extérieur]=Classement[[#This Row],[Equipe]]))+Classement[[#This Row],[Colonne2]]</f>
        <v>10</v>
      </c>
      <c r="E374" s="96">
        <v>12</v>
      </c>
      <c r="F374" s="96">
        <v>18</v>
      </c>
      <c r="G374" s="96">
        <v>10</v>
      </c>
      <c r="H374" s="96">
        <f>IF(Classement[[#This Row],[Equipe]]=Report_Données!$D:$D,SUM(Report_Données!$P:$P),3)</f>
        <v>3</v>
      </c>
      <c r="N374" s="32"/>
      <c r="P374" s="3" t="s">
        <v>195</v>
      </c>
    </row>
    <row r="375" spans="1:16" ht="20.100000000000001" customHeight="1" x14ac:dyDescent="0.25">
      <c r="A375" s="3" t="s">
        <v>482</v>
      </c>
      <c r="B375" s="29">
        <f>COUNTIF(Report_Données!D:E,Classement[[#This Row],[Equipe]])+Classement[[#This Row],[Colonne3]]</f>
        <v>13</v>
      </c>
      <c r="C375" s="29">
        <f>SUMPRODUCT(Report[But Dom]*(Report[Domicile]=Classement[[#This Row],[Equipe]]))+SUMPRODUCT(Report[But Ext]*(Report[Extérieur]=Classement[[#This Row],[Equipe]]))+Classement[[#This Row],[Colonne1]]</f>
        <v>10</v>
      </c>
      <c r="D375" s="29">
        <f>SUMPRODUCT(Report[But Ext]*(Report[Domicile]=Classement[[#This Row],[Equipe]]))+SUMPRODUCT(Report[But Dom]*(Report[Extérieur]=Classement[[#This Row],[Equipe]]))+Classement[[#This Row],[Colonne2]]</f>
        <v>28</v>
      </c>
      <c r="E375" s="96">
        <v>12</v>
      </c>
      <c r="F375" s="96">
        <v>10</v>
      </c>
      <c r="G375" s="96">
        <v>25</v>
      </c>
      <c r="H375" s="96">
        <f>IF(Classement[[#This Row],[Equipe]]=Report_Données!$D:$D,SUM(Report_Données!$P:$P),3)</f>
        <v>3</v>
      </c>
      <c r="N375" s="32"/>
      <c r="P375" s="3" t="s">
        <v>195</v>
      </c>
    </row>
    <row r="376" spans="1:16" ht="20.100000000000001" customHeight="1" x14ac:dyDescent="0.25">
      <c r="A376" s="3" t="s">
        <v>483</v>
      </c>
      <c r="B376" s="29">
        <f>COUNTIF(Report_Données!D:E,Classement[[#This Row],[Equipe]])+Classement[[#This Row],[Colonne3]]</f>
        <v>13</v>
      </c>
      <c r="C376" s="29">
        <f>SUMPRODUCT(Report[But Dom]*(Report[Domicile]=Classement[[#This Row],[Equipe]]))+SUMPRODUCT(Report[But Ext]*(Report[Extérieur]=Classement[[#This Row],[Equipe]]))+Classement[[#This Row],[Colonne1]]</f>
        <v>18</v>
      </c>
      <c r="D376" s="29">
        <f>SUMPRODUCT(Report[But Ext]*(Report[Domicile]=Classement[[#This Row],[Equipe]]))+SUMPRODUCT(Report[But Dom]*(Report[Extérieur]=Classement[[#This Row],[Equipe]]))+Classement[[#This Row],[Colonne2]]</f>
        <v>27</v>
      </c>
      <c r="E376" s="96">
        <v>12</v>
      </c>
      <c r="F376" s="96">
        <v>17</v>
      </c>
      <c r="G376" s="96">
        <v>26</v>
      </c>
      <c r="H376" s="96">
        <f>IF(Classement[[#This Row],[Equipe]]=Report_Données!$D:$D,SUM(Report_Données!$P:$P),3)</f>
        <v>3</v>
      </c>
      <c r="N376" s="32"/>
      <c r="P376" s="3" t="s">
        <v>195</v>
      </c>
    </row>
    <row r="377" spans="1:16" ht="20.100000000000001" customHeight="1" x14ac:dyDescent="0.25">
      <c r="A377" s="3" t="s">
        <v>484</v>
      </c>
      <c r="B377" s="29">
        <f>COUNTIF(Report_Données!D:E,Classement[[#This Row],[Equipe]])+Classement[[#This Row],[Colonne3]]</f>
        <v>13</v>
      </c>
      <c r="C377" s="29">
        <f>SUMPRODUCT(Report[But Dom]*(Report[Domicile]=Classement[[#This Row],[Equipe]]))+SUMPRODUCT(Report[But Ext]*(Report[Extérieur]=Classement[[#This Row],[Equipe]]))+Classement[[#This Row],[Colonne1]]</f>
        <v>25</v>
      </c>
      <c r="D377" s="29">
        <f>SUMPRODUCT(Report[But Ext]*(Report[Domicile]=Classement[[#This Row],[Equipe]]))+SUMPRODUCT(Report[But Dom]*(Report[Extérieur]=Classement[[#This Row],[Equipe]]))+Classement[[#This Row],[Colonne2]]</f>
        <v>10</v>
      </c>
      <c r="E377" s="96">
        <v>12</v>
      </c>
      <c r="F377" s="96">
        <v>22</v>
      </c>
      <c r="G377" s="96">
        <v>10</v>
      </c>
      <c r="H377" s="96">
        <f>IF(Classement[[#This Row],[Equipe]]=Report_Données!$D:$D,SUM(Report_Données!$P:$P),3)</f>
        <v>3</v>
      </c>
      <c r="N377" s="32"/>
      <c r="P377" s="3" t="s">
        <v>195</v>
      </c>
    </row>
    <row r="378" spans="1:16" ht="20.100000000000001" customHeight="1" x14ac:dyDescent="0.25">
      <c r="A378" s="3" t="s">
        <v>485</v>
      </c>
      <c r="B378" s="29">
        <f>COUNTIF(Report_Données!D:E,Classement[[#This Row],[Equipe]])+Classement[[#This Row],[Colonne3]]</f>
        <v>13</v>
      </c>
      <c r="C378" s="29">
        <f>SUMPRODUCT(Report[But Dom]*(Report[Domicile]=Classement[[#This Row],[Equipe]]))+SUMPRODUCT(Report[But Ext]*(Report[Extérieur]=Classement[[#This Row],[Equipe]]))+Classement[[#This Row],[Colonne1]]</f>
        <v>28</v>
      </c>
      <c r="D378" s="29">
        <f>SUMPRODUCT(Report[But Ext]*(Report[Domicile]=Classement[[#This Row],[Equipe]]))+SUMPRODUCT(Report[But Dom]*(Report[Extérieur]=Classement[[#This Row],[Equipe]]))+Classement[[#This Row],[Colonne2]]</f>
        <v>8</v>
      </c>
      <c r="E378" s="96">
        <v>12</v>
      </c>
      <c r="F378" s="96">
        <v>26</v>
      </c>
      <c r="G378" s="96">
        <v>8</v>
      </c>
      <c r="H378" s="96">
        <f>IF(Classement[[#This Row],[Equipe]]=Report_Données!$D:$D,SUM(Report_Données!$P:$P),3)</f>
        <v>3</v>
      </c>
      <c r="N378" s="31"/>
      <c r="P378" s="3" t="s">
        <v>195</v>
      </c>
    </row>
    <row r="379" spans="1:16" ht="20.100000000000001" customHeight="1" x14ac:dyDescent="0.25">
      <c r="A379" s="3" t="s">
        <v>486</v>
      </c>
      <c r="B379" s="29">
        <f>COUNTIF(Report_Données!D:E,Classement[[#This Row],[Equipe]])+Classement[[#This Row],[Colonne3]]</f>
        <v>13</v>
      </c>
      <c r="C379" s="29">
        <f>SUMPRODUCT(Report[But Dom]*(Report[Domicile]=Classement[[#This Row],[Equipe]]))+SUMPRODUCT(Report[But Ext]*(Report[Extérieur]=Classement[[#This Row],[Equipe]]))+Classement[[#This Row],[Colonne1]]</f>
        <v>19</v>
      </c>
      <c r="D379" s="29">
        <f>SUMPRODUCT(Report[But Ext]*(Report[Domicile]=Classement[[#This Row],[Equipe]]))+SUMPRODUCT(Report[But Dom]*(Report[Extérieur]=Classement[[#This Row],[Equipe]]))+Classement[[#This Row],[Colonne2]]</f>
        <v>15</v>
      </c>
      <c r="E379" s="96">
        <v>12</v>
      </c>
      <c r="F379" s="96">
        <v>18</v>
      </c>
      <c r="G379" s="96">
        <v>14</v>
      </c>
      <c r="H379" s="96">
        <f>IF(Classement[[#This Row],[Equipe]]=Report_Données!$D:$D,SUM(Report_Données!$P:$P),3)</f>
        <v>3</v>
      </c>
      <c r="N379" s="32"/>
      <c r="P379" s="3" t="s">
        <v>195</v>
      </c>
    </row>
    <row r="380" spans="1:16" ht="20.100000000000001" customHeight="1" x14ac:dyDescent="0.25">
      <c r="A380" s="3" t="s">
        <v>487</v>
      </c>
      <c r="B380" s="29">
        <f>COUNTIF(Report_Données!D:E,Classement[[#This Row],[Equipe]])+Classement[[#This Row],[Colonne3]]</f>
        <v>13</v>
      </c>
      <c r="C380" s="29">
        <f>SUMPRODUCT(Report[But Dom]*(Report[Domicile]=Classement[[#This Row],[Equipe]]))+SUMPRODUCT(Report[But Ext]*(Report[Extérieur]=Classement[[#This Row],[Equipe]]))+Classement[[#This Row],[Colonne1]]</f>
        <v>26</v>
      </c>
      <c r="D380" s="29">
        <f>SUMPRODUCT(Report[But Ext]*(Report[Domicile]=Classement[[#This Row],[Equipe]]))+SUMPRODUCT(Report[But Dom]*(Report[Extérieur]=Classement[[#This Row],[Equipe]]))+Classement[[#This Row],[Colonne2]]</f>
        <v>13</v>
      </c>
      <c r="E380" s="96">
        <v>12</v>
      </c>
      <c r="F380" s="96">
        <v>26</v>
      </c>
      <c r="G380" s="96">
        <v>13</v>
      </c>
      <c r="H380" s="96">
        <f>IF(Classement[[#This Row],[Equipe]]=Report_Données!$D:$D,SUM(Report_Données!$P:$P),3)</f>
        <v>3</v>
      </c>
      <c r="N380" s="31"/>
      <c r="P380" s="3" t="s">
        <v>195</v>
      </c>
    </row>
    <row r="381" spans="1:16" ht="20.100000000000001" customHeight="1" x14ac:dyDescent="0.25">
      <c r="A381" s="3" t="s">
        <v>488</v>
      </c>
      <c r="B381" s="29">
        <f>COUNTIF(Report_Données!D:E,Classement[[#This Row],[Equipe]])+Classement[[#This Row],[Colonne3]]</f>
        <v>13</v>
      </c>
      <c r="C381" s="29">
        <f>SUMPRODUCT(Report[But Dom]*(Report[Domicile]=Classement[[#This Row],[Equipe]]))+SUMPRODUCT(Report[But Ext]*(Report[Extérieur]=Classement[[#This Row],[Equipe]]))+Classement[[#This Row],[Colonne1]]</f>
        <v>14</v>
      </c>
      <c r="D381" s="29">
        <f>SUMPRODUCT(Report[But Ext]*(Report[Domicile]=Classement[[#This Row],[Equipe]]))+SUMPRODUCT(Report[But Dom]*(Report[Extérieur]=Classement[[#This Row],[Equipe]]))+Classement[[#This Row],[Colonne2]]</f>
        <v>16</v>
      </c>
      <c r="E381" s="96">
        <v>12</v>
      </c>
      <c r="F381" s="96">
        <v>12</v>
      </c>
      <c r="G381" s="96">
        <v>15</v>
      </c>
      <c r="H381" s="96">
        <f>IF(Classement[[#This Row],[Equipe]]=Report_Données!$D:$D,SUM(Report_Données!$P:$P),3)</f>
        <v>3</v>
      </c>
      <c r="N381" s="32"/>
      <c r="P381" s="3" t="s">
        <v>195</v>
      </c>
    </row>
    <row r="382" spans="1:16" ht="20.100000000000001" customHeight="1" x14ac:dyDescent="0.25">
      <c r="A382" s="3" t="s">
        <v>489</v>
      </c>
      <c r="B382" s="29">
        <f>COUNTIF(Report_Données!D:E,Classement[[#This Row],[Equipe]])+Classement[[#This Row],[Colonne3]]</f>
        <v>13</v>
      </c>
      <c r="C382" s="29">
        <f>SUMPRODUCT(Report[But Dom]*(Report[Domicile]=Classement[[#This Row],[Equipe]]))+SUMPRODUCT(Report[But Ext]*(Report[Extérieur]=Classement[[#This Row],[Equipe]]))+Classement[[#This Row],[Colonne1]]</f>
        <v>17</v>
      </c>
      <c r="D382" s="29">
        <f>SUMPRODUCT(Report[But Ext]*(Report[Domicile]=Classement[[#This Row],[Equipe]]))+SUMPRODUCT(Report[But Dom]*(Report[Extérieur]=Classement[[#This Row],[Equipe]]))+Classement[[#This Row],[Colonne2]]</f>
        <v>16</v>
      </c>
      <c r="E382" s="96">
        <v>12</v>
      </c>
      <c r="F382" s="96">
        <v>16</v>
      </c>
      <c r="G382" s="96">
        <v>15</v>
      </c>
      <c r="H382" s="96">
        <f>IF(Classement[[#This Row],[Equipe]]=Report_Données!$D:$D,SUM(Report_Données!$P:$P),3)</f>
        <v>3</v>
      </c>
      <c r="N382" s="32"/>
      <c r="P382" s="3" t="s">
        <v>195</v>
      </c>
    </row>
    <row r="383" spans="1:16" ht="20.100000000000001" customHeight="1" x14ac:dyDescent="0.25">
      <c r="A383" s="3" t="s">
        <v>490</v>
      </c>
      <c r="B383" s="29">
        <f>COUNTIF(Report_Données!D:E,Classement[[#This Row],[Equipe]])+Classement[[#This Row],[Colonne3]]</f>
        <v>13</v>
      </c>
      <c r="C383" s="29">
        <f>SUMPRODUCT(Report[But Dom]*(Report[Domicile]=Classement[[#This Row],[Equipe]]))+SUMPRODUCT(Report[But Ext]*(Report[Extérieur]=Classement[[#This Row],[Equipe]]))+Classement[[#This Row],[Colonne1]]</f>
        <v>21</v>
      </c>
      <c r="D383" s="29">
        <f>SUMPRODUCT(Report[But Ext]*(Report[Domicile]=Classement[[#This Row],[Equipe]]))+SUMPRODUCT(Report[But Dom]*(Report[Extérieur]=Classement[[#This Row],[Equipe]]))+Classement[[#This Row],[Colonne2]]</f>
        <v>19</v>
      </c>
      <c r="E383" s="96">
        <v>12</v>
      </c>
      <c r="F383" s="96">
        <v>20</v>
      </c>
      <c r="G383" s="96">
        <v>17</v>
      </c>
      <c r="H383" s="96">
        <f>IF(Classement[[#This Row],[Equipe]]=Report_Données!$D:$D,SUM(Report_Données!$P:$P),3)</f>
        <v>3</v>
      </c>
      <c r="N383" s="32"/>
      <c r="P383" s="3" t="s">
        <v>195</v>
      </c>
    </row>
    <row r="384" spans="1:16" ht="20.100000000000001" customHeight="1" x14ac:dyDescent="0.25">
      <c r="A384" s="3" t="s">
        <v>491</v>
      </c>
      <c r="B384" s="29">
        <f>COUNTIF(Report_Données!D:E,Classement[[#This Row],[Equipe]])+Classement[[#This Row],[Colonne3]]</f>
        <v>13</v>
      </c>
      <c r="C384" s="29">
        <f>SUMPRODUCT(Report[But Dom]*(Report[Domicile]=Classement[[#This Row],[Equipe]]))+SUMPRODUCT(Report[But Ext]*(Report[Extérieur]=Classement[[#This Row],[Equipe]]))+Classement[[#This Row],[Colonne1]]</f>
        <v>11</v>
      </c>
      <c r="D384" s="29">
        <f>SUMPRODUCT(Report[But Ext]*(Report[Domicile]=Classement[[#This Row],[Equipe]]))+SUMPRODUCT(Report[But Dom]*(Report[Extérieur]=Classement[[#This Row],[Equipe]]))+Classement[[#This Row],[Colonne2]]</f>
        <v>21</v>
      </c>
      <c r="E384" s="96">
        <v>12</v>
      </c>
      <c r="F384" s="96">
        <v>11</v>
      </c>
      <c r="G384" s="96">
        <v>19</v>
      </c>
      <c r="H384" s="96">
        <f>IF(Classement[[#This Row],[Equipe]]=Report_Données!$D:$D,SUM(Report_Données!$P:$P),3)</f>
        <v>3</v>
      </c>
      <c r="N384" s="32"/>
      <c r="P384" s="3" t="s">
        <v>195</v>
      </c>
    </row>
    <row r="385" spans="1:17" ht="20.100000000000001" customHeight="1" x14ac:dyDescent="0.25">
      <c r="A385" s="3" t="s">
        <v>492</v>
      </c>
      <c r="B385" s="29">
        <f>COUNTIF(Report_Données!D:E,Classement[[#This Row],[Equipe]])+Classement[[#This Row],[Colonne3]]</f>
        <v>13</v>
      </c>
      <c r="C385" s="29">
        <f>SUMPRODUCT(Report[But Dom]*(Report[Domicile]=Classement[[#This Row],[Equipe]]))+SUMPRODUCT(Report[But Ext]*(Report[Extérieur]=Classement[[#This Row],[Equipe]]))+Classement[[#This Row],[Colonne1]]</f>
        <v>17</v>
      </c>
      <c r="D385" s="29">
        <f>SUMPRODUCT(Report[But Ext]*(Report[Domicile]=Classement[[#This Row],[Equipe]]))+SUMPRODUCT(Report[But Dom]*(Report[Extérieur]=Classement[[#This Row],[Equipe]]))+Classement[[#This Row],[Colonne2]]</f>
        <v>15</v>
      </c>
      <c r="E385" s="96">
        <v>12</v>
      </c>
      <c r="F385" s="96">
        <v>17</v>
      </c>
      <c r="G385" s="96">
        <v>15</v>
      </c>
      <c r="H385" s="96">
        <f>IF(Classement[[#This Row],[Equipe]]=Report_Données!$D:$D,SUM(Report_Données!$P:$P),3)</f>
        <v>3</v>
      </c>
      <c r="N385" s="32"/>
      <c r="P385" s="3" t="s">
        <v>195</v>
      </c>
    </row>
    <row r="386" spans="1:17" ht="20.100000000000001" customHeight="1" x14ac:dyDescent="0.25">
      <c r="A386" s="3" t="s">
        <v>493</v>
      </c>
      <c r="B386" s="29">
        <f>COUNTIF(Report_Données!D:E,Classement[[#This Row],[Equipe]])+Classement[[#This Row],[Colonne3]]</f>
        <v>13</v>
      </c>
      <c r="C386" s="29">
        <f>SUMPRODUCT(Report[But Dom]*(Report[Domicile]=Classement[[#This Row],[Equipe]]))+SUMPRODUCT(Report[But Ext]*(Report[Extérieur]=Classement[[#This Row],[Equipe]]))+Classement[[#This Row],[Colonne1]]</f>
        <v>12</v>
      </c>
      <c r="D386" s="29">
        <f>SUMPRODUCT(Report[But Ext]*(Report[Domicile]=Classement[[#This Row],[Equipe]]))+SUMPRODUCT(Report[But Dom]*(Report[Extérieur]=Classement[[#This Row],[Equipe]]))+Classement[[#This Row],[Colonne2]]</f>
        <v>18</v>
      </c>
      <c r="E386" s="96">
        <v>12</v>
      </c>
      <c r="F386" s="96">
        <v>11</v>
      </c>
      <c r="G386" s="96">
        <v>18</v>
      </c>
      <c r="H386" s="96">
        <f>IF(Classement[[#This Row],[Equipe]]=Report_Données!$D:$D,SUM(Report_Données!$P:$P),3)</f>
        <v>3</v>
      </c>
      <c r="N386" s="32"/>
    </row>
    <row r="387" spans="1:17" ht="20.100000000000001" customHeight="1" x14ac:dyDescent="0.25">
      <c r="A387" s="28"/>
      <c r="B387" s="30"/>
      <c r="C387" s="30"/>
      <c r="D387" s="30"/>
      <c r="E387" s="96"/>
      <c r="F387" s="96"/>
      <c r="G387" s="96"/>
      <c r="H387" s="96">
        <f>IF(Classement[[#This Row],[Equipe]]=Report_Données!$D:$D,SUM(Report_Données!$P:$P),3)</f>
        <v>493</v>
      </c>
    </row>
    <row r="388" spans="1:17" ht="20.100000000000001" customHeight="1" x14ac:dyDescent="0.25">
      <c r="A388" s="3" t="s">
        <v>495</v>
      </c>
      <c r="B388" s="29">
        <f>COUNTIF(Report_Données!D:E,Classement[[#This Row],[Equipe]])+Classement[[#This Row],[Colonne3]]</f>
        <v>12</v>
      </c>
      <c r="C388" s="29">
        <f>SUMPRODUCT(Report[But Dom]*(Report[Domicile]=Classement[[#This Row],[Equipe]]))+SUMPRODUCT(Report[But Ext]*(Report[Extérieur]=Classement[[#This Row],[Equipe]]))+Classement[[#This Row],[Colonne1]]</f>
        <v>12</v>
      </c>
      <c r="D388" s="29">
        <f>SUMPRODUCT(Report[But Ext]*(Report[Domicile]=Classement[[#This Row],[Equipe]]))+SUMPRODUCT(Report[But Dom]*(Report[Extérieur]=Classement[[#This Row],[Equipe]]))+Classement[[#This Row],[Colonne2]]</f>
        <v>13</v>
      </c>
      <c r="E388" s="96">
        <v>11</v>
      </c>
      <c r="F388" s="96">
        <v>11</v>
      </c>
      <c r="G388" s="96">
        <v>12</v>
      </c>
      <c r="H388" s="96">
        <f>IF(Classement[[#This Row],[Equipe]]=Report_Données!$D:$D,SUM(Report_Données!$P:$P),3)</f>
        <v>3</v>
      </c>
      <c r="O388" s="32"/>
      <c r="Q388" s="3" t="s">
        <v>195</v>
      </c>
    </row>
    <row r="389" spans="1:17" ht="20.100000000000001" customHeight="1" x14ac:dyDescent="0.25">
      <c r="A389" s="3" t="s">
        <v>496</v>
      </c>
      <c r="B389" s="29">
        <f>COUNTIF(Report_Données!D:E,Classement[[#This Row],[Equipe]])+Classement[[#This Row],[Colonne3]]</f>
        <v>12</v>
      </c>
      <c r="C389" s="29">
        <f>SUMPRODUCT(Report[But Dom]*(Report[Domicile]=Classement[[#This Row],[Equipe]]))+SUMPRODUCT(Report[But Ext]*(Report[Extérieur]=Classement[[#This Row],[Equipe]]))+Classement[[#This Row],[Colonne1]]</f>
        <v>22</v>
      </c>
      <c r="D389" s="29">
        <f>SUMPRODUCT(Report[But Ext]*(Report[Domicile]=Classement[[#This Row],[Equipe]]))+SUMPRODUCT(Report[But Dom]*(Report[Extérieur]=Classement[[#This Row],[Equipe]]))+Classement[[#This Row],[Colonne2]]</f>
        <v>19</v>
      </c>
      <c r="E389" s="96">
        <v>10</v>
      </c>
      <c r="F389" s="96">
        <v>19</v>
      </c>
      <c r="G389" s="96">
        <v>15</v>
      </c>
      <c r="H389" s="96">
        <f>IF(Classement[[#This Row],[Equipe]]=Report_Données!$D:$D,SUM(Report_Données!$P:$P),3)</f>
        <v>3</v>
      </c>
      <c r="O389" s="32"/>
      <c r="Q389" s="3" t="s">
        <v>195</v>
      </c>
    </row>
    <row r="390" spans="1:17" ht="20.100000000000001" customHeight="1" x14ac:dyDescent="0.25">
      <c r="A390" s="3" t="s">
        <v>497</v>
      </c>
      <c r="B390" s="29">
        <f>COUNTIF(Report_Données!D:E,Classement[[#This Row],[Equipe]])+Classement[[#This Row],[Colonne3]]</f>
        <v>12</v>
      </c>
      <c r="C390" s="29">
        <f>SUMPRODUCT(Report[But Dom]*(Report[Domicile]=Classement[[#This Row],[Equipe]]))+SUMPRODUCT(Report[But Ext]*(Report[Extérieur]=Classement[[#This Row],[Equipe]]))+Classement[[#This Row],[Colonne1]]</f>
        <v>23</v>
      </c>
      <c r="D390" s="29">
        <f>SUMPRODUCT(Report[But Ext]*(Report[Domicile]=Classement[[#This Row],[Equipe]]))+SUMPRODUCT(Report[But Dom]*(Report[Extérieur]=Classement[[#This Row],[Equipe]]))+Classement[[#This Row],[Colonne2]]</f>
        <v>18</v>
      </c>
      <c r="E390" s="96">
        <v>11</v>
      </c>
      <c r="F390" s="96">
        <v>22</v>
      </c>
      <c r="G390" s="96">
        <v>16</v>
      </c>
      <c r="H390" s="96">
        <f>IF(Classement[[#This Row],[Equipe]]=Report_Données!$D:$D,SUM(Report_Données!$P:$P),3)</f>
        <v>3</v>
      </c>
      <c r="O390" s="32"/>
      <c r="Q390" s="3" t="s">
        <v>195</v>
      </c>
    </row>
    <row r="391" spans="1:17" ht="20.100000000000001" customHeight="1" x14ac:dyDescent="0.25">
      <c r="A391" s="3" t="s">
        <v>498</v>
      </c>
      <c r="B391" s="29">
        <f>COUNTIF(Report_Données!D:E,Classement[[#This Row],[Equipe]])+Classement[[#This Row],[Colonne3]]</f>
        <v>12</v>
      </c>
      <c r="C391" s="29">
        <f>SUMPRODUCT(Report[But Dom]*(Report[Domicile]=Classement[[#This Row],[Equipe]]))+SUMPRODUCT(Report[But Ext]*(Report[Extérieur]=Classement[[#This Row],[Equipe]]))+Classement[[#This Row],[Colonne1]]</f>
        <v>11</v>
      </c>
      <c r="D391" s="29">
        <f>SUMPRODUCT(Report[But Ext]*(Report[Domicile]=Classement[[#This Row],[Equipe]]))+SUMPRODUCT(Report[But Dom]*(Report[Extérieur]=Classement[[#This Row],[Equipe]]))+Classement[[#This Row],[Colonne2]]</f>
        <v>20</v>
      </c>
      <c r="E391" s="96">
        <v>11</v>
      </c>
      <c r="F391" s="96">
        <v>10</v>
      </c>
      <c r="G391" s="96">
        <v>20</v>
      </c>
      <c r="H391" s="96">
        <f>IF(Classement[[#This Row],[Equipe]]=Report_Données!$D:$D,SUM(Report_Données!$P:$P),3)</f>
        <v>3</v>
      </c>
      <c r="O391" s="32"/>
      <c r="Q391" s="3" t="s">
        <v>195</v>
      </c>
    </row>
    <row r="392" spans="1:17" ht="20.100000000000001" customHeight="1" x14ac:dyDescent="0.25">
      <c r="A392" s="3" t="s">
        <v>499</v>
      </c>
      <c r="B392" s="29">
        <f>COUNTIF(Report_Données!D:E,Classement[[#This Row],[Equipe]])+Classement[[#This Row],[Colonne3]]</f>
        <v>12</v>
      </c>
      <c r="C392" s="29">
        <f>SUMPRODUCT(Report[But Dom]*(Report[Domicile]=Classement[[#This Row],[Equipe]]))+SUMPRODUCT(Report[But Ext]*(Report[Extérieur]=Classement[[#This Row],[Equipe]]))+Classement[[#This Row],[Colonne1]]</f>
        <v>14</v>
      </c>
      <c r="D392" s="29">
        <f>SUMPRODUCT(Report[But Ext]*(Report[Domicile]=Classement[[#This Row],[Equipe]]))+SUMPRODUCT(Report[But Dom]*(Report[Extérieur]=Classement[[#This Row],[Equipe]]))+Classement[[#This Row],[Colonne2]]</f>
        <v>8</v>
      </c>
      <c r="E392" s="96">
        <v>11</v>
      </c>
      <c r="F392" s="96">
        <v>14</v>
      </c>
      <c r="G392" s="96">
        <v>8</v>
      </c>
      <c r="H392" s="96">
        <f>IF(Classement[[#This Row],[Equipe]]=Report_Données!$D:$D,SUM(Report_Données!$P:$P),3)</f>
        <v>3</v>
      </c>
      <c r="O392" s="32"/>
      <c r="Q392" s="3" t="s">
        <v>195</v>
      </c>
    </row>
    <row r="393" spans="1:17" ht="20.100000000000001" customHeight="1" x14ac:dyDescent="0.25">
      <c r="A393" s="3" t="s">
        <v>500</v>
      </c>
      <c r="B393" s="29">
        <f>COUNTIF(Report_Données!D:E,Classement[[#This Row],[Equipe]])+Classement[[#This Row],[Colonne3]]</f>
        <v>13</v>
      </c>
      <c r="C393" s="29">
        <f>SUMPRODUCT(Report[But Dom]*(Report[Domicile]=Classement[[#This Row],[Equipe]]))+SUMPRODUCT(Report[But Ext]*(Report[Extérieur]=Classement[[#This Row],[Equipe]]))+Classement[[#This Row],[Colonne1]]</f>
        <v>11</v>
      </c>
      <c r="D393" s="29">
        <f>SUMPRODUCT(Report[But Ext]*(Report[Domicile]=Classement[[#This Row],[Equipe]]))+SUMPRODUCT(Report[But Dom]*(Report[Extérieur]=Classement[[#This Row],[Equipe]]))+Classement[[#This Row],[Colonne2]]</f>
        <v>18</v>
      </c>
      <c r="E393" s="96">
        <v>12</v>
      </c>
      <c r="F393" s="96">
        <v>10</v>
      </c>
      <c r="G393" s="96">
        <v>18</v>
      </c>
      <c r="H393" s="96">
        <f>IF(Classement[[#This Row],[Equipe]]=Report_Données!$D:$D,SUM(Report_Données!$P:$P),3)</f>
        <v>3</v>
      </c>
      <c r="O393" s="32"/>
      <c r="Q393" s="3" t="s">
        <v>195</v>
      </c>
    </row>
    <row r="394" spans="1:17" ht="20.100000000000001" customHeight="1" x14ac:dyDescent="0.25">
      <c r="A394" s="3" t="s">
        <v>501</v>
      </c>
      <c r="B394" s="29">
        <f>COUNTIF(Report_Données!D:E,Classement[[#This Row],[Equipe]])+Classement[[#This Row],[Colonne3]]</f>
        <v>12</v>
      </c>
      <c r="C394" s="29">
        <f>SUMPRODUCT(Report[But Dom]*(Report[Domicile]=Classement[[#This Row],[Equipe]]))+SUMPRODUCT(Report[But Ext]*(Report[Extérieur]=Classement[[#This Row],[Equipe]]))+Classement[[#This Row],[Colonne1]]</f>
        <v>11</v>
      </c>
      <c r="D394" s="29">
        <f>SUMPRODUCT(Report[But Ext]*(Report[Domicile]=Classement[[#This Row],[Equipe]]))+SUMPRODUCT(Report[But Dom]*(Report[Extérieur]=Classement[[#This Row],[Equipe]]))+Classement[[#This Row],[Colonne2]]</f>
        <v>10</v>
      </c>
      <c r="E394" s="96">
        <v>11</v>
      </c>
      <c r="F394" s="96">
        <v>11</v>
      </c>
      <c r="G394" s="96">
        <v>8</v>
      </c>
      <c r="H394" s="96">
        <f>IF(Classement[[#This Row],[Equipe]]=Report_Données!$D:$D,SUM(Report_Données!$P:$P),3)</f>
        <v>3</v>
      </c>
      <c r="O394" s="32"/>
      <c r="Q394" s="3" t="s">
        <v>195</v>
      </c>
    </row>
    <row r="395" spans="1:17" ht="20.100000000000001" customHeight="1" x14ac:dyDescent="0.25">
      <c r="A395" s="3" t="s">
        <v>502</v>
      </c>
      <c r="B395" s="29">
        <f>COUNTIF(Report_Données!D:E,Classement[[#This Row],[Equipe]])+Classement[[#This Row],[Colonne3]]</f>
        <v>13</v>
      </c>
      <c r="C395" s="29">
        <f>SUMPRODUCT(Report[But Dom]*(Report[Domicile]=Classement[[#This Row],[Equipe]]))+SUMPRODUCT(Report[But Ext]*(Report[Extérieur]=Classement[[#This Row],[Equipe]]))+Classement[[#This Row],[Colonne1]]</f>
        <v>14</v>
      </c>
      <c r="D395" s="29">
        <f>SUMPRODUCT(Report[But Ext]*(Report[Domicile]=Classement[[#This Row],[Equipe]]))+SUMPRODUCT(Report[But Dom]*(Report[Extérieur]=Classement[[#This Row],[Equipe]]))+Classement[[#This Row],[Colonne2]]</f>
        <v>18</v>
      </c>
      <c r="E395" s="96">
        <v>12</v>
      </c>
      <c r="F395" s="96">
        <v>14</v>
      </c>
      <c r="G395" s="96">
        <v>17</v>
      </c>
      <c r="H395" s="96">
        <f>IF(Classement[[#This Row],[Equipe]]=Report_Données!$D:$D,SUM(Report_Données!$P:$P),3)</f>
        <v>3</v>
      </c>
      <c r="O395" s="32"/>
      <c r="Q395" s="3" t="s">
        <v>195</v>
      </c>
    </row>
    <row r="396" spans="1:17" ht="20.100000000000001" customHeight="1" x14ac:dyDescent="0.25">
      <c r="A396" s="3" t="s">
        <v>503</v>
      </c>
      <c r="B396" s="29">
        <f>COUNTIF(Report_Données!D:E,Classement[[#This Row],[Equipe]])+Classement[[#This Row],[Colonne3]]</f>
        <v>12</v>
      </c>
      <c r="C396" s="29">
        <f>SUMPRODUCT(Report[But Dom]*(Report[Domicile]=Classement[[#This Row],[Equipe]]))+SUMPRODUCT(Report[But Ext]*(Report[Extérieur]=Classement[[#This Row],[Equipe]]))+Classement[[#This Row],[Colonne1]]</f>
        <v>19</v>
      </c>
      <c r="D396" s="29">
        <f>SUMPRODUCT(Report[But Ext]*(Report[Domicile]=Classement[[#This Row],[Equipe]]))+SUMPRODUCT(Report[But Dom]*(Report[Extérieur]=Classement[[#This Row],[Equipe]]))+Classement[[#This Row],[Colonne2]]</f>
        <v>20</v>
      </c>
      <c r="E396" s="96">
        <v>11</v>
      </c>
      <c r="F396" s="96">
        <v>19</v>
      </c>
      <c r="G396" s="96">
        <v>20</v>
      </c>
      <c r="H396" s="96">
        <f>IF(Classement[[#This Row],[Equipe]]=Report_Données!$D:$D,SUM(Report_Données!$P:$P),3)</f>
        <v>3</v>
      </c>
      <c r="O396" s="32"/>
      <c r="Q396" s="3" t="s">
        <v>195</v>
      </c>
    </row>
    <row r="397" spans="1:17" ht="20.100000000000001" customHeight="1" x14ac:dyDescent="0.25">
      <c r="A397" s="3" t="s">
        <v>504</v>
      </c>
      <c r="B397" s="29">
        <f>COUNTIF(Report_Données!D:E,Classement[[#This Row],[Equipe]])+Classement[[#This Row],[Colonne3]]</f>
        <v>13</v>
      </c>
      <c r="C397" s="29">
        <f>SUMPRODUCT(Report[But Dom]*(Report[Domicile]=Classement[[#This Row],[Equipe]]))+SUMPRODUCT(Report[But Ext]*(Report[Extérieur]=Classement[[#This Row],[Equipe]]))+Classement[[#This Row],[Colonne1]]</f>
        <v>19</v>
      </c>
      <c r="D397" s="29">
        <f>SUMPRODUCT(Report[But Ext]*(Report[Domicile]=Classement[[#This Row],[Equipe]]))+SUMPRODUCT(Report[But Dom]*(Report[Extérieur]=Classement[[#This Row],[Equipe]]))+Classement[[#This Row],[Colonne2]]</f>
        <v>16</v>
      </c>
      <c r="E397" s="96">
        <v>12</v>
      </c>
      <c r="F397" s="96">
        <v>18</v>
      </c>
      <c r="G397" s="96">
        <v>15</v>
      </c>
      <c r="H397" s="96">
        <f>IF(Classement[[#This Row],[Equipe]]=Report_Données!$D:$D,SUM(Report_Données!$P:$P),3)</f>
        <v>3</v>
      </c>
      <c r="O397" s="32"/>
      <c r="Q397" s="3" t="s">
        <v>195</v>
      </c>
    </row>
    <row r="398" spans="1:17" ht="20.100000000000001" customHeight="1" x14ac:dyDescent="0.25">
      <c r="A398" s="3" t="s">
        <v>505</v>
      </c>
      <c r="B398" s="29">
        <f>COUNTIF(Report_Données!D:E,Classement[[#This Row],[Equipe]])+Classement[[#This Row],[Colonne3]]</f>
        <v>13</v>
      </c>
      <c r="C398" s="29">
        <f>SUMPRODUCT(Report[But Dom]*(Report[Domicile]=Classement[[#This Row],[Equipe]]))+SUMPRODUCT(Report[But Ext]*(Report[Extérieur]=Classement[[#This Row],[Equipe]]))+Classement[[#This Row],[Colonne1]]</f>
        <v>24</v>
      </c>
      <c r="D398" s="29">
        <f>SUMPRODUCT(Report[But Ext]*(Report[Domicile]=Classement[[#This Row],[Equipe]]))+SUMPRODUCT(Report[But Dom]*(Report[Extérieur]=Classement[[#This Row],[Equipe]]))+Classement[[#This Row],[Colonne2]]</f>
        <v>18</v>
      </c>
      <c r="E398" s="96">
        <v>12</v>
      </c>
      <c r="F398" s="96">
        <v>22</v>
      </c>
      <c r="G398" s="96">
        <v>18</v>
      </c>
      <c r="H398" s="96">
        <f>IF(Classement[[#This Row],[Equipe]]=Report_Données!$D:$D,SUM(Report_Données!$P:$P),3)</f>
        <v>3</v>
      </c>
      <c r="O398" s="32"/>
      <c r="Q398" s="3" t="s">
        <v>195</v>
      </c>
    </row>
    <row r="399" spans="1:17" ht="20.100000000000001" customHeight="1" x14ac:dyDescent="0.25">
      <c r="A399" s="3" t="s">
        <v>506</v>
      </c>
      <c r="B399" s="29">
        <f>COUNTIF(Report_Données!D:E,Classement[[#This Row],[Equipe]])+Classement[[#This Row],[Colonne3]]</f>
        <v>12</v>
      </c>
      <c r="C399" s="29">
        <f>SUMPRODUCT(Report[But Dom]*(Report[Domicile]=Classement[[#This Row],[Equipe]]))+SUMPRODUCT(Report[But Ext]*(Report[Extérieur]=Classement[[#This Row],[Equipe]]))+Classement[[#This Row],[Colonne1]]</f>
        <v>8</v>
      </c>
      <c r="D399" s="29">
        <f>SUMPRODUCT(Report[But Ext]*(Report[Domicile]=Classement[[#This Row],[Equipe]]))+SUMPRODUCT(Report[But Dom]*(Report[Extérieur]=Classement[[#This Row],[Equipe]]))+Classement[[#This Row],[Colonne2]]</f>
        <v>19</v>
      </c>
      <c r="E399" s="96">
        <v>11</v>
      </c>
      <c r="F399" s="96">
        <v>8</v>
      </c>
      <c r="G399" s="96">
        <v>19</v>
      </c>
      <c r="H399" s="96">
        <f>IF(Classement[[#This Row],[Equipe]]=Report_Données!$D:$D,SUM(Report_Données!$P:$P),3)</f>
        <v>3</v>
      </c>
      <c r="O399" s="32"/>
      <c r="Q399" s="3" t="s">
        <v>195</v>
      </c>
    </row>
    <row r="400" spans="1:17" ht="20.100000000000001" customHeight="1" x14ac:dyDescent="0.25">
      <c r="A400" s="3" t="s">
        <v>507</v>
      </c>
      <c r="B400" s="29">
        <f>COUNTIF(Report_Données!D:E,Classement[[#This Row],[Equipe]])+Classement[[#This Row],[Colonne3]]</f>
        <v>13</v>
      </c>
      <c r="C400" s="29">
        <f>SUMPRODUCT(Report[But Dom]*(Report[Domicile]=Classement[[#This Row],[Equipe]]))+SUMPRODUCT(Report[But Ext]*(Report[Extérieur]=Classement[[#This Row],[Equipe]]))+Classement[[#This Row],[Colonne1]]</f>
        <v>13</v>
      </c>
      <c r="D400" s="29">
        <f>SUMPRODUCT(Report[But Ext]*(Report[Domicile]=Classement[[#This Row],[Equipe]]))+SUMPRODUCT(Report[But Dom]*(Report[Extérieur]=Classement[[#This Row],[Equipe]]))+Classement[[#This Row],[Colonne2]]</f>
        <v>21</v>
      </c>
      <c r="E400" s="96">
        <v>12</v>
      </c>
      <c r="F400" s="96">
        <v>13</v>
      </c>
      <c r="G400" s="96">
        <v>20</v>
      </c>
      <c r="H400" s="96">
        <f>IF(Classement[[#This Row],[Equipe]]=Report_Données!$D:$D,SUM(Report_Données!$P:$P),3)</f>
        <v>3</v>
      </c>
      <c r="O400" s="32"/>
      <c r="Q400" s="3" t="s">
        <v>195</v>
      </c>
    </row>
    <row r="401" spans="1:17" ht="20.100000000000001" customHeight="1" x14ac:dyDescent="0.25">
      <c r="A401" s="3" t="s">
        <v>508</v>
      </c>
      <c r="B401" s="29">
        <f>COUNTIF(Report_Données!D:E,Classement[[#This Row],[Equipe]])+Classement[[#This Row],[Colonne3]]</f>
        <v>12</v>
      </c>
      <c r="C401" s="29">
        <f>SUMPRODUCT(Report[But Dom]*(Report[Domicile]=Classement[[#This Row],[Equipe]]))+SUMPRODUCT(Report[But Ext]*(Report[Extérieur]=Classement[[#This Row],[Equipe]]))+Classement[[#This Row],[Colonne1]]</f>
        <v>22</v>
      </c>
      <c r="D401" s="29">
        <f>SUMPRODUCT(Report[But Ext]*(Report[Domicile]=Classement[[#This Row],[Equipe]]))+SUMPRODUCT(Report[But Dom]*(Report[Extérieur]=Classement[[#This Row],[Equipe]]))+Classement[[#This Row],[Colonne2]]</f>
        <v>10</v>
      </c>
      <c r="E401" s="96">
        <v>11</v>
      </c>
      <c r="F401" s="96">
        <v>21</v>
      </c>
      <c r="G401" s="96">
        <v>9</v>
      </c>
      <c r="H401" s="96">
        <f>IF(Classement[[#This Row],[Equipe]]=Report_Données!$D:$D,SUM(Report_Données!$P:$P),3)</f>
        <v>3</v>
      </c>
      <c r="O401" s="32"/>
      <c r="Q401" s="3" t="s">
        <v>195</v>
      </c>
    </row>
    <row r="402" spans="1:17" ht="20.100000000000001" customHeight="1" x14ac:dyDescent="0.25">
      <c r="A402" s="3" t="s">
        <v>509</v>
      </c>
      <c r="B402" s="29">
        <f>COUNTIF(Report_Données!D:E,Classement[[#This Row],[Equipe]])+Classement[[#This Row],[Colonne3]]</f>
        <v>12</v>
      </c>
      <c r="C402" s="29">
        <f>SUMPRODUCT(Report[But Dom]*(Report[Domicile]=Classement[[#This Row],[Equipe]]))+SUMPRODUCT(Report[But Ext]*(Report[Extérieur]=Classement[[#This Row],[Equipe]]))+Classement[[#This Row],[Colonne1]]</f>
        <v>17</v>
      </c>
      <c r="D402" s="29">
        <f>SUMPRODUCT(Report[But Ext]*(Report[Domicile]=Classement[[#This Row],[Equipe]]))+SUMPRODUCT(Report[But Dom]*(Report[Extérieur]=Classement[[#This Row],[Equipe]]))+Classement[[#This Row],[Colonne2]]</f>
        <v>18</v>
      </c>
      <c r="E402" s="96">
        <v>11</v>
      </c>
      <c r="F402" s="96">
        <v>16</v>
      </c>
      <c r="G402" s="96">
        <v>16</v>
      </c>
      <c r="H402" s="96">
        <f>IF(Classement[[#This Row],[Equipe]]=Report_Données!$D:$D,SUM(Report_Données!$P:$P),3)</f>
        <v>3</v>
      </c>
      <c r="O402" s="32"/>
      <c r="Q402" s="3" t="s">
        <v>195</v>
      </c>
    </row>
    <row r="403" spans="1:17" ht="20.100000000000001" customHeight="1" x14ac:dyDescent="0.25">
      <c r="A403" s="3" t="s">
        <v>510</v>
      </c>
      <c r="B403" s="29">
        <f>COUNTIF(Report_Données!D:E,Classement[[#This Row],[Equipe]])+Classement[[#This Row],[Colonne3]]</f>
        <v>13</v>
      </c>
      <c r="C403" s="29">
        <f>SUMPRODUCT(Report[But Dom]*(Report[Domicile]=Classement[[#This Row],[Equipe]]))+SUMPRODUCT(Report[But Ext]*(Report[Extérieur]=Classement[[#This Row],[Equipe]]))+Classement[[#This Row],[Colonne1]]</f>
        <v>20</v>
      </c>
      <c r="D403" s="29">
        <f>SUMPRODUCT(Report[But Ext]*(Report[Domicile]=Classement[[#This Row],[Equipe]]))+SUMPRODUCT(Report[But Dom]*(Report[Extérieur]=Classement[[#This Row],[Equipe]]))+Classement[[#This Row],[Colonne2]]</f>
        <v>16</v>
      </c>
      <c r="E403" s="96">
        <v>12</v>
      </c>
      <c r="F403" s="96">
        <v>19</v>
      </c>
      <c r="G403" s="96">
        <v>15</v>
      </c>
      <c r="H403" s="96">
        <f>IF(Classement[[#This Row],[Equipe]]=Report_Données!$D:$D,SUM(Report_Données!$P:$P),3)</f>
        <v>3</v>
      </c>
      <c r="O403" s="32"/>
      <c r="Q403" s="3" t="s">
        <v>195</v>
      </c>
    </row>
    <row r="404" spans="1:17" ht="20.100000000000001" customHeight="1" x14ac:dyDescent="0.25">
      <c r="A404" s="3" t="s">
        <v>511</v>
      </c>
      <c r="B404" s="29">
        <f>COUNTIF(Report_Données!D:E,Classement[[#This Row],[Equipe]])+Classement[[#This Row],[Colonne3]]</f>
        <v>12</v>
      </c>
      <c r="C404" s="29">
        <f>SUMPRODUCT(Report[But Dom]*(Report[Domicile]=Classement[[#This Row],[Equipe]]))+SUMPRODUCT(Report[But Ext]*(Report[Extérieur]=Classement[[#This Row],[Equipe]]))+Classement[[#This Row],[Colonne1]]</f>
        <v>14</v>
      </c>
      <c r="D404" s="29">
        <f>SUMPRODUCT(Report[But Ext]*(Report[Domicile]=Classement[[#This Row],[Equipe]]))+SUMPRODUCT(Report[But Dom]*(Report[Extérieur]=Classement[[#This Row],[Equipe]]))+Classement[[#This Row],[Colonne2]]</f>
        <v>11</v>
      </c>
      <c r="E404" s="96">
        <v>12</v>
      </c>
      <c r="F404" s="96">
        <v>14</v>
      </c>
      <c r="G404" s="96">
        <v>11</v>
      </c>
      <c r="H404" s="96">
        <f>IF(Classement[[#This Row],[Equipe]]=Report_Données!$D:$D,SUM(Report_Données!$P:$P),3)</f>
        <v>3</v>
      </c>
      <c r="O404" s="32"/>
      <c r="Q404" s="3" t="s">
        <v>195</v>
      </c>
    </row>
    <row r="405" spans="1:17" ht="20.100000000000001" customHeight="1" x14ac:dyDescent="0.25">
      <c r="A405" s="3" t="s">
        <v>512</v>
      </c>
      <c r="B405" s="29">
        <f>COUNTIF(Report_Données!D:E,Classement[[#This Row],[Equipe]])+Classement[[#This Row],[Colonne3]]</f>
        <v>12</v>
      </c>
      <c r="C405" s="29">
        <f>SUMPRODUCT(Report[But Dom]*(Report[Domicile]=Classement[[#This Row],[Equipe]]))+SUMPRODUCT(Report[But Ext]*(Report[Extérieur]=Classement[[#This Row],[Equipe]]))+Classement[[#This Row],[Colonne1]]</f>
        <v>14</v>
      </c>
      <c r="D405" s="29">
        <f>SUMPRODUCT(Report[But Ext]*(Report[Domicile]=Classement[[#This Row],[Equipe]]))+SUMPRODUCT(Report[But Dom]*(Report[Extérieur]=Classement[[#This Row],[Equipe]]))+Classement[[#This Row],[Colonne2]]</f>
        <v>14</v>
      </c>
      <c r="E405" s="96">
        <v>10</v>
      </c>
      <c r="F405" s="96">
        <v>11</v>
      </c>
      <c r="G405" s="96">
        <v>13</v>
      </c>
      <c r="H405" s="96">
        <f>IF(Classement[[#This Row],[Equipe]]=Report_Données!$D:$D,SUM(Report_Données!$P:$P),3)</f>
        <v>3</v>
      </c>
      <c r="O405" s="32"/>
      <c r="Q405" s="3" t="s">
        <v>195</v>
      </c>
    </row>
    <row r="406" spans="1:17" ht="20.100000000000001" customHeight="1" x14ac:dyDescent="0.25">
      <c r="A406" s="3" t="s">
        <v>513</v>
      </c>
      <c r="B406" s="29">
        <f>COUNTIF(Report_Données!D:E,Classement[[#This Row],[Equipe]])+Classement[[#This Row],[Colonne3]]</f>
        <v>12</v>
      </c>
      <c r="C406" s="29">
        <f>SUMPRODUCT(Report[But Dom]*(Report[Domicile]=Classement[[#This Row],[Equipe]]))+SUMPRODUCT(Report[But Ext]*(Report[Extérieur]=Classement[[#This Row],[Equipe]]))+Classement[[#This Row],[Colonne1]]</f>
        <v>13</v>
      </c>
      <c r="D406" s="29">
        <f>SUMPRODUCT(Report[But Ext]*(Report[Domicile]=Classement[[#This Row],[Equipe]]))+SUMPRODUCT(Report[But Dom]*(Report[Extérieur]=Classement[[#This Row],[Equipe]]))+Classement[[#This Row],[Colonne2]]</f>
        <v>14</v>
      </c>
      <c r="E406" s="96">
        <v>11</v>
      </c>
      <c r="F406" s="96">
        <v>11</v>
      </c>
      <c r="G406" s="96">
        <v>13</v>
      </c>
      <c r="H406" s="96">
        <f>IF(Classement[[#This Row],[Equipe]]=Report_Données!$D:$D,SUM(Report_Données!$P:$P),3)</f>
        <v>3</v>
      </c>
      <c r="O406" s="32"/>
    </row>
    <row r="407" spans="1:17" ht="20.100000000000001" customHeight="1" x14ac:dyDescent="0.25">
      <c r="A407" s="28"/>
      <c r="B407" s="30"/>
      <c r="C407" s="30"/>
      <c r="D407" s="30"/>
      <c r="E407" s="96"/>
      <c r="F407" s="96"/>
      <c r="G407" s="96"/>
      <c r="H407" s="96">
        <f>IF(Classement[[#This Row],[Equipe]]=Report_Données!$D:$D,SUM(Report_Données!$P:$P),3)</f>
        <v>493</v>
      </c>
    </row>
    <row r="408" spans="1:17" ht="20.100000000000001" customHeight="1" x14ac:dyDescent="0.25">
      <c r="A408" s="3" t="s">
        <v>532</v>
      </c>
      <c r="B408" s="29">
        <f>COUNTIF(Report_Données!D:E,Classement[[#This Row],[Equipe]])+Classement[[#This Row],[Colonne3]]</f>
        <v>37</v>
      </c>
      <c r="C408" s="29">
        <f>SUMPRODUCT(Report[But Dom]*(Report[Domicile]=Classement[[#This Row],[Equipe]]))+SUMPRODUCT(Report[But Ext]*(Report[Extérieur]=Classement[[#This Row],[Equipe]]))+Classement[[#This Row],[Colonne1]]</f>
        <v>30</v>
      </c>
      <c r="D408" s="29">
        <f>SUMPRODUCT(Report[But Ext]*(Report[Domicile]=Classement[[#This Row],[Equipe]]))+SUMPRODUCT(Report[But Dom]*(Report[Extérieur]=Classement[[#This Row],[Equipe]]))+Classement[[#This Row],[Colonne2]]</f>
        <v>46</v>
      </c>
      <c r="E408" s="95">
        <v>33</v>
      </c>
      <c r="F408" s="96">
        <v>26</v>
      </c>
      <c r="G408" s="96">
        <v>41</v>
      </c>
      <c r="H408" s="96">
        <f>IF(Classement[[#This Row],[Equipe]]=Report_Données!$D:$D,SUM(Report_Données!$P:$P),3)</f>
        <v>3</v>
      </c>
      <c r="O408" s="31"/>
      <c r="Q408" s="3" t="s">
        <v>195</v>
      </c>
    </row>
    <row r="409" spans="1:17" ht="20.100000000000001" customHeight="1" x14ac:dyDescent="0.25">
      <c r="A409" s="3" t="s">
        <v>519</v>
      </c>
      <c r="B409" s="29">
        <f>COUNTIF(Report_Données!D:E,Classement[[#This Row],[Equipe]])+Classement[[#This Row],[Colonne3]]</f>
        <v>37</v>
      </c>
      <c r="C409" s="29">
        <f>SUMPRODUCT(Report[But Dom]*(Report[Domicile]=Classement[[#This Row],[Equipe]]))+SUMPRODUCT(Report[But Ext]*(Report[Extérieur]=Classement[[#This Row],[Equipe]]))+Classement[[#This Row],[Colonne1]]</f>
        <v>55</v>
      </c>
      <c r="D409" s="29">
        <f>SUMPRODUCT(Report[But Ext]*(Report[Domicile]=Classement[[#This Row],[Equipe]]))+SUMPRODUCT(Report[But Dom]*(Report[Extérieur]=Classement[[#This Row],[Equipe]]))+Classement[[#This Row],[Colonne2]]</f>
        <v>43</v>
      </c>
      <c r="E409" s="95">
        <v>34</v>
      </c>
      <c r="F409" s="96">
        <v>51</v>
      </c>
      <c r="G409" s="96">
        <v>37</v>
      </c>
      <c r="H409" s="96">
        <f>IF(Classement[[#This Row],[Equipe]]=Report_Données!$D:$D,SUM(Report_Données!$P:$P),3)</f>
        <v>3</v>
      </c>
      <c r="O409" s="31"/>
      <c r="Q409" s="3" t="s">
        <v>195</v>
      </c>
    </row>
    <row r="410" spans="1:17" ht="20.100000000000001" customHeight="1" x14ac:dyDescent="0.25">
      <c r="A410" s="3" t="s">
        <v>521</v>
      </c>
      <c r="B410" s="29">
        <f>COUNTIF(Report_Données!D:E,Classement[[#This Row],[Equipe]])+Classement[[#This Row],[Colonne3]]</f>
        <v>37</v>
      </c>
      <c r="C410" s="29">
        <f>SUMPRODUCT(Report[But Dom]*(Report[Domicile]=Classement[[#This Row],[Equipe]]))+SUMPRODUCT(Report[But Ext]*(Report[Extérieur]=Classement[[#This Row],[Equipe]]))+Classement[[#This Row],[Colonne1]]</f>
        <v>52</v>
      </c>
      <c r="D410" s="29">
        <f>SUMPRODUCT(Report[But Ext]*(Report[Domicile]=Classement[[#This Row],[Equipe]]))+SUMPRODUCT(Report[But Dom]*(Report[Extérieur]=Classement[[#This Row],[Equipe]]))+Classement[[#This Row],[Colonne2]]</f>
        <v>36</v>
      </c>
      <c r="E410" s="95">
        <v>34</v>
      </c>
      <c r="F410" s="96">
        <v>47</v>
      </c>
      <c r="G410" s="96">
        <v>33</v>
      </c>
      <c r="H410" s="96">
        <f>IF(Classement[[#This Row],[Equipe]]=Report_Données!$D:$D,SUM(Report_Données!$P:$P),3)</f>
        <v>3</v>
      </c>
      <c r="O410" s="31"/>
      <c r="Q410" s="3" t="s">
        <v>195</v>
      </c>
    </row>
    <row r="411" spans="1:17" ht="20.100000000000001" customHeight="1" x14ac:dyDescent="0.25">
      <c r="A411" s="3" t="s">
        <v>523</v>
      </c>
      <c r="B411" s="29">
        <f>COUNTIF(Report_Données!D:E,Classement[[#This Row],[Equipe]])+Classement[[#This Row],[Colonne3]]</f>
        <v>37</v>
      </c>
      <c r="C411" s="29">
        <f>SUMPRODUCT(Report[But Dom]*(Report[Domicile]=Classement[[#This Row],[Equipe]]))+SUMPRODUCT(Report[But Ext]*(Report[Extérieur]=Classement[[#This Row],[Equipe]]))+Classement[[#This Row],[Colonne1]]</f>
        <v>39</v>
      </c>
      <c r="D411" s="29">
        <f>SUMPRODUCT(Report[But Ext]*(Report[Domicile]=Classement[[#This Row],[Equipe]]))+SUMPRODUCT(Report[But Dom]*(Report[Extérieur]=Classement[[#This Row],[Equipe]]))+Classement[[#This Row],[Colonne2]]</f>
        <v>41</v>
      </c>
      <c r="E411" s="95">
        <v>34</v>
      </c>
      <c r="F411" s="96">
        <v>37</v>
      </c>
      <c r="G411" s="96">
        <v>39</v>
      </c>
      <c r="H411" s="96">
        <f>IF(Classement[[#This Row],[Equipe]]=Report_Données!$D:$D,SUM(Report_Données!$P:$P),3)</f>
        <v>3</v>
      </c>
      <c r="O411" s="31"/>
      <c r="Q411" s="3" t="s">
        <v>195</v>
      </c>
    </row>
    <row r="412" spans="1:17" ht="20.100000000000001" customHeight="1" x14ac:dyDescent="0.25">
      <c r="A412" s="3" t="s">
        <v>525</v>
      </c>
      <c r="B412" s="29">
        <f>COUNTIF(Report_Données!D:E,Classement[[#This Row],[Equipe]])+Classement[[#This Row],[Colonne3]]</f>
        <v>36</v>
      </c>
      <c r="C412" s="29">
        <f>SUMPRODUCT(Report[But Dom]*(Report[Domicile]=Classement[[#This Row],[Equipe]]))+SUMPRODUCT(Report[But Ext]*(Report[Extérieur]=Classement[[#This Row],[Equipe]]))+Classement[[#This Row],[Colonne1]]</f>
        <v>38</v>
      </c>
      <c r="D412" s="29">
        <f>SUMPRODUCT(Report[But Ext]*(Report[Domicile]=Classement[[#This Row],[Equipe]]))+SUMPRODUCT(Report[But Dom]*(Report[Extérieur]=Classement[[#This Row],[Equipe]]))+Classement[[#This Row],[Colonne2]]</f>
        <v>45</v>
      </c>
      <c r="E412" s="95">
        <v>33</v>
      </c>
      <c r="F412" s="96">
        <v>34</v>
      </c>
      <c r="G412" s="96">
        <v>43</v>
      </c>
      <c r="H412" s="96">
        <f>IF(Classement[[#This Row],[Equipe]]=Report_Données!$D:$D,SUM(Report_Données!$P:$P),3)</f>
        <v>3</v>
      </c>
      <c r="O412" s="31"/>
      <c r="Q412" s="3" t="s">
        <v>195</v>
      </c>
    </row>
    <row r="413" spans="1:17" ht="20.100000000000001" customHeight="1" x14ac:dyDescent="0.25">
      <c r="A413" s="3" t="s">
        <v>529</v>
      </c>
      <c r="B413" s="29">
        <f>COUNTIF(Report_Données!D:E,Classement[[#This Row],[Equipe]])+Classement[[#This Row],[Colonne3]]</f>
        <v>37</v>
      </c>
      <c r="C413" s="29">
        <f>SUMPRODUCT(Report[But Dom]*(Report[Domicile]=Classement[[#This Row],[Equipe]]))+SUMPRODUCT(Report[But Ext]*(Report[Extérieur]=Classement[[#This Row],[Equipe]]))+Classement[[#This Row],[Colonne1]]</f>
        <v>32</v>
      </c>
      <c r="D413" s="29">
        <f>SUMPRODUCT(Report[But Ext]*(Report[Domicile]=Classement[[#This Row],[Equipe]]))+SUMPRODUCT(Report[But Dom]*(Report[Extérieur]=Classement[[#This Row],[Equipe]]))+Classement[[#This Row],[Colonne2]]</f>
        <v>38</v>
      </c>
      <c r="E413" s="95">
        <v>34</v>
      </c>
      <c r="F413" s="96">
        <v>29</v>
      </c>
      <c r="G413" s="96">
        <v>36</v>
      </c>
      <c r="H413" s="96">
        <f>IF(Classement[[#This Row],[Equipe]]=Report_Données!$D:$D,SUM(Report_Données!$P:$P),3)</f>
        <v>3</v>
      </c>
      <c r="O413" s="31"/>
      <c r="Q413" s="3" t="s">
        <v>195</v>
      </c>
    </row>
    <row r="414" spans="1:17" ht="20.100000000000001" customHeight="1" x14ac:dyDescent="0.25">
      <c r="A414" s="3" t="s">
        <v>530</v>
      </c>
      <c r="B414" s="29">
        <f>COUNTIF(Report_Données!D:E,Classement[[#This Row],[Equipe]])+Classement[[#This Row],[Colonne3]]</f>
        <v>36</v>
      </c>
      <c r="C414" s="29">
        <f>SUMPRODUCT(Report[But Dom]*(Report[Domicile]=Classement[[#This Row],[Equipe]]))+SUMPRODUCT(Report[But Ext]*(Report[Extérieur]=Classement[[#This Row],[Equipe]]))+Classement[[#This Row],[Colonne1]]</f>
        <v>33</v>
      </c>
      <c r="D414" s="29">
        <f>SUMPRODUCT(Report[But Ext]*(Report[Domicile]=Classement[[#This Row],[Equipe]]))+SUMPRODUCT(Report[But Dom]*(Report[Extérieur]=Classement[[#This Row],[Equipe]]))+Classement[[#This Row],[Colonne2]]</f>
        <v>50</v>
      </c>
      <c r="E414" s="95">
        <v>33</v>
      </c>
      <c r="F414" s="96">
        <v>31</v>
      </c>
      <c r="G414" s="96">
        <v>47</v>
      </c>
      <c r="H414" s="96">
        <f>IF(Classement[[#This Row],[Equipe]]=Report_Données!$D:$D,SUM(Report_Données!$P:$P),3)</f>
        <v>3</v>
      </c>
      <c r="O414" s="31"/>
      <c r="Q414" s="3" t="s">
        <v>195</v>
      </c>
    </row>
    <row r="415" spans="1:17" ht="20.100000000000001" customHeight="1" x14ac:dyDescent="0.25">
      <c r="A415" s="3" t="s">
        <v>526</v>
      </c>
      <c r="B415" s="29">
        <f>COUNTIF(Report_Données!D:E,Classement[[#This Row],[Equipe]])+Classement[[#This Row],[Colonne3]]</f>
        <v>37</v>
      </c>
      <c r="C415" s="29">
        <f>SUMPRODUCT(Report[But Dom]*(Report[Domicile]=Classement[[#This Row],[Equipe]]))+SUMPRODUCT(Report[But Ext]*(Report[Extérieur]=Classement[[#This Row],[Equipe]]))+Classement[[#This Row],[Colonne1]]</f>
        <v>34</v>
      </c>
      <c r="D415" s="29">
        <f>SUMPRODUCT(Report[But Ext]*(Report[Domicile]=Classement[[#This Row],[Equipe]]))+SUMPRODUCT(Report[But Dom]*(Report[Extérieur]=Classement[[#This Row],[Equipe]]))+Classement[[#This Row],[Colonne2]]</f>
        <v>34</v>
      </c>
      <c r="E415" s="95">
        <v>34</v>
      </c>
      <c r="F415" s="96">
        <v>33</v>
      </c>
      <c r="G415" s="96">
        <v>33</v>
      </c>
      <c r="H415" s="96">
        <f>IF(Classement[[#This Row],[Equipe]]=Report_Données!$D:$D,SUM(Report_Données!$P:$P),3)</f>
        <v>3</v>
      </c>
      <c r="O415" s="31"/>
      <c r="Q415" s="3" t="s">
        <v>195</v>
      </c>
    </row>
    <row r="416" spans="1:17" ht="20.100000000000001" customHeight="1" x14ac:dyDescent="0.25">
      <c r="A416" s="3" t="s">
        <v>520</v>
      </c>
      <c r="B416" s="29">
        <f>COUNTIF(Report_Données!D:E,Classement[[#This Row],[Equipe]])+Classement[[#This Row],[Colonne3]]</f>
        <v>37</v>
      </c>
      <c r="C416" s="29">
        <f>SUMPRODUCT(Report[But Dom]*(Report[Domicile]=Classement[[#This Row],[Equipe]]))+SUMPRODUCT(Report[But Ext]*(Report[Extérieur]=Classement[[#This Row],[Equipe]]))+Classement[[#This Row],[Colonne1]]</f>
        <v>34</v>
      </c>
      <c r="D416" s="29">
        <f>SUMPRODUCT(Report[But Ext]*(Report[Domicile]=Classement[[#This Row],[Equipe]]))+SUMPRODUCT(Report[But Dom]*(Report[Extérieur]=Classement[[#This Row],[Equipe]]))+Classement[[#This Row],[Colonne2]]</f>
        <v>34</v>
      </c>
      <c r="E416" s="95">
        <v>34</v>
      </c>
      <c r="F416" s="96">
        <v>31</v>
      </c>
      <c r="G416" s="96">
        <v>31</v>
      </c>
      <c r="H416" s="96">
        <f>IF(Classement[[#This Row],[Equipe]]=Report_Données!$D:$D,SUM(Report_Données!$P:$P),3)</f>
        <v>3</v>
      </c>
      <c r="O416" s="31"/>
      <c r="Q416" s="3" t="s">
        <v>195</v>
      </c>
    </row>
    <row r="417" spans="1:17" ht="20.100000000000001" customHeight="1" x14ac:dyDescent="0.25">
      <c r="A417" s="3" t="s">
        <v>516</v>
      </c>
      <c r="B417" s="29">
        <f>COUNTIF(Report_Données!D:E,Classement[[#This Row],[Equipe]])+Classement[[#This Row],[Colonne3]]</f>
        <v>36</v>
      </c>
      <c r="C417" s="29">
        <f>SUMPRODUCT(Report[But Dom]*(Report[Domicile]=Classement[[#This Row],[Equipe]]))+SUMPRODUCT(Report[But Ext]*(Report[Extérieur]=Classement[[#This Row],[Equipe]]))+Classement[[#This Row],[Colonne1]]</f>
        <v>58</v>
      </c>
      <c r="D417" s="29">
        <f>SUMPRODUCT(Report[But Ext]*(Report[Domicile]=Classement[[#This Row],[Equipe]]))+SUMPRODUCT(Report[But Dom]*(Report[Extérieur]=Classement[[#This Row],[Equipe]]))+Classement[[#This Row],[Colonne2]]</f>
        <v>27</v>
      </c>
      <c r="E417" s="95">
        <v>33</v>
      </c>
      <c r="F417" s="96">
        <v>53</v>
      </c>
      <c r="G417" s="96">
        <v>27</v>
      </c>
      <c r="H417" s="96">
        <f>IF(Classement[[#This Row],[Equipe]]=Report_Données!$D:$D,SUM(Report_Données!$P:$P),3)</f>
        <v>3</v>
      </c>
      <c r="O417" s="31"/>
      <c r="Q417" s="3" t="s">
        <v>195</v>
      </c>
    </row>
    <row r="418" spans="1:17" ht="20.100000000000001" customHeight="1" x14ac:dyDescent="0.25">
      <c r="A418" s="3" t="s">
        <v>524</v>
      </c>
      <c r="B418" s="29">
        <f>COUNTIF(Report_Données!D:E,Classement[[#This Row],[Equipe]])+Classement[[#This Row],[Colonne3]]</f>
        <v>37</v>
      </c>
      <c r="C418" s="29">
        <f>SUMPRODUCT(Report[But Dom]*(Report[Domicile]=Classement[[#This Row],[Equipe]]))+SUMPRODUCT(Report[But Ext]*(Report[Extérieur]=Classement[[#This Row],[Equipe]]))+Classement[[#This Row],[Colonne1]]</f>
        <v>31</v>
      </c>
      <c r="D418" s="29">
        <f>SUMPRODUCT(Report[But Ext]*(Report[Domicile]=Classement[[#This Row],[Equipe]]))+SUMPRODUCT(Report[But Dom]*(Report[Extérieur]=Classement[[#This Row],[Equipe]]))+Classement[[#This Row],[Colonne2]]</f>
        <v>46</v>
      </c>
      <c r="E418" s="95">
        <v>34</v>
      </c>
      <c r="F418" s="96">
        <v>31</v>
      </c>
      <c r="G418" s="96">
        <v>42</v>
      </c>
      <c r="H418" s="96">
        <f>IF(Classement[[#This Row],[Equipe]]=Report_Données!$D:$D,SUM(Report_Données!$P:$P),3)</f>
        <v>3</v>
      </c>
      <c r="O418" s="31"/>
      <c r="Q418" s="3" t="s">
        <v>195</v>
      </c>
    </row>
    <row r="419" spans="1:17" ht="20.100000000000001" customHeight="1" x14ac:dyDescent="0.25">
      <c r="A419" s="3" t="s">
        <v>517</v>
      </c>
      <c r="B419" s="29">
        <f>COUNTIF(Report_Données!D:E,Classement[[#This Row],[Equipe]])+Classement[[#This Row],[Colonne3]]</f>
        <v>36</v>
      </c>
      <c r="C419" s="29">
        <f>SUMPRODUCT(Report[But Dom]*(Report[Domicile]=Classement[[#This Row],[Equipe]]))+SUMPRODUCT(Report[But Ext]*(Report[Extérieur]=Classement[[#This Row],[Equipe]]))+Classement[[#This Row],[Colonne1]]</f>
        <v>47</v>
      </c>
      <c r="D419" s="29">
        <f>SUMPRODUCT(Report[But Ext]*(Report[Domicile]=Classement[[#This Row],[Equipe]]))+SUMPRODUCT(Report[But Dom]*(Report[Extérieur]=Classement[[#This Row],[Equipe]]))+Classement[[#This Row],[Colonne2]]</f>
        <v>27</v>
      </c>
      <c r="E419" s="95">
        <v>33</v>
      </c>
      <c r="F419" s="96">
        <v>45</v>
      </c>
      <c r="G419" s="96">
        <v>25</v>
      </c>
      <c r="H419" s="96">
        <f>IF(Classement[[#This Row],[Equipe]]=Report_Données!$D:$D,SUM(Report_Données!$P:$P),3)</f>
        <v>3</v>
      </c>
      <c r="O419" s="31"/>
      <c r="Q419" s="3" t="s">
        <v>195</v>
      </c>
    </row>
    <row r="420" spans="1:17" ht="20.100000000000001" customHeight="1" x14ac:dyDescent="0.25">
      <c r="A420" s="3" t="s">
        <v>515</v>
      </c>
      <c r="B420" s="29">
        <f>COUNTIF(Report_Données!D:E,Classement[[#This Row],[Equipe]])+Classement[[#This Row],[Colonne3]]</f>
        <v>37</v>
      </c>
      <c r="C420" s="29">
        <f>SUMPRODUCT(Report[But Dom]*(Report[Domicile]=Classement[[#This Row],[Equipe]]))+SUMPRODUCT(Report[But Ext]*(Report[Extérieur]=Classement[[#This Row],[Equipe]]))+Classement[[#This Row],[Colonne1]]</f>
        <v>50</v>
      </c>
      <c r="D420" s="29">
        <f>SUMPRODUCT(Report[But Ext]*(Report[Domicile]=Classement[[#This Row],[Equipe]]))+SUMPRODUCT(Report[But Dom]*(Report[Extérieur]=Classement[[#This Row],[Equipe]]))+Classement[[#This Row],[Colonne2]]</f>
        <v>28</v>
      </c>
      <c r="E420" s="95">
        <v>33</v>
      </c>
      <c r="F420" s="96">
        <v>45</v>
      </c>
      <c r="G420" s="96">
        <v>25</v>
      </c>
      <c r="H420" s="96">
        <f>IF(Classement[[#This Row],[Equipe]]=Report_Données!$D:$D,SUM(Report_Données!$P:$P),3)</f>
        <v>3</v>
      </c>
      <c r="O420" s="31"/>
      <c r="Q420" s="3" t="s">
        <v>195</v>
      </c>
    </row>
    <row r="421" spans="1:17" ht="20.100000000000001" customHeight="1" x14ac:dyDescent="0.25">
      <c r="A421" s="3" t="s">
        <v>514</v>
      </c>
      <c r="B421" s="29">
        <f>COUNTIF(Report_Données!D:E,Classement[[#This Row],[Equipe]])+Classement[[#This Row],[Colonne3]]</f>
        <v>37</v>
      </c>
      <c r="C421" s="29">
        <f>SUMPRODUCT(Report[But Dom]*(Report[Domicile]=Classement[[#This Row],[Equipe]]))+SUMPRODUCT(Report[But Ext]*(Report[Extérieur]=Classement[[#This Row],[Equipe]]))+Classement[[#This Row],[Colonne1]]</f>
        <v>61</v>
      </c>
      <c r="D421" s="29">
        <f>SUMPRODUCT(Report[But Ext]*(Report[Domicile]=Classement[[#This Row],[Equipe]]))+SUMPRODUCT(Report[But Dom]*(Report[Extérieur]=Classement[[#This Row],[Equipe]]))+Classement[[#This Row],[Colonne2]]</f>
        <v>24</v>
      </c>
      <c r="E421" s="95">
        <v>34</v>
      </c>
      <c r="F421" s="96">
        <v>55</v>
      </c>
      <c r="G421" s="96">
        <v>23</v>
      </c>
      <c r="H421" s="96">
        <f>IF(Classement[[#This Row],[Equipe]]=Report_Données!$D:$D,SUM(Report_Données!$P:$P),3)</f>
        <v>3</v>
      </c>
      <c r="O421" s="31"/>
      <c r="Q421" s="3" t="s">
        <v>195</v>
      </c>
    </row>
    <row r="422" spans="1:17" ht="20.100000000000001" customHeight="1" x14ac:dyDescent="0.25">
      <c r="A422" s="3" t="s">
        <v>533</v>
      </c>
      <c r="B422" s="29">
        <f>COUNTIF(Report_Données!D:E,Classement[[#This Row],[Equipe]])+Classement[[#This Row],[Colonne3]]</f>
        <v>37</v>
      </c>
      <c r="C422" s="29">
        <f>SUMPRODUCT(Report[But Dom]*(Report[Domicile]=Classement[[#This Row],[Equipe]]))+SUMPRODUCT(Report[But Ext]*(Report[Extérieur]=Classement[[#This Row],[Equipe]]))+Classement[[#This Row],[Colonne1]]</f>
        <v>17</v>
      </c>
      <c r="D422" s="29">
        <f>SUMPRODUCT(Report[But Ext]*(Report[Domicile]=Classement[[#This Row],[Equipe]]))+SUMPRODUCT(Report[But Dom]*(Report[Extérieur]=Classement[[#This Row],[Equipe]]))+Classement[[#This Row],[Colonne2]]</f>
        <v>56</v>
      </c>
      <c r="E422" s="95">
        <v>34</v>
      </c>
      <c r="F422" s="96">
        <v>15</v>
      </c>
      <c r="G422" s="96">
        <v>52</v>
      </c>
      <c r="H422" s="96">
        <f>IF(Classement[[#This Row],[Equipe]]=Report_Données!$D:$D,SUM(Report_Données!$P:$P),3)</f>
        <v>3</v>
      </c>
      <c r="O422" s="31"/>
      <c r="Q422" s="3" t="s">
        <v>195</v>
      </c>
    </row>
    <row r="423" spans="1:17" ht="20.100000000000001" customHeight="1" x14ac:dyDescent="0.25">
      <c r="A423" s="3" t="s">
        <v>522</v>
      </c>
      <c r="B423" s="29">
        <f>COUNTIF(Report_Données!D:E,Classement[[#This Row],[Equipe]])+Classement[[#This Row],[Colonne3]]</f>
        <v>36</v>
      </c>
      <c r="C423" s="29">
        <f>SUMPRODUCT(Report[But Dom]*(Report[Domicile]=Classement[[#This Row],[Equipe]]))+SUMPRODUCT(Report[But Ext]*(Report[Extérieur]=Classement[[#This Row],[Equipe]]))+Classement[[#This Row],[Colonne1]]</f>
        <v>45</v>
      </c>
      <c r="D423" s="29">
        <f>SUMPRODUCT(Report[But Ext]*(Report[Domicile]=Classement[[#This Row],[Equipe]]))+SUMPRODUCT(Report[But Dom]*(Report[Extérieur]=Classement[[#This Row],[Equipe]]))+Classement[[#This Row],[Colonne2]]</f>
        <v>38</v>
      </c>
      <c r="E423" s="95">
        <v>33</v>
      </c>
      <c r="F423" s="96">
        <v>40</v>
      </c>
      <c r="G423" s="96">
        <v>33</v>
      </c>
      <c r="H423" s="96">
        <f>IF(Classement[[#This Row],[Equipe]]=Report_Données!$D:$D,SUM(Report_Données!$P:$P),3)</f>
        <v>3</v>
      </c>
      <c r="O423" s="31"/>
      <c r="Q423" s="3" t="s">
        <v>195</v>
      </c>
    </row>
    <row r="424" spans="1:17" ht="20.100000000000001" customHeight="1" x14ac:dyDescent="0.25">
      <c r="A424" s="3" t="s">
        <v>518</v>
      </c>
      <c r="B424" s="29">
        <f>COUNTIF(Report_Données!D:E,Classement[[#This Row],[Equipe]])+Classement[[#This Row],[Colonne3]]</f>
        <v>36</v>
      </c>
      <c r="C424" s="29">
        <f>SUMPRODUCT(Report[But Dom]*(Report[Domicile]=Classement[[#This Row],[Equipe]]))+SUMPRODUCT(Report[But Ext]*(Report[Extérieur]=Classement[[#This Row],[Equipe]]))+Classement[[#This Row],[Colonne1]]</f>
        <v>46</v>
      </c>
      <c r="D424" s="29">
        <f>SUMPRODUCT(Report[But Ext]*(Report[Domicile]=Classement[[#This Row],[Equipe]]))+SUMPRODUCT(Report[But Dom]*(Report[Extérieur]=Classement[[#This Row],[Equipe]]))+Classement[[#This Row],[Colonne2]]</f>
        <v>33</v>
      </c>
      <c r="E424" s="95">
        <v>33</v>
      </c>
      <c r="F424" s="96">
        <v>45</v>
      </c>
      <c r="G424" s="96">
        <v>31</v>
      </c>
      <c r="H424" s="96">
        <f>IF(Classement[[#This Row],[Equipe]]=Report_Données!$D:$D,SUM(Report_Données!$P:$P),3)</f>
        <v>3</v>
      </c>
      <c r="O424" s="31"/>
      <c r="Q424" s="3" t="s">
        <v>195</v>
      </c>
    </row>
    <row r="425" spans="1:17" ht="20.100000000000001" customHeight="1" x14ac:dyDescent="0.25">
      <c r="A425" s="3" t="s">
        <v>528</v>
      </c>
      <c r="B425" s="29">
        <f>COUNTIF(Report_Données!D:E,Classement[[#This Row],[Equipe]])+Classement[[#This Row],[Colonne3]]</f>
        <v>37</v>
      </c>
      <c r="C425" s="29">
        <f>SUMPRODUCT(Report[But Dom]*(Report[Domicile]=Classement[[#This Row],[Equipe]]))+SUMPRODUCT(Report[But Ext]*(Report[Extérieur]=Classement[[#This Row],[Equipe]]))+Classement[[#This Row],[Colonne1]]</f>
        <v>33</v>
      </c>
      <c r="D425" s="29">
        <f>SUMPRODUCT(Report[But Ext]*(Report[Domicile]=Classement[[#This Row],[Equipe]]))+SUMPRODUCT(Report[But Dom]*(Report[Extérieur]=Classement[[#This Row],[Equipe]]))+Classement[[#This Row],[Colonne2]]</f>
        <v>56</v>
      </c>
      <c r="E425" s="95">
        <v>34</v>
      </c>
      <c r="F425" s="96">
        <v>32</v>
      </c>
      <c r="G425" s="96">
        <v>53</v>
      </c>
      <c r="H425" s="96">
        <f>IF(Classement[[#This Row],[Equipe]]=Report_Données!$D:$D,SUM(Report_Données!$P:$P),3)</f>
        <v>3</v>
      </c>
      <c r="O425" s="31"/>
      <c r="Q425" s="3" t="s">
        <v>195</v>
      </c>
    </row>
    <row r="426" spans="1:17" ht="20.100000000000001" customHeight="1" x14ac:dyDescent="0.25">
      <c r="A426" s="3" t="s">
        <v>527</v>
      </c>
      <c r="B426" s="29">
        <f>COUNTIF(Report_Données!D:E,Classement[[#This Row],[Equipe]])+Classement[[#This Row],[Colonne3]]</f>
        <v>37</v>
      </c>
      <c r="C426" s="29">
        <f>SUMPRODUCT(Report[But Dom]*(Report[Domicile]=Classement[[#This Row],[Equipe]]))+SUMPRODUCT(Report[But Ext]*(Report[Extérieur]=Classement[[#This Row],[Equipe]]))+Classement[[#This Row],[Colonne1]]</f>
        <v>41</v>
      </c>
      <c r="D426" s="29">
        <f>SUMPRODUCT(Report[But Ext]*(Report[Domicile]=Classement[[#This Row],[Equipe]]))+SUMPRODUCT(Report[But Dom]*(Report[Extérieur]=Classement[[#This Row],[Equipe]]))+Classement[[#This Row],[Colonne2]]</f>
        <v>48</v>
      </c>
      <c r="E426" s="95">
        <v>34</v>
      </c>
      <c r="F426" s="96">
        <v>39</v>
      </c>
      <c r="G426" s="96">
        <v>46</v>
      </c>
      <c r="H426" s="96">
        <f>IF(Classement[[#This Row],[Equipe]]=Report_Données!$D:$D,SUM(Report_Données!$P:$P),3)</f>
        <v>3</v>
      </c>
      <c r="O426" s="31"/>
      <c r="Q426" s="3" t="s">
        <v>195</v>
      </c>
    </row>
    <row r="427" spans="1:17" ht="20.100000000000001" customHeight="1" x14ac:dyDescent="0.25">
      <c r="A427" s="3" t="s">
        <v>531</v>
      </c>
      <c r="B427" s="29">
        <f>COUNTIF(Report_Données!D:E,Classement[[#This Row],[Equipe]])+Classement[[#This Row],[Colonne3]]</f>
        <v>37</v>
      </c>
      <c r="C427" s="29">
        <f>SUMPRODUCT(Report[But Dom]*(Report[Domicile]=Classement[[#This Row],[Equipe]]))+SUMPRODUCT(Report[But Ext]*(Report[Extérieur]=Classement[[#This Row],[Equipe]]))+Classement[[#This Row],[Colonne1]]</f>
        <v>34</v>
      </c>
      <c r="D427" s="29">
        <f>SUMPRODUCT(Report[But Ext]*(Report[Domicile]=Classement[[#This Row],[Equipe]]))+SUMPRODUCT(Report[But Dom]*(Report[Extérieur]=Classement[[#This Row],[Equipe]]))+Classement[[#This Row],[Colonne2]]</f>
        <v>60</v>
      </c>
      <c r="E427" s="95">
        <v>34</v>
      </c>
      <c r="F427" s="96">
        <v>33</v>
      </c>
      <c r="G427" s="96">
        <v>55</v>
      </c>
      <c r="H427" s="96">
        <f>IF(Classement[[#This Row],[Equipe]]=Report_Données!$D:$D,SUM(Report_Données!$P:$P),3)</f>
        <v>3</v>
      </c>
      <c r="O427" s="32"/>
    </row>
    <row r="428" spans="1:17" ht="20.100000000000001" customHeight="1" x14ac:dyDescent="0.25">
      <c r="A428" s="28"/>
      <c r="B428" s="30"/>
      <c r="C428" s="30"/>
      <c r="D428" s="30"/>
      <c r="E428" s="96"/>
      <c r="F428" s="96"/>
      <c r="G428" s="96"/>
      <c r="H428" s="96">
        <f>IF(Classement[[#This Row],[Equipe]]=Report_Données!$D:$D,SUM(Report_Données!$P:$P),3)</f>
        <v>493</v>
      </c>
    </row>
    <row r="429" spans="1:17" ht="20.100000000000001" customHeight="1" x14ac:dyDescent="0.25">
      <c r="A429" s="3" t="s">
        <v>534</v>
      </c>
      <c r="B429" s="29">
        <f>COUNTIF(Report_Données!D:E,Classement[[#This Row],[Equipe]])+Classement[[#This Row],[Colonne3]]</f>
        <v>8</v>
      </c>
      <c r="C429" s="29">
        <f>SUMPRODUCT(Report[But Dom]*(Report[Domicile]=Classement[[#This Row],[Equipe]]))+SUMPRODUCT(Report[But Ext]*(Report[Extérieur]=Classement[[#This Row],[Equipe]]))+Classement[[#This Row],[Colonne1]]</f>
        <v>13</v>
      </c>
      <c r="D429" s="29">
        <f>SUMPRODUCT(Report[But Ext]*(Report[Domicile]=Classement[[#This Row],[Equipe]]))+SUMPRODUCT(Report[But Dom]*(Report[Extérieur]=Classement[[#This Row],[Equipe]]))+Classement[[#This Row],[Colonne2]]</f>
        <v>4</v>
      </c>
      <c r="E429" s="95">
        <v>7</v>
      </c>
      <c r="F429" s="96">
        <v>12</v>
      </c>
      <c r="G429" s="96">
        <v>4</v>
      </c>
      <c r="H429" s="96">
        <f>IF(Classement[[#This Row],[Equipe]]=Report_Données!$D:$D,SUM(Report_Données!$P:$P),3)</f>
        <v>3</v>
      </c>
      <c r="O429" s="32"/>
      <c r="Q429" s="3" t="s">
        <v>195</v>
      </c>
    </row>
    <row r="430" spans="1:17" ht="20.100000000000001" customHeight="1" x14ac:dyDescent="0.25">
      <c r="A430" s="3" t="s">
        <v>535</v>
      </c>
      <c r="B430" s="29">
        <f>COUNTIF(Report_Données!D:E,Classement[[#This Row],[Equipe]])+Classement[[#This Row],[Colonne3]]</f>
        <v>10</v>
      </c>
      <c r="C430" s="29">
        <f>SUMPRODUCT(Report[But Dom]*(Report[Domicile]=Classement[[#This Row],[Equipe]]))+SUMPRODUCT(Report[But Ext]*(Report[Extérieur]=Classement[[#This Row],[Equipe]]))+Classement[[#This Row],[Colonne1]]</f>
        <v>17</v>
      </c>
      <c r="D430" s="29">
        <f>SUMPRODUCT(Report[But Ext]*(Report[Domicile]=Classement[[#This Row],[Equipe]]))+SUMPRODUCT(Report[But Dom]*(Report[Extérieur]=Classement[[#This Row],[Equipe]]))+Classement[[#This Row],[Colonne2]]</f>
        <v>9</v>
      </c>
      <c r="E430" s="95">
        <v>9</v>
      </c>
      <c r="F430" s="96">
        <v>16</v>
      </c>
      <c r="G430" s="96">
        <v>5</v>
      </c>
      <c r="H430" s="96">
        <f>IF(Classement[[#This Row],[Equipe]]=Report_Données!$D:$D,SUM(Report_Données!$P:$P),3)</f>
        <v>3</v>
      </c>
      <c r="O430" s="32"/>
      <c r="Q430" s="3" t="s">
        <v>195</v>
      </c>
    </row>
    <row r="431" spans="1:17" ht="20.100000000000001" customHeight="1" x14ac:dyDescent="0.25">
      <c r="A431" s="3" t="s">
        <v>536</v>
      </c>
      <c r="B431" s="29">
        <f>COUNTIF(Report_Données!D:E,Classement[[#This Row],[Equipe]])+Classement[[#This Row],[Colonne3]]</f>
        <v>10</v>
      </c>
      <c r="C431" s="29">
        <f>SUMPRODUCT(Report[But Dom]*(Report[Domicile]=Classement[[#This Row],[Equipe]]))+SUMPRODUCT(Report[But Ext]*(Report[Extérieur]=Classement[[#This Row],[Equipe]]))+Classement[[#This Row],[Colonne1]]</f>
        <v>4</v>
      </c>
      <c r="D431" s="29">
        <f>SUMPRODUCT(Report[But Ext]*(Report[Domicile]=Classement[[#This Row],[Equipe]]))+SUMPRODUCT(Report[But Dom]*(Report[Extérieur]=Classement[[#This Row],[Equipe]]))+Classement[[#This Row],[Colonne2]]</f>
        <v>24</v>
      </c>
      <c r="E431" s="95">
        <v>9</v>
      </c>
      <c r="F431" s="96">
        <v>4</v>
      </c>
      <c r="G431" s="96">
        <v>21</v>
      </c>
      <c r="H431" s="96">
        <f>IF(Classement[[#This Row],[Equipe]]=Report_Données!$D:$D,SUM(Report_Données!$P:$P),3)</f>
        <v>3</v>
      </c>
      <c r="O431" s="32"/>
      <c r="Q431" s="3" t="s">
        <v>195</v>
      </c>
    </row>
    <row r="432" spans="1:17" ht="20.100000000000001" customHeight="1" x14ac:dyDescent="0.25">
      <c r="A432" s="3" t="s">
        <v>537</v>
      </c>
      <c r="B432" s="29">
        <f>COUNTIF(Report_Données!D:E,Classement[[#This Row],[Equipe]])+Classement[[#This Row],[Colonne3]]</f>
        <v>10</v>
      </c>
      <c r="C432" s="29">
        <f>SUMPRODUCT(Report[But Dom]*(Report[Domicile]=Classement[[#This Row],[Equipe]]))+SUMPRODUCT(Report[But Ext]*(Report[Extérieur]=Classement[[#This Row],[Equipe]]))+Classement[[#This Row],[Colonne1]]</f>
        <v>10</v>
      </c>
      <c r="D432" s="29">
        <f>SUMPRODUCT(Report[But Ext]*(Report[Domicile]=Classement[[#This Row],[Equipe]]))+SUMPRODUCT(Report[But Dom]*(Report[Extérieur]=Classement[[#This Row],[Equipe]]))+Classement[[#This Row],[Colonne2]]</f>
        <v>10</v>
      </c>
      <c r="E432" s="95">
        <v>9</v>
      </c>
      <c r="F432" s="96">
        <v>9</v>
      </c>
      <c r="G432" s="96">
        <v>9</v>
      </c>
      <c r="H432" s="96">
        <f>IF(Classement[[#This Row],[Equipe]]=Report_Données!$D:$D,SUM(Report_Données!$P:$P),3)</f>
        <v>3</v>
      </c>
      <c r="O432" s="32"/>
      <c r="Q432" s="3" t="s">
        <v>195</v>
      </c>
    </row>
    <row r="433" spans="1:17" ht="20.100000000000001" customHeight="1" x14ac:dyDescent="0.25">
      <c r="A433" s="3" t="s">
        <v>538</v>
      </c>
      <c r="B433" s="29">
        <f>COUNTIF(Report_Données!D:E,Classement[[#This Row],[Equipe]])+Classement[[#This Row],[Colonne3]]</f>
        <v>10</v>
      </c>
      <c r="C433" s="29">
        <f>SUMPRODUCT(Report[But Dom]*(Report[Domicile]=Classement[[#This Row],[Equipe]]))+SUMPRODUCT(Report[But Ext]*(Report[Extérieur]=Classement[[#This Row],[Equipe]]))+Classement[[#This Row],[Colonne1]]</f>
        <v>18</v>
      </c>
      <c r="D433" s="29">
        <f>SUMPRODUCT(Report[But Ext]*(Report[Domicile]=Classement[[#This Row],[Equipe]]))+SUMPRODUCT(Report[But Dom]*(Report[Extérieur]=Classement[[#This Row],[Equipe]]))+Classement[[#This Row],[Colonne2]]</f>
        <v>12</v>
      </c>
      <c r="E433" s="95">
        <v>9</v>
      </c>
      <c r="F433" s="96">
        <v>18</v>
      </c>
      <c r="G433" s="96">
        <v>11</v>
      </c>
      <c r="H433" s="96">
        <f>IF(Classement[[#This Row],[Equipe]]=Report_Données!$D:$D,SUM(Report_Données!$P:$P),3)</f>
        <v>3</v>
      </c>
      <c r="O433" s="32"/>
      <c r="Q433" s="3" t="s">
        <v>195</v>
      </c>
    </row>
    <row r="434" spans="1:17" ht="20.100000000000001" customHeight="1" x14ac:dyDescent="0.25">
      <c r="A434" s="3" t="s">
        <v>539</v>
      </c>
      <c r="B434" s="29">
        <f>COUNTIF(Report_Données!D:E,Classement[[#This Row],[Equipe]])+Classement[[#This Row],[Colonne3]]</f>
        <v>9</v>
      </c>
      <c r="C434" s="29">
        <f>SUMPRODUCT(Report[But Dom]*(Report[Domicile]=Classement[[#This Row],[Equipe]]))+SUMPRODUCT(Report[But Ext]*(Report[Extérieur]=Classement[[#This Row],[Equipe]]))+Classement[[#This Row],[Colonne1]]</f>
        <v>26</v>
      </c>
      <c r="D434" s="29">
        <f>SUMPRODUCT(Report[But Ext]*(Report[Domicile]=Classement[[#This Row],[Equipe]]))+SUMPRODUCT(Report[But Dom]*(Report[Extérieur]=Classement[[#This Row],[Equipe]]))+Classement[[#This Row],[Colonne2]]</f>
        <v>4</v>
      </c>
      <c r="E434" s="95">
        <v>8</v>
      </c>
      <c r="F434" s="96">
        <v>23</v>
      </c>
      <c r="G434" s="96">
        <v>4</v>
      </c>
      <c r="H434" s="96">
        <f>IF(Classement[[#This Row],[Equipe]]=Report_Données!$D:$D,SUM(Report_Données!$P:$P),3)</f>
        <v>3</v>
      </c>
      <c r="O434" s="32"/>
      <c r="Q434" s="3" t="s">
        <v>195</v>
      </c>
    </row>
    <row r="435" spans="1:17" ht="20.100000000000001" customHeight="1" x14ac:dyDescent="0.25">
      <c r="A435" s="3" t="s">
        <v>540</v>
      </c>
      <c r="B435" s="29">
        <f>COUNTIF(Report_Données!D:E,Classement[[#This Row],[Equipe]])+Classement[[#This Row],[Colonne3]]</f>
        <v>10</v>
      </c>
      <c r="C435" s="29">
        <f>SUMPRODUCT(Report[But Dom]*(Report[Domicile]=Classement[[#This Row],[Equipe]]))+SUMPRODUCT(Report[But Ext]*(Report[Extérieur]=Classement[[#This Row],[Equipe]]))+Classement[[#This Row],[Colonne1]]</f>
        <v>14</v>
      </c>
      <c r="D435" s="29">
        <f>SUMPRODUCT(Report[But Ext]*(Report[Domicile]=Classement[[#This Row],[Equipe]]))+SUMPRODUCT(Report[But Dom]*(Report[Extérieur]=Classement[[#This Row],[Equipe]]))+Classement[[#This Row],[Colonne2]]</f>
        <v>14</v>
      </c>
      <c r="E435" s="95">
        <v>9</v>
      </c>
      <c r="F435" s="96">
        <v>13</v>
      </c>
      <c r="G435" s="96">
        <v>13</v>
      </c>
      <c r="H435" s="96">
        <f>IF(Classement[[#This Row],[Equipe]]=Report_Données!$D:$D,SUM(Report_Données!$P:$P),3)</f>
        <v>3</v>
      </c>
      <c r="O435" s="32"/>
      <c r="Q435" s="3" t="s">
        <v>195</v>
      </c>
    </row>
    <row r="436" spans="1:17" ht="20.100000000000001" customHeight="1" x14ac:dyDescent="0.25">
      <c r="A436" s="3" t="s">
        <v>919</v>
      </c>
      <c r="B436" s="29">
        <f>COUNTIF(Report_Données!D:E,Classement[[#This Row],[Equipe]])+Classement[[#This Row],[Colonne3]]</f>
        <v>10</v>
      </c>
      <c r="C436" s="29">
        <f>SUMPRODUCT(Report[But Dom]*(Report[Domicile]=Classement[[#This Row],[Equipe]]))+SUMPRODUCT(Report[But Ext]*(Report[Extérieur]=Classement[[#This Row],[Equipe]]))+Classement[[#This Row],[Colonne1]]</f>
        <v>8</v>
      </c>
      <c r="D436" s="29">
        <f>SUMPRODUCT(Report[But Ext]*(Report[Domicile]=Classement[[#This Row],[Equipe]]))+SUMPRODUCT(Report[But Dom]*(Report[Extérieur]=Classement[[#This Row],[Equipe]]))+Classement[[#This Row],[Colonne2]]</f>
        <v>15</v>
      </c>
      <c r="E436" s="95">
        <v>9</v>
      </c>
      <c r="F436" s="96">
        <v>7</v>
      </c>
      <c r="G436" s="96">
        <v>14</v>
      </c>
      <c r="H436" s="96">
        <f>IF(Classement[[#This Row],[Equipe]]=Report_Données!$D:$D,SUM(Report_Données!$P:$P),3)</f>
        <v>3</v>
      </c>
      <c r="O436" s="32"/>
      <c r="Q436" s="3" t="s">
        <v>195</v>
      </c>
    </row>
    <row r="437" spans="1:17" ht="20.100000000000001" customHeight="1" x14ac:dyDescent="0.25">
      <c r="A437" s="3" t="s">
        <v>541</v>
      </c>
      <c r="B437" s="29">
        <f>COUNTIF(Report_Données!D:E,Classement[[#This Row],[Equipe]])+Classement[[#This Row],[Colonne3]]</f>
        <v>10</v>
      </c>
      <c r="C437" s="29">
        <f>SUMPRODUCT(Report[But Dom]*(Report[Domicile]=Classement[[#This Row],[Equipe]]))+SUMPRODUCT(Report[But Ext]*(Report[Extérieur]=Classement[[#This Row],[Equipe]]))+Classement[[#This Row],[Colonne1]]</f>
        <v>18</v>
      </c>
      <c r="D437" s="29">
        <f>SUMPRODUCT(Report[But Ext]*(Report[Domicile]=Classement[[#This Row],[Equipe]]))+SUMPRODUCT(Report[But Dom]*(Report[Extérieur]=Classement[[#This Row],[Equipe]]))+Classement[[#This Row],[Colonne2]]</f>
        <v>10</v>
      </c>
      <c r="E437" s="95">
        <v>9</v>
      </c>
      <c r="F437" s="96">
        <v>14</v>
      </c>
      <c r="G437" s="96">
        <v>9</v>
      </c>
      <c r="H437" s="96">
        <f>IF(Classement[[#This Row],[Equipe]]=Report_Données!$D:$D,SUM(Report_Données!$P:$P),3)</f>
        <v>3</v>
      </c>
      <c r="O437" s="32"/>
      <c r="Q437" s="3" t="s">
        <v>195</v>
      </c>
    </row>
    <row r="438" spans="1:17" ht="20.100000000000001" customHeight="1" x14ac:dyDescent="0.25">
      <c r="A438" s="3" t="s">
        <v>542</v>
      </c>
      <c r="B438" s="29">
        <f>COUNTIF(Report_Données!D:E,Classement[[#This Row],[Equipe]])+Classement[[#This Row],[Colonne3]]</f>
        <v>10</v>
      </c>
      <c r="C438" s="29">
        <f>SUMPRODUCT(Report[But Dom]*(Report[Domicile]=Classement[[#This Row],[Equipe]]))+SUMPRODUCT(Report[But Ext]*(Report[Extérieur]=Classement[[#This Row],[Equipe]]))+Classement[[#This Row],[Colonne1]]</f>
        <v>9</v>
      </c>
      <c r="D438" s="29">
        <f>SUMPRODUCT(Report[But Ext]*(Report[Domicile]=Classement[[#This Row],[Equipe]]))+SUMPRODUCT(Report[But Dom]*(Report[Extérieur]=Classement[[#This Row],[Equipe]]))+Classement[[#This Row],[Colonne2]]</f>
        <v>13</v>
      </c>
      <c r="E438" s="95">
        <v>9</v>
      </c>
      <c r="F438" s="96">
        <v>8</v>
      </c>
      <c r="G438" s="96">
        <v>12</v>
      </c>
      <c r="H438" s="96">
        <f>IF(Classement[[#This Row],[Equipe]]=Report_Données!$D:$D,SUM(Report_Données!$P:$P),3)</f>
        <v>3</v>
      </c>
      <c r="O438" s="32"/>
      <c r="Q438" s="3" t="s">
        <v>195</v>
      </c>
    </row>
    <row r="439" spans="1:17" ht="20.100000000000001" customHeight="1" x14ac:dyDescent="0.25">
      <c r="A439" s="3" t="s">
        <v>543</v>
      </c>
      <c r="B439" s="29">
        <f>COUNTIF(Report_Données!D:E,Classement[[#This Row],[Equipe]])+Classement[[#This Row],[Colonne3]]</f>
        <v>9</v>
      </c>
      <c r="C439" s="29">
        <f>SUMPRODUCT(Report[But Dom]*(Report[Domicile]=Classement[[#This Row],[Equipe]]))+SUMPRODUCT(Report[But Ext]*(Report[Extérieur]=Classement[[#This Row],[Equipe]]))+Classement[[#This Row],[Colonne1]]</f>
        <v>7</v>
      </c>
      <c r="D439" s="29">
        <f>SUMPRODUCT(Report[But Ext]*(Report[Domicile]=Classement[[#This Row],[Equipe]]))+SUMPRODUCT(Report[But Dom]*(Report[Extérieur]=Classement[[#This Row],[Equipe]]))+Classement[[#This Row],[Colonne2]]</f>
        <v>17</v>
      </c>
      <c r="E439" s="95">
        <v>8</v>
      </c>
      <c r="F439" s="96">
        <v>6</v>
      </c>
      <c r="G439" s="96">
        <v>17</v>
      </c>
      <c r="H439" s="96">
        <f>IF(Classement[[#This Row],[Equipe]]=Report_Données!$D:$D,SUM(Report_Données!$P:$P),3)</f>
        <v>3</v>
      </c>
      <c r="O439" s="32"/>
      <c r="Q439" s="3" t="s">
        <v>195</v>
      </c>
    </row>
    <row r="440" spans="1:17" ht="20.100000000000001" customHeight="1" x14ac:dyDescent="0.25">
      <c r="A440" s="3" t="s">
        <v>544</v>
      </c>
      <c r="B440" s="29">
        <f>COUNTIF(Report_Données!D:E,Classement[[#This Row],[Equipe]])+Classement[[#This Row],[Colonne3]]</f>
        <v>10</v>
      </c>
      <c r="C440" s="29">
        <f>SUMPRODUCT(Report[But Dom]*(Report[Domicile]=Classement[[#This Row],[Equipe]]))+SUMPRODUCT(Report[But Ext]*(Report[Extérieur]=Classement[[#This Row],[Equipe]]))+Classement[[#This Row],[Colonne1]]</f>
        <v>10</v>
      </c>
      <c r="D440" s="29">
        <f>SUMPRODUCT(Report[But Ext]*(Report[Domicile]=Classement[[#This Row],[Equipe]]))+SUMPRODUCT(Report[But Dom]*(Report[Extérieur]=Classement[[#This Row],[Equipe]]))+Classement[[#This Row],[Colonne2]]</f>
        <v>22</v>
      </c>
      <c r="E440" s="95">
        <v>9</v>
      </c>
      <c r="F440" s="96">
        <v>10</v>
      </c>
      <c r="G440" s="96">
        <v>21</v>
      </c>
      <c r="H440" s="96">
        <f>IF(Classement[[#This Row],[Equipe]]=Report_Données!$D:$D,SUM(Report_Données!$P:$P),3)</f>
        <v>3</v>
      </c>
      <c r="O440" s="32"/>
    </row>
    <row r="441" spans="1:17" ht="20.100000000000001" customHeight="1" x14ac:dyDescent="0.25">
      <c r="A441" s="28"/>
      <c r="B441" s="30"/>
      <c r="C441" s="30"/>
      <c r="D441" s="30"/>
      <c r="E441" s="96"/>
      <c r="F441" s="96"/>
      <c r="G441" s="96"/>
      <c r="H441" s="96">
        <f>IF(Classement[[#This Row],[Equipe]]=Report_Données!$D:$D,SUM(Report_Données!$P:$P),3)</f>
        <v>493</v>
      </c>
    </row>
    <row r="442" spans="1:17" ht="20.100000000000001" customHeight="1" x14ac:dyDescent="0.25">
      <c r="A442" s="3" t="s">
        <v>545</v>
      </c>
      <c r="B442" s="29">
        <f>COUNTIF(Report_Données!D:E,Classement[[#This Row],[Equipe]])+Classement[[#This Row],[Colonne3]]</f>
        <v>0</v>
      </c>
      <c r="C442" s="29">
        <f>SUMPRODUCT(Report[But Dom]*(Report[Domicile]=Classement[[#This Row],[Equipe]]))+SUMPRODUCT(Report[But Ext]*(Report[Extérieur]=Classement[[#This Row],[Equipe]]))+Classement[[#This Row],[Colonne1]]</f>
        <v>0</v>
      </c>
      <c r="D442" s="29">
        <f>SUMPRODUCT(Report[But Ext]*(Report[Domicile]=Classement[[#This Row],[Equipe]]))+SUMPRODUCT(Report[But Dom]*(Report[Extérieur]=Classement[[#This Row],[Equipe]]))+Classement[[#This Row],[Colonne2]]</f>
        <v>0</v>
      </c>
      <c r="E442" s="95"/>
      <c r="F442" s="96"/>
      <c r="G442" s="96"/>
      <c r="H442" s="96">
        <f>IF(Classement[[#This Row],[Equipe]]=Report_Données!$D:$D,SUM(Report_Données!$P:$P),3)</f>
        <v>3</v>
      </c>
      <c r="O442" s="31"/>
      <c r="Q442" s="3" t="s">
        <v>546</v>
      </c>
    </row>
    <row r="443" spans="1:17" ht="20.100000000000001" customHeight="1" x14ac:dyDescent="0.25">
      <c r="A443" s="3" t="s">
        <v>547</v>
      </c>
      <c r="B443" s="29">
        <f>COUNTIF(Report_Données!D:E,Classement[[#This Row],[Equipe]])+Classement[[#This Row],[Colonne3]]</f>
        <v>0</v>
      </c>
      <c r="C443" s="29">
        <f>SUMPRODUCT(Report[But Dom]*(Report[Domicile]=Classement[[#This Row],[Equipe]]))+SUMPRODUCT(Report[But Ext]*(Report[Extérieur]=Classement[[#This Row],[Equipe]]))+Classement[[#This Row],[Colonne1]]</f>
        <v>0</v>
      </c>
      <c r="D443" s="29">
        <f>SUMPRODUCT(Report[But Ext]*(Report[Domicile]=Classement[[#This Row],[Equipe]]))+SUMPRODUCT(Report[But Dom]*(Report[Extérieur]=Classement[[#This Row],[Equipe]]))+Classement[[#This Row],[Colonne2]]</f>
        <v>0</v>
      </c>
      <c r="E443" s="95"/>
      <c r="F443" s="96"/>
      <c r="G443" s="96"/>
      <c r="H443" s="96">
        <f>IF(Classement[[#This Row],[Equipe]]=Report_Données!$D:$D,SUM(Report_Données!$P:$P),3)</f>
        <v>3</v>
      </c>
      <c r="Q443" s="3" t="s">
        <v>546</v>
      </c>
    </row>
    <row r="444" spans="1:17" ht="20.100000000000001" customHeight="1" x14ac:dyDescent="0.25">
      <c r="A444" s="3" t="s">
        <v>548</v>
      </c>
      <c r="B444" s="29">
        <f>COUNTIF(Report_Données!D:E,Classement[[#This Row],[Equipe]])+Classement[[#This Row],[Colonne3]]</f>
        <v>0</v>
      </c>
      <c r="C444" s="29">
        <f>SUMPRODUCT(Report[But Dom]*(Report[Domicile]=Classement[[#This Row],[Equipe]]))+SUMPRODUCT(Report[But Ext]*(Report[Extérieur]=Classement[[#This Row],[Equipe]]))+Classement[[#This Row],[Colonne1]]</f>
        <v>0</v>
      </c>
      <c r="D444" s="29">
        <f>SUMPRODUCT(Report[But Ext]*(Report[Domicile]=Classement[[#This Row],[Equipe]]))+SUMPRODUCT(Report[But Dom]*(Report[Extérieur]=Classement[[#This Row],[Equipe]]))+Classement[[#This Row],[Colonne2]]</f>
        <v>0</v>
      </c>
      <c r="E444" s="95"/>
      <c r="F444" s="96"/>
      <c r="G444" s="96"/>
      <c r="H444" s="96">
        <f>IF(Classement[[#This Row],[Equipe]]=Report_Données!$D:$D,SUM(Report_Données!$P:$P),3)</f>
        <v>3</v>
      </c>
      <c r="O444" s="31"/>
      <c r="Q444" s="3" t="s">
        <v>546</v>
      </c>
    </row>
    <row r="445" spans="1:17" ht="20.100000000000001" customHeight="1" x14ac:dyDescent="0.25">
      <c r="A445" s="3" t="s">
        <v>549</v>
      </c>
      <c r="B445" s="29">
        <f>COUNTIF(Report_Données!D:E,Classement[[#This Row],[Equipe]])+Classement[[#This Row],[Colonne3]]</f>
        <v>0</v>
      </c>
      <c r="C445" s="29">
        <f>SUMPRODUCT(Report[But Dom]*(Report[Domicile]=Classement[[#This Row],[Equipe]]))+SUMPRODUCT(Report[But Ext]*(Report[Extérieur]=Classement[[#This Row],[Equipe]]))+Classement[[#This Row],[Colonne1]]</f>
        <v>0</v>
      </c>
      <c r="D445" s="29">
        <f>SUMPRODUCT(Report[But Ext]*(Report[Domicile]=Classement[[#This Row],[Equipe]]))+SUMPRODUCT(Report[But Dom]*(Report[Extérieur]=Classement[[#This Row],[Equipe]]))+Classement[[#This Row],[Colonne2]]</f>
        <v>0</v>
      </c>
      <c r="E445" s="95"/>
      <c r="F445" s="96"/>
      <c r="G445" s="96"/>
      <c r="H445" s="96">
        <f>IF(Classement[[#This Row],[Equipe]]=Report_Données!$D:$D,SUM(Report_Données!$P:$P),3)</f>
        <v>3</v>
      </c>
      <c r="Q445" s="3" t="s">
        <v>546</v>
      </c>
    </row>
    <row r="446" spans="1:17" ht="20.100000000000001" customHeight="1" x14ac:dyDescent="0.25">
      <c r="A446" s="3" t="s">
        <v>550</v>
      </c>
      <c r="B446" s="29">
        <f>COUNTIF(Report_Données!D:E,Classement[[#This Row],[Equipe]])+Classement[[#This Row],[Colonne3]]</f>
        <v>0</v>
      </c>
      <c r="C446" s="29">
        <f>SUMPRODUCT(Report[But Dom]*(Report[Domicile]=Classement[[#This Row],[Equipe]]))+SUMPRODUCT(Report[But Ext]*(Report[Extérieur]=Classement[[#This Row],[Equipe]]))+Classement[[#This Row],[Colonne1]]</f>
        <v>0</v>
      </c>
      <c r="D446" s="29">
        <f>SUMPRODUCT(Report[But Ext]*(Report[Domicile]=Classement[[#This Row],[Equipe]]))+SUMPRODUCT(Report[But Dom]*(Report[Extérieur]=Classement[[#This Row],[Equipe]]))+Classement[[#This Row],[Colonne2]]</f>
        <v>0</v>
      </c>
      <c r="E446" s="95"/>
      <c r="F446" s="96"/>
      <c r="G446" s="96"/>
      <c r="H446" s="96">
        <f>IF(Classement[[#This Row],[Equipe]]=Report_Données!$D:$D,SUM(Report_Données!$P:$P),3)</f>
        <v>3</v>
      </c>
      <c r="O446" s="31"/>
      <c r="Q446" s="3" t="s">
        <v>546</v>
      </c>
    </row>
    <row r="447" spans="1:17" ht="20.100000000000001" customHeight="1" x14ac:dyDescent="0.25">
      <c r="A447" s="3" t="s">
        <v>551</v>
      </c>
      <c r="B447" s="29">
        <f>COUNTIF(Report_Données!D:E,Classement[[#This Row],[Equipe]])+Classement[[#This Row],[Colonne3]]</f>
        <v>0</v>
      </c>
      <c r="C447" s="29">
        <f>SUMPRODUCT(Report[But Dom]*(Report[Domicile]=Classement[[#This Row],[Equipe]]))+SUMPRODUCT(Report[But Ext]*(Report[Extérieur]=Classement[[#This Row],[Equipe]]))+Classement[[#This Row],[Colonne1]]</f>
        <v>0</v>
      </c>
      <c r="D447" s="29">
        <f>SUMPRODUCT(Report[But Ext]*(Report[Domicile]=Classement[[#This Row],[Equipe]]))+SUMPRODUCT(Report[But Dom]*(Report[Extérieur]=Classement[[#This Row],[Equipe]]))+Classement[[#This Row],[Colonne2]]</f>
        <v>0</v>
      </c>
      <c r="E447" s="95"/>
      <c r="F447" s="96"/>
      <c r="G447" s="96"/>
      <c r="H447" s="96">
        <f>IF(Classement[[#This Row],[Equipe]]=Report_Données!$D:$D,SUM(Report_Données!$P:$P),3)</f>
        <v>3</v>
      </c>
      <c r="Q447" s="3" t="s">
        <v>546</v>
      </c>
    </row>
    <row r="448" spans="1:17" ht="20.100000000000001" customHeight="1" x14ac:dyDescent="0.25">
      <c r="A448" s="3" t="s">
        <v>552</v>
      </c>
      <c r="B448" s="29">
        <f>COUNTIF(Report_Données!D:E,Classement[[#This Row],[Equipe]])+Classement[[#This Row],[Colonne3]]</f>
        <v>0</v>
      </c>
      <c r="C448" s="29">
        <f>SUMPRODUCT(Report[But Dom]*(Report[Domicile]=Classement[[#This Row],[Equipe]]))+SUMPRODUCT(Report[But Ext]*(Report[Extérieur]=Classement[[#This Row],[Equipe]]))+Classement[[#This Row],[Colonne1]]</f>
        <v>0</v>
      </c>
      <c r="D448" s="29">
        <f>SUMPRODUCT(Report[But Ext]*(Report[Domicile]=Classement[[#This Row],[Equipe]]))+SUMPRODUCT(Report[But Dom]*(Report[Extérieur]=Classement[[#This Row],[Equipe]]))+Classement[[#This Row],[Colonne2]]</f>
        <v>0</v>
      </c>
      <c r="E448" s="95"/>
      <c r="F448" s="96"/>
      <c r="G448" s="96"/>
      <c r="H448" s="96">
        <f>IF(Classement[[#This Row],[Equipe]]=Report_Données!$D:$D,SUM(Report_Données!$P:$P),3)</f>
        <v>3</v>
      </c>
      <c r="O448" s="31"/>
      <c r="Q448" s="3" t="s">
        <v>546</v>
      </c>
    </row>
    <row r="449" spans="1:17" ht="20.100000000000001" customHeight="1" x14ac:dyDescent="0.25">
      <c r="A449" s="3" t="s">
        <v>553</v>
      </c>
      <c r="B449" s="29">
        <f>COUNTIF(Report_Données!D:E,Classement[[#This Row],[Equipe]])+Classement[[#This Row],[Colonne3]]</f>
        <v>0</v>
      </c>
      <c r="C449" s="29">
        <f>SUMPRODUCT(Report[But Dom]*(Report[Domicile]=Classement[[#This Row],[Equipe]]))+SUMPRODUCT(Report[But Ext]*(Report[Extérieur]=Classement[[#This Row],[Equipe]]))+Classement[[#This Row],[Colonne1]]</f>
        <v>0</v>
      </c>
      <c r="D449" s="29">
        <f>SUMPRODUCT(Report[But Ext]*(Report[Domicile]=Classement[[#This Row],[Equipe]]))+SUMPRODUCT(Report[But Dom]*(Report[Extérieur]=Classement[[#This Row],[Equipe]]))+Classement[[#This Row],[Colonne2]]</f>
        <v>0</v>
      </c>
      <c r="E449" s="95"/>
      <c r="F449" s="96"/>
      <c r="G449" s="96"/>
      <c r="H449" s="96">
        <f>IF(Classement[[#This Row],[Equipe]]=Report_Données!$D:$D,SUM(Report_Données!$P:$P),3)</f>
        <v>3</v>
      </c>
      <c r="O449" s="31"/>
      <c r="Q449" s="3" t="s">
        <v>546</v>
      </c>
    </row>
    <row r="450" spans="1:17" ht="20.100000000000001" customHeight="1" x14ac:dyDescent="0.25">
      <c r="A450" s="3" t="s">
        <v>554</v>
      </c>
      <c r="B450" s="29">
        <f>COUNTIF(Report_Données!D:E,Classement[[#This Row],[Equipe]])+Classement[[#This Row],[Colonne3]]</f>
        <v>0</v>
      </c>
      <c r="C450" s="29">
        <f>SUMPRODUCT(Report[But Dom]*(Report[Domicile]=Classement[[#This Row],[Equipe]]))+SUMPRODUCT(Report[But Ext]*(Report[Extérieur]=Classement[[#This Row],[Equipe]]))+Classement[[#This Row],[Colonne1]]</f>
        <v>0</v>
      </c>
      <c r="D450" s="29">
        <f>SUMPRODUCT(Report[But Ext]*(Report[Domicile]=Classement[[#This Row],[Equipe]]))+SUMPRODUCT(Report[But Dom]*(Report[Extérieur]=Classement[[#This Row],[Equipe]]))+Classement[[#This Row],[Colonne2]]</f>
        <v>0</v>
      </c>
      <c r="E450" s="95"/>
      <c r="F450" s="96"/>
      <c r="G450" s="96"/>
      <c r="H450" s="96">
        <f>IF(Classement[[#This Row],[Equipe]]=Report_Données!$D:$D,SUM(Report_Données!$P:$P),3)</f>
        <v>3</v>
      </c>
      <c r="O450" s="31"/>
      <c r="Q450" s="3" t="s">
        <v>546</v>
      </c>
    </row>
    <row r="451" spans="1:17" ht="20.100000000000001" customHeight="1" x14ac:dyDescent="0.25">
      <c r="A451" s="3" t="s">
        <v>555</v>
      </c>
      <c r="B451" s="29">
        <f>COUNTIF(Report_Données!D:E,Classement[[#This Row],[Equipe]])+Classement[[#This Row],[Colonne3]]</f>
        <v>0</v>
      </c>
      <c r="C451" s="29">
        <f>SUMPRODUCT(Report[But Dom]*(Report[Domicile]=Classement[[#This Row],[Equipe]]))+SUMPRODUCT(Report[But Ext]*(Report[Extérieur]=Classement[[#This Row],[Equipe]]))+Classement[[#This Row],[Colonne1]]</f>
        <v>0</v>
      </c>
      <c r="D451" s="29">
        <f>SUMPRODUCT(Report[But Ext]*(Report[Domicile]=Classement[[#This Row],[Equipe]]))+SUMPRODUCT(Report[But Dom]*(Report[Extérieur]=Classement[[#This Row],[Equipe]]))+Classement[[#This Row],[Colonne2]]</f>
        <v>0</v>
      </c>
      <c r="E451" s="95"/>
      <c r="F451" s="96"/>
      <c r="G451" s="96"/>
      <c r="H451" s="96">
        <f>IF(Classement[[#This Row],[Equipe]]=Report_Données!$D:$D,SUM(Report_Données!$P:$P),3)</f>
        <v>3</v>
      </c>
      <c r="O451" s="31"/>
    </row>
    <row r="452" spans="1:17" ht="20.100000000000001" customHeight="1" x14ac:dyDescent="0.25">
      <c r="A452" s="28"/>
      <c r="B452" s="30"/>
      <c r="C452" s="30"/>
      <c r="D452" s="30"/>
      <c r="E452" s="96"/>
      <c r="F452" s="96"/>
      <c r="G452" s="96"/>
      <c r="H452" s="96">
        <f>IF(Classement[[#This Row],[Equipe]]=Report_Données!$D:$D,SUM(Report_Données!$P:$P),3)</f>
        <v>493</v>
      </c>
    </row>
    <row r="453" spans="1:17" ht="20.100000000000001" customHeight="1" x14ac:dyDescent="0.25">
      <c r="A453" s="3" t="s">
        <v>556</v>
      </c>
      <c r="B453" s="29">
        <f>COUNTIF(Report_Données!D:E,Classement[[#This Row],[Equipe]])+Classement[[#This Row],[Colonne3]]</f>
        <v>15</v>
      </c>
      <c r="C453" s="29">
        <f>SUMPRODUCT(Report[But Dom]*(Report[Domicile]=Classement[[#This Row],[Equipe]]))+SUMPRODUCT(Report[But Ext]*(Report[Extérieur]=Classement[[#This Row],[Equipe]]))+Classement[[#This Row],[Colonne1]]</f>
        <v>28</v>
      </c>
      <c r="D453" s="29">
        <f>SUMPRODUCT(Report[But Ext]*(Report[Domicile]=Classement[[#This Row],[Equipe]]))+SUMPRODUCT(Report[But Dom]*(Report[Extérieur]=Classement[[#This Row],[Equipe]]))+Classement[[#This Row],[Colonne2]]</f>
        <v>9</v>
      </c>
      <c r="E453" s="95">
        <v>14</v>
      </c>
      <c r="F453" s="96">
        <v>28</v>
      </c>
      <c r="G453" s="96">
        <v>8</v>
      </c>
      <c r="H453" s="96">
        <f>IF(Classement[[#This Row],[Equipe]]=Report_Données!$D:$D,SUM(Report_Données!$P:$P),3)</f>
        <v>3</v>
      </c>
      <c r="N453" s="31"/>
      <c r="P453" s="3" t="s">
        <v>195</v>
      </c>
    </row>
    <row r="454" spans="1:17" ht="20.100000000000001" customHeight="1" x14ac:dyDescent="0.25">
      <c r="A454" s="3" t="s">
        <v>439</v>
      </c>
      <c r="B454" s="29">
        <f>COUNTIF(Report_Données!D:E,Classement[[#This Row],[Equipe]])+Classement[[#This Row],[Colonne3]]</f>
        <v>16</v>
      </c>
      <c r="C454" s="29">
        <f>SUMPRODUCT(Report[But Dom]*(Report[Domicile]=Classement[[#This Row],[Equipe]]))+SUMPRODUCT(Report[But Ext]*(Report[Extérieur]=Classement[[#This Row],[Equipe]]))+Classement[[#This Row],[Colonne1]]</f>
        <v>20</v>
      </c>
      <c r="D454" s="29">
        <f>SUMPRODUCT(Report[But Ext]*(Report[Domicile]=Classement[[#This Row],[Equipe]]))+SUMPRODUCT(Report[But Dom]*(Report[Extérieur]=Classement[[#This Row],[Equipe]]))+Classement[[#This Row],[Colonne2]]</f>
        <v>18</v>
      </c>
      <c r="E454" s="95">
        <v>14</v>
      </c>
      <c r="F454" s="96">
        <v>20</v>
      </c>
      <c r="G454" s="96">
        <v>15</v>
      </c>
      <c r="H454" s="96">
        <f>IF(Classement[[#This Row],[Equipe]]=Report_Données!$D:$D,SUM(Report_Données!$P:$P),3)</f>
        <v>3</v>
      </c>
      <c r="N454" s="32"/>
      <c r="P454" s="3" t="s">
        <v>195</v>
      </c>
    </row>
    <row r="455" spans="1:17" ht="20.100000000000001" customHeight="1" x14ac:dyDescent="0.25">
      <c r="A455" s="3" t="s">
        <v>557</v>
      </c>
      <c r="B455" s="29">
        <f>COUNTIF(Report_Données!D:E,Classement[[#This Row],[Equipe]])+Classement[[#This Row],[Colonne3]]</f>
        <v>15</v>
      </c>
      <c r="C455" s="29">
        <f>SUMPRODUCT(Report[But Dom]*(Report[Domicile]=Classement[[#This Row],[Equipe]]))+SUMPRODUCT(Report[But Ext]*(Report[Extérieur]=Classement[[#This Row],[Equipe]]))+Classement[[#This Row],[Colonne1]]</f>
        <v>20</v>
      </c>
      <c r="D455" s="29">
        <f>SUMPRODUCT(Report[But Ext]*(Report[Domicile]=Classement[[#This Row],[Equipe]]))+SUMPRODUCT(Report[But Dom]*(Report[Extérieur]=Classement[[#This Row],[Equipe]]))+Classement[[#This Row],[Colonne2]]</f>
        <v>22</v>
      </c>
      <c r="E455" s="95">
        <v>14</v>
      </c>
      <c r="F455" s="96">
        <v>18</v>
      </c>
      <c r="G455" s="96">
        <v>20</v>
      </c>
      <c r="H455" s="96">
        <f>IF(Classement[[#This Row],[Equipe]]=Report_Données!$D:$D,SUM(Report_Données!$P:$P),3)</f>
        <v>3</v>
      </c>
      <c r="N455" s="32"/>
      <c r="P455" s="3" t="s">
        <v>195</v>
      </c>
    </row>
    <row r="456" spans="1:17" ht="20.100000000000001" customHeight="1" x14ac:dyDescent="0.25">
      <c r="A456" s="3" t="s">
        <v>558</v>
      </c>
      <c r="B456" s="29">
        <f>COUNTIF(Report_Données!D:E,Classement[[#This Row],[Equipe]])+Classement[[#This Row],[Colonne3]]</f>
        <v>15</v>
      </c>
      <c r="C456" s="29">
        <f>SUMPRODUCT(Report[But Dom]*(Report[Domicile]=Classement[[#This Row],[Equipe]]))+SUMPRODUCT(Report[But Ext]*(Report[Extérieur]=Classement[[#This Row],[Equipe]]))+Classement[[#This Row],[Colonne1]]</f>
        <v>18</v>
      </c>
      <c r="D456" s="29">
        <f>SUMPRODUCT(Report[But Ext]*(Report[Domicile]=Classement[[#This Row],[Equipe]]))+SUMPRODUCT(Report[But Dom]*(Report[Extérieur]=Classement[[#This Row],[Equipe]]))+Classement[[#This Row],[Colonne2]]</f>
        <v>30</v>
      </c>
      <c r="E456" s="95">
        <v>14</v>
      </c>
      <c r="F456" s="96">
        <v>16</v>
      </c>
      <c r="G456" s="96">
        <v>30</v>
      </c>
      <c r="H456" s="96">
        <f>IF(Classement[[#This Row],[Equipe]]=Report_Données!$D:$D,SUM(Report_Données!$P:$P),3)</f>
        <v>3</v>
      </c>
      <c r="N456" s="32"/>
      <c r="P456" s="3" t="s">
        <v>195</v>
      </c>
    </row>
    <row r="457" spans="1:17" ht="20.100000000000001" customHeight="1" x14ac:dyDescent="0.25">
      <c r="A457" s="3" t="s">
        <v>559</v>
      </c>
      <c r="B457" s="29">
        <f>COUNTIF(Report_Données!D:E,Classement[[#This Row],[Equipe]])+Classement[[#This Row],[Colonne3]]</f>
        <v>15</v>
      </c>
      <c r="C457" s="29">
        <f>SUMPRODUCT(Report[But Dom]*(Report[Domicile]=Classement[[#This Row],[Equipe]]))+SUMPRODUCT(Report[But Ext]*(Report[Extérieur]=Classement[[#This Row],[Equipe]]))+Classement[[#This Row],[Colonne1]]</f>
        <v>29</v>
      </c>
      <c r="D457" s="29">
        <f>SUMPRODUCT(Report[But Ext]*(Report[Domicile]=Classement[[#This Row],[Equipe]]))+SUMPRODUCT(Report[But Dom]*(Report[Extérieur]=Classement[[#This Row],[Equipe]]))+Classement[[#This Row],[Colonne2]]</f>
        <v>12</v>
      </c>
      <c r="E457" s="95">
        <v>14</v>
      </c>
      <c r="F457" s="96">
        <v>27</v>
      </c>
      <c r="G457" s="96">
        <v>10</v>
      </c>
      <c r="H457" s="96">
        <f>IF(Classement[[#This Row],[Equipe]]=Report_Données!$D:$D,SUM(Report_Données!$P:$P),3)</f>
        <v>3</v>
      </c>
      <c r="N457" s="31"/>
      <c r="P457" s="3" t="s">
        <v>195</v>
      </c>
    </row>
    <row r="458" spans="1:17" ht="20.100000000000001" customHeight="1" x14ac:dyDescent="0.25">
      <c r="A458" s="3" t="s">
        <v>560</v>
      </c>
      <c r="B458" s="29">
        <f>COUNTIF(Report_Données!D:E,Classement[[#This Row],[Equipe]])+Classement[[#This Row],[Colonne3]]</f>
        <v>15</v>
      </c>
      <c r="C458" s="29">
        <f>SUMPRODUCT(Report[But Dom]*(Report[Domicile]=Classement[[#This Row],[Equipe]]))+SUMPRODUCT(Report[But Ext]*(Report[Extérieur]=Classement[[#This Row],[Equipe]]))+Classement[[#This Row],[Colonne1]]</f>
        <v>29</v>
      </c>
      <c r="D458" s="29">
        <f>SUMPRODUCT(Report[But Ext]*(Report[Domicile]=Classement[[#This Row],[Equipe]]))+SUMPRODUCT(Report[But Dom]*(Report[Extérieur]=Classement[[#This Row],[Equipe]]))+Classement[[#This Row],[Colonne2]]</f>
        <v>15</v>
      </c>
      <c r="E458" s="95">
        <v>14</v>
      </c>
      <c r="F458" s="96">
        <v>27</v>
      </c>
      <c r="G458" s="96">
        <v>13</v>
      </c>
      <c r="H458" s="96">
        <f>IF(Classement[[#This Row],[Equipe]]=Report_Données!$D:$D,SUM(Report_Données!$P:$P),3)</f>
        <v>3</v>
      </c>
      <c r="N458" s="31"/>
      <c r="P458" s="3" t="s">
        <v>195</v>
      </c>
    </row>
    <row r="459" spans="1:17" ht="20.100000000000001" customHeight="1" x14ac:dyDescent="0.25">
      <c r="A459" s="3" t="s">
        <v>561</v>
      </c>
      <c r="B459" s="29">
        <f>COUNTIF(Report_Données!D:E,Classement[[#This Row],[Equipe]])+Classement[[#This Row],[Colonne3]]</f>
        <v>15</v>
      </c>
      <c r="C459" s="29">
        <f>SUMPRODUCT(Report[But Dom]*(Report[Domicile]=Classement[[#This Row],[Equipe]]))+SUMPRODUCT(Report[But Ext]*(Report[Extérieur]=Classement[[#This Row],[Equipe]]))+Classement[[#This Row],[Colonne1]]</f>
        <v>26</v>
      </c>
      <c r="D459" s="29">
        <f>SUMPRODUCT(Report[But Ext]*(Report[Domicile]=Classement[[#This Row],[Equipe]]))+SUMPRODUCT(Report[But Dom]*(Report[Extérieur]=Classement[[#This Row],[Equipe]]))+Classement[[#This Row],[Colonne2]]</f>
        <v>15</v>
      </c>
      <c r="E459" s="95">
        <v>14</v>
      </c>
      <c r="F459" s="96">
        <v>25</v>
      </c>
      <c r="G459" s="96">
        <v>15</v>
      </c>
      <c r="H459" s="96">
        <f>IF(Classement[[#This Row],[Equipe]]=Report_Données!$D:$D,SUM(Report_Données!$P:$P),3)</f>
        <v>3</v>
      </c>
      <c r="N459" s="31"/>
      <c r="P459" s="3" t="s">
        <v>195</v>
      </c>
    </row>
    <row r="460" spans="1:17" ht="20.100000000000001" customHeight="1" x14ac:dyDescent="0.25">
      <c r="A460" s="3" t="s">
        <v>562</v>
      </c>
      <c r="B460" s="29">
        <f>COUNTIF(Report_Données!D:E,Classement[[#This Row],[Equipe]])+Classement[[#This Row],[Colonne3]]</f>
        <v>15</v>
      </c>
      <c r="C460" s="29">
        <f>SUMPRODUCT(Report[But Dom]*(Report[Domicile]=Classement[[#This Row],[Equipe]]))+SUMPRODUCT(Report[But Ext]*(Report[Extérieur]=Classement[[#This Row],[Equipe]]))+Classement[[#This Row],[Colonne1]]</f>
        <v>8</v>
      </c>
      <c r="D460" s="29">
        <f>SUMPRODUCT(Report[But Ext]*(Report[Domicile]=Classement[[#This Row],[Equipe]]))+SUMPRODUCT(Report[But Dom]*(Report[Extérieur]=Classement[[#This Row],[Equipe]]))+Classement[[#This Row],[Colonne2]]</f>
        <v>37</v>
      </c>
      <c r="E460" s="95">
        <v>14</v>
      </c>
      <c r="F460" s="96">
        <v>8</v>
      </c>
      <c r="G460" s="96">
        <v>36</v>
      </c>
      <c r="H460" s="96">
        <f>IF(Classement[[#This Row],[Equipe]]=Report_Données!$D:$D,SUM(Report_Données!$P:$P),3)</f>
        <v>3</v>
      </c>
      <c r="N460" s="32"/>
      <c r="P460" s="3" t="s">
        <v>195</v>
      </c>
    </row>
    <row r="461" spans="1:17" ht="20.100000000000001" customHeight="1" x14ac:dyDescent="0.25">
      <c r="A461" s="3" t="s">
        <v>563</v>
      </c>
      <c r="B461" s="29">
        <f>COUNTIF(Report_Données!D:E,Classement[[#This Row],[Equipe]])+Classement[[#This Row],[Colonne3]]</f>
        <v>15</v>
      </c>
      <c r="C461" s="29">
        <f>SUMPRODUCT(Report[But Dom]*(Report[Domicile]=Classement[[#This Row],[Equipe]]))+SUMPRODUCT(Report[But Ext]*(Report[Extérieur]=Classement[[#This Row],[Equipe]]))+Classement[[#This Row],[Colonne1]]</f>
        <v>17</v>
      </c>
      <c r="D461" s="29">
        <f>SUMPRODUCT(Report[But Ext]*(Report[Domicile]=Classement[[#This Row],[Equipe]]))+SUMPRODUCT(Report[But Dom]*(Report[Extérieur]=Classement[[#This Row],[Equipe]]))+Classement[[#This Row],[Colonne2]]</f>
        <v>23</v>
      </c>
      <c r="E461" s="95">
        <v>14</v>
      </c>
      <c r="F461" s="96">
        <v>15</v>
      </c>
      <c r="G461" s="96">
        <v>21</v>
      </c>
      <c r="H461" s="96">
        <f>IF(Classement[[#This Row],[Equipe]]=Report_Données!$D:$D,SUM(Report_Données!$P:$P),3)</f>
        <v>3</v>
      </c>
      <c r="N461" s="32"/>
      <c r="P461" s="3" t="s">
        <v>195</v>
      </c>
    </row>
    <row r="462" spans="1:17" ht="20.100000000000001" customHeight="1" x14ac:dyDescent="0.25">
      <c r="A462" s="3" t="s">
        <v>564</v>
      </c>
      <c r="B462" s="29">
        <f>COUNTIF(Report_Données!D:E,Classement[[#This Row],[Equipe]])+Classement[[#This Row],[Colonne3]]</f>
        <v>15</v>
      </c>
      <c r="C462" s="29">
        <f>SUMPRODUCT(Report[But Dom]*(Report[Domicile]=Classement[[#This Row],[Equipe]]))+SUMPRODUCT(Report[But Ext]*(Report[Extérieur]=Classement[[#This Row],[Equipe]]))+Classement[[#This Row],[Colonne1]]</f>
        <v>18</v>
      </c>
      <c r="D462" s="29">
        <f>SUMPRODUCT(Report[But Ext]*(Report[Domicile]=Classement[[#This Row],[Equipe]]))+SUMPRODUCT(Report[But Dom]*(Report[Extérieur]=Classement[[#This Row],[Equipe]]))+Classement[[#This Row],[Colonne2]]</f>
        <v>33</v>
      </c>
      <c r="E462" s="95">
        <v>14</v>
      </c>
      <c r="F462" s="96">
        <v>17</v>
      </c>
      <c r="G462" s="96">
        <v>33</v>
      </c>
      <c r="H462" s="96">
        <f>IF(Classement[[#This Row],[Equipe]]=Report_Données!$D:$D,SUM(Report_Données!$P:$P),3)</f>
        <v>3</v>
      </c>
      <c r="N462" s="32"/>
    </row>
    <row r="463" spans="1:17" ht="20.100000000000001" customHeight="1" x14ac:dyDescent="0.25">
      <c r="A463" s="28"/>
      <c r="B463" s="30"/>
      <c r="C463" s="30"/>
      <c r="D463" s="30"/>
      <c r="E463" s="96"/>
      <c r="F463" s="96"/>
      <c r="G463" s="96"/>
      <c r="H463" s="96">
        <f>IF(Classement[[#This Row],[Equipe]]=Report_Données!$D:$D,SUM(Report_Données!$P:$P),3)</f>
        <v>493</v>
      </c>
    </row>
    <row r="464" spans="1:17" ht="20.100000000000001" customHeight="1" x14ac:dyDescent="0.25">
      <c r="A464" s="3" t="s">
        <v>565</v>
      </c>
      <c r="B464" s="29">
        <f>COUNTIF(Report_Données!D:E,Classement[[#This Row],[Equipe]])+Classement[[#This Row],[Colonne3]]</f>
        <v>17</v>
      </c>
      <c r="C464" s="29">
        <f>SUMPRODUCT(Report[But Dom]*(Report[Domicile]=Classement[[#This Row],[Equipe]]))+SUMPRODUCT(Report[But Ext]*(Report[Extérieur]=Classement[[#This Row],[Equipe]]))+Classement[[#This Row],[Colonne1]]</f>
        <v>19</v>
      </c>
      <c r="D464" s="29">
        <f>SUMPRODUCT(Report[But Ext]*(Report[Domicile]=Classement[[#This Row],[Equipe]]))+SUMPRODUCT(Report[But Dom]*(Report[Extérieur]=Classement[[#This Row],[Equipe]]))+Classement[[#This Row],[Colonne2]]</f>
        <v>19</v>
      </c>
      <c r="E464" s="95">
        <v>16</v>
      </c>
      <c r="F464" s="96">
        <v>18</v>
      </c>
      <c r="G464" s="96">
        <v>18</v>
      </c>
      <c r="H464" s="96">
        <f>IF(Classement[[#This Row],[Equipe]]=Report_Données!$D:$D,SUM(Report_Données!$P:$P),3)</f>
        <v>3</v>
      </c>
      <c r="O464" s="32"/>
      <c r="Q464" s="3" t="s">
        <v>195</v>
      </c>
    </row>
    <row r="465" spans="1:17" ht="20.100000000000001" customHeight="1" x14ac:dyDescent="0.25">
      <c r="A465" s="3" t="s">
        <v>566</v>
      </c>
      <c r="B465" s="29">
        <f>COUNTIF(Report_Données!D:E,Classement[[#This Row],[Equipe]])+Classement[[#This Row],[Colonne3]]</f>
        <v>17</v>
      </c>
      <c r="C465" s="29">
        <f>SUMPRODUCT(Report[But Dom]*(Report[Domicile]=Classement[[#This Row],[Equipe]]))+SUMPRODUCT(Report[But Ext]*(Report[Extérieur]=Classement[[#This Row],[Equipe]]))+Classement[[#This Row],[Colonne1]]</f>
        <v>19</v>
      </c>
      <c r="D465" s="29">
        <f>SUMPRODUCT(Report[But Ext]*(Report[Domicile]=Classement[[#This Row],[Equipe]]))+SUMPRODUCT(Report[But Dom]*(Report[Extérieur]=Classement[[#This Row],[Equipe]]))+Classement[[#This Row],[Colonne2]]</f>
        <v>23</v>
      </c>
      <c r="E465" s="95">
        <v>16</v>
      </c>
      <c r="F465" s="96">
        <v>18</v>
      </c>
      <c r="G465" s="96">
        <v>21</v>
      </c>
      <c r="H465" s="96">
        <f>IF(Classement[[#This Row],[Equipe]]=Report_Données!$D:$D,SUM(Report_Données!$P:$P),3)</f>
        <v>3</v>
      </c>
      <c r="O465" s="32"/>
      <c r="Q465" s="3" t="s">
        <v>195</v>
      </c>
    </row>
    <row r="466" spans="1:17" ht="20.100000000000001" customHeight="1" x14ac:dyDescent="0.25">
      <c r="A466" s="3" t="s">
        <v>567</v>
      </c>
      <c r="B466" s="29">
        <f>COUNTIF(Report_Données!D:E,Classement[[#This Row],[Equipe]])+Classement[[#This Row],[Colonne3]]</f>
        <v>17</v>
      </c>
      <c r="C466" s="29">
        <f>SUMPRODUCT(Report[But Dom]*(Report[Domicile]=Classement[[#This Row],[Equipe]]))+SUMPRODUCT(Report[But Ext]*(Report[Extérieur]=Classement[[#This Row],[Equipe]]))+Classement[[#This Row],[Colonne1]]</f>
        <v>27</v>
      </c>
      <c r="D466" s="29">
        <f>SUMPRODUCT(Report[But Ext]*(Report[Domicile]=Classement[[#This Row],[Equipe]]))+SUMPRODUCT(Report[But Dom]*(Report[Extérieur]=Classement[[#This Row],[Equipe]]))+Classement[[#This Row],[Colonne2]]</f>
        <v>24</v>
      </c>
      <c r="E466" s="95">
        <v>16</v>
      </c>
      <c r="F466" s="96">
        <v>25</v>
      </c>
      <c r="G466" s="96">
        <v>24</v>
      </c>
      <c r="H466" s="96">
        <f>IF(Classement[[#This Row],[Equipe]]=Report_Données!$D:$D,SUM(Report_Données!$P:$P),3)</f>
        <v>3</v>
      </c>
      <c r="O466" s="31"/>
      <c r="Q466" s="3" t="s">
        <v>195</v>
      </c>
    </row>
    <row r="467" spans="1:17" ht="20.100000000000001" customHeight="1" x14ac:dyDescent="0.25">
      <c r="A467" s="3" t="s">
        <v>568</v>
      </c>
      <c r="B467" s="29">
        <f>COUNTIF(Report_Données!D:E,Classement[[#This Row],[Equipe]])+Classement[[#This Row],[Colonne3]]</f>
        <v>17</v>
      </c>
      <c r="C467" s="29">
        <f>SUMPRODUCT(Report[But Dom]*(Report[Domicile]=Classement[[#This Row],[Equipe]]))+SUMPRODUCT(Report[But Ext]*(Report[Extérieur]=Classement[[#This Row],[Equipe]]))+Classement[[#This Row],[Colonne1]]</f>
        <v>22</v>
      </c>
      <c r="D467" s="29">
        <f>SUMPRODUCT(Report[But Ext]*(Report[Domicile]=Classement[[#This Row],[Equipe]]))+SUMPRODUCT(Report[But Dom]*(Report[Extérieur]=Classement[[#This Row],[Equipe]]))+Classement[[#This Row],[Colonne2]]</f>
        <v>19</v>
      </c>
      <c r="E467" s="95">
        <v>16</v>
      </c>
      <c r="F467" s="96">
        <v>21</v>
      </c>
      <c r="G467" s="96">
        <v>18</v>
      </c>
      <c r="H467" s="96">
        <f>IF(Classement[[#This Row],[Equipe]]=Report_Données!$D:$D,SUM(Report_Données!$P:$P),3)</f>
        <v>3</v>
      </c>
      <c r="O467" s="32"/>
      <c r="Q467" s="3" t="s">
        <v>195</v>
      </c>
    </row>
    <row r="468" spans="1:17" ht="20.100000000000001" customHeight="1" x14ac:dyDescent="0.25">
      <c r="A468" s="3" t="s">
        <v>569</v>
      </c>
      <c r="B468" s="29">
        <f>COUNTIF(Report_Données!D:E,Classement[[#This Row],[Equipe]])+Classement[[#This Row],[Colonne3]]</f>
        <v>17</v>
      </c>
      <c r="C468" s="29">
        <f>SUMPRODUCT(Report[But Dom]*(Report[Domicile]=Classement[[#This Row],[Equipe]]))+SUMPRODUCT(Report[But Ext]*(Report[Extérieur]=Classement[[#This Row],[Equipe]]))+Classement[[#This Row],[Colonne1]]</f>
        <v>37</v>
      </c>
      <c r="D468" s="29">
        <f>SUMPRODUCT(Report[But Ext]*(Report[Domicile]=Classement[[#This Row],[Equipe]]))+SUMPRODUCT(Report[But Dom]*(Report[Extérieur]=Classement[[#This Row],[Equipe]]))+Classement[[#This Row],[Colonne2]]</f>
        <v>17</v>
      </c>
      <c r="E468" s="95">
        <v>16</v>
      </c>
      <c r="F468" s="96">
        <v>35</v>
      </c>
      <c r="G468" s="96">
        <v>16</v>
      </c>
      <c r="H468" s="96">
        <f>IF(Classement[[#This Row],[Equipe]]=Report_Données!$D:$D,SUM(Report_Données!$P:$P),3)</f>
        <v>3</v>
      </c>
      <c r="O468" s="31"/>
      <c r="Q468" s="3" t="s">
        <v>195</v>
      </c>
    </row>
    <row r="469" spans="1:17" ht="20.100000000000001" customHeight="1" x14ac:dyDescent="0.25">
      <c r="A469" s="3" t="s">
        <v>570</v>
      </c>
      <c r="B469" s="29">
        <f>COUNTIF(Report_Données!D:E,Classement[[#This Row],[Equipe]])+Classement[[#This Row],[Colonne3]]</f>
        <v>17</v>
      </c>
      <c r="C469" s="29">
        <f>SUMPRODUCT(Report[But Dom]*(Report[Domicile]=Classement[[#This Row],[Equipe]]))+SUMPRODUCT(Report[But Ext]*(Report[Extérieur]=Classement[[#This Row],[Equipe]]))+Classement[[#This Row],[Colonne1]]</f>
        <v>16</v>
      </c>
      <c r="D469" s="29">
        <f>SUMPRODUCT(Report[But Ext]*(Report[Domicile]=Classement[[#This Row],[Equipe]]))+SUMPRODUCT(Report[But Dom]*(Report[Extérieur]=Classement[[#This Row],[Equipe]]))+Classement[[#This Row],[Colonne2]]</f>
        <v>35</v>
      </c>
      <c r="E469" s="95">
        <v>16</v>
      </c>
      <c r="F469" s="96">
        <v>16</v>
      </c>
      <c r="G469" s="96">
        <v>34</v>
      </c>
      <c r="H469" s="96">
        <f>IF(Classement[[#This Row],[Equipe]]=Report_Données!$D:$D,SUM(Report_Données!$P:$P),3)</f>
        <v>3</v>
      </c>
      <c r="O469" s="32"/>
      <c r="Q469" s="3" t="s">
        <v>195</v>
      </c>
    </row>
    <row r="470" spans="1:17" ht="20.100000000000001" customHeight="1" x14ac:dyDescent="0.25">
      <c r="A470" s="3" t="s">
        <v>571</v>
      </c>
      <c r="B470" s="29">
        <f>COUNTIF(Report_Données!D:E,Classement[[#This Row],[Equipe]])+Classement[[#This Row],[Colonne3]]</f>
        <v>17</v>
      </c>
      <c r="C470" s="29">
        <f>SUMPRODUCT(Report[But Dom]*(Report[Domicile]=Classement[[#This Row],[Equipe]]))+SUMPRODUCT(Report[But Ext]*(Report[Extérieur]=Classement[[#This Row],[Equipe]]))+Classement[[#This Row],[Colonne1]]</f>
        <v>20</v>
      </c>
      <c r="D470" s="29">
        <f>SUMPRODUCT(Report[But Ext]*(Report[Domicile]=Classement[[#This Row],[Equipe]]))+SUMPRODUCT(Report[But Dom]*(Report[Extérieur]=Classement[[#This Row],[Equipe]]))+Classement[[#This Row],[Colonne2]]</f>
        <v>26</v>
      </c>
      <c r="E470" s="95">
        <v>16</v>
      </c>
      <c r="F470" s="96">
        <v>18</v>
      </c>
      <c r="G470" s="96">
        <v>25</v>
      </c>
      <c r="H470" s="96">
        <f>IF(Classement[[#This Row],[Equipe]]=Report_Données!$D:$D,SUM(Report_Données!$P:$P),3)</f>
        <v>3</v>
      </c>
      <c r="O470" s="32"/>
      <c r="Q470" s="3" t="s">
        <v>195</v>
      </c>
    </row>
    <row r="471" spans="1:17" ht="20.100000000000001" customHeight="1" x14ac:dyDescent="0.25">
      <c r="A471" s="3" t="s">
        <v>572</v>
      </c>
      <c r="B471" s="29">
        <f>COUNTIF(Report_Données!D:E,Classement[[#This Row],[Equipe]])+Classement[[#This Row],[Colonne3]]</f>
        <v>17</v>
      </c>
      <c r="C471" s="29">
        <f>SUMPRODUCT(Report[But Dom]*(Report[Domicile]=Classement[[#This Row],[Equipe]]))+SUMPRODUCT(Report[But Ext]*(Report[Extérieur]=Classement[[#This Row],[Equipe]]))+Classement[[#This Row],[Colonne1]]</f>
        <v>42</v>
      </c>
      <c r="D471" s="29">
        <f>SUMPRODUCT(Report[But Ext]*(Report[Domicile]=Classement[[#This Row],[Equipe]]))+SUMPRODUCT(Report[But Dom]*(Report[Extérieur]=Classement[[#This Row],[Equipe]]))+Classement[[#This Row],[Colonne2]]</f>
        <v>17</v>
      </c>
      <c r="E471" s="95">
        <v>16</v>
      </c>
      <c r="F471" s="96">
        <v>41</v>
      </c>
      <c r="G471" s="96">
        <v>15</v>
      </c>
      <c r="H471" s="96">
        <f>IF(Classement[[#This Row],[Equipe]]=Report_Données!$D:$D,SUM(Report_Données!$P:$P),3)</f>
        <v>3</v>
      </c>
      <c r="O471" s="31"/>
      <c r="Q471" s="3" t="s">
        <v>195</v>
      </c>
    </row>
    <row r="472" spans="1:17" ht="20.100000000000001" customHeight="1" x14ac:dyDescent="0.25">
      <c r="A472" s="3" t="s">
        <v>573</v>
      </c>
      <c r="B472" s="29">
        <f>COUNTIF(Report_Données!D:E,Classement[[#This Row],[Equipe]])+Classement[[#This Row],[Colonne3]]</f>
        <v>17</v>
      </c>
      <c r="C472" s="29">
        <f>SUMPRODUCT(Report[But Dom]*(Report[Domicile]=Classement[[#This Row],[Equipe]]))+SUMPRODUCT(Report[But Ext]*(Report[Extérieur]=Classement[[#This Row],[Equipe]]))+Classement[[#This Row],[Colonne1]]</f>
        <v>25</v>
      </c>
      <c r="D472" s="29">
        <f>SUMPRODUCT(Report[But Ext]*(Report[Domicile]=Classement[[#This Row],[Equipe]]))+SUMPRODUCT(Report[But Dom]*(Report[Extérieur]=Classement[[#This Row],[Equipe]]))+Classement[[#This Row],[Colonne2]]</f>
        <v>25</v>
      </c>
      <c r="E472" s="95">
        <v>16</v>
      </c>
      <c r="F472" s="96">
        <v>24</v>
      </c>
      <c r="G472" s="96">
        <v>22</v>
      </c>
      <c r="H472" s="96">
        <f>IF(Classement[[#This Row],[Equipe]]=Report_Données!$D:$D,SUM(Report_Données!$P:$P),3)</f>
        <v>3</v>
      </c>
      <c r="O472" s="31"/>
      <c r="Q472" s="3" t="s">
        <v>195</v>
      </c>
    </row>
    <row r="473" spans="1:17" ht="20.100000000000001" customHeight="1" x14ac:dyDescent="0.25">
      <c r="A473" s="3" t="s">
        <v>574</v>
      </c>
      <c r="B473" s="29">
        <f>COUNTIF(Report_Données!D:E,Classement[[#This Row],[Equipe]])+Classement[[#This Row],[Colonne3]]</f>
        <v>17</v>
      </c>
      <c r="C473" s="29">
        <f>SUMPRODUCT(Report[But Dom]*(Report[Domicile]=Classement[[#This Row],[Equipe]]))+SUMPRODUCT(Report[But Ext]*(Report[Extérieur]=Classement[[#This Row],[Equipe]]))+Classement[[#This Row],[Colonne1]]</f>
        <v>23</v>
      </c>
      <c r="D473" s="29">
        <f>SUMPRODUCT(Report[But Ext]*(Report[Domicile]=Classement[[#This Row],[Equipe]]))+SUMPRODUCT(Report[But Dom]*(Report[Extérieur]=Classement[[#This Row],[Equipe]]))+Classement[[#This Row],[Colonne2]]</f>
        <v>18</v>
      </c>
      <c r="E473" s="95">
        <v>16</v>
      </c>
      <c r="F473" s="96">
        <v>20</v>
      </c>
      <c r="G473" s="96">
        <v>17</v>
      </c>
      <c r="H473" s="96">
        <f>IF(Classement[[#This Row],[Equipe]]=Report_Données!$D:$D,SUM(Report_Données!$P:$P),3)</f>
        <v>3</v>
      </c>
      <c r="O473" s="32"/>
      <c r="Q473" s="3" t="s">
        <v>195</v>
      </c>
    </row>
    <row r="474" spans="1:17" ht="20.100000000000001" customHeight="1" x14ac:dyDescent="0.25">
      <c r="A474" s="3" t="s">
        <v>575</v>
      </c>
      <c r="B474" s="29">
        <f>COUNTIF(Report_Données!D:E,Classement[[#This Row],[Equipe]])+Classement[[#This Row],[Colonne3]]</f>
        <v>17</v>
      </c>
      <c r="C474" s="29">
        <f>SUMPRODUCT(Report[But Dom]*(Report[Domicile]=Classement[[#This Row],[Equipe]]))+SUMPRODUCT(Report[But Ext]*(Report[Extérieur]=Classement[[#This Row],[Equipe]]))+Classement[[#This Row],[Colonne1]]</f>
        <v>19</v>
      </c>
      <c r="D474" s="29">
        <f>SUMPRODUCT(Report[But Ext]*(Report[Domicile]=Classement[[#This Row],[Equipe]]))+SUMPRODUCT(Report[But Dom]*(Report[Extérieur]=Classement[[#This Row],[Equipe]]))+Classement[[#This Row],[Colonne2]]</f>
        <v>24</v>
      </c>
      <c r="E474" s="95">
        <v>16</v>
      </c>
      <c r="F474" s="96">
        <v>18</v>
      </c>
      <c r="G474" s="96">
        <v>24</v>
      </c>
      <c r="H474" s="96">
        <f>IF(Classement[[#This Row],[Equipe]]=Report_Données!$D:$D,SUM(Report_Données!$P:$P),3)</f>
        <v>3</v>
      </c>
      <c r="O474" s="32"/>
      <c r="Q474" s="3" t="s">
        <v>195</v>
      </c>
    </row>
    <row r="475" spans="1:17" ht="20.100000000000001" customHeight="1" x14ac:dyDescent="0.25">
      <c r="A475" s="3" t="s">
        <v>576</v>
      </c>
      <c r="B475" s="29">
        <f>COUNTIF(Report_Données!D:E,Classement[[#This Row],[Equipe]])+Classement[[#This Row],[Colonne3]]</f>
        <v>17</v>
      </c>
      <c r="C475" s="29">
        <f>SUMPRODUCT(Report[But Dom]*(Report[Domicile]=Classement[[#This Row],[Equipe]]))+SUMPRODUCT(Report[But Ext]*(Report[Extérieur]=Classement[[#This Row],[Equipe]]))+Classement[[#This Row],[Colonne1]]</f>
        <v>22</v>
      </c>
      <c r="D475" s="29">
        <f>SUMPRODUCT(Report[But Ext]*(Report[Domicile]=Classement[[#This Row],[Equipe]]))+SUMPRODUCT(Report[But Dom]*(Report[Extérieur]=Classement[[#This Row],[Equipe]]))+Classement[[#This Row],[Colonne2]]</f>
        <v>22</v>
      </c>
      <c r="E475" s="95">
        <v>16</v>
      </c>
      <c r="F475" s="96">
        <v>22</v>
      </c>
      <c r="G475" s="96">
        <v>20</v>
      </c>
      <c r="H475" s="96">
        <f>IF(Classement[[#This Row],[Equipe]]=Report_Données!$D:$D,SUM(Report_Données!$P:$P),3)</f>
        <v>3</v>
      </c>
      <c r="O475" s="32"/>
      <c r="Q475" s="3" t="s">
        <v>195</v>
      </c>
    </row>
    <row r="476" spans="1:17" ht="20.100000000000001" customHeight="1" x14ac:dyDescent="0.25">
      <c r="A476" s="3" t="s">
        <v>577</v>
      </c>
      <c r="B476" s="29">
        <f>COUNTIF(Report_Données!D:E,Classement[[#This Row],[Equipe]])+Classement[[#This Row],[Colonne3]]</f>
        <v>17</v>
      </c>
      <c r="C476" s="29">
        <f>SUMPRODUCT(Report[But Dom]*(Report[Domicile]=Classement[[#This Row],[Equipe]]))+SUMPRODUCT(Report[But Ext]*(Report[Extérieur]=Classement[[#This Row],[Equipe]]))+Classement[[#This Row],[Colonne1]]</f>
        <v>15</v>
      </c>
      <c r="D476" s="29">
        <f>SUMPRODUCT(Report[But Ext]*(Report[Domicile]=Classement[[#This Row],[Equipe]]))+SUMPRODUCT(Report[But Dom]*(Report[Extérieur]=Classement[[#This Row],[Equipe]]))+Classement[[#This Row],[Colonne2]]</f>
        <v>27</v>
      </c>
      <c r="E476" s="95">
        <v>16</v>
      </c>
      <c r="F476" s="96">
        <v>14</v>
      </c>
      <c r="G476" s="96">
        <v>26</v>
      </c>
      <c r="H476" s="96">
        <f>IF(Classement[[#This Row],[Equipe]]=Report_Données!$D:$D,SUM(Report_Données!$P:$P),3)</f>
        <v>3</v>
      </c>
      <c r="O476" s="32"/>
      <c r="Q476" s="3" t="s">
        <v>195</v>
      </c>
    </row>
    <row r="477" spans="1:17" ht="20.100000000000001" customHeight="1" x14ac:dyDescent="0.25">
      <c r="A477" s="3" t="s">
        <v>578</v>
      </c>
      <c r="B477" s="29">
        <f>COUNTIF(Report_Données!D:E,Classement[[#This Row],[Equipe]])+Classement[[#This Row],[Colonne3]]</f>
        <v>17</v>
      </c>
      <c r="C477" s="29">
        <f>SUMPRODUCT(Report[But Dom]*(Report[Domicile]=Classement[[#This Row],[Equipe]]))+SUMPRODUCT(Report[But Ext]*(Report[Extérieur]=Classement[[#This Row],[Equipe]]))+Classement[[#This Row],[Colonne1]]</f>
        <v>17</v>
      </c>
      <c r="D477" s="29">
        <f>SUMPRODUCT(Report[But Ext]*(Report[Domicile]=Classement[[#This Row],[Equipe]]))+SUMPRODUCT(Report[But Dom]*(Report[Extérieur]=Classement[[#This Row],[Equipe]]))+Classement[[#This Row],[Colonne2]]</f>
        <v>27</v>
      </c>
      <c r="E477" s="95">
        <v>16</v>
      </c>
      <c r="F477" s="96">
        <v>16</v>
      </c>
      <c r="G477" s="96">
        <v>26</v>
      </c>
      <c r="H477" s="96">
        <f>IF(Classement[[#This Row],[Equipe]]=Report_Données!$D:$D,SUM(Report_Données!$P:$P),3)</f>
        <v>3</v>
      </c>
      <c r="O477" s="32"/>
    </row>
    <row r="478" spans="1:17" ht="20.100000000000001" customHeight="1" x14ac:dyDescent="0.25">
      <c r="A478" s="28"/>
      <c r="B478" s="30"/>
      <c r="C478" s="30"/>
      <c r="D478" s="30"/>
      <c r="E478" s="96"/>
      <c r="F478" s="96"/>
      <c r="G478" s="96"/>
      <c r="H478" s="96">
        <f>IF(Classement[[#This Row],[Equipe]]=Report_Données!$D:$D,SUM(Report_Données!$P:$P),3)</f>
        <v>493</v>
      </c>
    </row>
    <row r="479" spans="1:17" ht="20.100000000000001" customHeight="1" x14ac:dyDescent="0.25">
      <c r="A479" s="3" t="s">
        <v>579</v>
      </c>
      <c r="B479" s="29">
        <f>COUNTIF(Report_Données!D:E,Classement[[#This Row],[Equipe]])+Classement[[#This Row],[Colonne3]]</f>
        <v>13</v>
      </c>
      <c r="C479" s="29">
        <f>SUMPRODUCT(Report[But Dom]*(Report[Domicile]=Classement[[#This Row],[Equipe]]))+SUMPRODUCT(Report[But Ext]*(Report[Extérieur]=Classement[[#This Row],[Equipe]]))+Classement[[#This Row],[Colonne1]]</f>
        <v>16</v>
      </c>
      <c r="D479" s="29">
        <f>SUMPRODUCT(Report[But Ext]*(Report[Domicile]=Classement[[#This Row],[Equipe]]))+SUMPRODUCT(Report[But Dom]*(Report[Extérieur]=Classement[[#This Row],[Equipe]]))+Classement[[#This Row],[Colonne2]]</f>
        <v>13</v>
      </c>
      <c r="E479" s="95">
        <v>12</v>
      </c>
      <c r="F479" s="96">
        <v>16</v>
      </c>
      <c r="G479" s="96">
        <v>10</v>
      </c>
      <c r="H479" s="96">
        <f>IF(Classement[[#This Row],[Equipe]]=Report_Données!$D:$D,SUM(Report_Données!$P:$P),3)</f>
        <v>3</v>
      </c>
      <c r="O479" s="32"/>
      <c r="Q479" s="3" t="s">
        <v>195</v>
      </c>
    </row>
    <row r="480" spans="1:17" ht="20.100000000000001" customHeight="1" x14ac:dyDescent="0.25">
      <c r="A480" s="3" t="s">
        <v>580</v>
      </c>
      <c r="B480" s="29">
        <f>COUNTIF(Report_Données!D:E,Classement[[#This Row],[Equipe]])+Classement[[#This Row],[Colonne3]]</f>
        <v>13</v>
      </c>
      <c r="C480" s="29">
        <f>SUMPRODUCT(Report[But Dom]*(Report[Domicile]=Classement[[#This Row],[Equipe]]))+SUMPRODUCT(Report[But Ext]*(Report[Extérieur]=Classement[[#This Row],[Equipe]]))+Classement[[#This Row],[Colonne1]]</f>
        <v>30</v>
      </c>
      <c r="D480" s="29">
        <f>SUMPRODUCT(Report[But Ext]*(Report[Domicile]=Classement[[#This Row],[Equipe]]))+SUMPRODUCT(Report[But Dom]*(Report[Extérieur]=Classement[[#This Row],[Equipe]]))+Classement[[#This Row],[Colonne2]]</f>
        <v>6</v>
      </c>
      <c r="E480" s="95">
        <v>12</v>
      </c>
      <c r="F480" s="96">
        <v>27</v>
      </c>
      <c r="G480" s="96">
        <v>6</v>
      </c>
      <c r="H480" s="96">
        <f>IF(Classement[[#This Row],[Equipe]]=Report_Données!$D:$D,SUM(Report_Données!$P:$P),3)</f>
        <v>3</v>
      </c>
      <c r="O480" s="31"/>
      <c r="Q480" s="3" t="s">
        <v>195</v>
      </c>
    </row>
    <row r="481" spans="1:17" ht="20.100000000000001" customHeight="1" x14ac:dyDescent="0.25">
      <c r="A481" s="3" t="s">
        <v>581</v>
      </c>
      <c r="B481" s="29">
        <f>COUNTIF(Report_Données!D:E,Classement[[#This Row],[Equipe]])+Classement[[#This Row],[Colonne3]]</f>
        <v>14</v>
      </c>
      <c r="C481" s="29">
        <f>SUMPRODUCT(Report[But Dom]*(Report[Domicile]=Classement[[#This Row],[Equipe]]))+SUMPRODUCT(Report[But Ext]*(Report[Extérieur]=Classement[[#This Row],[Equipe]]))+Classement[[#This Row],[Colonne1]]</f>
        <v>8</v>
      </c>
      <c r="D481" s="29">
        <f>SUMPRODUCT(Report[But Ext]*(Report[Domicile]=Classement[[#This Row],[Equipe]]))+SUMPRODUCT(Report[But Dom]*(Report[Extérieur]=Classement[[#This Row],[Equipe]]))+Classement[[#This Row],[Colonne2]]</f>
        <v>32</v>
      </c>
      <c r="E481" s="95">
        <v>13</v>
      </c>
      <c r="F481" s="96">
        <v>6</v>
      </c>
      <c r="G481" s="96">
        <v>30</v>
      </c>
      <c r="H481" s="96">
        <f>IF(Classement[[#This Row],[Equipe]]=Report_Données!$D:$D,SUM(Report_Données!$P:$P),3)</f>
        <v>3</v>
      </c>
      <c r="O481" s="32"/>
      <c r="Q481" s="3" t="s">
        <v>195</v>
      </c>
    </row>
    <row r="482" spans="1:17" ht="20.100000000000001" customHeight="1" x14ac:dyDescent="0.25">
      <c r="A482" s="3" t="s">
        <v>582</v>
      </c>
      <c r="B482" s="29">
        <f>COUNTIF(Report_Données!D:E,Classement[[#This Row],[Equipe]])+Classement[[#This Row],[Colonne3]]</f>
        <v>14</v>
      </c>
      <c r="C482" s="29">
        <f>SUMPRODUCT(Report[But Dom]*(Report[Domicile]=Classement[[#This Row],[Equipe]]))+SUMPRODUCT(Report[But Ext]*(Report[Extérieur]=Classement[[#This Row],[Equipe]]))+Classement[[#This Row],[Colonne1]]</f>
        <v>9</v>
      </c>
      <c r="D482" s="29">
        <f>SUMPRODUCT(Report[But Ext]*(Report[Domicile]=Classement[[#This Row],[Equipe]]))+SUMPRODUCT(Report[But Dom]*(Report[Extérieur]=Classement[[#This Row],[Equipe]]))+Classement[[#This Row],[Colonne2]]</f>
        <v>31</v>
      </c>
      <c r="E482" s="95">
        <v>13</v>
      </c>
      <c r="F482" s="96">
        <v>9</v>
      </c>
      <c r="G482" s="96">
        <v>28</v>
      </c>
      <c r="H482" s="96">
        <f>IF(Classement[[#This Row],[Equipe]]=Report_Données!$D:$D,SUM(Report_Données!$P:$P),3)</f>
        <v>3</v>
      </c>
      <c r="O482" s="32"/>
      <c r="Q482" s="3" t="s">
        <v>195</v>
      </c>
    </row>
    <row r="483" spans="1:17" ht="20.100000000000001" customHeight="1" x14ac:dyDescent="0.25">
      <c r="A483" s="3" t="s">
        <v>583</v>
      </c>
      <c r="B483" s="29">
        <f>COUNTIF(Report_Données!D:E,Classement[[#This Row],[Equipe]])+Classement[[#This Row],[Colonne3]]</f>
        <v>14</v>
      </c>
      <c r="C483" s="29">
        <f>SUMPRODUCT(Report[But Dom]*(Report[Domicile]=Classement[[#This Row],[Equipe]]))+SUMPRODUCT(Report[But Ext]*(Report[Extérieur]=Classement[[#This Row],[Equipe]]))+Classement[[#This Row],[Colonne1]]</f>
        <v>19</v>
      </c>
      <c r="D483" s="29">
        <f>SUMPRODUCT(Report[But Ext]*(Report[Domicile]=Classement[[#This Row],[Equipe]]))+SUMPRODUCT(Report[But Dom]*(Report[Extérieur]=Classement[[#This Row],[Equipe]]))+Classement[[#This Row],[Colonne2]]</f>
        <v>15</v>
      </c>
      <c r="E483" s="95">
        <v>13</v>
      </c>
      <c r="F483" s="96">
        <v>19</v>
      </c>
      <c r="G483" s="96">
        <v>13</v>
      </c>
      <c r="H483" s="96">
        <f>IF(Classement[[#This Row],[Equipe]]=Report_Données!$D:$D,SUM(Report_Données!$P:$P),3)</f>
        <v>3</v>
      </c>
      <c r="O483" s="32"/>
      <c r="Q483" s="3" t="s">
        <v>195</v>
      </c>
    </row>
    <row r="484" spans="1:17" ht="20.100000000000001" customHeight="1" x14ac:dyDescent="0.25">
      <c r="A484" s="3" t="s">
        <v>584</v>
      </c>
      <c r="B484" s="29">
        <f>COUNTIF(Report_Données!D:E,Classement[[#This Row],[Equipe]])+Classement[[#This Row],[Colonne3]]</f>
        <v>13</v>
      </c>
      <c r="C484" s="29">
        <f>SUMPRODUCT(Report[But Dom]*(Report[Domicile]=Classement[[#This Row],[Equipe]]))+SUMPRODUCT(Report[But Ext]*(Report[Extérieur]=Classement[[#This Row],[Equipe]]))+Classement[[#This Row],[Colonne1]]</f>
        <v>23</v>
      </c>
      <c r="D484" s="29">
        <f>SUMPRODUCT(Report[But Ext]*(Report[Domicile]=Classement[[#This Row],[Equipe]]))+SUMPRODUCT(Report[But Dom]*(Report[Extérieur]=Classement[[#This Row],[Equipe]]))+Classement[[#This Row],[Colonne2]]</f>
        <v>14</v>
      </c>
      <c r="E484" s="95">
        <v>12</v>
      </c>
      <c r="F484" s="96">
        <v>21</v>
      </c>
      <c r="G484" s="96">
        <v>12</v>
      </c>
      <c r="H484" s="96">
        <f>IF(Classement[[#This Row],[Equipe]]=Report_Données!$D:$D,SUM(Report_Données!$P:$P),3)</f>
        <v>3</v>
      </c>
      <c r="O484" s="32"/>
      <c r="Q484" s="3" t="s">
        <v>195</v>
      </c>
    </row>
    <row r="485" spans="1:17" ht="20.100000000000001" customHeight="1" x14ac:dyDescent="0.25">
      <c r="A485" s="3" t="s">
        <v>585</v>
      </c>
      <c r="B485" s="29">
        <f>COUNTIF(Report_Données!D:E,Classement[[#This Row],[Equipe]])+Classement[[#This Row],[Colonne3]]</f>
        <v>14</v>
      </c>
      <c r="C485" s="29">
        <f>SUMPRODUCT(Report[But Dom]*(Report[Domicile]=Classement[[#This Row],[Equipe]]))+SUMPRODUCT(Report[But Ext]*(Report[Extérieur]=Classement[[#This Row],[Equipe]]))+Classement[[#This Row],[Colonne1]]</f>
        <v>19</v>
      </c>
      <c r="D485" s="29">
        <f>SUMPRODUCT(Report[But Ext]*(Report[Domicile]=Classement[[#This Row],[Equipe]]))+SUMPRODUCT(Report[But Dom]*(Report[Extérieur]=Classement[[#This Row],[Equipe]]))+Classement[[#This Row],[Colonne2]]</f>
        <v>12</v>
      </c>
      <c r="E485" s="95">
        <v>13</v>
      </c>
      <c r="F485" s="96">
        <v>19</v>
      </c>
      <c r="G485" s="96">
        <v>12</v>
      </c>
      <c r="H485" s="96">
        <f>IF(Classement[[#This Row],[Equipe]]=Report_Données!$D:$D,SUM(Report_Données!$P:$P),3)</f>
        <v>3</v>
      </c>
      <c r="O485" s="32"/>
      <c r="Q485" s="3" t="s">
        <v>195</v>
      </c>
    </row>
    <row r="486" spans="1:17" ht="20.100000000000001" customHeight="1" x14ac:dyDescent="0.25">
      <c r="A486" s="3" t="s">
        <v>586</v>
      </c>
      <c r="B486" s="29">
        <f>COUNTIF(Report_Données!D:E,Classement[[#This Row],[Equipe]])+Classement[[#This Row],[Colonne3]]</f>
        <v>13</v>
      </c>
      <c r="C486" s="29">
        <f>SUMPRODUCT(Report[But Dom]*(Report[Domicile]=Classement[[#This Row],[Equipe]]))+SUMPRODUCT(Report[But Ext]*(Report[Extérieur]=Classement[[#This Row],[Equipe]]))+Classement[[#This Row],[Colonne1]]</f>
        <v>12</v>
      </c>
      <c r="D486" s="29">
        <f>SUMPRODUCT(Report[But Ext]*(Report[Domicile]=Classement[[#This Row],[Equipe]]))+SUMPRODUCT(Report[But Dom]*(Report[Extérieur]=Classement[[#This Row],[Equipe]]))+Classement[[#This Row],[Colonne2]]</f>
        <v>10</v>
      </c>
      <c r="E486" s="95">
        <v>12</v>
      </c>
      <c r="F486" s="96">
        <v>12</v>
      </c>
      <c r="G486" s="96">
        <v>7</v>
      </c>
      <c r="H486" s="96">
        <f>IF(Classement[[#This Row],[Equipe]]=Report_Données!$D:$D,SUM(Report_Données!$P:$P),3)</f>
        <v>3</v>
      </c>
      <c r="O486" s="32"/>
      <c r="Q486" s="3" t="s">
        <v>195</v>
      </c>
    </row>
    <row r="487" spans="1:17" ht="20.100000000000001" customHeight="1" x14ac:dyDescent="0.25">
      <c r="A487" s="3" t="s">
        <v>587</v>
      </c>
      <c r="B487" s="29">
        <f>COUNTIF(Report_Données!D:E,Classement[[#This Row],[Equipe]])+Classement[[#This Row],[Colonne3]]</f>
        <v>13</v>
      </c>
      <c r="C487" s="29">
        <f>SUMPRODUCT(Report[But Dom]*(Report[Domicile]=Classement[[#This Row],[Equipe]]))+SUMPRODUCT(Report[But Ext]*(Report[Extérieur]=Classement[[#This Row],[Equipe]]))+Classement[[#This Row],[Colonne1]]</f>
        <v>15</v>
      </c>
      <c r="D487" s="29">
        <f>SUMPRODUCT(Report[But Ext]*(Report[Domicile]=Classement[[#This Row],[Equipe]]))+SUMPRODUCT(Report[But Dom]*(Report[Extérieur]=Classement[[#This Row],[Equipe]]))+Classement[[#This Row],[Colonne2]]</f>
        <v>22</v>
      </c>
      <c r="E487" s="95">
        <v>12</v>
      </c>
      <c r="F487" s="96">
        <v>12</v>
      </c>
      <c r="G487" s="96">
        <v>22</v>
      </c>
      <c r="H487" s="96">
        <f>IF(Classement[[#This Row],[Equipe]]=Report_Données!$D:$D,SUM(Report_Données!$P:$P),3)</f>
        <v>3</v>
      </c>
      <c r="O487" s="32"/>
      <c r="Q487" s="3" t="s">
        <v>195</v>
      </c>
    </row>
    <row r="488" spans="1:17" ht="20.100000000000001" customHeight="1" x14ac:dyDescent="0.25">
      <c r="A488" s="3" t="s">
        <v>588</v>
      </c>
      <c r="B488" s="29">
        <f>COUNTIF(Report_Données!D:E,Classement[[#This Row],[Equipe]])+Classement[[#This Row],[Colonne3]]</f>
        <v>13</v>
      </c>
      <c r="C488" s="29">
        <f>SUMPRODUCT(Report[But Dom]*(Report[Domicile]=Classement[[#This Row],[Equipe]]))+SUMPRODUCT(Report[But Ext]*(Report[Extérieur]=Classement[[#This Row],[Equipe]]))+Classement[[#This Row],[Colonne1]]</f>
        <v>35</v>
      </c>
      <c r="D488" s="29">
        <f>SUMPRODUCT(Report[But Ext]*(Report[Domicile]=Classement[[#This Row],[Equipe]]))+SUMPRODUCT(Report[But Dom]*(Report[Extérieur]=Classement[[#This Row],[Equipe]]))+Classement[[#This Row],[Colonne2]]</f>
        <v>11</v>
      </c>
      <c r="E488" s="95">
        <v>12</v>
      </c>
      <c r="F488" s="96">
        <v>32</v>
      </c>
      <c r="G488" s="96">
        <v>11</v>
      </c>
      <c r="H488" s="96">
        <f>IF(Classement[[#This Row],[Equipe]]=Report_Données!$D:$D,SUM(Report_Données!$P:$P),3)</f>
        <v>3</v>
      </c>
      <c r="O488" s="31"/>
      <c r="Q488" s="3" t="s">
        <v>195</v>
      </c>
    </row>
    <row r="489" spans="1:17" ht="20.100000000000001" customHeight="1" x14ac:dyDescent="0.25">
      <c r="A489" s="3" t="s">
        <v>589</v>
      </c>
      <c r="B489" s="29">
        <f>COUNTIF(Report_Données!D:E,Classement[[#This Row],[Equipe]])+Classement[[#This Row],[Colonne3]]</f>
        <v>14</v>
      </c>
      <c r="C489" s="29">
        <f>SUMPRODUCT(Report[But Dom]*(Report[Domicile]=Classement[[#This Row],[Equipe]]))+SUMPRODUCT(Report[But Ext]*(Report[Extérieur]=Classement[[#This Row],[Equipe]]))+Classement[[#This Row],[Colonne1]]</f>
        <v>16</v>
      </c>
      <c r="D489" s="29">
        <f>SUMPRODUCT(Report[But Ext]*(Report[Domicile]=Classement[[#This Row],[Equipe]]))+SUMPRODUCT(Report[But Dom]*(Report[Extérieur]=Classement[[#This Row],[Equipe]]))+Classement[[#This Row],[Colonne2]]</f>
        <v>18</v>
      </c>
      <c r="E489" s="95">
        <v>13</v>
      </c>
      <c r="F489" s="96">
        <v>16</v>
      </c>
      <c r="G489" s="96">
        <v>18</v>
      </c>
      <c r="H489" s="96">
        <f>IF(Classement[[#This Row],[Equipe]]=Report_Données!$D:$D,SUM(Report_Données!$P:$P),3)</f>
        <v>3</v>
      </c>
      <c r="O489" s="32"/>
      <c r="Q489" s="3" t="s">
        <v>195</v>
      </c>
    </row>
    <row r="490" spans="1:17" ht="20.100000000000001" customHeight="1" x14ac:dyDescent="0.25">
      <c r="A490" s="3" t="s">
        <v>590</v>
      </c>
      <c r="B490" s="29">
        <f>COUNTIF(Report_Données!D:E,Classement[[#This Row],[Equipe]])+Classement[[#This Row],[Colonne3]]</f>
        <v>14</v>
      </c>
      <c r="C490" s="29">
        <f>SUMPRODUCT(Report[But Dom]*(Report[Domicile]=Classement[[#This Row],[Equipe]]))+SUMPRODUCT(Report[But Ext]*(Report[Extérieur]=Classement[[#This Row],[Equipe]]))+Classement[[#This Row],[Colonne1]]</f>
        <v>8</v>
      </c>
      <c r="D490" s="29">
        <f>SUMPRODUCT(Report[But Ext]*(Report[Domicile]=Classement[[#This Row],[Equipe]]))+SUMPRODUCT(Report[But Dom]*(Report[Extérieur]=Classement[[#This Row],[Equipe]]))+Classement[[#This Row],[Colonne2]]</f>
        <v>26</v>
      </c>
      <c r="E490" s="95">
        <v>13</v>
      </c>
      <c r="F490" s="96">
        <v>6</v>
      </c>
      <c r="G490" s="96">
        <v>26</v>
      </c>
      <c r="H490" s="96">
        <f>IF(Classement[[#This Row],[Equipe]]=Report_Données!$D:$D,SUM(Report_Données!$P:$P),3)</f>
        <v>3</v>
      </c>
      <c r="O490" s="32"/>
    </row>
    <row r="491" spans="1:17" ht="20.100000000000001" customHeight="1" x14ac:dyDescent="0.25">
      <c r="A491" s="28"/>
      <c r="B491" s="30"/>
      <c r="C491" s="30"/>
      <c r="D491" s="30"/>
      <c r="E491" s="96"/>
      <c r="F491" s="96"/>
      <c r="G491" s="96"/>
      <c r="H491" s="96">
        <f>IF(Classement[[#This Row],[Equipe]]=Report_Données!$D:$D,SUM(Report_Données!$P:$P),3)</f>
        <v>493</v>
      </c>
    </row>
    <row r="492" spans="1:17" ht="20.100000000000001" customHeight="1" x14ac:dyDescent="0.25">
      <c r="A492" s="3" t="s">
        <v>591</v>
      </c>
      <c r="B492" s="29">
        <f>COUNTIF(Report_Données!D:E,Classement[[#This Row],[Equipe]])+Classement[[#This Row],[Colonne3]]</f>
        <v>13</v>
      </c>
      <c r="C492" s="29">
        <f>SUMPRODUCT(Report[But Dom]*(Report[Domicile]=Classement[[#This Row],[Equipe]]))+SUMPRODUCT(Report[But Ext]*(Report[Extérieur]=Classement[[#This Row],[Equipe]]))+Classement[[#This Row],[Colonne1]]</f>
        <v>17</v>
      </c>
      <c r="D492" s="29">
        <f>SUMPRODUCT(Report[But Ext]*(Report[Domicile]=Classement[[#This Row],[Equipe]]))+SUMPRODUCT(Report[But Dom]*(Report[Extérieur]=Classement[[#This Row],[Equipe]]))+Classement[[#This Row],[Colonne2]]</f>
        <v>13</v>
      </c>
      <c r="E492" s="95">
        <v>12</v>
      </c>
      <c r="F492" s="96">
        <v>17</v>
      </c>
      <c r="G492" s="96">
        <v>12</v>
      </c>
      <c r="H492" s="96">
        <f>IF(Classement[[#This Row],[Equipe]]=Report_Données!$D:$D,SUM(Report_Données!$P:$P),3)</f>
        <v>3</v>
      </c>
      <c r="O492" s="32"/>
      <c r="Q492" s="3" t="s">
        <v>195</v>
      </c>
    </row>
    <row r="493" spans="1:17" ht="20.100000000000001" customHeight="1" x14ac:dyDescent="0.25">
      <c r="A493" s="3" t="s">
        <v>592</v>
      </c>
      <c r="B493" s="29">
        <f>COUNTIF(Report_Données!D:E,Classement[[#This Row],[Equipe]])+Classement[[#This Row],[Colonne3]]</f>
        <v>13</v>
      </c>
      <c r="C493" s="29">
        <f>SUMPRODUCT(Report[But Dom]*(Report[Domicile]=Classement[[#This Row],[Equipe]]))+SUMPRODUCT(Report[But Ext]*(Report[Extérieur]=Classement[[#This Row],[Equipe]]))+Classement[[#This Row],[Colonne1]]</f>
        <v>14</v>
      </c>
      <c r="D493" s="29">
        <f>SUMPRODUCT(Report[But Ext]*(Report[Domicile]=Classement[[#This Row],[Equipe]]))+SUMPRODUCT(Report[But Dom]*(Report[Extérieur]=Classement[[#This Row],[Equipe]]))+Classement[[#This Row],[Colonne2]]</f>
        <v>20</v>
      </c>
      <c r="E493" s="95">
        <v>12</v>
      </c>
      <c r="F493" s="96">
        <v>13</v>
      </c>
      <c r="G493" s="96">
        <v>19</v>
      </c>
      <c r="H493" s="96">
        <f>IF(Classement[[#This Row],[Equipe]]=Report_Données!$D:$D,SUM(Report_Données!$P:$P),3)</f>
        <v>3</v>
      </c>
      <c r="O493" s="32"/>
      <c r="Q493" s="3" t="s">
        <v>195</v>
      </c>
    </row>
    <row r="494" spans="1:17" ht="20.100000000000001" customHeight="1" x14ac:dyDescent="0.25">
      <c r="A494" s="3" t="s">
        <v>593</v>
      </c>
      <c r="B494" s="29">
        <f>COUNTIF(Report_Données!D:E,Classement[[#This Row],[Equipe]])+Classement[[#This Row],[Colonne3]]</f>
        <v>13</v>
      </c>
      <c r="C494" s="29">
        <f>SUMPRODUCT(Report[But Dom]*(Report[Domicile]=Classement[[#This Row],[Equipe]]))+SUMPRODUCT(Report[But Ext]*(Report[Extérieur]=Classement[[#This Row],[Equipe]]))+Classement[[#This Row],[Colonne1]]</f>
        <v>17</v>
      </c>
      <c r="D494" s="29">
        <f>SUMPRODUCT(Report[But Ext]*(Report[Domicile]=Classement[[#This Row],[Equipe]]))+SUMPRODUCT(Report[But Dom]*(Report[Extérieur]=Classement[[#This Row],[Equipe]]))+Classement[[#This Row],[Colonne2]]</f>
        <v>9</v>
      </c>
      <c r="E494" s="95">
        <v>12</v>
      </c>
      <c r="F494" s="96">
        <v>16</v>
      </c>
      <c r="G494" s="96">
        <v>8</v>
      </c>
      <c r="H494" s="96">
        <f>IF(Classement[[#This Row],[Equipe]]=Report_Données!$D:$D,SUM(Report_Données!$P:$P),3)</f>
        <v>3</v>
      </c>
      <c r="O494" s="32"/>
      <c r="Q494" s="3" t="s">
        <v>195</v>
      </c>
    </row>
    <row r="495" spans="1:17" ht="20.100000000000001" customHeight="1" x14ac:dyDescent="0.25">
      <c r="A495" s="3" t="s">
        <v>594</v>
      </c>
      <c r="B495" s="29">
        <f>COUNTIF(Report_Données!D:E,Classement[[#This Row],[Equipe]])+Classement[[#This Row],[Colonne3]]</f>
        <v>13</v>
      </c>
      <c r="C495" s="29">
        <f>SUMPRODUCT(Report[But Dom]*(Report[Domicile]=Classement[[#This Row],[Equipe]]))+SUMPRODUCT(Report[But Ext]*(Report[Extérieur]=Classement[[#This Row],[Equipe]]))+Classement[[#This Row],[Colonne1]]</f>
        <v>35</v>
      </c>
      <c r="D495" s="29">
        <f>SUMPRODUCT(Report[But Ext]*(Report[Domicile]=Classement[[#This Row],[Equipe]]))+SUMPRODUCT(Report[But Dom]*(Report[Extérieur]=Classement[[#This Row],[Equipe]]))+Classement[[#This Row],[Colonne2]]</f>
        <v>19</v>
      </c>
      <c r="E495" s="95">
        <v>12</v>
      </c>
      <c r="F495" s="96">
        <v>34</v>
      </c>
      <c r="G495" s="96">
        <v>18</v>
      </c>
      <c r="H495" s="96">
        <f>IF(Classement[[#This Row],[Equipe]]=Report_Données!$D:$D,SUM(Report_Données!$P:$P),3)</f>
        <v>3</v>
      </c>
      <c r="O495" s="31"/>
      <c r="Q495" s="3" t="s">
        <v>195</v>
      </c>
    </row>
    <row r="496" spans="1:17" ht="20.100000000000001" customHeight="1" x14ac:dyDescent="0.25">
      <c r="A496" s="3" t="s">
        <v>595</v>
      </c>
      <c r="B496" s="29">
        <f>COUNTIF(Report_Données!D:E,Classement[[#This Row],[Equipe]])+Classement[[#This Row],[Colonne3]]</f>
        <v>13</v>
      </c>
      <c r="C496" s="29">
        <f>SUMPRODUCT(Report[But Dom]*(Report[Domicile]=Classement[[#This Row],[Equipe]]))+SUMPRODUCT(Report[But Ext]*(Report[Extérieur]=Classement[[#This Row],[Equipe]]))+Classement[[#This Row],[Colonne1]]</f>
        <v>13</v>
      </c>
      <c r="D496" s="29">
        <f>SUMPRODUCT(Report[But Ext]*(Report[Domicile]=Classement[[#This Row],[Equipe]]))+SUMPRODUCT(Report[But Dom]*(Report[Extérieur]=Classement[[#This Row],[Equipe]]))+Classement[[#This Row],[Colonne2]]</f>
        <v>17</v>
      </c>
      <c r="E496" s="95">
        <v>12</v>
      </c>
      <c r="F496" s="96">
        <v>12</v>
      </c>
      <c r="G496" s="96">
        <v>15</v>
      </c>
      <c r="H496" s="96">
        <f>IF(Classement[[#This Row],[Equipe]]=Report_Données!$D:$D,SUM(Report_Données!$P:$P),3)</f>
        <v>3</v>
      </c>
      <c r="O496" s="32"/>
      <c r="Q496" s="3" t="s">
        <v>195</v>
      </c>
    </row>
    <row r="497" spans="1:17" ht="20.100000000000001" customHeight="1" x14ac:dyDescent="0.25">
      <c r="A497" s="3" t="s">
        <v>596</v>
      </c>
      <c r="B497" s="29">
        <f>COUNTIF(Report_Données!D:E,Classement[[#This Row],[Equipe]])+Classement[[#This Row],[Colonne3]]</f>
        <v>13</v>
      </c>
      <c r="C497" s="29">
        <f>SUMPRODUCT(Report[But Dom]*(Report[Domicile]=Classement[[#This Row],[Equipe]]))+SUMPRODUCT(Report[But Ext]*(Report[Extérieur]=Classement[[#This Row],[Equipe]]))+Classement[[#This Row],[Colonne1]]</f>
        <v>23</v>
      </c>
      <c r="D497" s="29">
        <f>SUMPRODUCT(Report[But Ext]*(Report[Domicile]=Classement[[#This Row],[Equipe]]))+SUMPRODUCT(Report[But Dom]*(Report[Extérieur]=Classement[[#This Row],[Equipe]]))+Classement[[#This Row],[Colonne2]]</f>
        <v>22</v>
      </c>
      <c r="E497" s="95">
        <v>12</v>
      </c>
      <c r="F497" s="96">
        <v>22</v>
      </c>
      <c r="G497" s="96">
        <v>20</v>
      </c>
      <c r="H497" s="96">
        <f>IF(Classement[[#This Row],[Equipe]]=Report_Données!$D:$D,SUM(Report_Données!$P:$P),3)</f>
        <v>3</v>
      </c>
      <c r="O497" s="32"/>
      <c r="Q497" s="3" t="s">
        <v>195</v>
      </c>
    </row>
    <row r="498" spans="1:17" ht="20.100000000000001" customHeight="1" x14ac:dyDescent="0.25">
      <c r="A498" s="3" t="s">
        <v>597</v>
      </c>
      <c r="B498" s="29">
        <f>COUNTIF(Report_Données!D:E,Classement[[#This Row],[Equipe]])+Classement[[#This Row],[Colonne3]]</f>
        <v>13</v>
      </c>
      <c r="C498" s="29">
        <f>SUMPRODUCT(Report[But Dom]*(Report[Domicile]=Classement[[#This Row],[Equipe]]))+SUMPRODUCT(Report[But Ext]*(Report[Extérieur]=Classement[[#This Row],[Equipe]]))+Classement[[#This Row],[Colonne1]]</f>
        <v>15</v>
      </c>
      <c r="D498" s="29">
        <f>SUMPRODUCT(Report[But Ext]*(Report[Domicile]=Classement[[#This Row],[Equipe]]))+SUMPRODUCT(Report[But Dom]*(Report[Extérieur]=Classement[[#This Row],[Equipe]]))+Classement[[#This Row],[Colonne2]]</f>
        <v>18</v>
      </c>
      <c r="E498" s="95">
        <v>12</v>
      </c>
      <c r="F498" s="96">
        <v>12</v>
      </c>
      <c r="G498" s="96">
        <v>18</v>
      </c>
      <c r="H498" s="96">
        <f>IF(Classement[[#This Row],[Equipe]]=Report_Données!$D:$D,SUM(Report_Données!$P:$P),3)</f>
        <v>3</v>
      </c>
      <c r="O498" s="32"/>
      <c r="Q498" s="3" t="s">
        <v>195</v>
      </c>
    </row>
    <row r="499" spans="1:17" ht="20.100000000000001" customHeight="1" x14ac:dyDescent="0.25">
      <c r="A499" s="3" t="s">
        <v>598</v>
      </c>
      <c r="B499" s="29">
        <f>COUNTIF(Report_Données!D:E,Classement[[#This Row],[Equipe]])+Classement[[#This Row],[Colonne3]]</f>
        <v>13</v>
      </c>
      <c r="C499" s="29">
        <f>SUMPRODUCT(Report[But Dom]*(Report[Domicile]=Classement[[#This Row],[Equipe]]))+SUMPRODUCT(Report[But Ext]*(Report[Extérieur]=Classement[[#This Row],[Equipe]]))+Classement[[#This Row],[Colonne1]]</f>
        <v>17</v>
      </c>
      <c r="D499" s="29">
        <f>SUMPRODUCT(Report[But Ext]*(Report[Domicile]=Classement[[#This Row],[Equipe]]))+SUMPRODUCT(Report[But Dom]*(Report[Extérieur]=Classement[[#This Row],[Equipe]]))+Classement[[#This Row],[Colonne2]]</f>
        <v>13</v>
      </c>
      <c r="E499" s="95">
        <v>12</v>
      </c>
      <c r="F499" s="96">
        <v>16</v>
      </c>
      <c r="G499" s="96">
        <v>10</v>
      </c>
      <c r="H499" s="96">
        <f>IF(Classement[[#This Row],[Equipe]]=Report_Données!$D:$D,SUM(Report_Données!$P:$P),3)</f>
        <v>3</v>
      </c>
      <c r="O499" s="32"/>
      <c r="Q499" s="3" t="s">
        <v>195</v>
      </c>
    </row>
    <row r="500" spans="1:17" ht="20.100000000000001" customHeight="1" x14ac:dyDescent="0.25">
      <c r="A500" s="3" t="s">
        <v>599</v>
      </c>
      <c r="B500" s="29">
        <f>COUNTIF(Report_Données!D:E,Classement[[#This Row],[Equipe]])+Classement[[#This Row],[Colonne3]]</f>
        <v>13</v>
      </c>
      <c r="C500" s="29">
        <f>SUMPRODUCT(Report[But Dom]*(Report[Domicile]=Classement[[#This Row],[Equipe]]))+SUMPRODUCT(Report[But Ext]*(Report[Extérieur]=Classement[[#This Row],[Equipe]]))+Classement[[#This Row],[Colonne1]]</f>
        <v>25</v>
      </c>
      <c r="D500" s="29">
        <f>SUMPRODUCT(Report[But Ext]*(Report[Domicile]=Classement[[#This Row],[Equipe]]))+SUMPRODUCT(Report[But Dom]*(Report[Extérieur]=Classement[[#This Row],[Equipe]]))+Classement[[#This Row],[Colonne2]]</f>
        <v>14</v>
      </c>
      <c r="E500" s="95">
        <v>12</v>
      </c>
      <c r="F500" s="96">
        <v>24</v>
      </c>
      <c r="G500" s="96">
        <v>14</v>
      </c>
      <c r="H500" s="96">
        <f>IF(Classement[[#This Row],[Equipe]]=Report_Données!$D:$D,SUM(Report_Données!$P:$P),3)</f>
        <v>3</v>
      </c>
      <c r="O500" s="31"/>
      <c r="Q500" s="3" t="s">
        <v>195</v>
      </c>
    </row>
    <row r="501" spans="1:17" ht="20.100000000000001" customHeight="1" x14ac:dyDescent="0.25">
      <c r="A501" s="3" t="s">
        <v>600</v>
      </c>
      <c r="B501" s="29">
        <f>COUNTIF(Report_Données!D:E,Classement[[#This Row],[Equipe]])+Classement[[#This Row],[Colonne3]]</f>
        <v>13</v>
      </c>
      <c r="C501" s="29">
        <f>SUMPRODUCT(Report[But Dom]*(Report[Domicile]=Classement[[#This Row],[Equipe]]))+SUMPRODUCT(Report[But Ext]*(Report[Extérieur]=Classement[[#This Row],[Equipe]]))+Classement[[#This Row],[Colonne1]]</f>
        <v>12</v>
      </c>
      <c r="D501" s="29">
        <f>SUMPRODUCT(Report[But Ext]*(Report[Domicile]=Classement[[#This Row],[Equipe]]))+SUMPRODUCT(Report[But Dom]*(Report[Extérieur]=Classement[[#This Row],[Equipe]]))+Classement[[#This Row],[Colonne2]]</f>
        <v>11</v>
      </c>
      <c r="E501" s="95">
        <v>12</v>
      </c>
      <c r="F501" s="96">
        <v>11</v>
      </c>
      <c r="G501" s="96">
        <v>10</v>
      </c>
      <c r="H501" s="96">
        <f>IF(Classement[[#This Row],[Equipe]]=Report_Données!$D:$D,SUM(Report_Données!$P:$P),3)</f>
        <v>3</v>
      </c>
      <c r="O501" s="32"/>
      <c r="Q501" s="3" t="s">
        <v>195</v>
      </c>
    </row>
    <row r="502" spans="1:17" ht="20.100000000000001" customHeight="1" x14ac:dyDescent="0.25">
      <c r="A502" s="3" t="s">
        <v>601</v>
      </c>
      <c r="B502" s="29">
        <f>COUNTIF(Report_Données!D:E,Classement[[#This Row],[Equipe]])+Classement[[#This Row],[Colonne3]]</f>
        <v>13</v>
      </c>
      <c r="C502" s="29">
        <f>SUMPRODUCT(Report[But Dom]*(Report[Domicile]=Classement[[#This Row],[Equipe]]))+SUMPRODUCT(Report[But Ext]*(Report[Extérieur]=Classement[[#This Row],[Equipe]]))+Classement[[#This Row],[Colonne1]]</f>
        <v>16</v>
      </c>
      <c r="D502" s="29">
        <f>SUMPRODUCT(Report[But Ext]*(Report[Domicile]=Classement[[#This Row],[Equipe]]))+SUMPRODUCT(Report[But Dom]*(Report[Extérieur]=Classement[[#This Row],[Equipe]]))+Classement[[#This Row],[Colonne2]]</f>
        <v>15</v>
      </c>
      <c r="E502" s="95">
        <v>12</v>
      </c>
      <c r="F502" s="96">
        <v>13</v>
      </c>
      <c r="G502" s="96">
        <v>14</v>
      </c>
      <c r="H502" s="96">
        <f>IF(Classement[[#This Row],[Equipe]]=Report_Données!$D:$D,SUM(Report_Données!$P:$P),3)</f>
        <v>3</v>
      </c>
      <c r="O502" s="32"/>
      <c r="Q502" s="3" t="s">
        <v>195</v>
      </c>
    </row>
    <row r="503" spans="1:17" ht="20.100000000000001" customHeight="1" x14ac:dyDescent="0.25">
      <c r="A503" s="3" t="s">
        <v>602</v>
      </c>
      <c r="B503" s="29">
        <f>COUNTIF(Report_Données!D:E,Classement[[#This Row],[Equipe]])+Classement[[#This Row],[Colonne3]]</f>
        <v>13</v>
      </c>
      <c r="C503" s="29">
        <f>SUMPRODUCT(Report[But Dom]*(Report[Domicile]=Classement[[#This Row],[Equipe]]))+SUMPRODUCT(Report[But Ext]*(Report[Extérieur]=Classement[[#This Row],[Equipe]]))+Classement[[#This Row],[Colonne1]]</f>
        <v>12</v>
      </c>
      <c r="D503" s="29">
        <f>SUMPRODUCT(Report[But Ext]*(Report[Domicile]=Classement[[#This Row],[Equipe]]))+SUMPRODUCT(Report[But Dom]*(Report[Extérieur]=Classement[[#This Row],[Equipe]]))+Classement[[#This Row],[Colonne2]]</f>
        <v>27</v>
      </c>
      <c r="E503" s="95">
        <v>12</v>
      </c>
      <c r="F503" s="96">
        <v>10</v>
      </c>
      <c r="G503" s="96">
        <v>25</v>
      </c>
      <c r="H503" s="96">
        <f>IF(Classement[[#This Row],[Equipe]]=Report_Données!$D:$D,SUM(Report_Données!$P:$P),3)</f>
        <v>3</v>
      </c>
      <c r="O503" s="32"/>
      <c r="Q503" s="3" t="s">
        <v>195</v>
      </c>
    </row>
    <row r="504" spans="1:17" ht="20.100000000000001" customHeight="1" x14ac:dyDescent="0.25">
      <c r="A504" s="3" t="s">
        <v>603</v>
      </c>
      <c r="B504" s="29">
        <f>COUNTIF(Report_Données!D:E,Classement[[#This Row],[Equipe]])+Classement[[#This Row],[Colonne3]]</f>
        <v>13</v>
      </c>
      <c r="C504" s="29">
        <f>SUMPRODUCT(Report[But Dom]*(Report[Domicile]=Classement[[#This Row],[Equipe]]))+SUMPRODUCT(Report[But Ext]*(Report[Extérieur]=Classement[[#This Row],[Equipe]]))+Classement[[#This Row],[Colonne1]]</f>
        <v>10</v>
      </c>
      <c r="D504" s="29">
        <f>SUMPRODUCT(Report[But Ext]*(Report[Domicile]=Classement[[#This Row],[Equipe]]))+SUMPRODUCT(Report[But Dom]*(Report[Extérieur]=Classement[[#This Row],[Equipe]]))+Classement[[#This Row],[Colonne2]]</f>
        <v>16</v>
      </c>
      <c r="E504" s="95">
        <v>12</v>
      </c>
      <c r="F504" s="96">
        <v>9</v>
      </c>
      <c r="G504" s="96">
        <v>16</v>
      </c>
      <c r="H504" s="96">
        <f>IF(Classement[[#This Row],[Equipe]]=Report_Données!$D:$D,SUM(Report_Données!$P:$P),3)</f>
        <v>3</v>
      </c>
      <c r="O504" s="32"/>
      <c r="Q504" s="3" t="s">
        <v>195</v>
      </c>
    </row>
    <row r="505" spans="1:17" ht="20.100000000000001" customHeight="1" x14ac:dyDescent="0.25">
      <c r="A505" s="3" t="s">
        <v>604</v>
      </c>
      <c r="B505" s="29">
        <f>COUNTIF(Report_Données!D:E,Classement[[#This Row],[Equipe]])+Classement[[#This Row],[Colonne3]]</f>
        <v>13</v>
      </c>
      <c r="C505" s="29">
        <f>SUMPRODUCT(Report[But Dom]*(Report[Domicile]=Classement[[#This Row],[Equipe]]))+SUMPRODUCT(Report[But Ext]*(Report[Extérieur]=Classement[[#This Row],[Equipe]]))+Classement[[#This Row],[Colonne1]]</f>
        <v>20</v>
      </c>
      <c r="D505" s="29">
        <f>SUMPRODUCT(Report[But Ext]*(Report[Domicile]=Classement[[#This Row],[Equipe]]))+SUMPRODUCT(Report[But Dom]*(Report[Extérieur]=Classement[[#This Row],[Equipe]]))+Classement[[#This Row],[Colonne2]]</f>
        <v>21</v>
      </c>
      <c r="E505" s="95">
        <v>12</v>
      </c>
      <c r="F505" s="96">
        <v>18</v>
      </c>
      <c r="G505" s="96">
        <v>19</v>
      </c>
      <c r="H505" s="96">
        <f>IF(Classement[[#This Row],[Equipe]]=Report_Données!$D:$D,SUM(Report_Données!$P:$P),3)</f>
        <v>3</v>
      </c>
      <c r="O505" s="32"/>
      <c r="Q505" s="3" t="s">
        <v>195</v>
      </c>
    </row>
    <row r="506" spans="1:17" ht="20.100000000000001" customHeight="1" x14ac:dyDescent="0.25">
      <c r="A506" s="3" t="s">
        <v>605</v>
      </c>
      <c r="B506" s="29">
        <f>COUNTIF(Report_Données!D:E,Classement[[#This Row],[Equipe]])+Classement[[#This Row],[Colonne3]]</f>
        <v>13</v>
      </c>
      <c r="C506" s="29">
        <f>SUMPRODUCT(Report[But Dom]*(Report[Domicile]=Classement[[#This Row],[Equipe]]))+SUMPRODUCT(Report[But Ext]*(Report[Extérieur]=Classement[[#This Row],[Equipe]]))+Classement[[#This Row],[Colonne1]]</f>
        <v>20</v>
      </c>
      <c r="D506" s="29">
        <f>SUMPRODUCT(Report[But Ext]*(Report[Domicile]=Classement[[#This Row],[Equipe]]))+SUMPRODUCT(Report[But Dom]*(Report[Extérieur]=Classement[[#This Row],[Equipe]]))+Classement[[#This Row],[Colonne2]]</f>
        <v>19</v>
      </c>
      <c r="E506" s="95">
        <v>12</v>
      </c>
      <c r="F506" s="96">
        <v>20</v>
      </c>
      <c r="G506" s="96">
        <v>16</v>
      </c>
      <c r="H506" s="96">
        <f>IF(Classement[[#This Row],[Equipe]]=Report_Données!$D:$D,SUM(Report_Données!$P:$P),3)</f>
        <v>3</v>
      </c>
      <c r="O506" s="32"/>
      <c r="Q506" s="3" t="s">
        <v>195</v>
      </c>
    </row>
    <row r="507" spans="1:17" ht="20.100000000000001" customHeight="1" x14ac:dyDescent="0.25">
      <c r="A507" s="3" t="s">
        <v>606</v>
      </c>
      <c r="B507" s="29">
        <f>COUNTIF(Report_Données!D:E,Classement[[#This Row],[Equipe]])+Classement[[#This Row],[Colonne3]]</f>
        <v>13</v>
      </c>
      <c r="C507" s="29">
        <f>SUMPRODUCT(Report[But Dom]*(Report[Domicile]=Classement[[#This Row],[Equipe]]))+SUMPRODUCT(Report[But Ext]*(Report[Extérieur]=Classement[[#This Row],[Equipe]]))+Classement[[#This Row],[Colonne1]]</f>
        <v>17</v>
      </c>
      <c r="D507" s="29">
        <f>SUMPRODUCT(Report[But Ext]*(Report[Domicile]=Classement[[#This Row],[Equipe]]))+SUMPRODUCT(Report[But Dom]*(Report[Extérieur]=Classement[[#This Row],[Equipe]]))+Classement[[#This Row],[Colonne2]]</f>
        <v>15</v>
      </c>
      <c r="E507" s="95">
        <v>12</v>
      </c>
      <c r="F507" s="96">
        <v>15</v>
      </c>
      <c r="G507" s="96">
        <v>14</v>
      </c>
      <c r="H507" s="96">
        <f>IF(Classement[[#This Row],[Equipe]]=Report_Données!$D:$D,SUM(Report_Données!$P:$P),3)</f>
        <v>3</v>
      </c>
      <c r="O507" s="32"/>
      <c r="Q507" s="3" t="s">
        <v>195</v>
      </c>
    </row>
    <row r="508" spans="1:17" ht="20.100000000000001" customHeight="1" x14ac:dyDescent="0.25">
      <c r="A508" s="3" t="s">
        <v>607</v>
      </c>
      <c r="B508" s="29">
        <f>COUNTIF(Report_Données!D:E,Classement[[#This Row],[Equipe]])+Classement[[#This Row],[Colonne3]]</f>
        <v>13</v>
      </c>
      <c r="C508" s="29">
        <f>SUMPRODUCT(Report[But Dom]*(Report[Domicile]=Classement[[#This Row],[Equipe]]))+SUMPRODUCT(Report[But Ext]*(Report[Extérieur]=Classement[[#This Row],[Equipe]]))+Classement[[#This Row],[Colonne1]]</f>
        <v>11</v>
      </c>
      <c r="D508" s="29">
        <f>SUMPRODUCT(Report[But Ext]*(Report[Domicile]=Classement[[#This Row],[Equipe]]))+SUMPRODUCT(Report[But Dom]*(Report[Extérieur]=Classement[[#This Row],[Equipe]]))+Classement[[#This Row],[Colonne2]]</f>
        <v>9</v>
      </c>
      <c r="E508" s="95">
        <v>12</v>
      </c>
      <c r="F508" s="96">
        <v>8</v>
      </c>
      <c r="G508" s="96">
        <v>9</v>
      </c>
      <c r="H508" s="96">
        <f>IF(Classement[[#This Row],[Equipe]]=Report_Données!$D:$D,SUM(Report_Données!$P:$P),3)</f>
        <v>3</v>
      </c>
      <c r="O508" s="32"/>
      <c r="Q508" s="3" t="s">
        <v>195</v>
      </c>
    </row>
    <row r="509" spans="1:17" ht="20.100000000000001" customHeight="1" x14ac:dyDescent="0.25">
      <c r="A509" s="3" t="s">
        <v>608</v>
      </c>
      <c r="B509" s="29">
        <f>COUNTIF(Report_Données!D:E,Classement[[#This Row],[Equipe]])+Classement[[#This Row],[Colonne3]]</f>
        <v>13</v>
      </c>
      <c r="C509" s="29">
        <f>SUMPRODUCT(Report[But Dom]*(Report[Domicile]=Classement[[#This Row],[Equipe]]))+SUMPRODUCT(Report[But Ext]*(Report[Extérieur]=Classement[[#This Row],[Equipe]]))+Classement[[#This Row],[Colonne1]]</f>
        <v>9</v>
      </c>
      <c r="D509" s="29">
        <f>SUMPRODUCT(Report[But Ext]*(Report[Domicile]=Classement[[#This Row],[Equipe]]))+SUMPRODUCT(Report[But Dom]*(Report[Extérieur]=Classement[[#This Row],[Equipe]]))+Classement[[#This Row],[Colonne2]]</f>
        <v>10</v>
      </c>
      <c r="E509" s="95">
        <v>12</v>
      </c>
      <c r="F509" s="96">
        <v>9</v>
      </c>
      <c r="G509" s="96">
        <v>9</v>
      </c>
      <c r="H509" s="96">
        <f>IF(Classement[[#This Row],[Equipe]]=Report_Données!$D:$D,SUM(Report_Données!$P:$P),3)</f>
        <v>3</v>
      </c>
      <c r="O509" s="32"/>
      <c r="Q509" s="3" t="s">
        <v>195</v>
      </c>
    </row>
    <row r="510" spans="1:17" ht="20.100000000000001" customHeight="1" x14ac:dyDescent="0.25">
      <c r="A510" s="3" t="s">
        <v>609</v>
      </c>
      <c r="B510" s="29">
        <f>COUNTIF(Report_Données!D:E,Classement[[#This Row],[Equipe]])+Classement[[#This Row],[Colonne3]]</f>
        <v>13</v>
      </c>
      <c r="C510" s="29">
        <f>SUMPRODUCT(Report[But Dom]*(Report[Domicile]=Classement[[#This Row],[Equipe]]))+SUMPRODUCT(Report[But Ext]*(Report[Extérieur]=Classement[[#This Row],[Equipe]]))+Classement[[#This Row],[Colonne1]]</f>
        <v>14</v>
      </c>
      <c r="D510" s="29">
        <f>SUMPRODUCT(Report[But Ext]*(Report[Domicile]=Classement[[#This Row],[Equipe]]))+SUMPRODUCT(Report[But Dom]*(Report[Extérieur]=Classement[[#This Row],[Equipe]]))+Classement[[#This Row],[Colonne2]]</f>
        <v>28</v>
      </c>
      <c r="E510" s="95">
        <v>12</v>
      </c>
      <c r="F510" s="96">
        <v>14</v>
      </c>
      <c r="G510" s="96">
        <v>25</v>
      </c>
      <c r="H510" s="96">
        <f>IF(Classement[[#This Row],[Equipe]]=Report_Données!$D:$D,SUM(Report_Données!$P:$P),3)</f>
        <v>3</v>
      </c>
      <c r="O510" s="32"/>
      <c r="Q510" s="3" t="s">
        <v>195</v>
      </c>
    </row>
    <row r="511" spans="1:17" ht="20.100000000000001" customHeight="1" x14ac:dyDescent="0.25">
      <c r="A511" s="3" t="s">
        <v>610</v>
      </c>
      <c r="B511" s="29">
        <f>COUNTIF(Report_Données!D:E,Classement[[#This Row],[Equipe]])+Classement[[#This Row],[Colonne3]]</f>
        <v>13</v>
      </c>
      <c r="C511" s="29">
        <f>SUMPRODUCT(Report[But Dom]*(Report[Domicile]=Classement[[#This Row],[Equipe]]))+SUMPRODUCT(Report[But Ext]*(Report[Extérieur]=Classement[[#This Row],[Equipe]]))+Classement[[#This Row],[Colonne1]]</f>
        <v>13</v>
      </c>
      <c r="D511" s="29">
        <f>SUMPRODUCT(Report[But Ext]*(Report[Domicile]=Classement[[#This Row],[Equipe]]))+SUMPRODUCT(Report[But Dom]*(Report[Extérieur]=Classement[[#This Row],[Equipe]]))+Classement[[#This Row],[Colonne2]]</f>
        <v>14</v>
      </c>
      <c r="E511" s="95">
        <v>12</v>
      </c>
      <c r="F511" s="96">
        <v>11</v>
      </c>
      <c r="G511" s="96">
        <v>13</v>
      </c>
      <c r="H511" s="96">
        <f>IF(Classement[[#This Row],[Equipe]]=Report_Données!$D:$D,SUM(Report_Données!$P:$P),3)</f>
        <v>3</v>
      </c>
      <c r="O511" s="32"/>
    </row>
    <row r="512" spans="1:17" ht="20.100000000000001" customHeight="1" x14ac:dyDescent="0.25">
      <c r="A512" s="28"/>
      <c r="B512" s="30"/>
      <c r="C512" s="30"/>
      <c r="D512" s="30"/>
      <c r="E512" s="96"/>
      <c r="F512" s="96"/>
      <c r="G512" s="96"/>
      <c r="H512" s="96">
        <f>IF(Classement[[#This Row],[Equipe]]=Report_Données!$D:$D,SUM(Report_Données!$P:$P),3)</f>
        <v>493</v>
      </c>
    </row>
    <row r="513" spans="1:17" ht="20.100000000000001" customHeight="1" x14ac:dyDescent="0.25">
      <c r="A513" s="3" t="s">
        <v>611</v>
      </c>
      <c r="B513" s="29">
        <f>COUNTIF(Report_Données!D:E,Classement[[#This Row],[Equipe]])+Classement[[#This Row],[Colonne3]]</f>
        <v>15</v>
      </c>
      <c r="C513" s="29">
        <f>SUMPRODUCT(Report[But Dom]*(Report[Domicile]=Classement[[#This Row],[Equipe]]))+SUMPRODUCT(Report[But Ext]*(Report[Extérieur]=Classement[[#This Row],[Equipe]]))+Classement[[#This Row],[Colonne1]]</f>
        <v>21</v>
      </c>
      <c r="D513" s="29">
        <f>SUMPRODUCT(Report[But Ext]*(Report[Domicile]=Classement[[#This Row],[Equipe]]))+SUMPRODUCT(Report[But Dom]*(Report[Extérieur]=Classement[[#This Row],[Equipe]]))+Classement[[#This Row],[Colonne2]]</f>
        <v>12</v>
      </c>
      <c r="E513" s="95">
        <v>13</v>
      </c>
      <c r="F513" s="96">
        <v>19</v>
      </c>
      <c r="G513" s="96">
        <v>12</v>
      </c>
      <c r="H513" s="96">
        <f>IF(Classement[[#This Row],[Equipe]]=Report_Données!$D:$D,SUM(Report_Données!$P:$P),3)</f>
        <v>3</v>
      </c>
      <c r="O513" s="32"/>
      <c r="Q513" s="3" t="s">
        <v>195</v>
      </c>
    </row>
    <row r="514" spans="1:17" ht="20.100000000000001" customHeight="1" x14ac:dyDescent="0.25">
      <c r="A514" s="3" t="s">
        <v>612</v>
      </c>
      <c r="B514" s="29">
        <f>COUNTIF(Report_Données!D:E,Classement[[#This Row],[Equipe]])+Classement[[#This Row],[Colonne3]]</f>
        <v>15</v>
      </c>
      <c r="C514" s="29">
        <f>SUMPRODUCT(Report[But Dom]*(Report[Domicile]=Classement[[#This Row],[Equipe]]))+SUMPRODUCT(Report[But Ext]*(Report[Extérieur]=Classement[[#This Row],[Equipe]]))+Classement[[#This Row],[Colonne1]]</f>
        <v>19</v>
      </c>
      <c r="D514" s="29">
        <f>SUMPRODUCT(Report[But Ext]*(Report[Domicile]=Classement[[#This Row],[Equipe]]))+SUMPRODUCT(Report[But Dom]*(Report[Extérieur]=Classement[[#This Row],[Equipe]]))+Classement[[#This Row],[Colonne2]]</f>
        <v>6</v>
      </c>
      <c r="E514" s="95">
        <v>13</v>
      </c>
      <c r="F514" s="96">
        <v>16</v>
      </c>
      <c r="G514" s="96">
        <v>6</v>
      </c>
      <c r="H514" s="96">
        <f>IF(Classement[[#This Row],[Equipe]]=Report_Données!$D:$D,SUM(Report_Données!$P:$P),3)</f>
        <v>3</v>
      </c>
      <c r="O514" s="32"/>
      <c r="Q514" s="3" t="s">
        <v>195</v>
      </c>
    </row>
    <row r="515" spans="1:17" ht="20.100000000000001" customHeight="1" x14ac:dyDescent="0.25">
      <c r="A515" s="3" t="s">
        <v>613</v>
      </c>
      <c r="B515" s="29">
        <f>COUNTIF(Report_Données!D:E,Classement[[#This Row],[Equipe]])+Classement[[#This Row],[Colonne3]]</f>
        <v>15</v>
      </c>
      <c r="C515" s="29">
        <f>SUMPRODUCT(Report[But Dom]*(Report[Domicile]=Classement[[#This Row],[Equipe]]))+SUMPRODUCT(Report[But Ext]*(Report[Extérieur]=Classement[[#This Row],[Equipe]]))+Classement[[#This Row],[Colonne1]]</f>
        <v>17</v>
      </c>
      <c r="D515" s="29">
        <f>SUMPRODUCT(Report[But Ext]*(Report[Domicile]=Classement[[#This Row],[Equipe]]))+SUMPRODUCT(Report[But Dom]*(Report[Extérieur]=Classement[[#This Row],[Equipe]]))+Classement[[#This Row],[Colonne2]]</f>
        <v>16</v>
      </c>
      <c r="E515" s="95">
        <v>13</v>
      </c>
      <c r="F515" s="96">
        <v>14</v>
      </c>
      <c r="G515" s="96">
        <v>13</v>
      </c>
      <c r="H515" s="96">
        <f>IF(Classement[[#This Row],[Equipe]]=Report_Données!$D:$D,SUM(Report_Données!$P:$P),3)</f>
        <v>3</v>
      </c>
      <c r="O515" s="32"/>
      <c r="Q515" s="3" t="s">
        <v>195</v>
      </c>
    </row>
    <row r="516" spans="1:17" ht="20.100000000000001" customHeight="1" x14ac:dyDescent="0.25">
      <c r="A516" s="3" t="s">
        <v>614</v>
      </c>
      <c r="B516" s="29">
        <f>COUNTIF(Report_Données!D:E,Classement[[#This Row],[Equipe]])+Classement[[#This Row],[Colonne3]]</f>
        <v>15</v>
      </c>
      <c r="C516" s="29">
        <f>SUMPRODUCT(Report[But Dom]*(Report[Domicile]=Classement[[#This Row],[Equipe]]))+SUMPRODUCT(Report[But Ext]*(Report[Extérieur]=Classement[[#This Row],[Equipe]]))+Classement[[#This Row],[Colonne1]]</f>
        <v>22</v>
      </c>
      <c r="D516" s="29">
        <f>SUMPRODUCT(Report[But Ext]*(Report[Domicile]=Classement[[#This Row],[Equipe]]))+SUMPRODUCT(Report[But Dom]*(Report[Extérieur]=Classement[[#This Row],[Equipe]]))+Classement[[#This Row],[Colonne2]]</f>
        <v>14</v>
      </c>
      <c r="E516" s="95">
        <v>13</v>
      </c>
      <c r="F516" s="96">
        <v>15</v>
      </c>
      <c r="G516" s="96">
        <v>12</v>
      </c>
      <c r="H516" s="96">
        <f>IF(Classement[[#This Row],[Equipe]]=Report_Données!$D:$D,SUM(Report_Données!$P:$P),3)</f>
        <v>3</v>
      </c>
      <c r="O516" s="32"/>
      <c r="Q516" s="3" t="s">
        <v>195</v>
      </c>
    </row>
    <row r="517" spans="1:17" ht="20.100000000000001" customHeight="1" x14ac:dyDescent="0.25">
      <c r="A517" s="3" t="s">
        <v>615</v>
      </c>
      <c r="B517" s="29">
        <f>COUNTIF(Report_Données!D:E,Classement[[#This Row],[Equipe]])+Classement[[#This Row],[Colonne3]]</f>
        <v>15</v>
      </c>
      <c r="C517" s="29">
        <f>SUMPRODUCT(Report[But Dom]*(Report[Domicile]=Classement[[#This Row],[Equipe]]))+SUMPRODUCT(Report[But Ext]*(Report[Extérieur]=Classement[[#This Row],[Equipe]]))+Classement[[#This Row],[Colonne1]]</f>
        <v>17</v>
      </c>
      <c r="D517" s="29">
        <f>SUMPRODUCT(Report[But Ext]*(Report[Domicile]=Classement[[#This Row],[Equipe]]))+SUMPRODUCT(Report[But Dom]*(Report[Extérieur]=Classement[[#This Row],[Equipe]]))+Classement[[#This Row],[Colonne2]]</f>
        <v>32</v>
      </c>
      <c r="E517" s="95">
        <v>13</v>
      </c>
      <c r="F517" s="96">
        <v>15</v>
      </c>
      <c r="G517" s="96">
        <v>27</v>
      </c>
      <c r="H517" s="96">
        <f>IF(Classement[[#This Row],[Equipe]]=Report_Données!$D:$D,SUM(Report_Données!$P:$P),3)</f>
        <v>3</v>
      </c>
      <c r="O517" s="32"/>
      <c r="Q517" s="3" t="s">
        <v>195</v>
      </c>
    </row>
    <row r="518" spans="1:17" ht="20.100000000000001" customHeight="1" x14ac:dyDescent="0.25">
      <c r="A518" s="3" t="s">
        <v>616</v>
      </c>
      <c r="B518" s="29">
        <f>COUNTIF(Report_Données!D:E,Classement[[#This Row],[Equipe]])+Classement[[#This Row],[Colonne3]]</f>
        <v>15</v>
      </c>
      <c r="C518" s="29">
        <f>SUMPRODUCT(Report[But Dom]*(Report[Domicile]=Classement[[#This Row],[Equipe]]))+SUMPRODUCT(Report[But Ext]*(Report[Extérieur]=Classement[[#This Row],[Equipe]]))+Classement[[#This Row],[Colonne1]]</f>
        <v>12</v>
      </c>
      <c r="D518" s="29">
        <f>SUMPRODUCT(Report[But Ext]*(Report[Domicile]=Classement[[#This Row],[Equipe]]))+SUMPRODUCT(Report[But Dom]*(Report[Extérieur]=Classement[[#This Row],[Equipe]]))+Classement[[#This Row],[Colonne2]]</f>
        <v>20</v>
      </c>
      <c r="E518" s="95">
        <v>13</v>
      </c>
      <c r="F518" s="96">
        <v>12</v>
      </c>
      <c r="G518" s="96">
        <v>18</v>
      </c>
      <c r="H518" s="96">
        <f>IF(Classement[[#This Row],[Equipe]]=Report_Données!$D:$D,SUM(Report_Données!$P:$P),3)</f>
        <v>3</v>
      </c>
      <c r="O518" s="32"/>
      <c r="Q518" s="3" t="s">
        <v>195</v>
      </c>
    </row>
    <row r="519" spans="1:17" ht="20.100000000000001" customHeight="1" x14ac:dyDescent="0.25">
      <c r="A519" s="3" t="s">
        <v>617</v>
      </c>
      <c r="B519" s="29">
        <f>COUNTIF(Report_Données!D:E,Classement[[#This Row],[Equipe]])+Classement[[#This Row],[Colonne3]]</f>
        <v>15</v>
      </c>
      <c r="C519" s="29">
        <f>SUMPRODUCT(Report[But Dom]*(Report[Domicile]=Classement[[#This Row],[Equipe]]))+SUMPRODUCT(Report[But Ext]*(Report[Extérieur]=Classement[[#This Row],[Equipe]]))+Classement[[#This Row],[Colonne1]]</f>
        <v>22</v>
      </c>
      <c r="D519" s="29">
        <f>SUMPRODUCT(Report[But Ext]*(Report[Domicile]=Classement[[#This Row],[Equipe]]))+SUMPRODUCT(Report[But Dom]*(Report[Extérieur]=Classement[[#This Row],[Equipe]]))+Classement[[#This Row],[Colonne2]]</f>
        <v>25</v>
      </c>
      <c r="E519" s="95">
        <v>13</v>
      </c>
      <c r="F519" s="96">
        <v>17</v>
      </c>
      <c r="G519" s="96">
        <v>24</v>
      </c>
      <c r="H519" s="96">
        <f>IF(Classement[[#This Row],[Equipe]]=Report_Données!$D:$D,SUM(Report_Données!$P:$P),3)</f>
        <v>3</v>
      </c>
      <c r="O519" s="32"/>
      <c r="Q519" s="3" t="s">
        <v>195</v>
      </c>
    </row>
    <row r="520" spans="1:17" ht="20.100000000000001" customHeight="1" x14ac:dyDescent="0.25">
      <c r="A520" s="3" t="s">
        <v>618</v>
      </c>
      <c r="B520" s="29">
        <f>COUNTIF(Report_Données!D:E,Classement[[#This Row],[Equipe]])+Classement[[#This Row],[Colonne3]]</f>
        <v>15</v>
      </c>
      <c r="C520" s="29">
        <f>SUMPRODUCT(Report[But Dom]*(Report[Domicile]=Classement[[#This Row],[Equipe]]))+SUMPRODUCT(Report[But Ext]*(Report[Extérieur]=Classement[[#This Row],[Equipe]]))+Classement[[#This Row],[Colonne1]]</f>
        <v>15</v>
      </c>
      <c r="D520" s="29">
        <f>SUMPRODUCT(Report[But Ext]*(Report[Domicile]=Classement[[#This Row],[Equipe]]))+SUMPRODUCT(Report[But Dom]*(Report[Extérieur]=Classement[[#This Row],[Equipe]]))+Classement[[#This Row],[Colonne2]]</f>
        <v>14</v>
      </c>
      <c r="E520" s="95">
        <v>13</v>
      </c>
      <c r="F520" s="96">
        <v>12</v>
      </c>
      <c r="G520" s="96">
        <v>11</v>
      </c>
      <c r="H520" s="96">
        <f>IF(Classement[[#This Row],[Equipe]]=Report_Données!$D:$D,SUM(Report_Données!$P:$P),3)</f>
        <v>3</v>
      </c>
      <c r="O520" s="32"/>
      <c r="Q520" s="3" t="s">
        <v>195</v>
      </c>
    </row>
    <row r="521" spans="1:17" ht="20.100000000000001" customHeight="1" x14ac:dyDescent="0.25">
      <c r="A521" s="3" t="s">
        <v>619</v>
      </c>
      <c r="B521" s="29">
        <f>COUNTIF(Report_Données!D:E,Classement[[#This Row],[Equipe]])+Classement[[#This Row],[Colonne3]]</f>
        <v>15</v>
      </c>
      <c r="C521" s="29">
        <f>SUMPRODUCT(Report[But Dom]*(Report[Domicile]=Classement[[#This Row],[Equipe]]))+SUMPRODUCT(Report[But Ext]*(Report[Extérieur]=Classement[[#This Row],[Equipe]]))+Classement[[#This Row],[Colonne1]]</f>
        <v>11</v>
      </c>
      <c r="D521" s="29">
        <f>SUMPRODUCT(Report[But Ext]*(Report[Domicile]=Classement[[#This Row],[Equipe]]))+SUMPRODUCT(Report[But Dom]*(Report[Extérieur]=Classement[[#This Row],[Equipe]]))+Classement[[#This Row],[Colonne2]]</f>
        <v>27</v>
      </c>
      <c r="E521" s="95">
        <v>13</v>
      </c>
      <c r="F521" s="96">
        <v>9</v>
      </c>
      <c r="G521" s="96">
        <v>23</v>
      </c>
      <c r="H521" s="96">
        <f>IF(Classement[[#This Row],[Equipe]]=Report_Données!$D:$D,SUM(Report_Données!$P:$P),3)</f>
        <v>3</v>
      </c>
      <c r="O521" s="32"/>
      <c r="Q521" s="3" t="s">
        <v>195</v>
      </c>
    </row>
    <row r="522" spans="1:17" ht="20.100000000000001" customHeight="1" x14ac:dyDescent="0.25">
      <c r="A522" s="3" t="s">
        <v>620</v>
      </c>
      <c r="B522" s="29">
        <f>COUNTIF(Report_Données!D:E,Classement[[#This Row],[Equipe]])+Classement[[#This Row],[Colonne3]]</f>
        <v>15</v>
      </c>
      <c r="C522" s="29">
        <f>SUMPRODUCT(Report[But Dom]*(Report[Domicile]=Classement[[#This Row],[Equipe]]))+SUMPRODUCT(Report[But Ext]*(Report[Extérieur]=Classement[[#This Row],[Equipe]]))+Classement[[#This Row],[Colonne1]]</f>
        <v>23</v>
      </c>
      <c r="D522" s="29">
        <f>SUMPRODUCT(Report[But Ext]*(Report[Domicile]=Classement[[#This Row],[Equipe]]))+SUMPRODUCT(Report[But Dom]*(Report[Extérieur]=Classement[[#This Row],[Equipe]]))+Classement[[#This Row],[Colonne2]]</f>
        <v>12</v>
      </c>
      <c r="E522" s="95">
        <v>13</v>
      </c>
      <c r="F522" s="96">
        <v>20</v>
      </c>
      <c r="G522" s="96">
        <v>8</v>
      </c>
      <c r="H522" s="96">
        <f>IF(Classement[[#This Row],[Equipe]]=Report_Données!$D:$D,SUM(Report_Données!$P:$P),3)</f>
        <v>3</v>
      </c>
      <c r="O522" s="32"/>
      <c r="Q522" s="3" t="s">
        <v>195</v>
      </c>
    </row>
    <row r="523" spans="1:17" ht="20.100000000000001" customHeight="1" x14ac:dyDescent="0.25">
      <c r="A523" s="3" t="s">
        <v>621</v>
      </c>
      <c r="B523" s="29">
        <f>COUNTIF(Report_Données!D:E,Classement[[#This Row],[Equipe]])+Classement[[#This Row],[Colonne3]]</f>
        <v>15</v>
      </c>
      <c r="C523" s="29">
        <f>SUMPRODUCT(Report[But Dom]*(Report[Domicile]=Classement[[#This Row],[Equipe]]))+SUMPRODUCT(Report[But Ext]*(Report[Extérieur]=Classement[[#This Row],[Equipe]]))+Classement[[#This Row],[Colonne1]]</f>
        <v>26</v>
      </c>
      <c r="D523" s="29">
        <f>SUMPRODUCT(Report[But Ext]*(Report[Domicile]=Classement[[#This Row],[Equipe]]))+SUMPRODUCT(Report[But Dom]*(Report[Extérieur]=Classement[[#This Row],[Equipe]]))+Classement[[#This Row],[Colonne2]]</f>
        <v>10</v>
      </c>
      <c r="E523" s="95">
        <v>13</v>
      </c>
      <c r="F523" s="96">
        <v>23</v>
      </c>
      <c r="G523" s="96">
        <v>9</v>
      </c>
      <c r="H523" s="96">
        <f>IF(Classement[[#This Row],[Equipe]]=Report_Données!$D:$D,SUM(Report_Données!$P:$P),3)</f>
        <v>3</v>
      </c>
      <c r="O523" s="32"/>
      <c r="Q523" s="3" t="s">
        <v>195</v>
      </c>
    </row>
    <row r="524" spans="1:17" ht="20.100000000000001" customHeight="1" x14ac:dyDescent="0.25">
      <c r="A524" s="3" t="s">
        <v>622</v>
      </c>
      <c r="B524" s="29">
        <f>COUNTIF(Report_Données!D:E,Classement[[#This Row],[Equipe]])+Classement[[#This Row],[Colonne3]]</f>
        <v>15</v>
      </c>
      <c r="C524" s="29">
        <f>SUMPRODUCT(Report[But Dom]*(Report[Domicile]=Classement[[#This Row],[Equipe]]))+SUMPRODUCT(Report[But Ext]*(Report[Extérieur]=Classement[[#This Row],[Equipe]]))+Classement[[#This Row],[Colonne1]]</f>
        <v>20</v>
      </c>
      <c r="D524" s="29">
        <f>SUMPRODUCT(Report[But Ext]*(Report[Domicile]=Classement[[#This Row],[Equipe]]))+SUMPRODUCT(Report[But Dom]*(Report[Extérieur]=Classement[[#This Row],[Equipe]]))+Classement[[#This Row],[Colonne2]]</f>
        <v>16</v>
      </c>
      <c r="E524" s="95">
        <v>13</v>
      </c>
      <c r="F524" s="96">
        <v>17</v>
      </c>
      <c r="G524" s="96">
        <v>10</v>
      </c>
      <c r="H524" s="96">
        <f>IF(Classement[[#This Row],[Equipe]]=Report_Données!$D:$D,SUM(Report_Données!$P:$P),3)</f>
        <v>3</v>
      </c>
      <c r="O524" s="32"/>
      <c r="Q524" s="3" t="s">
        <v>195</v>
      </c>
    </row>
    <row r="525" spans="1:17" ht="20.100000000000001" customHeight="1" x14ac:dyDescent="0.25">
      <c r="A525" s="3" t="s">
        <v>623</v>
      </c>
      <c r="B525" s="29">
        <f>COUNTIF(Report_Données!D:E,Classement[[#This Row],[Equipe]])+Classement[[#This Row],[Colonne3]]</f>
        <v>15</v>
      </c>
      <c r="C525" s="29">
        <f>SUMPRODUCT(Report[But Dom]*(Report[Domicile]=Classement[[#This Row],[Equipe]]))+SUMPRODUCT(Report[But Ext]*(Report[Extérieur]=Classement[[#This Row],[Equipe]]))+Classement[[#This Row],[Colonne1]]</f>
        <v>13</v>
      </c>
      <c r="D525" s="29">
        <f>SUMPRODUCT(Report[But Ext]*(Report[Domicile]=Classement[[#This Row],[Equipe]]))+SUMPRODUCT(Report[But Dom]*(Report[Extérieur]=Classement[[#This Row],[Equipe]]))+Classement[[#This Row],[Colonne2]]</f>
        <v>16</v>
      </c>
      <c r="E525" s="95">
        <v>13</v>
      </c>
      <c r="F525" s="96">
        <v>11</v>
      </c>
      <c r="G525" s="96">
        <v>14</v>
      </c>
      <c r="H525" s="96">
        <f>IF(Classement[[#This Row],[Equipe]]=Report_Données!$D:$D,SUM(Report_Données!$P:$P),3)</f>
        <v>3</v>
      </c>
      <c r="O525" s="32"/>
      <c r="Q525" s="3" t="s">
        <v>195</v>
      </c>
    </row>
    <row r="526" spans="1:17" ht="20.100000000000001" customHeight="1" x14ac:dyDescent="0.25">
      <c r="A526" s="3" t="s">
        <v>624</v>
      </c>
      <c r="B526" s="29">
        <f>COUNTIF(Report_Données!D:E,Classement[[#This Row],[Equipe]])+Classement[[#This Row],[Colonne3]]</f>
        <v>15</v>
      </c>
      <c r="C526" s="29">
        <f>SUMPRODUCT(Report[But Dom]*(Report[Domicile]=Classement[[#This Row],[Equipe]]))+SUMPRODUCT(Report[But Ext]*(Report[Extérieur]=Classement[[#This Row],[Equipe]]))+Classement[[#This Row],[Colonne1]]</f>
        <v>19</v>
      </c>
      <c r="D526" s="29">
        <f>SUMPRODUCT(Report[But Ext]*(Report[Domicile]=Classement[[#This Row],[Equipe]]))+SUMPRODUCT(Report[But Dom]*(Report[Extérieur]=Classement[[#This Row],[Equipe]]))+Classement[[#This Row],[Colonne2]]</f>
        <v>11</v>
      </c>
      <c r="E526" s="95">
        <v>13</v>
      </c>
      <c r="F526" s="96">
        <v>17</v>
      </c>
      <c r="G526" s="96">
        <v>10</v>
      </c>
      <c r="H526" s="96">
        <f>IF(Classement[[#This Row],[Equipe]]=Report_Données!$D:$D,SUM(Report_Données!$P:$P),3)</f>
        <v>3</v>
      </c>
      <c r="O526" s="32"/>
      <c r="Q526" s="3" t="s">
        <v>195</v>
      </c>
    </row>
    <row r="527" spans="1:17" ht="20.100000000000001" customHeight="1" x14ac:dyDescent="0.25">
      <c r="A527" s="3" t="s">
        <v>625</v>
      </c>
      <c r="B527" s="29">
        <f>COUNTIF(Report_Données!D:E,Classement[[#This Row],[Equipe]])+Classement[[#This Row],[Colonne3]]</f>
        <v>15</v>
      </c>
      <c r="C527" s="29">
        <f>SUMPRODUCT(Report[But Dom]*(Report[Domicile]=Classement[[#This Row],[Equipe]]))+SUMPRODUCT(Report[But Ext]*(Report[Extérieur]=Classement[[#This Row],[Equipe]]))+Classement[[#This Row],[Colonne1]]</f>
        <v>20</v>
      </c>
      <c r="D527" s="29">
        <f>SUMPRODUCT(Report[But Ext]*(Report[Domicile]=Classement[[#This Row],[Equipe]]))+SUMPRODUCT(Report[But Dom]*(Report[Extérieur]=Classement[[#This Row],[Equipe]]))+Classement[[#This Row],[Colonne2]]</f>
        <v>14</v>
      </c>
      <c r="E527" s="95">
        <v>13</v>
      </c>
      <c r="F527" s="96">
        <v>17</v>
      </c>
      <c r="G527" s="96">
        <v>12</v>
      </c>
      <c r="H527" s="96">
        <f>IF(Classement[[#This Row],[Equipe]]=Report_Données!$D:$D,SUM(Report_Données!$P:$P),3)</f>
        <v>3</v>
      </c>
      <c r="O527" s="32"/>
      <c r="Q527" s="3" t="s">
        <v>195</v>
      </c>
    </row>
    <row r="528" spans="1:17" ht="20.100000000000001" customHeight="1" x14ac:dyDescent="0.25">
      <c r="A528" s="3" t="s">
        <v>626</v>
      </c>
      <c r="B528" s="29">
        <f>COUNTIF(Report_Données!D:E,Classement[[#This Row],[Equipe]])+Classement[[#This Row],[Colonne3]]</f>
        <v>15</v>
      </c>
      <c r="C528" s="29">
        <f>SUMPRODUCT(Report[But Dom]*(Report[Domicile]=Classement[[#This Row],[Equipe]]))+SUMPRODUCT(Report[But Ext]*(Report[Extérieur]=Classement[[#This Row],[Equipe]]))+Classement[[#This Row],[Colonne1]]</f>
        <v>13</v>
      </c>
      <c r="D528" s="29">
        <f>SUMPRODUCT(Report[But Ext]*(Report[Domicile]=Classement[[#This Row],[Equipe]]))+SUMPRODUCT(Report[But Dom]*(Report[Extérieur]=Classement[[#This Row],[Equipe]]))+Classement[[#This Row],[Colonne2]]</f>
        <v>18</v>
      </c>
      <c r="E528" s="95">
        <v>13</v>
      </c>
      <c r="F528" s="96">
        <v>12</v>
      </c>
      <c r="G528" s="96">
        <v>15</v>
      </c>
      <c r="H528" s="96">
        <f>IF(Classement[[#This Row],[Equipe]]=Report_Données!$D:$D,SUM(Report_Données!$P:$P),3)</f>
        <v>3</v>
      </c>
      <c r="O528" s="32"/>
      <c r="Q528" s="3" t="s">
        <v>195</v>
      </c>
    </row>
    <row r="529" spans="1:17" ht="20.100000000000001" customHeight="1" x14ac:dyDescent="0.25">
      <c r="A529" s="3" t="s">
        <v>627</v>
      </c>
      <c r="B529" s="29">
        <f>COUNTIF(Report_Données!D:E,Classement[[#This Row],[Equipe]])+Classement[[#This Row],[Colonne3]]</f>
        <v>15</v>
      </c>
      <c r="C529" s="29">
        <f>SUMPRODUCT(Report[But Dom]*(Report[Domicile]=Classement[[#This Row],[Equipe]]))+SUMPRODUCT(Report[But Ext]*(Report[Extérieur]=Classement[[#This Row],[Equipe]]))+Classement[[#This Row],[Colonne1]]</f>
        <v>18</v>
      </c>
      <c r="D529" s="29">
        <f>SUMPRODUCT(Report[But Ext]*(Report[Domicile]=Classement[[#This Row],[Equipe]]))+SUMPRODUCT(Report[But Dom]*(Report[Extérieur]=Classement[[#This Row],[Equipe]]))+Classement[[#This Row],[Colonne2]]</f>
        <v>16</v>
      </c>
      <c r="E529" s="95">
        <v>13</v>
      </c>
      <c r="F529" s="96">
        <v>16</v>
      </c>
      <c r="G529" s="96">
        <v>14</v>
      </c>
      <c r="H529" s="96">
        <f>IF(Classement[[#This Row],[Equipe]]=Report_Données!$D:$D,SUM(Report_Données!$P:$P),3)</f>
        <v>3</v>
      </c>
      <c r="O529" s="32"/>
      <c r="Q529" s="3" t="s">
        <v>195</v>
      </c>
    </row>
    <row r="530" spans="1:17" ht="20.100000000000001" customHeight="1" x14ac:dyDescent="0.25">
      <c r="A530" s="3" t="s">
        <v>628</v>
      </c>
      <c r="B530" s="29">
        <f>COUNTIF(Report_Données!D:E,Classement[[#This Row],[Equipe]])+Classement[[#This Row],[Colonne3]]</f>
        <v>15</v>
      </c>
      <c r="C530" s="29">
        <f>SUMPRODUCT(Report[But Dom]*(Report[Domicile]=Classement[[#This Row],[Equipe]]))+SUMPRODUCT(Report[But Ext]*(Report[Extérieur]=Classement[[#This Row],[Equipe]]))+Classement[[#This Row],[Colonne1]]</f>
        <v>19</v>
      </c>
      <c r="D530" s="29">
        <f>SUMPRODUCT(Report[But Ext]*(Report[Domicile]=Classement[[#This Row],[Equipe]]))+SUMPRODUCT(Report[But Dom]*(Report[Extérieur]=Classement[[#This Row],[Equipe]]))+Classement[[#This Row],[Colonne2]]</f>
        <v>21</v>
      </c>
      <c r="E530" s="95">
        <v>13</v>
      </c>
      <c r="F530" s="96">
        <v>14</v>
      </c>
      <c r="G530" s="96">
        <v>20</v>
      </c>
      <c r="H530" s="96">
        <f>IF(Classement[[#This Row],[Equipe]]=Report_Données!$D:$D,SUM(Report_Données!$P:$P),3)</f>
        <v>3</v>
      </c>
      <c r="O530" s="32"/>
      <c r="Q530" s="3" t="s">
        <v>195</v>
      </c>
    </row>
    <row r="531" spans="1:17" ht="20.100000000000001" customHeight="1" x14ac:dyDescent="0.25">
      <c r="A531" s="3" t="s">
        <v>629</v>
      </c>
      <c r="B531" s="29">
        <f>COUNTIF(Report_Données!D:E,Classement[[#This Row],[Equipe]])+Classement[[#This Row],[Colonne3]]</f>
        <v>15</v>
      </c>
      <c r="C531" s="29">
        <f>SUMPRODUCT(Report[But Dom]*(Report[Domicile]=Classement[[#This Row],[Equipe]]))+SUMPRODUCT(Report[But Ext]*(Report[Extérieur]=Classement[[#This Row],[Equipe]]))+Classement[[#This Row],[Colonne1]]</f>
        <v>14</v>
      </c>
      <c r="D531" s="29">
        <f>SUMPRODUCT(Report[But Ext]*(Report[Domicile]=Classement[[#This Row],[Equipe]]))+SUMPRODUCT(Report[But Dom]*(Report[Extérieur]=Classement[[#This Row],[Equipe]]))+Classement[[#This Row],[Colonne2]]</f>
        <v>20</v>
      </c>
      <c r="E531" s="95">
        <v>13</v>
      </c>
      <c r="F531" s="96">
        <v>11</v>
      </c>
      <c r="G531" s="96">
        <v>17</v>
      </c>
      <c r="H531" s="96">
        <f>IF(Classement[[#This Row],[Equipe]]=Report_Données!$D:$D,SUM(Report_Données!$P:$P),3)</f>
        <v>3</v>
      </c>
      <c r="O531" s="32"/>
    </row>
    <row r="532" spans="1:17" ht="20.100000000000001" customHeight="1" x14ac:dyDescent="0.25">
      <c r="A532" s="3" t="s">
        <v>630</v>
      </c>
      <c r="B532" s="29">
        <f>COUNTIF(Report_Données!D:E,Classement[[#This Row],[Equipe]])+Classement[[#This Row],[Colonne3]]</f>
        <v>15</v>
      </c>
      <c r="C532" s="29">
        <f>SUMPRODUCT(Report[But Dom]*(Report[Domicile]=Classement[[#This Row],[Equipe]]))+SUMPRODUCT(Report[But Ext]*(Report[Extérieur]=Classement[[#This Row],[Equipe]]))+Classement[[#This Row],[Colonne1]]</f>
        <v>10</v>
      </c>
      <c r="D532" s="29">
        <f>SUMPRODUCT(Report[But Ext]*(Report[Domicile]=Classement[[#This Row],[Equipe]]))+SUMPRODUCT(Report[But Dom]*(Report[Extérieur]=Classement[[#This Row],[Equipe]]))+Classement[[#This Row],[Colonne2]]</f>
        <v>22</v>
      </c>
      <c r="E532" s="95">
        <v>13</v>
      </c>
      <c r="F532" s="96">
        <v>9</v>
      </c>
      <c r="G532" s="96">
        <v>15</v>
      </c>
      <c r="H532" s="96">
        <f>IF(Classement[[#This Row],[Equipe]]=Report_Données!$D:$D,SUM(Report_Données!$P:$P),3)</f>
        <v>3</v>
      </c>
      <c r="O532" s="32"/>
    </row>
    <row r="533" spans="1:17" ht="20.100000000000001" customHeight="1" x14ac:dyDescent="0.25">
      <c r="A533" s="3" t="s">
        <v>631</v>
      </c>
      <c r="B533" s="29">
        <f>COUNTIF(Report_Données!D:E,Classement[[#This Row],[Equipe]])+Classement[[#This Row],[Colonne3]]</f>
        <v>15</v>
      </c>
      <c r="C533" s="29">
        <f>SUMPRODUCT(Report[But Dom]*(Report[Domicile]=Classement[[#This Row],[Equipe]]))+SUMPRODUCT(Report[But Ext]*(Report[Extérieur]=Classement[[#This Row],[Equipe]]))+Classement[[#This Row],[Colonne1]]</f>
        <v>13</v>
      </c>
      <c r="D533" s="29">
        <f>SUMPRODUCT(Report[But Ext]*(Report[Domicile]=Classement[[#This Row],[Equipe]]))+SUMPRODUCT(Report[But Dom]*(Report[Extérieur]=Classement[[#This Row],[Equipe]]))+Classement[[#This Row],[Colonne2]]</f>
        <v>19</v>
      </c>
      <c r="E533" s="95">
        <v>13</v>
      </c>
      <c r="F533" s="96">
        <v>11</v>
      </c>
      <c r="G533" s="96">
        <v>16</v>
      </c>
      <c r="H533" s="96">
        <f>IF(Classement[[#This Row],[Equipe]]=Report_Données!$D:$D,SUM(Report_Données!$P:$P),3)</f>
        <v>3</v>
      </c>
      <c r="O533" s="32"/>
    </row>
    <row r="534" spans="1:17" ht="20.100000000000001" customHeight="1" x14ac:dyDescent="0.25">
      <c r="A534" s="3" t="s">
        <v>632</v>
      </c>
      <c r="B534" s="29">
        <f>COUNTIF(Report_Données!D:E,Classement[[#This Row],[Equipe]])+Classement[[#This Row],[Colonne3]]</f>
        <v>15</v>
      </c>
      <c r="C534" s="29">
        <f>SUMPRODUCT(Report[But Dom]*(Report[Domicile]=Classement[[#This Row],[Equipe]]))+SUMPRODUCT(Report[But Ext]*(Report[Extérieur]=Classement[[#This Row],[Equipe]]))+Classement[[#This Row],[Colonne1]]</f>
        <v>17</v>
      </c>
      <c r="D534" s="29">
        <f>SUMPRODUCT(Report[But Ext]*(Report[Domicile]=Classement[[#This Row],[Equipe]]))+SUMPRODUCT(Report[But Dom]*(Report[Extérieur]=Classement[[#This Row],[Equipe]]))+Classement[[#This Row],[Colonne2]]</f>
        <v>20</v>
      </c>
      <c r="E534" s="95">
        <v>13</v>
      </c>
      <c r="F534" s="96">
        <v>15</v>
      </c>
      <c r="G534" s="96">
        <v>16</v>
      </c>
      <c r="H534" s="96">
        <f>IF(Classement[[#This Row],[Equipe]]=Report_Données!$D:$D,SUM(Report_Données!$P:$P),3)</f>
        <v>3</v>
      </c>
      <c r="O534" s="32"/>
    </row>
    <row r="535" spans="1:17" ht="20.100000000000001" customHeight="1" x14ac:dyDescent="0.25">
      <c r="A535" s="28"/>
      <c r="B535" s="30"/>
      <c r="C535" s="30"/>
      <c r="D535" s="30"/>
      <c r="E535" s="96"/>
      <c r="F535" s="96"/>
      <c r="G535" s="96"/>
      <c r="H535" s="96">
        <f>IF(Classement[[#This Row],[Equipe]]=Report_Données!$D:$D,SUM(Report_Données!$P:$P),3)</f>
        <v>493</v>
      </c>
    </row>
    <row r="536" spans="1:17" ht="20.100000000000001" customHeight="1" x14ac:dyDescent="0.25">
      <c r="A536" s="3" t="s">
        <v>633</v>
      </c>
      <c r="B536" s="29">
        <f>COUNTIF(Report_Données!D:E,Classement[[#This Row],[Equipe]])+Classement[[#This Row],[Colonne3]]</f>
        <v>0</v>
      </c>
      <c r="C536" s="29">
        <f>SUMPRODUCT(Report[But Dom]*(Report[Domicile]=Classement[[#This Row],[Equipe]]))+SUMPRODUCT(Report[But Ext]*(Report[Extérieur]=Classement[[#This Row],[Equipe]]))+Classement[[#This Row],[Colonne1]]</f>
        <v>0</v>
      </c>
      <c r="D536" s="29">
        <f>SUMPRODUCT(Report[But Ext]*(Report[Domicile]=Classement[[#This Row],[Equipe]]))+SUMPRODUCT(Report[But Dom]*(Report[Extérieur]=Classement[[#This Row],[Equipe]]))+Classement[[#This Row],[Colonne2]]</f>
        <v>0</v>
      </c>
      <c r="E536" s="96"/>
      <c r="F536" s="96"/>
      <c r="G536" s="96"/>
      <c r="H536" s="96">
        <f>IF(Classement[[#This Row],[Equipe]]=Report_Données!$D:$D,SUM(Report_Données!$P:$P),3)</f>
        <v>3</v>
      </c>
      <c r="O536" s="31"/>
    </row>
    <row r="537" spans="1:17" ht="20.100000000000001" customHeight="1" x14ac:dyDescent="0.25">
      <c r="A537" s="3" t="s">
        <v>634</v>
      </c>
      <c r="B537" s="29">
        <f>COUNTIF(Report_Données!D:E,Classement[[#This Row],[Equipe]])+Classement[[#This Row],[Colonne3]]</f>
        <v>0</v>
      </c>
      <c r="C537" s="29">
        <f>SUMPRODUCT(Report[But Dom]*(Report[Domicile]=Classement[[#This Row],[Equipe]]))+SUMPRODUCT(Report[But Ext]*(Report[Extérieur]=Classement[[#This Row],[Equipe]]))+Classement[[#This Row],[Colonne1]]</f>
        <v>0</v>
      </c>
      <c r="D537" s="29">
        <f>SUMPRODUCT(Report[But Ext]*(Report[Domicile]=Classement[[#This Row],[Equipe]]))+SUMPRODUCT(Report[But Dom]*(Report[Extérieur]=Classement[[#This Row],[Equipe]]))+Classement[[#This Row],[Colonne2]]</f>
        <v>0</v>
      </c>
      <c r="E537" s="96"/>
      <c r="F537" s="96"/>
      <c r="G537" s="96"/>
      <c r="H537" s="96">
        <f>IF(Classement[[#This Row],[Equipe]]=Report_Données!$D:$D,SUM(Report_Données!$P:$P),3)</f>
        <v>3</v>
      </c>
      <c r="O537" s="31"/>
    </row>
    <row r="538" spans="1:17" ht="20.100000000000001" customHeight="1" x14ac:dyDescent="0.25">
      <c r="A538" s="3" t="s">
        <v>635</v>
      </c>
      <c r="B538" s="29">
        <f>COUNTIF(Report_Données!D:E,Classement[[#This Row],[Equipe]])+Classement[[#This Row],[Colonne3]]</f>
        <v>0</v>
      </c>
      <c r="C538" s="29">
        <f>SUMPRODUCT(Report[But Dom]*(Report[Domicile]=Classement[[#This Row],[Equipe]]))+SUMPRODUCT(Report[But Ext]*(Report[Extérieur]=Classement[[#This Row],[Equipe]]))+Classement[[#This Row],[Colonne1]]</f>
        <v>0</v>
      </c>
      <c r="D538" s="29">
        <f>SUMPRODUCT(Report[But Ext]*(Report[Domicile]=Classement[[#This Row],[Equipe]]))+SUMPRODUCT(Report[But Dom]*(Report[Extérieur]=Classement[[#This Row],[Equipe]]))+Classement[[#This Row],[Colonne2]]</f>
        <v>0</v>
      </c>
      <c r="E538" s="96"/>
      <c r="F538" s="96"/>
      <c r="G538" s="96"/>
      <c r="H538" s="96">
        <f>IF(Classement[[#This Row],[Equipe]]=Report_Données!$D:$D,SUM(Report_Données!$P:$P),3)</f>
        <v>3</v>
      </c>
    </row>
    <row r="539" spans="1:17" ht="20.100000000000001" customHeight="1" x14ac:dyDescent="0.25">
      <c r="A539" s="3" t="s">
        <v>636</v>
      </c>
      <c r="B539" s="29">
        <f>COUNTIF(Report_Données!D:E,Classement[[#This Row],[Equipe]])+Classement[[#This Row],[Colonne3]]</f>
        <v>0</v>
      </c>
      <c r="C539" s="29">
        <f>SUMPRODUCT(Report[But Dom]*(Report[Domicile]=Classement[[#This Row],[Equipe]]))+SUMPRODUCT(Report[But Ext]*(Report[Extérieur]=Classement[[#This Row],[Equipe]]))+Classement[[#This Row],[Colonne1]]</f>
        <v>0</v>
      </c>
      <c r="D539" s="29">
        <f>SUMPRODUCT(Report[But Ext]*(Report[Domicile]=Classement[[#This Row],[Equipe]]))+SUMPRODUCT(Report[But Dom]*(Report[Extérieur]=Classement[[#This Row],[Equipe]]))+Classement[[#This Row],[Colonne2]]</f>
        <v>0</v>
      </c>
      <c r="E539" s="96"/>
      <c r="F539" s="96"/>
      <c r="G539" s="96"/>
      <c r="H539" s="96">
        <f>IF(Classement[[#This Row],[Equipe]]=Report_Données!$D:$D,SUM(Report_Données!$P:$P),3)</f>
        <v>3</v>
      </c>
      <c r="O539" s="31"/>
    </row>
    <row r="540" spans="1:17" ht="20.100000000000001" customHeight="1" x14ac:dyDescent="0.25">
      <c r="A540" s="3" t="s">
        <v>637</v>
      </c>
      <c r="B540" s="29">
        <f>COUNTIF(Report_Données!D:E,Classement[[#This Row],[Equipe]])+Classement[[#This Row],[Colonne3]]</f>
        <v>0</v>
      </c>
      <c r="C540" s="29">
        <f>SUMPRODUCT(Report[But Dom]*(Report[Domicile]=Classement[[#This Row],[Equipe]]))+SUMPRODUCT(Report[But Ext]*(Report[Extérieur]=Classement[[#This Row],[Equipe]]))+Classement[[#This Row],[Colonne1]]</f>
        <v>0</v>
      </c>
      <c r="D540" s="29">
        <f>SUMPRODUCT(Report[But Ext]*(Report[Domicile]=Classement[[#This Row],[Equipe]]))+SUMPRODUCT(Report[But Dom]*(Report[Extérieur]=Classement[[#This Row],[Equipe]]))+Classement[[#This Row],[Colonne2]]</f>
        <v>0</v>
      </c>
      <c r="E540" s="96"/>
      <c r="F540" s="96"/>
      <c r="G540" s="96"/>
      <c r="H540" s="96">
        <f>IF(Classement[[#This Row],[Equipe]]=Report_Données!$D:$D,SUM(Report_Données!$P:$P),3)</f>
        <v>3</v>
      </c>
      <c r="O540" s="31"/>
    </row>
    <row r="541" spans="1:17" ht="20.100000000000001" customHeight="1" x14ac:dyDescent="0.25">
      <c r="A541" s="3" t="s">
        <v>638</v>
      </c>
      <c r="B541" s="29">
        <f>COUNTIF(Report_Données!D:E,Classement[[#This Row],[Equipe]])+Classement[[#This Row],[Colonne3]]</f>
        <v>0</v>
      </c>
      <c r="C541" s="29">
        <f>SUMPRODUCT(Report[But Dom]*(Report[Domicile]=Classement[[#This Row],[Equipe]]))+SUMPRODUCT(Report[But Ext]*(Report[Extérieur]=Classement[[#This Row],[Equipe]]))+Classement[[#This Row],[Colonne1]]</f>
        <v>0</v>
      </c>
      <c r="D541" s="29">
        <f>SUMPRODUCT(Report[But Ext]*(Report[Domicile]=Classement[[#This Row],[Equipe]]))+SUMPRODUCT(Report[But Dom]*(Report[Extérieur]=Classement[[#This Row],[Equipe]]))+Classement[[#This Row],[Colonne2]]</f>
        <v>0</v>
      </c>
      <c r="E541" s="96"/>
      <c r="F541" s="96"/>
      <c r="G541" s="96"/>
      <c r="H541" s="96">
        <f>IF(Classement[[#This Row],[Equipe]]=Report_Données!$D:$D,SUM(Report_Données!$P:$P),3)</f>
        <v>3</v>
      </c>
    </row>
    <row r="542" spans="1:17" ht="20.100000000000001" customHeight="1" x14ac:dyDescent="0.25">
      <c r="A542" s="3" t="s">
        <v>639</v>
      </c>
      <c r="B542" s="29">
        <f>COUNTIF(Report_Données!D:E,Classement[[#This Row],[Equipe]])+Classement[[#This Row],[Colonne3]]</f>
        <v>0</v>
      </c>
      <c r="C542" s="29">
        <f>SUMPRODUCT(Report[But Dom]*(Report[Domicile]=Classement[[#This Row],[Equipe]]))+SUMPRODUCT(Report[But Ext]*(Report[Extérieur]=Classement[[#This Row],[Equipe]]))+Classement[[#This Row],[Colonne1]]</f>
        <v>0</v>
      </c>
      <c r="D542" s="29">
        <f>SUMPRODUCT(Report[But Ext]*(Report[Domicile]=Classement[[#This Row],[Equipe]]))+SUMPRODUCT(Report[But Dom]*(Report[Extérieur]=Classement[[#This Row],[Equipe]]))+Classement[[#This Row],[Colonne2]]</f>
        <v>0</v>
      </c>
      <c r="E542" s="96"/>
      <c r="F542" s="96"/>
      <c r="G542" s="96"/>
      <c r="H542" s="96">
        <f>IF(Classement[[#This Row],[Equipe]]=Report_Données!$D:$D,SUM(Report_Données!$P:$P),3)</f>
        <v>3</v>
      </c>
    </row>
    <row r="543" spans="1:17" ht="20.100000000000001" customHeight="1" x14ac:dyDescent="0.25">
      <c r="A543" s="3" t="s">
        <v>640</v>
      </c>
      <c r="B543" s="29">
        <f>COUNTIF(Report_Données!D:E,Classement[[#This Row],[Equipe]])+Classement[[#This Row],[Colonne3]]</f>
        <v>0</v>
      </c>
      <c r="C543" s="29">
        <f>SUMPRODUCT(Report[But Dom]*(Report[Domicile]=Classement[[#This Row],[Equipe]]))+SUMPRODUCT(Report[But Ext]*(Report[Extérieur]=Classement[[#This Row],[Equipe]]))+Classement[[#This Row],[Colonne1]]</f>
        <v>0</v>
      </c>
      <c r="D543" s="29">
        <f>SUMPRODUCT(Report[But Ext]*(Report[Domicile]=Classement[[#This Row],[Equipe]]))+SUMPRODUCT(Report[But Dom]*(Report[Extérieur]=Classement[[#This Row],[Equipe]]))+Classement[[#This Row],[Colonne2]]</f>
        <v>0</v>
      </c>
      <c r="E543" s="96"/>
      <c r="F543" s="96"/>
      <c r="G543" s="96"/>
      <c r="H543" s="96">
        <f>IF(Classement[[#This Row],[Equipe]]=Report_Données!$D:$D,SUM(Report_Données!$P:$P),3)</f>
        <v>3</v>
      </c>
    </row>
    <row r="544" spans="1:17" ht="20.100000000000001" customHeight="1" x14ac:dyDescent="0.25">
      <c r="A544" s="3" t="s">
        <v>641</v>
      </c>
      <c r="B544" s="29">
        <f>COUNTIF(Report_Données!D:E,Classement[[#This Row],[Equipe]])+Classement[[#This Row],[Colonne3]]</f>
        <v>0</v>
      </c>
      <c r="C544" s="29">
        <f>SUMPRODUCT(Report[But Dom]*(Report[Domicile]=Classement[[#This Row],[Equipe]]))+SUMPRODUCT(Report[But Ext]*(Report[Extérieur]=Classement[[#This Row],[Equipe]]))+Classement[[#This Row],[Colonne1]]</f>
        <v>0</v>
      </c>
      <c r="D544" s="29">
        <f>SUMPRODUCT(Report[But Ext]*(Report[Domicile]=Classement[[#This Row],[Equipe]]))+SUMPRODUCT(Report[But Dom]*(Report[Extérieur]=Classement[[#This Row],[Equipe]]))+Classement[[#This Row],[Colonne2]]</f>
        <v>0</v>
      </c>
      <c r="E544" s="96"/>
      <c r="F544" s="96"/>
      <c r="G544" s="96"/>
      <c r="H544" s="96">
        <f>IF(Classement[[#This Row],[Equipe]]=Report_Données!$D:$D,SUM(Report_Données!$P:$P),3)</f>
        <v>3</v>
      </c>
      <c r="O544" s="31"/>
    </row>
    <row r="545" spans="1:17" ht="20.100000000000001" customHeight="1" x14ac:dyDescent="0.25">
      <c r="A545" s="3" t="s">
        <v>642</v>
      </c>
      <c r="B545" s="29">
        <f>COUNTIF(Report_Données!D:E,Classement[[#This Row],[Equipe]])+Classement[[#This Row],[Colonne3]]</f>
        <v>0</v>
      </c>
      <c r="C545" s="29">
        <f>SUMPRODUCT(Report[But Dom]*(Report[Domicile]=Classement[[#This Row],[Equipe]]))+SUMPRODUCT(Report[But Ext]*(Report[Extérieur]=Classement[[#This Row],[Equipe]]))+Classement[[#This Row],[Colonne1]]</f>
        <v>0</v>
      </c>
      <c r="D545" s="29">
        <f>SUMPRODUCT(Report[But Ext]*(Report[Domicile]=Classement[[#This Row],[Equipe]]))+SUMPRODUCT(Report[But Dom]*(Report[Extérieur]=Classement[[#This Row],[Equipe]]))+Classement[[#This Row],[Colonne2]]</f>
        <v>0</v>
      </c>
      <c r="E545" s="96"/>
      <c r="F545" s="96"/>
      <c r="G545" s="96"/>
      <c r="H545" s="96">
        <f>IF(Classement[[#This Row],[Equipe]]=Report_Données!$D:$D,SUM(Report_Données!$P:$P),3)</f>
        <v>3</v>
      </c>
    </row>
    <row r="546" spans="1:17" ht="20.100000000000001" customHeight="1" x14ac:dyDescent="0.25">
      <c r="A546" s="28"/>
      <c r="B546" s="30"/>
      <c r="C546" s="30"/>
      <c r="D546" s="30"/>
      <c r="E546" s="96"/>
      <c r="F546" s="96"/>
      <c r="G546" s="96"/>
      <c r="H546" s="96">
        <f>IF(Classement[[#This Row],[Equipe]]=Report_Données!$D:$D,SUM(Report_Données!$P:$P),3)</f>
        <v>493</v>
      </c>
    </row>
    <row r="547" spans="1:17" ht="20.100000000000001" customHeight="1" x14ac:dyDescent="0.25">
      <c r="A547" s="3" t="s">
        <v>643</v>
      </c>
      <c r="B547" s="29">
        <f>COUNTIF(Report_Données!D:E,Classement[[#This Row],[Equipe]])+Classement[[#This Row],[Colonne3]]</f>
        <v>0</v>
      </c>
      <c r="C547" s="29">
        <f>SUMPRODUCT(Report[But Dom]*(Report[Domicile]=Classement[[#This Row],[Equipe]]))+SUMPRODUCT(Report[But Ext]*(Report[Extérieur]=Classement[[#This Row],[Equipe]]))+Classement[[#This Row],[Colonne1]]</f>
        <v>0</v>
      </c>
      <c r="D547" s="29">
        <f>SUMPRODUCT(Report[But Ext]*(Report[Domicile]=Classement[[#This Row],[Equipe]]))+SUMPRODUCT(Report[But Dom]*(Report[Extérieur]=Classement[[#This Row],[Equipe]]))+Classement[[#This Row],[Colonne2]]</f>
        <v>0</v>
      </c>
      <c r="E547" s="96"/>
      <c r="F547" s="96"/>
      <c r="G547" s="96"/>
      <c r="H547" s="96">
        <f>IF(Classement[[#This Row],[Equipe]]=Report_Données!$D:$D,SUM(Report_Données!$P:$P),3)</f>
        <v>3</v>
      </c>
      <c r="O547" s="31"/>
    </row>
    <row r="548" spans="1:17" ht="20.100000000000001" customHeight="1" x14ac:dyDescent="0.25">
      <c r="A548" s="3" t="s">
        <v>644</v>
      </c>
      <c r="B548" s="29">
        <f>COUNTIF(Report_Données!D:E,Classement[[#This Row],[Equipe]])+Classement[[#This Row],[Colonne3]]</f>
        <v>0</v>
      </c>
      <c r="C548" s="29">
        <f>SUMPRODUCT(Report[But Dom]*(Report[Domicile]=Classement[[#This Row],[Equipe]]))+SUMPRODUCT(Report[But Ext]*(Report[Extérieur]=Classement[[#This Row],[Equipe]]))+Classement[[#This Row],[Colonne1]]</f>
        <v>0</v>
      </c>
      <c r="D548" s="29">
        <f>SUMPRODUCT(Report[But Ext]*(Report[Domicile]=Classement[[#This Row],[Equipe]]))+SUMPRODUCT(Report[But Dom]*(Report[Extérieur]=Classement[[#This Row],[Equipe]]))+Classement[[#This Row],[Colonne2]]</f>
        <v>0</v>
      </c>
      <c r="E548" s="96"/>
      <c r="F548" s="96"/>
      <c r="G548" s="96"/>
      <c r="H548" s="96">
        <f>IF(Classement[[#This Row],[Equipe]]=Report_Données!$D:$D,SUM(Report_Données!$P:$P),3)</f>
        <v>3</v>
      </c>
      <c r="O548" s="31"/>
    </row>
    <row r="549" spans="1:17" ht="20.100000000000001" customHeight="1" x14ac:dyDescent="0.25">
      <c r="A549" s="3" t="s">
        <v>645</v>
      </c>
      <c r="B549" s="29">
        <f>COUNTIF(Report_Données!D:E,Classement[[#This Row],[Equipe]])+Classement[[#This Row],[Colonne3]]</f>
        <v>0</v>
      </c>
      <c r="C549" s="29">
        <f>SUMPRODUCT(Report[But Dom]*(Report[Domicile]=Classement[[#This Row],[Equipe]]))+SUMPRODUCT(Report[But Ext]*(Report[Extérieur]=Classement[[#This Row],[Equipe]]))+Classement[[#This Row],[Colonne1]]</f>
        <v>0</v>
      </c>
      <c r="D549" s="29">
        <f>SUMPRODUCT(Report[But Ext]*(Report[Domicile]=Classement[[#This Row],[Equipe]]))+SUMPRODUCT(Report[But Dom]*(Report[Extérieur]=Classement[[#This Row],[Equipe]]))+Classement[[#This Row],[Colonne2]]</f>
        <v>0</v>
      </c>
      <c r="E549" s="96"/>
      <c r="F549" s="96"/>
      <c r="G549" s="96"/>
      <c r="H549" s="96">
        <f>IF(Classement[[#This Row],[Equipe]]=Report_Données!$D:$D,SUM(Report_Données!$P:$P),3)</f>
        <v>3</v>
      </c>
      <c r="O549" s="31"/>
    </row>
    <row r="550" spans="1:17" ht="20.100000000000001" customHeight="1" x14ac:dyDescent="0.25">
      <c r="A550" s="3" t="s">
        <v>646</v>
      </c>
      <c r="B550" s="29">
        <f>COUNTIF(Report_Données!D:E,Classement[[#This Row],[Equipe]])+Classement[[#This Row],[Colonne3]]</f>
        <v>0</v>
      </c>
      <c r="C550" s="29">
        <f>SUMPRODUCT(Report[But Dom]*(Report[Domicile]=Classement[[#This Row],[Equipe]]))+SUMPRODUCT(Report[But Ext]*(Report[Extérieur]=Classement[[#This Row],[Equipe]]))+Classement[[#This Row],[Colonne1]]</f>
        <v>0</v>
      </c>
      <c r="D550" s="29">
        <f>SUMPRODUCT(Report[But Ext]*(Report[Domicile]=Classement[[#This Row],[Equipe]]))+SUMPRODUCT(Report[But Dom]*(Report[Extérieur]=Classement[[#This Row],[Equipe]]))+Classement[[#This Row],[Colonne2]]</f>
        <v>0</v>
      </c>
      <c r="E550" s="96"/>
      <c r="F550" s="96"/>
      <c r="G550" s="96"/>
      <c r="H550" s="96">
        <f>IF(Classement[[#This Row],[Equipe]]=Report_Données!$D:$D,SUM(Report_Données!$P:$P),3)</f>
        <v>3</v>
      </c>
      <c r="O550" s="31"/>
    </row>
    <row r="551" spans="1:17" ht="20.100000000000001" customHeight="1" x14ac:dyDescent="0.25">
      <c r="A551" s="3" t="s">
        <v>647</v>
      </c>
      <c r="B551" s="29">
        <f>COUNTIF(Report_Données!D:E,Classement[[#This Row],[Equipe]])+Classement[[#This Row],[Colonne3]]</f>
        <v>0</v>
      </c>
      <c r="C551" s="29">
        <f>SUMPRODUCT(Report[But Dom]*(Report[Domicile]=Classement[[#This Row],[Equipe]]))+SUMPRODUCT(Report[But Ext]*(Report[Extérieur]=Classement[[#This Row],[Equipe]]))+Classement[[#This Row],[Colonne1]]</f>
        <v>0</v>
      </c>
      <c r="D551" s="29">
        <f>SUMPRODUCT(Report[But Ext]*(Report[Domicile]=Classement[[#This Row],[Equipe]]))+SUMPRODUCT(Report[But Dom]*(Report[Extérieur]=Classement[[#This Row],[Equipe]]))+Classement[[#This Row],[Colonne2]]</f>
        <v>0</v>
      </c>
      <c r="E551" s="96"/>
      <c r="F551" s="96"/>
      <c r="G551" s="96"/>
      <c r="H551" s="96">
        <f>IF(Classement[[#This Row],[Equipe]]=Report_Données!$D:$D,SUM(Report_Données!$P:$P),3)</f>
        <v>3</v>
      </c>
      <c r="O551" s="31"/>
    </row>
    <row r="552" spans="1:17" ht="20.100000000000001" customHeight="1" x14ac:dyDescent="0.25">
      <c r="A552" s="3" t="s">
        <v>648</v>
      </c>
      <c r="B552" s="29">
        <f>COUNTIF(Report_Données!D:E,Classement[[#This Row],[Equipe]])+Classement[[#This Row],[Colonne3]]</f>
        <v>0</v>
      </c>
      <c r="C552" s="29">
        <f>SUMPRODUCT(Report[But Dom]*(Report[Domicile]=Classement[[#This Row],[Equipe]]))+SUMPRODUCT(Report[But Ext]*(Report[Extérieur]=Classement[[#This Row],[Equipe]]))+Classement[[#This Row],[Colonne1]]</f>
        <v>0</v>
      </c>
      <c r="D552" s="29">
        <f>SUMPRODUCT(Report[But Ext]*(Report[Domicile]=Classement[[#This Row],[Equipe]]))+SUMPRODUCT(Report[But Dom]*(Report[Extérieur]=Classement[[#This Row],[Equipe]]))+Classement[[#This Row],[Colonne2]]</f>
        <v>0</v>
      </c>
      <c r="E552" s="96"/>
      <c r="F552" s="96"/>
      <c r="G552" s="96"/>
      <c r="H552" s="96">
        <f>IF(Classement[[#This Row],[Equipe]]=Report_Données!$D:$D,SUM(Report_Données!$P:$P),3)</f>
        <v>3</v>
      </c>
      <c r="O552" s="31"/>
    </row>
    <row r="553" spans="1:17" ht="20.100000000000001" customHeight="1" x14ac:dyDescent="0.25">
      <c r="A553" s="3" t="s">
        <v>649</v>
      </c>
      <c r="B553" s="29">
        <f>COUNTIF(Report_Données!D:E,Classement[[#This Row],[Equipe]])+Classement[[#This Row],[Colonne3]]</f>
        <v>0</v>
      </c>
      <c r="C553" s="29">
        <f>SUMPRODUCT(Report[But Dom]*(Report[Domicile]=Classement[[#This Row],[Equipe]]))+SUMPRODUCT(Report[But Ext]*(Report[Extérieur]=Classement[[#This Row],[Equipe]]))+Classement[[#This Row],[Colonne1]]</f>
        <v>0</v>
      </c>
      <c r="D553" s="29">
        <f>SUMPRODUCT(Report[But Ext]*(Report[Domicile]=Classement[[#This Row],[Equipe]]))+SUMPRODUCT(Report[But Dom]*(Report[Extérieur]=Classement[[#This Row],[Equipe]]))+Classement[[#This Row],[Colonne2]]</f>
        <v>0</v>
      </c>
      <c r="E553" s="96"/>
      <c r="F553" s="96"/>
      <c r="G553" s="96"/>
      <c r="H553" s="96">
        <f>IF(Classement[[#This Row],[Equipe]]=Report_Données!$D:$D,SUM(Report_Données!$P:$P),3)</f>
        <v>3</v>
      </c>
      <c r="O553" s="31"/>
    </row>
    <row r="554" spans="1:17" ht="20.100000000000001" customHeight="1" x14ac:dyDescent="0.25">
      <c r="A554" s="3" t="s">
        <v>650</v>
      </c>
      <c r="B554" s="29">
        <f>COUNTIF(Report_Données!D:E,Classement[[#This Row],[Equipe]])+Classement[[#This Row],[Colonne3]]</f>
        <v>0</v>
      </c>
      <c r="C554" s="29">
        <f>SUMPRODUCT(Report[But Dom]*(Report[Domicile]=Classement[[#This Row],[Equipe]]))+SUMPRODUCT(Report[But Ext]*(Report[Extérieur]=Classement[[#This Row],[Equipe]]))+Classement[[#This Row],[Colonne1]]</f>
        <v>0</v>
      </c>
      <c r="D554" s="29">
        <f>SUMPRODUCT(Report[But Ext]*(Report[Domicile]=Classement[[#This Row],[Equipe]]))+SUMPRODUCT(Report[But Dom]*(Report[Extérieur]=Classement[[#This Row],[Equipe]]))+Classement[[#This Row],[Colonne2]]</f>
        <v>0</v>
      </c>
      <c r="E554" s="96"/>
      <c r="F554" s="96"/>
      <c r="G554" s="96"/>
      <c r="H554" s="96">
        <f>IF(Classement[[#This Row],[Equipe]]=Report_Données!$D:$D,SUM(Report_Données!$P:$P),3)</f>
        <v>3</v>
      </c>
      <c r="O554" s="31"/>
    </row>
    <row r="555" spans="1:17" ht="20.100000000000001" customHeight="1" x14ac:dyDescent="0.25">
      <c r="A555" s="3" t="s">
        <v>651</v>
      </c>
      <c r="B555" s="29">
        <f>COUNTIF(Report_Données!D:E,Classement[[#This Row],[Equipe]])+Classement[[#This Row],[Colonne3]]</f>
        <v>0</v>
      </c>
      <c r="C555" s="29">
        <f>SUMPRODUCT(Report[But Dom]*(Report[Domicile]=Classement[[#This Row],[Equipe]]))+SUMPRODUCT(Report[But Ext]*(Report[Extérieur]=Classement[[#This Row],[Equipe]]))+Classement[[#This Row],[Colonne1]]</f>
        <v>0</v>
      </c>
      <c r="D555" s="29">
        <f>SUMPRODUCT(Report[But Ext]*(Report[Domicile]=Classement[[#This Row],[Equipe]]))+SUMPRODUCT(Report[But Dom]*(Report[Extérieur]=Classement[[#This Row],[Equipe]]))+Classement[[#This Row],[Colonne2]]</f>
        <v>0</v>
      </c>
      <c r="E555" s="96"/>
      <c r="F555" s="96"/>
      <c r="G555" s="96"/>
      <c r="H555" s="96">
        <f>IF(Classement[[#This Row],[Equipe]]=Report_Données!$D:$D,SUM(Report_Données!$P:$P),3)</f>
        <v>3</v>
      </c>
      <c r="O555" s="31"/>
    </row>
    <row r="556" spans="1:17" ht="20.100000000000001" customHeight="1" x14ac:dyDescent="0.25">
      <c r="A556" s="3" t="s">
        <v>652</v>
      </c>
      <c r="B556" s="29">
        <f>COUNTIF(Report_Données!D:E,Classement[[#This Row],[Equipe]])+Classement[[#This Row],[Colonne3]]</f>
        <v>0</v>
      </c>
      <c r="C556" s="29">
        <f>SUMPRODUCT(Report[But Dom]*(Report[Domicile]=Classement[[#This Row],[Equipe]]))+SUMPRODUCT(Report[But Ext]*(Report[Extérieur]=Classement[[#This Row],[Equipe]]))+Classement[[#This Row],[Colonne1]]</f>
        <v>0</v>
      </c>
      <c r="D556" s="29">
        <f>SUMPRODUCT(Report[But Ext]*(Report[Domicile]=Classement[[#This Row],[Equipe]]))+SUMPRODUCT(Report[But Dom]*(Report[Extérieur]=Classement[[#This Row],[Equipe]]))+Classement[[#This Row],[Colonne2]]</f>
        <v>0</v>
      </c>
      <c r="E556" s="96"/>
      <c r="F556" s="96"/>
      <c r="G556" s="96"/>
      <c r="H556" s="96">
        <f>IF(Classement[[#This Row],[Equipe]]=Report_Données!$D:$D,SUM(Report_Données!$P:$P),3)</f>
        <v>3</v>
      </c>
      <c r="O556" s="31"/>
    </row>
    <row r="557" spans="1:17" ht="20.100000000000001" customHeight="1" x14ac:dyDescent="0.25">
      <c r="A557" s="3" t="s">
        <v>653</v>
      </c>
      <c r="B557" s="29">
        <f>COUNTIF(Report_Données!D:E,Classement[[#This Row],[Equipe]])+Classement[[#This Row],[Colonne3]]</f>
        <v>0</v>
      </c>
      <c r="C557" s="29">
        <f>SUMPRODUCT(Report[But Dom]*(Report[Domicile]=Classement[[#This Row],[Equipe]]))+SUMPRODUCT(Report[But Ext]*(Report[Extérieur]=Classement[[#This Row],[Equipe]]))+Classement[[#This Row],[Colonne1]]</f>
        <v>0</v>
      </c>
      <c r="D557" s="29">
        <f>SUMPRODUCT(Report[But Ext]*(Report[Domicile]=Classement[[#This Row],[Equipe]]))+SUMPRODUCT(Report[But Dom]*(Report[Extérieur]=Classement[[#This Row],[Equipe]]))+Classement[[#This Row],[Colonne2]]</f>
        <v>0</v>
      </c>
      <c r="E557" s="96"/>
      <c r="F557" s="96"/>
      <c r="G557" s="96"/>
      <c r="H557" s="96">
        <f>IF(Classement[[#This Row],[Equipe]]=Report_Données!$D:$D,SUM(Report_Données!$P:$P),3)</f>
        <v>3</v>
      </c>
      <c r="O557" s="31"/>
    </row>
    <row r="558" spans="1:17" ht="20.100000000000001" customHeight="1" x14ac:dyDescent="0.25">
      <c r="A558" s="3" t="s">
        <v>654</v>
      </c>
      <c r="B558" s="29">
        <f>COUNTIF(Report_Données!D:E,Classement[[#This Row],[Equipe]])+Classement[[#This Row],[Colonne3]]</f>
        <v>0</v>
      </c>
      <c r="C558" s="29">
        <f>SUMPRODUCT(Report[But Dom]*(Report[Domicile]=Classement[[#This Row],[Equipe]]))+SUMPRODUCT(Report[But Ext]*(Report[Extérieur]=Classement[[#This Row],[Equipe]]))+Classement[[#This Row],[Colonne1]]</f>
        <v>0</v>
      </c>
      <c r="D558" s="29">
        <f>SUMPRODUCT(Report[But Ext]*(Report[Domicile]=Classement[[#This Row],[Equipe]]))+SUMPRODUCT(Report[But Dom]*(Report[Extérieur]=Classement[[#This Row],[Equipe]]))+Classement[[#This Row],[Colonne2]]</f>
        <v>0</v>
      </c>
      <c r="E558" s="96"/>
      <c r="F558" s="96"/>
      <c r="G558" s="96"/>
      <c r="H558" s="96">
        <f>IF(Classement[[#This Row],[Equipe]]=Report_Données!$D:$D,SUM(Report_Données!$P:$P),3)</f>
        <v>3</v>
      </c>
      <c r="O558" s="31"/>
    </row>
    <row r="559" spans="1:17" ht="20.100000000000001" customHeight="1" x14ac:dyDescent="0.25">
      <c r="A559" s="28"/>
      <c r="B559" s="30"/>
      <c r="C559" s="30"/>
      <c r="D559" s="30"/>
      <c r="E559" s="96"/>
      <c r="F559" s="96"/>
      <c r="G559" s="96"/>
      <c r="H559" s="96">
        <f>IF(Classement[[#This Row],[Equipe]]=Report_Données!$D:$D,SUM(Report_Données!$P:$P),3)</f>
        <v>493</v>
      </c>
    </row>
    <row r="560" spans="1:17" ht="20.100000000000001" customHeight="1" x14ac:dyDescent="0.25">
      <c r="A560" s="3" t="s">
        <v>655</v>
      </c>
      <c r="B560" s="29">
        <f>COUNTIF(Report_Données!D:E,Classement[[#This Row],[Equipe]])+Classement[[#This Row],[Colonne3]]</f>
        <v>11</v>
      </c>
      <c r="C560" s="29">
        <f>SUMPRODUCT(Report[But Dom]*(Report[Domicile]=Classement[[#This Row],[Equipe]]))+SUMPRODUCT(Report[But Ext]*(Report[Extérieur]=Classement[[#This Row],[Equipe]]))+Classement[[#This Row],[Colonne1]]</f>
        <v>18</v>
      </c>
      <c r="D560" s="29">
        <f>SUMPRODUCT(Report[But Ext]*(Report[Domicile]=Classement[[#This Row],[Equipe]]))+SUMPRODUCT(Report[But Dom]*(Report[Extérieur]=Classement[[#This Row],[Equipe]]))+Classement[[#This Row],[Colonne2]]</f>
        <v>7</v>
      </c>
      <c r="E560" s="95">
        <v>10</v>
      </c>
      <c r="F560" s="96">
        <v>17</v>
      </c>
      <c r="G560" s="96">
        <v>5</v>
      </c>
      <c r="H560" s="96">
        <f>IF(Classement[[#This Row],[Equipe]]=Report_Données!$D:$D,SUM(Report_Données!$P:$P),3)</f>
        <v>3</v>
      </c>
      <c r="O560" s="32"/>
      <c r="Q560" s="3" t="s">
        <v>195</v>
      </c>
    </row>
    <row r="561" spans="1:17" ht="20.100000000000001" customHeight="1" x14ac:dyDescent="0.25">
      <c r="A561" s="3" t="s">
        <v>656</v>
      </c>
      <c r="B561" s="29">
        <f>COUNTIF(Report_Données!D:E,Classement[[#This Row],[Equipe]])+Classement[[#This Row],[Colonne3]]</f>
        <v>11</v>
      </c>
      <c r="C561" s="29">
        <f>SUMPRODUCT(Report[But Dom]*(Report[Domicile]=Classement[[#This Row],[Equipe]]))+SUMPRODUCT(Report[But Ext]*(Report[Extérieur]=Classement[[#This Row],[Equipe]]))+Classement[[#This Row],[Colonne1]]</f>
        <v>7</v>
      </c>
      <c r="D561" s="29">
        <f>SUMPRODUCT(Report[But Ext]*(Report[Domicile]=Classement[[#This Row],[Equipe]]))+SUMPRODUCT(Report[But Dom]*(Report[Extérieur]=Classement[[#This Row],[Equipe]]))+Classement[[#This Row],[Colonne2]]</f>
        <v>13</v>
      </c>
      <c r="E561" s="95">
        <v>10</v>
      </c>
      <c r="F561" s="96">
        <v>7</v>
      </c>
      <c r="G561" s="96">
        <v>11</v>
      </c>
      <c r="H561" s="96">
        <f>IF(Classement[[#This Row],[Equipe]]=Report_Données!$D:$D,SUM(Report_Données!$P:$P),3)</f>
        <v>3</v>
      </c>
      <c r="O561" s="32"/>
      <c r="Q561" s="3" t="s">
        <v>195</v>
      </c>
    </row>
    <row r="562" spans="1:17" ht="20.100000000000001" customHeight="1" x14ac:dyDescent="0.25">
      <c r="A562" s="3" t="s">
        <v>657</v>
      </c>
      <c r="B562" s="29">
        <f>COUNTIF(Report_Données!D:E,Classement[[#This Row],[Equipe]])+Classement[[#This Row],[Colonne3]]</f>
        <v>11</v>
      </c>
      <c r="C562" s="29">
        <f>SUMPRODUCT(Report[But Dom]*(Report[Domicile]=Classement[[#This Row],[Equipe]]))+SUMPRODUCT(Report[But Ext]*(Report[Extérieur]=Classement[[#This Row],[Equipe]]))+Classement[[#This Row],[Colonne1]]</f>
        <v>14</v>
      </c>
      <c r="D562" s="29">
        <f>SUMPRODUCT(Report[But Ext]*(Report[Domicile]=Classement[[#This Row],[Equipe]]))+SUMPRODUCT(Report[But Dom]*(Report[Extérieur]=Classement[[#This Row],[Equipe]]))+Classement[[#This Row],[Colonne2]]</f>
        <v>11</v>
      </c>
      <c r="E562" s="95">
        <v>10</v>
      </c>
      <c r="F562" s="96">
        <v>12</v>
      </c>
      <c r="G562" s="96">
        <v>10</v>
      </c>
      <c r="H562" s="96">
        <f>IF(Classement[[#This Row],[Equipe]]=Report_Données!$D:$D,SUM(Report_Données!$P:$P),3)</f>
        <v>3</v>
      </c>
      <c r="O562" s="32"/>
      <c r="Q562" s="3" t="s">
        <v>195</v>
      </c>
    </row>
    <row r="563" spans="1:17" ht="20.100000000000001" customHeight="1" x14ac:dyDescent="0.25">
      <c r="A563" s="3" t="s">
        <v>658</v>
      </c>
      <c r="B563" s="29">
        <f>COUNTIF(Report_Données!D:E,Classement[[#This Row],[Equipe]])+Classement[[#This Row],[Colonne3]]</f>
        <v>11</v>
      </c>
      <c r="C563" s="29">
        <f>SUMPRODUCT(Report[But Dom]*(Report[Domicile]=Classement[[#This Row],[Equipe]]))+SUMPRODUCT(Report[But Ext]*(Report[Extérieur]=Classement[[#This Row],[Equipe]]))+Classement[[#This Row],[Colonne1]]</f>
        <v>9</v>
      </c>
      <c r="D563" s="29">
        <f>SUMPRODUCT(Report[But Ext]*(Report[Domicile]=Classement[[#This Row],[Equipe]]))+SUMPRODUCT(Report[But Dom]*(Report[Extérieur]=Classement[[#This Row],[Equipe]]))+Classement[[#This Row],[Colonne2]]</f>
        <v>12</v>
      </c>
      <c r="E563" s="95">
        <v>10</v>
      </c>
      <c r="F563" s="96">
        <v>7</v>
      </c>
      <c r="G563" s="96">
        <v>12</v>
      </c>
      <c r="H563" s="96">
        <f>IF(Classement[[#This Row],[Equipe]]=Report_Données!$D:$D,SUM(Report_Données!$P:$P),3)</f>
        <v>3</v>
      </c>
      <c r="O563" s="32"/>
      <c r="Q563" s="3" t="s">
        <v>195</v>
      </c>
    </row>
    <row r="564" spans="1:17" ht="20.100000000000001" customHeight="1" x14ac:dyDescent="0.25">
      <c r="A564" s="3" t="s">
        <v>659</v>
      </c>
      <c r="B564" s="29">
        <f>COUNTIF(Report_Données!D:E,Classement[[#This Row],[Equipe]])+Classement[[#This Row],[Colonne3]]</f>
        <v>11</v>
      </c>
      <c r="C564" s="29">
        <f>SUMPRODUCT(Report[But Dom]*(Report[Domicile]=Classement[[#This Row],[Equipe]]))+SUMPRODUCT(Report[But Ext]*(Report[Extérieur]=Classement[[#This Row],[Equipe]]))+Classement[[#This Row],[Colonne1]]</f>
        <v>17</v>
      </c>
      <c r="D564" s="29">
        <f>SUMPRODUCT(Report[But Ext]*(Report[Domicile]=Classement[[#This Row],[Equipe]]))+SUMPRODUCT(Report[But Dom]*(Report[Extérieur]=Classement[[#This Row],[Equipe]]))+Classement[[#This Row],[Colonne2]]</f>
        <v>8</v>
      </c>
      <c r="E564" s="95">
        <v>10</v>
      </c>
      <c r="F564" s="96">
        <v>16</v>
      </c>
      <c r="G564" s="96">
        <v>6</v>
      </c>
      <c r="H564" s="96">
        <f>IF(Classement[[#This Row],[Equipe]]=Report_Données!$D:$D,SUM(Report_Données!$P:$P),3)</f>
        <v>3</v>
      </c>
      <c r="O564" s="32"/>
      <c r="Q564" s="3" t="s">
        <v>195</v>
      </c>
    </row>
    <row r="565" spans="1:17" ht="20.100000000000001" customHeight="1" x14ac:dyDescent="0.25">
      <c r="A565" s="3" t="s">
        <v>660</v>
      </c>
      <c r="B565" s="29">
        <f>COUNTIF(Report_Données!D:E,Classement[[#This Row],[Equipe]])+Classement[[#This Row],[Colonne3]]</f>
        <v>11</v>
      </c>
      <c r="C565" s="29">
        <f>SUMPRODUCT(Report[But Dom]*(Report[Domicile]=Classement[[#This Row],[Equipe]]))+SUMPRODUCT(Report[But Ext]*(Report[Extérieur]=Classement[[#This Row],[Equipe]]))+Classement[[#This Row],[Colonne1]]</f>
        <v>7</v>
      </c>
      <c r="D565" s="29">
        <f>SUMPRODUCT(Report[But Ext]*(Report[Domicile]=Classement[[#This Row],[Equipe]]))+SUMPRODUCT(Report[But Dom]*(Report[Extérieur]=Classement[[#This Row],[Equipe]]))+Classement[[#This Row],[Colonne2]]</f>
        <v>17</v>
      </c>
      <c r="E565" s="95">
        <v>10</v>
      </c>
      <c r="F565" s="96">
        <v>5</v>
      </c>
      <c r="G565" s="96">
        <v>17</v>
      </c>
      <c r="H565" s="96">
        <f>IF(Classement[[#This Row],[Equipe]]=Report_Données!$D:$D,SUM(Report_Données!$P:$P),3)</f>
        <v>3</v>
      </c>
      <c r="O565" s="32"/>
      <c r="Q565" s="3" t="s">
        <v>195</v>
      </c>
    </row>
    <row r="566" spans="1:17" ht="20.100000000000001" customHeight="1" x14ac:dyDescent="0.25">
      <c r="A566" s="3" t="s">
        <v>661</v>
      </c>
      <c r="B566" s="29">
        <f>COUNTIF(Report_Données!D:E,Classement[[#This Row],[Equipe]])+Classement[[#This Row],[Colonne3]]</f>
        <v>11</v>
      </c>
      <c r="C566" s="29">
        <f>SUMPRODUCT(Report[But Dom]*(Report[Domicile]=Classement[[#This Row],[Equipe]]))+SUMPRODUCT(Report[But Ext]*(Report[Extérieur]=Classement[[#This Row],[Equipe]]))+Classement[[#This Row],[Colonne1]]</f>
        <v>9</v>
      </c>
      <c r="D566" s="29">
        <f>SUMPRODUCT(Report[But Ext]*(Report[Domicile]=Classement[[#This Row],[Equipe]]))+SUMPRODUCT(Report[But Dom]*(Report[Extérieur]=Classement[[#This Row],[Equipe]]))+Classement[[#This Row],[Colonne2]]</f>
        <v>14</v>
      </c>
      <c r="E566" s="95">
        <v>10</v>
      </c>
      <c r="F566" s="96">
        <v>9</v>
      </c>
      <c r="G566" s="96">
        <v>13</v>
      </c>
      <c r="H566" s="96">
        <f>IF(Classement[[#This Row],[Equipe]]=Report_Données!$D:$D,SUM(Report_Données!$P:$P),3)</f>
        <v>3</v>
      </c>
      <c r="O566" s="32"/>
      <c r="Q566" s="3" t="s">
        <v>195</v>
      </c>
    </row>
    <row r="567" spans="1:17" ht="20.100000000000001" customHeight="1" x14ac:dyDescent="0.25">
      <c r="A567" s="3" t="s">
        <v>662</v>
      </c>
      <c r="B567" s="29">
        <f>COUNTIF(Report_Données!D:E,Classement[[#This Row],[Equipe]])+Classement[[#This Row],[Colonne3]]</f>
        <v>11</v>
      </c>
      <c r="C567" s="29">
        <f>SUMPRODUCT(Report[But Dom]*(Report[Domicile]=Classement[[#This Row],[Equipe]]))+SUMPRODUCT(Report[But Ext]*(Report[Extérieur]=Classement[[#This Row],[Equipe]]))+Classement[[#This Row],[Colonne1]]</f>
        <v>8</v>
      </c>
      <c r="D567" s="29">
        <f>SUMPRODUCT(Report[But Ext]*(Report[Domicile]=Classement[[#This Row],[Equipe]]))+SUMPRODUCT(Report[But Dom]*(Report[Extérieur]=Classement[[#This Row],[Equipe]]))+Classement[[#This Row],[Colonne2]]</f>
        <v>19</v>
      </c>
      <c r="E567" s="95">
        <v>10</v>
      </c>
      <c r="F567" s="96">
        <v>8</v>
      </c>
      <c r="G567" s="96">
        <v>17</v>
      </c>
      <c r="H567" s="96">
        <f>IF(Classement[[#This Row],[Equipe]]=Report_Données!$D:$D,SUM(Report_Données!$P:$P),3)</f>
        <v>3</v>
      </c>
      <c r="O567" s="32"/>
      <c r="Q567" s="3" t="s">
        <v>195</v>
      </c>
    </row>
    <row r="568" spans="1:17" ht="20.100000000000001" customHeight="1" x14ac:dyDescent="0.25">
      <c r="A568" s="3" t="s">
        <v>663</v>
      </c>
      <c r="B568" s="29">
        <f>COUNTIF(Report_Données!D:E,Classement[[#This Row],[Equipe]])+Classement[[#This Row],[Colonne3]]</f>
        <v>11</v>
      </c>
      <c r="C568" s="29">
        <f>SUMPRODUCT(Report[But Dom]*(Report[Domicile]=Classement[[#This Row],[Equipe]]))+SUMPRODUCT(Report[But Ext]*(Report[Extérieur]=Classement[[#This Row],[Equipe]]))+Classement[[#This Row],[Colonne1]]</f>
        <v>8</v>
      </c>
      <c r="D568" s="29">
        <f>SUMPRODUCT(Report[But Ext]*(Report[Domicile]=Classement[[#This Row],[Equipe]]))+SUMPRODUCT(Report[But Dom]*(Report[Extérieur]=Classement[[#This Row],[Equipe]]))+Classement[[#This Row],[Colonne2]]</f>
        <v>18</v>
      </c>
      <c r="E568" s="95">
        <v>10</v>
      </c>
      <c r="F568" s="96">
        <v>7</v>
      </c>
      <c r="G568" s="96">
        <v>16</v>
      </c>
      <c r="H568" s="96">
        <f>IF(Classement[[#This Row],[Equipe]]=Report_Données!$D:$D,SUM(Report_Données!$P:$P),3)</f>
        <v>3</v>
      </c>
      <c r="O568" s="32"/>
      <c r="Q568" s="3" t="s">
        <v>195</v>
      </c>
    </row>
    <row r="569" spans="1:17" ht="20.100000000000001" customHeight="1" x14ac:dyDescent="0.25">
      <c r="A569" s="3" t="s">
        <v>664</v>
      </c>
      <c r="B569" s="29">
        <f>COUNTIF(Report_Données!D:E,Classement[[#This Row],[Equipe]])+Classement[[#This Row],[Colonne3]]</f>
        <v>11</v>
      </c>
      <c r="C569" s="29">
        <f>SUMPRODUCT(Report[But Dom]*(Report[Domicile]=Classement[[#This Row],[Equipe]]))+SUMPRODUCT(Report[But Ext]*(Report[Extérieur]=Classement[[#This Row],[Equipe]]))+Classement[[#This Row],[Colonne1]]</f>
        <v>15</v>
      </c>
      <c r="D569" s="29">
        <f>SUMPRODUCT(Report[But Ext]*(Report[Domicile]=Classement[[#This Row],[Equipe]]))+SUMPRODUCT(Report[But Dom]*(Report[Extérieur]=Classement[[#This Row],[Equipe]]))+Classement[[#This Row],[Colonne2]]</f>
        <v>6</v>
      </c>
      <c r="E569" s="95">
        <v>10</v>
      </c>
      <c r="F569" s="96">
        <v>13</v>
      </c>
      <c r="G569" s="96">
        <v>5</v>
      </c>
      <c r="H569" s="96">
        <f>IF(Classement[[#This Row],[Equipe]]=Report_Données!$D:$D,SUM(Report_Données!$P:$P),3)</f>
        <v>3</v>
      </c>
      <c r="O569" s="32"/>
      <c r="Q569" s="3" t="s">
        <v>195</v>
      </c>
    </row>
    <row r="570" spans="1:17" ht="20.100000000000001" customHeight="1" x14ac:dyDescent="0.25">
      <c r="A570" s="3" t="s">
        <v>665</v>
      </c>
      <c r="B570" s="29">
        <f>COUNTIF(Report_Données!D:E,Classement[[#This Row],[Equipe]])+Classement[[#This Row],[Colonne3]]</f>
        <v>11</v>
      </c>
      <c r="C570" s="29">
        <f>SUMPRODUCT(Report[But Dom]*(Report[Domicile]=Classement[[#This Row],[Equipe]]))+SUMPRODUCT(Report[But Ext]*(Report[Extérieur]=Classement[[#This Row],[Equipe]]))+Classement[[#This Row],[Colonne1]]</f>
        <v>20</v>
      </c>
      <c r="D570" s="29">
        <f>SUMPRODUCT(Report[But Ext]*(Report[Domicile]=Classement[[#This Row],[Equipe]]))+SUMPRODUCT(Report[But Dom]*(Report[Extérieur]=Classement[[#This Row],[Equipe]]))+Classement[[#This Row],[Colonne2]]</f>
        <v>8</v>
      </c>
      <c r="E570" s="95">
        <v>10</v>
      </c>
      <c r="F570" s="96">
        <v>15</v>
      </c>
      <c r="G570" s="96">
        <v>7</v>
      </c>
      <c r="H570" s="96">
        <f>IF(Classement[[#This Row],[Equipe]]=Report_Données!$D:$D,SUM(Report_Données!$P:$P),3)</f>
        <v>3</v>
      </c>
      <c r="O570" s="32"/>
      <c r="Q570" s="3" t="s">
        <v>195</v>
      </c>
    </row>
    <row r="571" spans="1:17" ht="20.100000000000001" customHeight="1" x14ac:dyDescent="0.25">
      <c r="A571" s="3" t="s">
        <v>666</v>
      </c>
      <c r="B571" s="29">
        <f>COUNTIF(Report_Données!D:E,Classement[[#This Row],[Equipe]])+Classement[[#This Row],[Colonne3]]</f>
        <v>11</v>
      </c>
      <c r="C571" s="29">
        <f>SUMPRODUCT(Report[But Dom]*(Report[Domicile]=Classement[[#This Row],[Equipe]]))+SUMPRODUCT(Report[But Ext]*(Report[Extérieur]=Classement[[#This Row],[Equipe]]))+Classement[[#This Row],[Colonne1]]</f>
        <v>14</v>
      </c>
      <c r="D571" s="29">
        <f>SUMPRODUCT(Report[But Ext]*(Report[Domicile]=Classement[[#This Row],[Equipe]]))+SUMPRODUCT(Report[But Dom]*(Report[Extérieur]=Classement[[#This Row],[Equipe]]))+Classement[[#This Row],[Colonne2]]</f>
        <v>15</v>
      </c>
      <c r="E571" s="95">
        <v>10</v>
      </c>
      <c r="F571" s="96">
        <v>12</v>
      </c>
      <c r="G571" s="96">
        <v>14</v>
      </c>
      <c r="H571" s="96">
        <f>IF(Classement[[#This Row],[Equipe]]=Report_Données!$D:$D,SUM(Report_Données!$P:$P),3)</f>
        <v>3</v>
      </c>
      <c r="O571" s="32"/>
      <c r="Q571" s="3" t="s">
        <v>195</v>
      </c>
    </row>
    <row r="572" spans="1:17" ht="20.100000000000001" customHeight="1" x14ac:dyDescent="0.25">
      <c r="A572" s="3" t="s">
        <v>667</v>
      </c>
      <c r="B572" s="29">
        <f>COUNTIF(Report_Données!D:E,Classement[[#This Row],[Equipe]])+Classement[[#This Row],[Colonne3]]</f>
        <v>11</v>
      </c>
      <c r="C572" s="29">
        <f>SUMPRODUCT(Report[But Dom]*(Report[Domicile]=Classement[[#This Row],[Equipe]]))+SUMPRODUCT(Report[But Ext]*(Report[Extérieur]=Classement[[#This Row],[Equipe]]))+Classement[[#This Row],[Colonne1]]</f>
        <v>12</v>
      </c>
      <c r="D572" s="29">
        <f>SUMPRODUCT(Report[But Ext]*(Report[Domicile]=Classement[[#This Row],[Equipe]]))+SUMPRODUCT(Report[But Dom]*(Report[Extérieur]=Classement[[#This Row],[Equipe]]))+Classement[[#This Row],[Colonne2]]</f>
        <v>11</v>
      </c>
      <c r="E572" s="95">
        <v>10</v>
      </c>
      <c r="F572" s="96">
        <v>11</v>
      </c>
      <c r="G572" s="96">
        <v>11</v>
      </c>
      <c r="H572" s="96">
        <f>IF(Classement[[#This Row],[Equipe]]=Report_Données!$D:$D,SUM(Report_Données!$P:$P),3)</f>
        <v>3</v>
      </c>
      <c r="O572" s="32"/>
      <c r="Q572" s="3" t="s">
        <v>195</v>
      </c>
    </row>
    <row r="573" spans="1:17" ht="20.100000000000001" customHeight="1" x14ac:dyDescent="0.25">
      <c r="A573" s="3" t="s">
        <v>668</v>
      </c>
      <c r="B573" s="29">
        <f>COUNTIF(Report_Données!D:E,Classement[[#This Row],[Equipe]])+Classement[[#This Row],[Colonne3]]</f>
        <v>11</v>
      </c>
      <c r="C573" s="29">
        <f>SUMPRODUCT(Report[But Dom]*(Report[Domicile]=Classement[[#This Row],[Equipe]]))+SUMPRODUCT(Report[But Ext]*(Report[Extérieur]=Classement[[#This Row],[Equipe]]))+Classement[[#This Row],[Colonne1]]</f>
        <v>19</v>
      </c>
      <c r="D573" s="29">
        <f>SUMPRODUCT(Report[But Ext]*(Report[Domicile]=Classement[[#This Row],[Equipe]]))+SUMPRODUCT(Report[But Dom]*(Report[Extérieur]=Classement[[#This Row],[Equipe]]))+Classement[[#This Row],[Colonne2]]</f>
        <v>4</v>
      </c>
      <c r="E573" s="95">
        <v>10</v>
      </c>
      <c r="F573" s="96">
        <v>17</v>
      </c>
      <c r="G573" s="96">
        <v>4</v>
      </c>
      <c r="H573" s="96">
        <f>IF(Classement[[#This Row],[Equipe]]=Report_Données!$D:$D,SUM(Report_Données!$P:$P),3)</f>
        <v>3</v>
      </c>
      <c r="O573" s="32"/>
      <c r="Q573" s="3" t="s">
        <v>195</v>
      </c>
    </row>
    <row r="574" spans="1:17" ht="20.100000000000001" customHeight="1" x14ac:dyDescent="0.25">
      <c r="A574" s="3" t="s">
        <v>669</v>
      </c>
      <c r="B574" s="29">
        <f>COUNTIF(Report_Données!D:E,Classement[[#This Row],[Equipe]])+Classement[[#This Row],[Colonne3]]</f>
        <v>11</v>
      </c>
      <c r="C574" s="29">
        <f>SUMPRODUCT(Report[But Dom]*(Report[Domicile]=Classement[[#This Row],[Equipe]]))+SUMPRODUCT(Report[But Ext]*(Report[Extérieur]=Classement[[#This Row],[Equipe]]))+Classement[[#This Row],[Colonne1]]</f>
        <v>3</v>
      </c>
      <c r="D574" s="29">
        <f>SUMPRODUCT(Report[But Ext]*(Report[Domicile]=Classement[[#This Row],[Equipe]]))+SUMPRODUCT(Report[But Dom]*(Report[Extérieur]=Classement[[#This Row],[Equipe]]))+Classement[[#This Row],[Colonne2]]</f>
        <v>20</v>
      </c>
      <c r="E574" s="95">
        <v>10</v>
      </c>
      <c r="F574" s="96">
        <v>2</v>
      </c>
      <c r="G574" s="96">
        <v>15</v>
      </c>
      <c r="H574" s="96">
        <f>IF(Classement[[#This Row],[Equipe]]=Report_Données!$D:$D,SUM(Report_Données!$P:$P),3)</f>
        <v>3</v>
      </c>
      <c r="O574" s="32"/>
      <c r="Q574" s="3" t="s">
        <v>195</v>
      </c>
    </row>
    <row r="575" spans="1:17" ht="20.100000000000001" customHeight="1" x14ac:dyDescent="0.25">
      <c r="A575" s="3" t="s">
        <v>670</v>
      </c>
      <c r="B575" s="29">
        <f>COUNTIF(Report_Données!D:E,Classement[[#This Row],[Equipe]])+Classement[[#This Row],[Colonne3]]</f>
        <v>11</v>
      </c>
      <c r="C575" s="29">
        <f>SUMPRODUCT(Report[But Dom]*(Report[Domicile]=Classement[[#This Row],[Equipe]]))+SUMPRODUCT(Report[But Ext]*(Report[Extérieur]=Classement[[#This Row],[Equipe]]))+Classement[[#This Row],[Colonne1]]</f>
        <v>10</v>
      </c>
      <c r="D575" s="29">
        <f>SUMPRODUCT(Report[But Ext]*(Report[Domicile]=Classement[[#This Row],[Equipe]]))+SUMPRODUCT(Report[But Dom]*(Report[Extérieur]=Classement[[#This Row],[Equipe]]))+Classement[[#This Row],[Colonne2]]</f>
        <v>7</v>
      </c>
      <c r="E575" s="95">
        <v>10</v>
      </c>
      <c r="F575" s="96">
        <v>10</v>
      </c>
      <c r="G575" s="96">
        <v>5</v>
      </c>
      <c r="H575" s="96">
        <f>IF(Classement[[#This Row],[Equipe]]=Report_Données!$D:$D,SUM(Report_Données!$P:$P),3)</f>
        <v>3</v>
      </c>
      <c r="O575" s="32"/>
    </row>
    <row r="576" spans="1:17" ht="20.100000000000001" customHeight="1" x14ac:dyDescent="0.25">
      <c r="A576" s="28"/>
      <c r="B576" s="30"/>
      <c r="C576" s="30"/>
      <c r="D576" s="30"/>
      <c r="E576" s="96"/>
      <c r="F576" s="96"/>
      <c r="G576" s="96"/>
      <c r="H576" s="96">
        <f>IF(Classement[[#This Row],[Equipe]]=Report_Données!$D:$D,SUM(Report_Données!$P:$P),3)</f>
        <v>493</v>
      </c>
    </row>
    <row r="577" spans="1:17" ht="20.100000000000001" customHeight="1" x14ac:dyDescent="0.25">
      <c r="A577" s="3" t="s">
        <v>671</v>
      </c>
      <c r="B577" s="29">
        <f>COUNTIF(Report_Données!D:E,Classement[[#This Row],[Equipe]])+Classement[[#This Row],[Colonne3]]</f>
        <v>17</v>
      </c>
      <c r="C577" s="29">
        <f>SUMPRODUCT(Report[But Dom]*(Report[Domicile]=Classement[[#This Row],[Equipe]]))+SUMPRODUCT(Report[But Ext]*(Report[Extérieur]=Classement[[#This Row],[Equipe]]))+Classement[[#This Row],[Colonne1]]</f>
        <v>13</v>
      </c>
      <c r="D577" s="29">
        <f>SUMPRODUCT(Report[But Ext]*(Report[Domicile]=Classement[[#This Row],[Equipe]]))+SUMPRODUCT(Report[But Dom]*(Report[Extérieur]=Classement[[#This Row],[Equipe]]))+Classement[[#This Row],[Colonne2]]</f>
        <v>28</v>
      </c>
      <c r="E577" s="95">
        <v>15</v>
      </c>
      <c r="F577" s="96">
        <v>12</v>
      </c>
      <c r="G577" s="96">
        <v>23</v>
      </c>
      <c r="H577" s="96">
        <f>IF(Classement[[#This Row],[Equipe]]=Report_Données!$D:$D,SUM(Report_Données!$P:$P),3)</f>
        <v>3</v>
      </c>
      <c r="O577" s="32"/>
      <c r="Q577" s="3" t="s">
        <v>195</v>
      </c>
    </row>
    <row r="578" spans="1:17" ht="20.100000000000001" customHeight="1" x14ac:dyDescent="0.25">
      <c r="A578" s="3" t="s">
        <v>672</v>
      </c>
      <c r="B578" s="29">
        <f>COUNTIF(Report_Données!D:E,Classement[[#This Row],[Equipe]])+Classement[[#This Row],[Colonne3]]</f>
        <v>17</v>
      </c>
      <c r="C578" s="29">
        <f>SUMPRODUCT(Report[But Dom]*(Report[Domicile]=Classement[[#This Row],[Equipe]]))+SUMPRODUCT(Report[But Ext]*(Report[Extérieur]=Classement[[#This Row],[Equipe]]))+Classement[[#This Row],[Colonne1]]</f>
        <v>35</v>
      </c>
      <c r="D578" s="29">
        <f>SUMPRODUCT(Report[But Ext]*(Report[Domicile]=Classement[[#This Row],[Equipe]]))+SUMPRODUCT(Report[But Dom]*(Report[Extérieur]=Classement[[#This Row],[Equipe]]))+Classement[[#This Row],[Colonne2]]</f>
        <v>21</v>
      </c>
      <c r="E578" s="95">
        <v>14</v>
      </c>
      <c r="F578" s="96">
        <v>29</v>
      </c>
      <c r="G578" s="96">
        <v>18</v>
      </c>
      <c r="H578" s="96">
        <f>IF(Classement[[#This Row],[Equipe]]=Report_Données!$D:$D,SUM(Report_Données!$P:$P),3)</f>
        <v>3</v>
      </c>
      <c r="O578" s="31"/>
      <c r="Q578" s="3" t="s">
        <v>195</v>
      </c>
    </row>
    <row r="579" spans="1:17" ht="20.100000000000001" customHeight="1" x14ac:dyDescent="0.25">
      <c r="A579" s="3" t="s">
        <v>673</v>
      </c>
      <c r="B579" s="29">
        <f>COUNTIF(Report_Données!D:E,Classement[[#This Row],[Equipe]])+Classement[[#This Row],[Colonne3]]</f>
        <v>16</v>
      </c>
      <c r="C579" s="29">
        <f>SUMPRODUCT(Report[But Dom]*(Report[Domicile]=Classement[[#This Row],[Equipe]]))+SUMPRODUCT(Report[But Ext]*(Report[Extérieur]=Classement[[#This Row],[Equipe]]))+Classement[[#This Row],[Colonne1]]</f>
        <v>29</v>
      </c>
      <c r="D579" s="29">
        <f>SUMPRODUCT(Report[But Ext]*(Report[Domicile]=Classement[[#This Row],[Equipe]]))+SUMPRODUCT(Report[But Dom]*(Report[Extérieur]=Classement[[#This Row],[Equipe]]))+Classement[[#This Row],[Colonne2]]</f>
        <v>23</v>
      </c>
      <c r="E579" s="95">
        <v>14</v>
      </c>
      <c r="F579" s="96">
        <v>26</v>
      </c>
      <c r="G579" s="96">
        <v>17</v>
      </c>
      <c r="H579" s="96">
        <f>IF(Classement[[#This Row],[Equipe]]=Report_Données!$D:$D,SUM(Report_Données!$P:$P),3)</f>
        <v>3</v>
      </c>
      <c r="O579" s="31"/>
      <c r="Q579" s="3" t="s">
        <v>195</v>
      </c>
    </row>
    <row r="580" spans="1:17" ht="20.100000000000001" customHeight="1" x14ac:dyDescent="0.25">
      <c r="A580" s="3" t="s">
        <v>674</v>
      </c>
      <c r="B580" s="29">
        <f>COUNTIF(Report_Données!D:E,Classement[[#This Row],[Equipe]])+Classement[[#This Row],[Colonne3]]</f>
        <v>16</v>
      </c>
      <c r="C580" s="29">
        <f>SUMPRODUCT(Report[But Dom]*(Report[Domicile]=Classement[[#This Row],[Equipe]]))+SUMPRODUCT(Report[But Ext]*(Report[Extérieur]=Classement[[#This Row],[Equipe]]))+Classement[[#This Row],[Colonne1]]</f>
        <v>24</v>
      </c>
      <c r="D580" s="29">
        <f>SUMPRODUCT(Report[But Ext]*(Report[Domicile]=Classement[[#This Row],[Equipe]]))+SUMPRODUCT(Report[But Dom]*(Report[Extérieur]=Classement[[#This Row],[Equipe]]))+Classement[[#This Row],[Colonne2]]</f>
        <v>19</v>
      </c>
      <c r="E580" s="95">
        <v>14</v>
      </c>
      <c r="F580" s="96">
        <v>22</v>
      </c>
      <c r="G580" s="96">
        <v>16</v>
      </c>
      <c r="H580" s="96">
        <f>IF(Classement[[#This Row],[Equipe]]=Report_Données!$D:$D,SUM(Report_Données!$P:$P),3)</f>
        <v>3</v>
      </c>
      <c r="O580" s="32"/>
      <c r="Q580" s="3" t="s">
        <v>195</v>
      </c>
    </row>
    <row r="581" spans="1:17" ht="20.100000000000001" customHeight="1" x14ac:dyDescent="0.25">
      <c r="A581" s="3" t="s">
        <v>675</v>
      </c>
      <c r="B581" s="29">
        <f>COUNTIF(Report_Données!D:E,Classement[[#This Row],[Equipe]])+Classement[[#This Row],[Colonne3]]</f>
        <v>17</v>
      </c>
      <c r="C581" s="29">
        <f>SUMPRODUCT(Report[But Dom]*(Report[Domicile]=Classement[[#This Row],[Equipe]]))+SUMPRODUCT(Report[But Ext]*(Report[Extérieur]=Classement[[#This Row],[Equipe]]))+Classement[[#This Row],[Colonne1]]</f>
        <v>33</v>
      </c>
      <c r="D581" s="29">
        <f>SUMPRODUCT(Report[But Ext]*(Report[Domicile]=Classement[[#This Row],[Equipe]]))+SUMPRODUCT(Report[But Dom]*(Report[Extérieur]=Classement[[#This Row],[Equipe]]))+Classement[[#This Row],[Colonne2]]</f>
        <v>25</v>
      </c>
      <c r="E581" s="95">
        <v>15</v>
      </c>
      <c r="F581" s="96">
        <v>27</v>
      </c>
      <c r="G581" s="96">
        <v>23</v>
      </c>
      <c r="H581" s="96">
        <f>IF(Classement[[#This Row],[Equipe]]=Report_Données!$D:$D,SUM(Report_Données!$P:$P),3)</f>
        <v>3</v>
      </c>
      <c r="O581" s="31"/>
      <c r="Q581" s="3" t="s">
        <v>195</v>
      </c>
    </row>
    <row r="582" spans="1:17" ht="20.100000000000001" customHeight="1" x14ac:dyDescent="0.25">
      <c r="A582" s="3" t="s">
        <v>676</v>
      </c>
      <c r="B582" s="29">
        <f>COUNTIF(Report_Données!D:E,Classement[[#This Row],[Equipe]])+Classement[[#This Row],[Colonne3]]</f>
        <v>16</v>
      </c>
      <c r="C582" s="29">
        <f>SUMPRODUCT(Report[But Dom]*(Report[Domicile]=Classement[[#This Row],[Equipe]]))+SUMPRODUCT(Report[But Ext]*(Report[Extérieur]=Classement[[#This Row],[Equipe]]))+Classement[[#This Row],[Colonne1]]</f>
        <v>15</v>
      </c>
      <c r="D582" s="29">
        <f>SUMPRODUCT(Report[But Ext]*(Report[Domicile]=Classement[[#This Row],[Equipe]]))+SUMPRODUCT(Report[But Dom]*(Report[Extérieur]=Classement[[#This Row],[Equipe]]))+Classement[[#This Row],[Colonne2]]</f>
        <v>23</v>
      </c>
      <c r="E582" s="95">
        <v>14</v>
      </c>
      <c r="F582" s="96">
        <v>13</v>
      </c>
      <c r="G582" s="96">
        <v>22</v>
      </c>
      <c r="H582" s="96">
        <f>IF(Classement[[#This Row],[Equipe]]=Report_Données!$D:$D,SUM(Report_Données!$P:$P),3)</f>
        <v>3</v>
      </c>
      <c r="O582" s="32"/>
      <c r="Q582" s="3" t="s">
        <v>195</v>
      </c>
    </row>
    <row r="583" spans="1:17" ht="20.100000000000001" customHeight="1" x14ac:dyDescent="0.25">
      <c r="A583" s="3" t="s">
        <v>677</v>
      </c>
      <c r="B583" s="29">
        <f>COUNTIF(Report_Données!D:E,Classement[[#This Row],[Equipe]])+Classement[[#This Row],[Colonne3]]</f>
        <v>16</v>
      </c>
      <c r="C583" s="29">
        <f>SUMPRODUCT(Report[But Dom]*(Report[Domicile]=Classement[[#This Row],[Equipe]]))+SUMPRODUCT(Report[But Ext]*(Report[Extérieur]=Classement[[#This Row],[Equipe]]))+Classement[[#This Row],[Colonne1]]</f>
        <v>35</v>
      </c>
      <c r="D583" s="29">
        <f>SUMPRODUCT(Report[But Ext]*(Report[Domicile]=Classement[[#This Row],[Equipe]]))+SUMPRODUCT(Report[But Dom]*(Report[Extérieur]=Classement[[#This Row],[Equipe]]))+Classement[[#This Row],[Colonne2]]</f>
        <v>18</v>
      </c>
      <c r="E583" s="95">
        <v>14</v>
      </c>
      <c r="F583" s="96">
        <v>32</v>
      </c>
      <c r="G583" s="96">
        <v>14</v>
      </c>
      <c r="H583" s="96">
        <f>IF(Classement[[#This Row],[Equipe]]=Report_Données!$D:$D,SUM(Report_Données!$P:$P),3)</f>
        <v>3</v>
      </c>
      <c r="O583" s="31"/>
      <c r="Q583" s="3" t="s">
        <v>195</v>
      </c>
    </row>
    <row r="584" spans="1:17" ht="20.100000000000001" customHeight="1" x14ac:dyDescent="0.25">
      <c r="A584" s="3" t="s">
        <v>678</v>
      </c>
      <c r="B584" s="29">
        <f>COUNTIF(Report_Données!D:E,Classement[[#This Row],[Equipe]])+Classement[[#This Row],[Colonne3]]</f>
        <v>17</v>
      </c>
      <c r="C584" s="29">
        <f>SUMPRODUCT(Report[But Dom]*(Report[Domicile]=Classement[[#This Row],[Equipe]]))+SUMPRODUCT(Report[But Ext]*(Report[Extérieur]=Classement[[#This Row],[Equipe]]))+Classement[[#This Row],[Colonne1]]</f>
        <v>22</v>
      </c>
      <c r="D584" s="29">
        <f>SUMPRODUCT(Report[But Ext]*(Report[Domicile]=Classement[[#This Row],[Equipe]]))+SUMPRODUCT(Report[But Dom]*(Report[Extérieur]=Classement[[#This Row],[Equipe]]))+Classement[[#This Row],[Colonne2]]</f>
        <v>21</v>
      </c>
      <c r="E584" s="95">
        <v>14</v>
      </c>
      <c r="F584" s="96">
        <v>20</v>
      </c>
      <c r="G584" s="96">
        <v>17</v>
      </c>
      <c r="H584" s="96">
        <f>IF(Classement[[#This Row],[Equipe]]=Report_Données!$D:$D,SUM(Report_Données!$P:$P),3)</f>
        <v>3</v>
      </c>
      <c r="O584" s="32"/>
      <c r="Q584" s="3" t="s">
        <v>195</v>
      </c>
    </row>
    <row r="585" spans="1:17" ht="20.100000000000001" customHeight="1" x14ac:dyDescent="0.25">
      <c r="A585" s="3" t="s">
        <v>679</v>
      </c>
      <c r="B585" s="29">
        <f>COUNTIF(Report_Données!D:E,Classement[[#This Row],[Equipe]])+Classement[[#This Row],[Colonne3]]</f>
        <v>17</v>
      </c>
      <c r="C585" s="29">
        <f>SUMPRODUCT(Report[But Dom]*(Report[Domicile]=Classement[[#This Row],[Equipe]]))+SUMPRODUCT(Report[But Ext]*(Report[Extérieur]=Classement[[#This Row],[Equipe]]))+Classement[[#This Row],[Colonne1]]</f>
        <v>18</v>
      </c>
      <c r="D585" s="29">
        <f>SUMPRODUCT(Report[But Ext]*(Report[Domicile]=Classement[[#This Row],[Equipe]]))+SUMPRODUCT(Report[But Dom]*(Report[Extérieur]=Classement[[#This Row],[Equipe]]))+Classement[[#This Row],[Colonne2]]</f>
        <v>31</v>
      </c>
      <c r="E585" s="95">
        <v>15</v>
      </c>
      <c r="F585" s="96">
        <v>15</v>
      </c>
      <c r="G585" s="96">
        <v>24</v>
      </c>
      <c r="H585" s="96">
        <f>IF(Classement[[#This Row],[Equipe]]=Report_Données!$D:$D,SUM(Report_Données!$P:$P),3)</f>
        <v>3</v>
      </c>
      <c r="O585" s="32"/>
      <c r="Q585" s="3" t="s">
        <v>195</v>
      </c>
    </row>
    <row r="586" spans="1:17" ht="20.100000000000001" customHeight="1" x14ac:dyDescent="0.25">
      <c r="A586" s="3" t="s">
        <v>680</v>
      </c>
      <c r="B586" s="29">
        <f>COUNTIF(Report_Données!D:E,Classement[[#This Row],[Equipe]])+Classement[[#This Row],[Colonne3]]</f>
        <v>17</v>
      </c>
      <c r="C586" s="29">
        <f>SUMPRODUCT(Report[But Dom]*(Report[Domicile]=Classement[[#This Row],[Equipe]]))+SUMPRODUCT(Report[But Ext]*(Report[Extérieur]=Classement[[#This Row],[Equipe]]))+Classement[[#This Row],[Colonne1]]</f>
        <v>34</v>
      </c>
      <c r="D586" s="29">
        <f>SUMPRODUCT(Report[But Ext]*(Report[Domicile]=Classement[[#This Row],[Equipe]]))+SUMPRODUCT(Report[But Dom]*(Report[Extérieur]=Classement[[#This Row],[Equipe]]))+Classement[[#This Row],[Colonne2]]</f>
        <v>12</v>
      </c>
      <c r="E586" s="95">
        <v>15</v>
      </c>
      <c r="F586" s="96">
        <v>26</v>
      </c>
      <c r="G586" s="96">
        <v>9</v>
      </c>
      <c r="H586" s="96">
        <f>IF(Classement[[#This Row],[Equipe]]=Report_Données!$D:$D,SUM(Report_Données!$P:$P),3)</f>
        <v>3</v>
      </c>
      <c r="O586" s="31"/>
      <c r="Q586" s="3" t="s">
        <v>195</v>
      </c>
    </row>
    <row r="587" spans="1:17" ht="20.100000000000001" customHeight="1" x14ac:dyDescent="0.25">
      <c r="A587" s="3" t="s">
        <v>681</v>
      </c>
      <c r="B587" s="29">
        <f>COUNTIF(Report_Données!D:E,Classement[[#This Row],[Equipe]])+Classement[[#This Row],[Colonne3]]</f>
        <v>17</v>
      </c>
      <c r="C587" s="29">
        <f>SUMPRODUCT(Report[But Dom]*(Report[Domicile]=Classement[[#This Row],[Equipe]]))+SUMPRODUCT(Report[But Ext]*(Report[Extérieur]=Classement[[#This Row],[Equipe]]))+Classement[[#This Row],[Colonne1]]</f>
        <v>12</v>
      </c>
      <c r="D587" s="29">
        <f>SUMPRODUCT(Report[But Ext]*(Report[Domicile]=Classement[[#This Row],[Equipe]]))+SUMPRODUCT(Report[But Dom]*(Report[Extérieur]=Classement[[#This Row],[Equipe]]))+Classement[[#This Row],[Colonne2]]</f>
        <v>33</v>
      </c>
      <c r="E587" s="95">
        <v>15</v>
      </c>
      <c r="F587" s="96">
        <v>9</v>
      </c>
      <c r="G587" s="96">
        <v>31</v>
      </c>
      <c r="H587" s="96">
        <f>IF(Classement[[#This Row],[Equipe]]=Report_Données!$D:$D,SUM(Report_Données!$P:$P),3)</f>
        <v>3</v>
      </c>
      <c r="O587" s="32"/>
      <c r="Q587" s="3" t="s">
        <v>195</v>
      </c>
    </row>
    <row r="588" spans="1:17" ht="20.100000000000001" customHeight="1" x14ac:dyDescent="0.25">
      <c r="A588" s="3" t="s">
        <v>682</v>
      </c>
      <c r="B588" s="29">
        <f>COUNTIF(Report_Données!D:E,Classement[[#This Row],[Equipe]])+Classement[[#This Row],[Colonne3]]</f>
        <v>17</v>
      </c>
      <c r="C588" s="29">
        <f>SUMPRODUCT(Report[But Dom]*(Report[Domicile]=Classement[[#This Row],[Equipe]]))+SUMPRODUCT(Report[But Ext]*(Report[Extérieur]=Classement[[#This Row],[Equipe]]))+Classement[[#This Row],[Colonne1]]</f>
        <v>17</v>
      </c>
      <c r="D588" s="29">
        <f>SUMPRODUCT(Report[But Ext]*(Report[Domicile]=Classement[[#This Row],[Equipe]]))+SUMPRODUCT(Report[But Dom]*(Report[Extérieur]=Classement[[#This Row],[Equipe]]))+Classement[[#This Row],[Colonne2]]</f>
        <v>33</v>
      </c>
      <c r="E588" s="95">
        <v>15</v>
      </c>
      <c r="F588" s="96">
        <v>14</v>
      </c>
      <c r="G588" s="96">
        <v>31</v>
      </c>
      <c r="H588" s="96">
        <f>IF(Classement[[#This Row],[Equipe]]=Report_Données!$D:$D,SUM(Report_Données!$P:$P),3)</f>
        <v>3</v>
      </c>
      <c r="O588" s="32"/>
    </row>
    <row r="589" spans="1:17" ht="20.100000000000001" customHeight="1" x14ac:dyDescent="0.25">
      <c r="A589" s="28"/>
      <c r="B589" s="30"/>
      <c r="C589" s="30"/>
      <c r="D589" s="30"/>
      <c r="E589" s="96"/>
      <c r="F589" s="96"/>
      <c r="G589" s="96"/>
      <c r="H589" s="96">
        <f>IF(Classement[[#This Row],[Equipe]]=Report_Données!$D:$D,SUM(Report_Données!$P:$P),3)</f>
        <v>493</v>
      </c>
    </row>
    <row r="590" spans="1:17" ht="20.100000000000001" customHeight="1" x14ac:dyDescent="0.25">
      <c r="A590" s="3" t="s">
        <v>683</v>
      </c>
      <c r="B590" s="29">
        <f>COUNTIF(Report_Données!D:E,Classement[[#This Row],[Equipe]])+Classement[[#This Row],[Colonne3]]</f>
        <v>33</v>
      </c>
      <c r="C590" s="29">
        <f>SUMPRODUCT(Report[But Dom]*(Report[Domicile]=Classement[[#This Row],[Equipe]]))+SUMPRODUCT(Report[But Ext]*(Report[Extérieur]=Classement[[#This Row],[Equipe]]))+Classement[[#This Row],[Colonne1]]</f>
        <v>37</v>
      </c>
      <c r="D590" s="29">
        <f>SUMPRODUCT(Report[But Ext]*(Report[Domicile]=Classement[[#This Row],[Equipe]]))+SUMPRODUCT(Report[But Dom]*(Report[Extérieur]=Classement[[#This Row],[Equipe]]))+Classement[[#This Row],[Colonne2]]</f>
        <v>37</v>
      </c>
      <c r="E590" s="95">
        <v>32</v>
      </c>
      <c r="F590" s="96">
        <v>37</v>
      </c>
      <c r="G590" s="96">
        <v>34</v>
      </c>
      <c r="H590" s="96">
        <f>IF(Classement[[#This Row],[Equipe]]=Report_Données!$D:$D,SUM(Report_Données!$P:$P),3)</f>
        <v>3</v>
      </c>
      <c r="O590" s="31"/>
      <c r="Q590" s="3" t="s">
        <v>195</v>
      </c>
    </row>
    <row r="591" spans="1:17" ht="20.100000000000001" customHeight="1" x14ac:dyDescent="0.25">
      <c r="A591" s="3" t="s">
        <v>684</v>
      </c>
      <c r="B591" s="29">
        <f>COUNTIF(Report_Données!D:E,Classement[[#This Row],[Equipe]])+Classement[[#This Row],[Colonne3]]</f>
        <v>33</v>
      </c>
      <c r="C591" s="29">
        <f>SUMPRODUCT(Report[But Dom]*(Report[Domicile]=Classement[[#This Row],[Equipe]]))+SUMPRODUCT(Report[But Ext]*(Report[Extérieur]=Classement[[#This Row],[Equipe]]))+Classement[[#This Row],[Colonne1]]</f>
        <v>39</v>
      </c>
      <c r="D591" s="29">
        <f>SUMPRODUCT(Report[But Ext]*(Report[Domicile]=Classement[[#This Row],[Equipe]]))+SUMPRODUCT(Report[But Dom]*(Report[Extérieur]=Classement[[#This Row],[Equipe]]))+Classement[[#This Row],[Colonne2]]</f>
        <v>42</v>
      </c>
      <c r="E591" s="95">
        <v>32</v>
      </c>
      <c r="F591" s="96">
        <v>37</v>
      </c>
      <c r="G591" s="96">
        <v>41</v>
      </c>
      <c r="H591" s="96">
        <f>IF(Classement[[#This Row],[Equipe]]=Report_Données!$D:$D,SUM(Report_Données!$P:$P),3)</f>
        <v>3</v>
      </c>
      <c r="O591" s="31"/>
      <c r="Q591" s="3" t="s">
        <v>195</v>
      </c>
    </row>
    <row r="592" spans="1:17" ht="20.100000000000001" customHeight="1" x14ac:dyDescent="0.25">
      <c r="A592" s="3" t="s">
        <v>685</v>
      </c>
      <c r="B592" s="29">
        <f>COUNTIF(Report_Données!D:E,Classement[[#This Row],[Equipe]])+Classement[[#This Row],[Colonne3]]</f>
        <v>33</v>
      </c>
      <c r="C592" s="29">
        <f>SUMPRODUCT(Report[But Dom]*(Report[Domicile]=Classement[[#This Row],[Equipe]]))+SUMPRODUCT(Report[But Ext]*(Report[Extérieur]=Classement[[#This Row],[Equipe]]))+Classement[[#This Row],[Colonne1]]</f>
        <v>45</v>
      </c>
      <c r="D592" s="29">
        <f>SUMPRODUCT(Report[But Ext]*(Report[Domicile]=Classement[[#This Row],[Equipe]]))+SUMPRODUCT(Report[But Dom]*(Report[Extérieur]=Classement[[#This Row],[Equipe]]))+Classement[[#This Row],[Colonne2]]</f>
        <v>33</v>
      </c>
      <c r="E592" s="95">
        <v>32</v>
      </c>
      <c r="F592" s="96">
        <v>44</v>
      </c>
      <c r="G592" s="96">
        <v>31</v>
      </c>
      <c r="H592" s="96">
        <f>IF(Classement[[#This Row],[Equipe]]=Report_Données!$D:$D,SUM(Report_Données!$P:$P),3)</f>
        <v>3</v>
      </c>
      <c r="O592" s="31"/>
      <c r="Q592" s="3" t="s">
        <v>195</v>
      </c>
    </row>
    <row r="593" spans="1:17" ht="20.100000000000001" customHeight="1" x14ac:dyDescent="0.25">
      <c r="A593" s="3" t="s">
        <v>686</v>
      </c>
      <c r="B593" s="29">
        <f>COUNTIF(Report_Données!D:E,Classement[[#This Row],[Equipe]])+Classement[[#This Row],[Colonne3]]</f>
        <v>33</v>
      </c>
      <c r="C593" s="29">
        <f>SUMPRODUCT(Report[But Dom]*(Report[Domicile]=Classement[[#This Row],[Equipe]]))+SUMPRODUCT(Report[But Ext]*(Report[Extérieur]=Classement[[#This Row],[Equipe]]))+Classement[[#This Row],[Colonne1]]</f>
        <v>34</v>
      </c>
      <c r="D593" s="29">
        <f>SUMPRODUCT(Report[But Ext]*(Report[Domicile]=Classement[[#This Row],[Equipe]]))+SUMPRODUCT(Report[But Dom]*(Report[Extérieur]=Classement[[#This Row],[Equipe]]))+Classement[[#This Row],[Colonne2]]</f>
        <v>46</v>
      </c>
      <c r="E593" s="95">
        <v>32</v>
      </c>
      <c r="F593" s="96">
        <v>34</v>
      </c>
      <c r="G593" s="96">
        <v>44</v>
      </c>
      <c r="H593" s="96">
        <f>IF(Classement[[#This Row],[Equipe]]=Report_Données!$D:$D,SUM(Report_Données!$P:$P),3)</f>
        <v>3</v>
      </c>
      <c r="O593" s="31"/>
      <c r="Q593" s="3" t="s">
        <v>195</v>
      </c>
    </row>
    <row r="594" spans="1:17" ht="20.100000000000001" customHeight="1" x14ac:dyDescent="0.25">
      <c r="A594" s="3" t="s">
        <v>687</v>
      </c>
      <c r="B594" s="29">
        <f>COUNTIF(Report_Données!D:E,Classement[[#This Row],[Equipe]])+Classement[[#This Row],[Colonne3]]</f>
        <v>33</v>
      </c>
      <c r="C594" s="29">
        <f>SUMPRODUCT(Report[But Dom]*(Report[Domicile]=Classement[[#This Row],[Equipe]]))+SUMPRODUCT(Report[But Ext]*(Report[Extérieur]=Classement[[#This Row],[Equipe]]))+Classement[[#This Row],[Colonne1]]</f>
        <v>50</v>
      </c>
      <c r="D594" s="29">
        <f>SUMPRODUCT(Report[But Ext]*(Report[Domicile]=Classement[[#This Row],[Equipe]]))+SUMPRODUCT(Report[But Dom]*(Report[Extérieur]=Classement[[#This Row],[Equipe]]))+Classement[[#This Row],[Colonne2]]</f>
        <v>39</v>
      </c>
      <c r="E594" s="95">
        <v>32</v>
      </c>
      <c r="F594" s="96">
        <v>47</v>
      </c>
      <c r="G594" s="96">
        <v>39</v>
      </c>
      <c r="H594" s="96">
        <f>IF(Classement[[#This Row],[Equipe]]=Report_Données!$D:$D,SUM(Report_Données!$P:$P),3)</f>
        <v>3</v>
      </c>
      <c r="O594" s="31"/>
      <c r="Q594" s="3" t="s">
        <v>195</v>
      </c>
    </row>
    <row r="595" spans="1:17" ht="20.100000000000001" customHeight="1" x14ac:dyDescent="0.25">
      <c r="A595" s="3" t="s">
        <v>688</v>
      </c>
      <c r="B595" s="29">
        <f>COUNTIF(Report_Données!D:E,Classement[[#This Row],[Equipe]])+Classement[[#This Row],[Colonne3]]</f>
        <v>33</v>
      </c>
      <c r="C595" s="29">
        <f>SUMPRODUCT(Report[But Dom]*(Report[Domicile]=Classement[[#This Row],[Equipe]]))+SUMPRODUCT(Report[But Ext]*(Report[Extérieur]=Classement[[#This Row],[Equipe]]))+Classement[[#This Row],[Colonne1]]</f>
        <v>43</v>
      </c>
      <c r="D595" s="29">
        <f>SUMPRODUCT(Report[But Ext]*(Report[Domicile]=Classement[[#This Row],[Equipe]]))+SUMPRODUCT(Report[But Dom]*(Report[Extérieur]=Classement[[#This Row],[Equipe]]))+Classement[[#This Row],[Colonne2]]</f>
        <v>52</v>
      </c>
      <c r="E595" s="95">
        <v>32</v>
      </c>
      <c r="F595" s="96">
        <v>40</v>
      </c>
      <c r="G595" s="96">
        <v>52</v>
      </c>
      <c r="H595" s="96">
        <f>IF(Classement[[#This Row],[Equipe]]=Report_Données!$D:$D,SUM(Report_Données!$P:$P),3)</f>
        <v>3</v>
      </c>
      <c r="O595" s="31"/>
      <c r="Q595" s="3" t="s">
        <v>195</v>
      </c>
    </row>
    <row r="596" spans="1:17" ht="20.100000000000001" customHeight="1" x14ac:dyDescent="0.25">
      <c r="A596" s="3" t="s">
        <v>689</v>
      </c>
      <c r="B596" s="29">
        <f>COUNTIF(Report_Données!D:E,Classement[[#This Row],[Equipe]])+Classement[[#This Row],[Colonne3]]</f>
        <v>33</v>
      </c>
      <c r="C596" s="29">
        <f>SUMPRODUCT(Report[But Dom]*(Report[Domicile]=Classement[[#This Row],[Equipe]]))+SUMPRODUCT(Report[But Ext]*(Report[Extérieur]=Classement[[#This Row],[Equipe]]))+Classement[[#This Row],[Colonne1]]</f>
        <v>55</v>
      </c>
      <c r="D596" s="29">
        <f>SUMPRODUCT(Report[But Ext]*(Report[Domicile]=Classement[[#This Row],[Equipe]]))+SUMPRODUCT(Report[But Dom]*(Report[Extérieur]=Classement[[#This Row],[Equipe]]))+Classement[[#This Row],[Colonne2]]</f>
        <v>26</v>
      </c>
      <c r="E596" s="95">
        <v>32</v>
      </c>
      <c r="F596" s="96">
        <v>53</v>
      </c>
      <c r="G596" s="96">
        <v>26</v>
      </c>
      <c r="H596" s="96">
        <f>IF(Classement[[#This Row],[Equipe]]=Report_Données!$D:$D,SUM(Report_Données!$P:$P),3)</f>
        <v>3</v>
      </c>
      <c r="O596" s="31"/>
      <c r="Q596" s="3" t="s">
        <v>195</v>
      </c>
    </row>
    <row r="597" spans="1:17" ht="20.100000000000001" customHeight="1" x14ac:dyDescent="0.25">
      <c r="A597" s="3" t="s">
        <v>690</v>
      </c>
      <c r="B597" s="29">
        <f>COUNTIF(Report_Données!D:E,Classement[[#This Row],[Equipe]])+Classement[[#This Row],[Colonne3]]</f>
        <v>33</v>
      </c>
      <c r="C597" s="29">
        <f>SUMPRODUCT(Report[But Dom]*(Report[Domicile]=Classement[[#This Row],[Equipe]]))+SUMPRODUCT(Report[But Ext]*(Report[Extérieur]=Classement[[#This Row],[Equipe]]))+Classement[[#This Row],[Colonne1]]</f>
        <v>42</v>
      </c>
      <c r="D597" s="29">
        <f>SUMPRODUCT(Report[But Ext]*(Report[Domicile]=Classement[[#This Row],[Equipe]]))+SUMPRODUCT(Report[But Dom]*(Report[Extérieur]=Classement[[#This Row],[Equipe]]))+Classement[[#This Row],[Colonne2]]</f>
        <v>50</v>
      </c>
      <c r="E597" s="95">
        <v>32</v>
      </c>
      <c r="F597" s="96">
        <v>39</v>
      </c>
      <c r="G597" s="96">
        <v>47</v>
      </c>
      <c r="H597" s="96">
        <f>IF(Classement[[#This Row],[Equipe]]=Report_Données!$D:$D,SUM(Report_Données!$P:$P),3)</f>
        <v>3</v>
      </c>
      <c r="O597" s="31"/>
      <c r="Q597" s="3" t="s">
        <v>195</v>
      </c>
    </row>
    <row r="598" spans="1:17" ht="20.100000000000001" customHeight="1" x14ac:dyDescent="0.25">
      <c r="A598" s="3" t="s">
        <v>691</v>
      </c>
      <c r="B598" s="29">
        <f>COUNTIF(Report_Données!D:E,Classement[[#This Row],[Equipe]])+Classement[[#This Row],[Colonne3]]</f>
        <v>33</v>
      </c>
      <c r="C598" s="29">
        <f>SUMPRODUCT(Report[But Dom]*(Report[Domicile]=Classement[[#This Row],[Equipe]]))+SUMPRODUCT(Report[But Ext]*(Report[Extérieur]=Classement[[#This Row],[Equipe]]))+Classement[[#This Row],[Colonne1]]</f>
        <v>50</v>
      </c>
      <c r="D598" s="29">
        <f>SUMPRODUCT(Report[But Ext]*(Report[Domicile]=Classement[[#This Row],[Equipe]]))+SUMPRODUCT(Report[But Dom]*(Report[Extérieur]=Classement[[#This Row],[Equipe]]))+Classement[[#This Row],[Colonne2]]</f>
        <v>57</v>
      </c>
      <c r="E598" s="95">
        <v>32</v>
      </c>
      <c r="F598" s="96">
        <v>48</v>
      </c>
      <c r="G598" s="96">
        <v>56</v>
      </c>
      <c r="H598" s="96">
        <f>IF(Classement[[#This Row],[Equipe]]=Report_Données!$D:$D,SUM(Report_Données!$P:$P),3)</f>
        <v>3</v>
      </c>
      <c r="O598" s="31"/>
      <c r="Q598" s="3" t="s">
        <v>195</v>
      </c>
    </row>
    <row r="599" spans="1:17" ht="20.100000000000001" customHeight="1" x14ac:dyDescent="0.25">
      <c r="A599" s="3" t="s">
        <v>692</v>
      </c>
      <c r="B599" s="29">
        <f>COUNTIF(Report_Données!D:E,Classement[[#This Row],[Equipe]])+Classement[[#This Row],[Colonne3]]</f>
        <v>33</v>
      </c>
      <c r="C599" s="29">
        <f>SUMPRODUCT(Report[But Dom]*(Report[Domicile]=Classement[[#This Row],[Equipe]]))+SUMPRODUCT(Report[But Ext]*(Report[Extérieur]=Classement[[#This Row],[Equipe]]))+Classement[[#This Row],[Colonne1]]</f>
        <v>29</v>
      </c>
      <c r="D599" s="29">
        <f>SUMPRODUCT(Report[But Ext]*(Report[Domicile]=Classement[[#This Row],[Equipe]]))+SUMPRODUCT(Report[But Dom]*(Report[Extérieur]=Classement[[#This Row],[Equipe]]))+Classement[[#This Row],[Colonne2]]</f>
        <v>34</v>
      </c>
      <c r="E599" s="95">
        <v>32</v>
      </c>
      <c r="F599" s="96">
        <v>27</v>
      </c>
      <c r="G599" s="96">
        <v>33</v>
      </c>
      <c r="H599" s="96">
        <f>IF(Classement[[#This Row],[Equipe]]=Report_Données!$D:$D,SUM(Report_Données!$P:$P),3)</f>
        <v>3</v>
      </c>
      <c r="O599" s="31"/>
      <c r="Q599" s="3" t="s">
        <v>195</v>
      </c>
    </row>
    <row r="600" spans="1:17" ht="20.100000000000001" customHeight="1" x14ac:dyDescent="0.25">
      <c r="A600" s="3" t="s">
        <v>693</v>
      </c>
      <c r="B600" s="29">
        <f>COUNTIF(Report_Données!D:E,Classement[[#This Row],[Equipe]])+Classement[[#This Row],[Colonne3]]</f>
        <v>33</v>
      </c>
      <c r="C600" s="29">
        <f>SUMPRODUCT(Report[But Dom]*(Report[Domicile]=Classement[[#This Row],[Equipe]]))+SUMPRODUCT(Report[But Ext]*(Report[Extérieur]=Classement[[#This Row],[Equipe]]))+Classement[[#This Row],[Colonne1]]</f>
        <v>46</v>
      </c>
      <c r="D600" s="29">
        <f>SUMPRODUCT(Report[But Ext]*(Report[Domicile]=Classement[[#This Row],[Equipe]]))+SUMPRODUCT(Report[But Dom]*(Report[Extérieur]=Classement[[#This Row],[Equipe]]))+Classement[[#This Row],[Colonne2]]</f>
        <v>46</v>
      </c>
      <c r="E600" s="95">
        <v>32</v>
      </c>
      <c r="F600" s="96">
        <v>44</v>
      </c>
      <c r="G600" s="96">
        <v>46</v>
      </c>
      <c r="H600" s="96">
        <f>IF(Classement[[#This Row],[Equipe]]=Report_Données!$D:$D,SUM(Report_Données!$P:$P),3)</f>
        <v>3</v>
      </c>
      <c r="O600" s="31"/>
      <c r="Q600" s="3" t="s">
        <v>195</v>
      </c>
    </row>
    <row r="601" spans="1:17" ht="20.100000000000001" customHeight="1" x14ac:dyDescent="0.25">
      <c r="A601" s="3" t="s">
        <v>694</v>
      </c>
      <c r="B601" s="29">
        <f>COUNTIF(Report_Données!D:E,Classement[[#This Row],[Equipe]])+Classement[[#This Row],[Colonne3]]</f>
        <v>33</v>
      </c>
      <c r="C601" s="29">
        <f>SUMPRODUCT(Report[But Dom]*(Report[Domicile]=Classement[[#This Row],[Equipe]]))+SUMPRODUCT(Report[But Ext]*(Report[Extérieur]=Classement[[#This Row],[Equipe]]))+Classement[[#This Row],[Colonne1]]</f>
        <v>52</v>
      </c>
      <c r="D601" s="29">
        <f>SUMPRODUCT(Report[But Ext]*(Report[Domicile]=Classement[[#This Row],[Equipe]]))+SUMPRODUCT(Report[But Dom]*(Report[Extérieur]=Classement[[#This Row],[Equipe]]))+Classement[[#This Row],[Colonne2]]</f>
        <v>44</v>
      </c>
      <c r="E601" s="95">
        <v>32</v>
      </c>
      <c r="F601" s="96">
        <v>49</v>
      </c>
      <c r="G601" s="96">
        <v>41</v>
      </c>
      <c r="H601" s="96">
        <f>IF(Classement[[#This Row],[Equipe]]=Report_Données!$D:$D,SUM(Report_Données!$P:$P),3)</f>
        <v>3</v>
      </c>
      <c r="O601" s="31"/>
      <c r="Q601" s="3" t="s">
        <v>195</v>
      </c>
    </row>
    <row r="602" spans="1:17" ht="20.100000000000001" customHeight="1" x14ac:dyDescent="0.25">
      <c r="A602" s="3" t="s">
        <v>695</v>
      </c>
      <c r="B602" s="29">
        <f>COUNTIF(Report_Données!D:E,Classement[[#This Row],[Equipe]])+Classement[[#This Row],[Colonne3]]</f>
        <v>33</v>
      </c>
      <c r="C602" s="29">
        <f>SUMPRODUCT(Report[But Dom]*(Report[Domicile]=Classement[[#This Row],[Equipe]]))+SUMPRODUCT(Report[But Ext]*(Report[Extérieur]=Classement[[#This Row],[Equipe]]))+Classement[[#This Row],[Colonne1]]</f>
        <v>36</v>
      </c>
      <c r="D602" s="29">
        <f>SUMPRODUCT(Report[But Ext]*(Report[Domicile]=Classement[[#This Row],[Equipe]]))+SUMPRODUCT(Report[But Dom]*(Report[Extérieur]=Classement[[#This Row],[Equipe]]))+Classement[[#This Row],[Colonne2]]</f>
        <v>41</v>
      </c>
      <c r="E602" s="95">
        <v>32</v>
      </c>
      <c r="F602" s="96">
        <v>34</v>
      </c>
      <c r="G602" s="96">
        <v>40</v>
      </c>
      <c r="H602" s="96">
        <f>IF(Classement[[#This Row],[Equipe]]=Report_Données!$D:$D,SUM(Report_Données!$P:$P),3)</f>
        <v>3</v>
      </c>
      <c r="O602" s="31"/>
      <c r="Q602" s="3" t="s">
        <v>195</v>
      </c>
    </row>
    <row r="603" spans="1:17" ht="20.100000000000001" customHeight="1" x14ac:dyDescent="0.25">
      <c r="A603" s="3" t="s">
        <v>696</v>
      </c>
      <c r="B603" s="29">
        <f>COUNTIF(Report_Données!D:E,Classement[[#This Row],[Equipe]])+Classement[[#This Row],[Colonne3]]</f>
        <v>33</v>
      </c>
      <c r="C603" s="29">
        <f>SUMPRODUCT(Report[But Dom]*(Report[Domicile]=Classement[[#This Row],[Equipe]]))+SUMPRODUCT(Report[But Ext]*(Report[Extérieur]=Classement[[#This Row],[Equipe]]))+Classement[[#This Row],[Colonne1]]</f>
        <v>37</v>
      </c>
      <c r="D603" s="29">
        <f>SUMPRODUCT(Report[But Ext]*(Report[Domicile]=Classement[[#This Row],[Equipe]]))+SUMPRODUCT(Report[But Dom]*(Report[Extérieur]=Classement[[#This Row],[Equipe]]))+Classement[[#This Row],[Colonne2]]</f>
        <v>31</v>
      </c>
      <c r="E603" s="95">
        <v>32</v>
      </c>
      <c r="F603" s="96">
        <v>37</v>
      </c>
      <c r="G603" s="96">
        <v>29</v>
      </c>
      <c r="H603" s="96">
        <f>IF(Classement[[#This Row],[Equipe]]=Report_Données!$D:$D,SUM(Report_Données!$P:$P),3)</f>
        <v>3</v>
      </c>
      <c r="O603" s="31"/>
      <c r="Q603" s="3" t="s">
        <v>195</v>
      </c>
    </row>
    <row r="604" spans="1:17" ht="20.100000000000001" customHeight="1" x14ac:dyDescent="0.25">
      <c r="A604" s="3" t="s">
        <v>697</v>
      </c>
      <c r="B604" s="29">
        <f>COUNTIF(Report_Données!D:E,Classement[[#This Row],[Equipe]])+Classement[[#This Row],[Colonne3]]</f>
        <v>33</v>
      </c>
      <c r="C604" s="29">
        <f>SUMPRODUCT(Report[But Dom]*(Report[Domicile]=Classement[[#This Row],[Equipe]]))+SUMPRODUCT(Report[But Ext]*(Report[Extérieur]=Classement[[#This Row],[Equipe]]))+Classement[[#This Row],[Colonne1]]</f>
        <v>48</v>
      </c>
      <c r="D604" s="29">
        <f>SUMPRODUCT(Report[But Ext]*(Report[Domicile]=Classement[[#This Row],[Equipe]]))+SUMPRODUCT(Report[But Dom]*(Report[Extérieur]=Classement[[#This Row],[Equipe]]))+Classement[[#This Row],[Colonne2]]</f>
        <v>37</v>
      </c>
      <c r="E604" s="95">
        <v>32</v>
      </c>
      <c r="F604" s="96">
        <v>47</v>
      </c>
      <c r="G604" s="96">
        <v>35</v>
      </c>
      <c r="H604" s="96">
        <f>IF(Classement[[#This Row],[Equipe]]=Report_Données!$D:$D,SUM(Report_Données!$P:$P),3)</f>
        <v>3</v>
      </c>
      <c r="O604" s="31"/>
      <c r="Q604" s="3" t="s">
        <v>195</v>
      </c>
    </row>
    <row r="605" spans="1:17" ht="20.100000000000001" customHeight="1" x14ac:dyDescent="0.25">
      <c r="A605" s="3" t="s">
        <v>698</v>
      </c>
      <c r="B605" s="29">
        <f>COUNTIF(Report_Données!D:E,Classement[[#This Row],[Equipe]])+Classement[[#This Row],[Colonne3]]</f>
        <v>33</v>
      </c>
      <c r="C605" s="29">
        <f>SUMPRODUCT(Report[But Dom]*(Report[Domicile]=Classement[[#This Row],[Equipe]]))+SUMPRODUCT(Report[But Ext]*(Report[Extérieur]=Classement[[#This Row],[Equipe]]))+Classement[[#This Row],[Colonne1]]</f>
        <v>35</v>
      </c>
      <c r="D605" s="29">
        <f>SUMPRODUCT(Report[But Ext]*(Report[Domicile]=Classement[[#This Row],[Equipe]]))+SUMPRODUCT(Report[But Dom]*(Report[Extérieur]=Classement[[#This Row],[Equipe]]))+Classement[[#This Row],[Colonne2]]</f>
        <v>55</v>
      </c>
      <c r="E605" s="95">
        <v>32</v>
      </c>
      <c r="F605" s="96">
        <v>34</v>
      </c>
      <c r="G605" s="96">
        <v>53</v>
      </c>
      <c r="H605" s="96">
        <f>IF(Classement[[#This Row],[Equipe]]=Report_Données!$D:$D,SUM(Report_Données!$P:$P),3)</f>
        <v>3</v>
      </c>
      <c r="O605" s="31"/>
      <c r="Q605" s="3" t="s">
        <v>195</v>
      </c>
    </row>
    <row r="606" spans="1:17" ht="20.100000000000001" customHeight="1" x14ac:dyDescent="0.25">
      <c r="A606" s="3" t="s">
        <v>699</v>
      </c>
      <c r="B606" s="29">
        <f>COUNTIF(Report_Données!D:E,Classement[[#This Row],[Equipe]])+Classement[[#This Row],[Colonne3]]</f>
        <v>33</v>
      </c>
      <c r="C606" s="29">
        <f>SUMPRODUCT(Report[But Dom]*(Report[Domicile]=Classement[[#This Row],[Equipe]]))+SUMPRODUCT(Report[But Ext]*(Report[Extérieur]=Classement[[#This Row],[Equipe]]))+Classement[[#This Row],[Colonne1]]</f>
        <v>42</v>
      </c>
      <c r="D606" s="29">
        <f>SUMPRODUCT(Report[But Ext]*(Report[Domicile]=Classement[[#This Row],[Equipe]]))+SUMPRODUCT(Report[But Dom]*(Report[Extérieur]=Classement[[#This Row],[Equipe]]))+Classement[[#This Row],[Colonne2]]</f>
        <v>51</v>
      </c>
      <c r="E606" s="95">
        <v>32</v>
      </c>
      <c r="F606" s="96">
        <v>42</v>
      </c>
      <c r="G606" s="96">
        <v>48</v>
      </c>
      <c r="H606" s="96">
        <f>IF(Classement[[#This Row],[Equipe]]=Report_Données!$D:$D,SUM(Report_Données!$P:$P),3)</f>
        <v>3</v>
      </c>
      <c r="O606" s="31"/>
      <c r="Q606" s="3" t="s">
        <v>195</v>
      </c>
    </row>
    <row r="607" spans="1:17" ht="20.100000000000001" customHeight="1" x14ac:dyDescent="0.25">
      <c r="A607" s="3" t="s">
        <v>700</v>
      </c>
      <c r="B607" s="29">
        <f>COUNTIF(Report_Données!D:E,Classement[[#This Row],[Equipe]])+Classement[[#This Row],[Colonne3]]</f>
        <v>33</v>
      </c>
      <c r="C607" s="29">
        <f>SUMPRODUCT(Report[But Dom]*(Report[Domicile]=Classement[[#This Row],[Equipe]]))+SUMPRODUCT(Report[But Ext]*(Report[Extérieur]=Classement[[#This Row],[Equipe]]))+Classement[[#This Row],[Colonne1]]</f>
        <v>55</v>
      </c>
      <c r="D607" s="29">
        <f>SUMPRODUCT(Report[But Ext]*(Report[Domicile]=Classement[[#This Row],[Equipe]]))+SUMPRODUCT(Report[But Dom]*(Report[Extérieur]=Classement[[#This Row],[Equipe]]))+Classement[[#This Row],[Colonne2]]</f>
        <v>54</v>
      </c>
      <c r="E607" s="95">
        <v>32</v>
      </c>
      <c r="F607" s="96">
        <v>54</v>
      </c>
      <c r="G607" s="96">
        <v>52</v>
      </c>
      <c r="H607" s="96">
        <f>IF(Classement[[#This Row],[Equipe]]=Report_Données!$D:$D,SUM(Report_Données!$P:$P),3)</f>
        <v>3</v>
      </c>
      <c r="O607" s="31"/>
    </row>
    <row r="608" spans="1:17" ht="20.100000000000001" customHeight="1" x14ac:dyDescent="0.25">
      <c r="A608" s="28"/>
      <c r="B608" s="30"/>
      <c r="C608" s="30"/>
      <c r="D608" s="30"/>
      <c r="E608" s="96"/>
      <c r="F608" s="96"/>
      <c r="G608" s="96"/>
      <c r="H608" s="96">
        <f>IF(Classement[[#This Row],[Equipe]]=Report_Données!$D:$D,SUM(Report_Données!$P:$P),3)</f>
        <v>493</v>
      </c>
    </row>
    <row r="609" spans="1:17" ht="20.100000000000001" customHeight="1" x14ac:dyDescent="0.25">
      <c r="A609" s="3" t="s">
        <v>701</v>
      </c>
      <c r="B609" s="29">
        <f>COUNTIF(Report_Données!D:E,Classement[[#This Row],[Equipe]])+Classement[[#This Row],[Colonne3]]</f>
        <v>0</v>
      </c>
      <c r="C609" s="29">
        <f>SUMPRODUCT(Report[But Dom]*(Report[Domicile]=Classement[[#This Row],[Equipe]]))+SUMPRODUCT(Report[But Ext]*(Report[Extérieur]=Classement[[#This Row],[Equipe]]))+Classement[[#This Row],[Colonne1]]</f>
        <v>0</v>
      </c>
      <c r="D609" s="29">
        <f>SUMPRODUCT(Report[But Ext]*(Report[Domicile]=Classement[[#This Row],[Equipe]]))+SUMPRODUCT(Report[But Dom]*(Report[Extérieur]=Classement[[#This Row],[Equipe]]))+Classement[[#This Row],[Colonne2]]</f>
        <v>0</v>
      </c>
      <c r="E609" s="96"/>
      <c r="F609" s="96"/>
      <c r="G609" s="96"/>
      <c r="H609" s="96">
        <f>IF(Classement[[#This Row],[Equipe]]=Report_Données!$D:$D,SUM(Report_Données!$P:$P),3)</f>
        <v>3</v>
      </c>
      <c r="O609" s="31"/>
      <c r="Q609" s="3" t="s">
        <v>546</v>
      </c>
    </row>
    <row r="610" spans="1:17" ht="20.100000000000001" customHeight="1" x14ac:dyDescent="0.25">
      <c r="A610" s="3" t="s">
        <v>702</v>
      </c>
      <c r="B610" s="29">
        <f>COUNTIF(Report_Données!D:E,Classement[[#This Row],[Equipe]])+Classement[[#This Row],[Colonne3]]</f>
        <v>0</v>
      </c>
      <c r="C610" s="29">
        <f>SUMPRODUCT(Report[But Dom]*(Report[Domicile]=Classement[[#This Row],[Equipe]]))+SUMPRODUCT(Report[But Ext]*(Report[Extérieur]=Classement[[#This Row],[Equipe]]))+Classement[[#This Row],[Colonne1]]</f>
        <v>0</v>
      </c>
      <c r="D610" s="29">
        <f>SUMPRODUCT(Report[But Ext]*(Report[Domicile]=Classement[[#This Row],[Equipe]]))+SUMPRODUCT(Report[But Dom]*(Report[Extérieur]=Classement[[#This Row],[Equipe]]))+Classement[[#This Row],[Colonne2]]</f>
        <v>0</v>
      </c>
      <c r="E610" s="96"/>
      <c r="F610" s="96"/>
      <c r="G610" s="96"/>
      <c r="H610" s="96">
        <f>IF(Classement[[#This Row],[Equipe]]=Report_Données!$D:$D,SUM(Report_Données!$P:$P),3)</f>
        <v>3</v>
      </c>
      <c r="O610" s="32"/>
      <c r="Q610" s="3" t="s">
        <v>546</v>
      </c>
    </row>
    <row r="611" spans="1:17" ht="20.100000000000001" customHeight="1" x14ac:dyDescent="0.25">
      <c r="A611" s="3" t="s">
        <v>703</v>
      </c>
      <c r="B611" s="29">
        <f>COUNTIF(Report_Données!D:E,Classement[[#This Row],[Equipe]])+Classement[[#This Row],[Colonne3]]</f>
        <v>0</v>
      </c>
      <c r="C611" s="29">
        <f>SUMPRODUCT(Report[But Dom]*(Report[Domicile]=Classement[[#This Row],[Equipe]]))+SUMPRODUCT(Report[But Ext]*(Report[Extérieur]=Classement[[#This Row],[Equipe]]))+Classement[[#This Row],[Colonne1]]</f>
        <v>0</v>
      </c>
      <c r="D611" s="29">
        <f>SUMPRODUCT(Report[But Ext]*(Report[Domicile]=Classement[[#This Row],[Equipe]]))+SUMPRODUCT(Report[But Dom]*(Report[Extérieur]=Classement[[#This Row],[Equipe]]))+Classement[[#This Row],[Colonne2]]</f>
        <v>0</v>
      </c>
      <c r="E611" s="96"/>
      <c r="F611" s="96"/>
      <c r="G611" s="96"/>
      <c r="H611" s="96">
        <f>IF(Classement[[#This Row],[Equipe]]=Report_Données!$D:$D,SUM(Report_Données!$P:$P),3)</f>
        <v>3</v>
      </c>
      <c r="O611" s="31"/>
      <c r="Q611" s="3" t="s">
        <v>546</v>
      </c>
    </row>
    <row r="612" spans="1:17" ht="20.100000000000001" customHeight="1" x14ac:dyDescent="0.25">
      <c r="A612" s="3" t="s">
        <v>704</v>
      </c>
      <c r="B612" s="29">
        <f>COUNTIF(Report_Données!D:E,Classement[[#This Row],[Equipe]])+Classement[[#This Row],[Colonne3]]</f>
        <v>0</v>
      </c>
      <c r="C612" s="29">
        <f>SUMPRODUCT(Report[But Dom]*(Report[Domicile]=Classement[[#This Row],[Equipe]]))+SUMPRODUCT(Report[But Ext]*(Report[Extérieur]=Classement[[#This Row],[Equipe]]))+Classement[[#This Row],[Colonne1]]</f>
        <v>0</v>
      </c>
      <c r="D612" s="29">
        <f>SUMPRODUCT(Report[But Ext]*(Report[Domicile]=Classement[[#This Row],[Equipe]]))+SUMPRODUCT(Report[But Dom]*(Report[Extérieur]=Classement[[#This Row],[Equipe]]))+Classement[[#This Row],[Colonne2]]</f>
        <v>0</v>
      </c>
      <c r="E612" s="96"/>
      <c r="F612" s="96"/>
      <c r="G612" s="96"/>
      <c r="H612" s="96">
        <f>IF(Classement[[#This Row],[Equipe]]=Report_Données!$D:$D,SUM(Report_Données!$P:$P),3)</f>
        <v>3</v>
      </c>
      <c r="O612" s="31"/>
      <c r="Q612" s="3" t="s">
        <v>546</v>
      </c>
    </row>
    <row r="613" spans="1:17" ht="20.100000000000001" customHeight="1" x14ac:dyDescent="0.25">
      <c r="A613" s="3" t="s">
        <v>705</v>
      </c>
      <c r="B613" s="29">
        <f>COUNTIF(Report_Données!D:E,Classement[[#This Row],[Equipe]])+Classement[[#This Row],[Colonne3]]</f>
        <v>0</v>
      </c>
      <c r="C613" s="29">
        <f>SUMPRODUCT(Report[But Dom]*(Report[Domicile]=Classement[[#This Row],[Equipe]]))+SUMPRODUCT(Report[But Ext]*(Report[Extérieur]=Classement[[#This Row],[Equipe]]))+Classement[[#This Row],[Colonne1]]</f>
        <v>0</v>
      </c>
      <c r="D613" s="29">
        <f>SUMPRODUCT(Report[But Ext]*(Report[Domicile]=Classement[[#This Row],[Equipe]]))+SUMPRODUCT(Report[But Dom]*(Report[Extérieur]=Classement[[#This Row],[Equipe]]))+Classement[[#This Row],[Colonne2]]</f>
        <v>0</v>
      </c>
      <c r="E613" s="96"/>
      <c r="F613" s="96"/>
      <c r="G613" s="96"/>
      <c r="H613" s="96">
        <f>IF(Classement[[#This Row],[Equipe]]=Report_Données!$D:$D,SUM(Report_Données!$P:$P),3)</f>
        <v>3</v>
      </c>
      <c r="O613" s="31"/>
      <c r="Q613" s="3" t="s">
        <v>546</v>
      </c>
    </row>
    <row r="614" spans="1:17" ht="20.100000000000001" customHeight="1" x14ac:dyDescent="0.25">
      <c r="A614" s="3" t="s">
        <v>706</v>
      </c>
      <c r="B614" s="29">
        <f>COUNTIF(Report_Données!D:E,Classement[[#This Row],[Equipe]])+Classement[[#This Row],[Colonne3]]</f>
        <v>0</v>
      </c>
      <c r="C614" s="29">
        <f>SUMPRODUCT(Report[But Dom]*(Report[Domicile]=Classement[[#This Row],[Equipe]]))+SUMPRODUCT(Report[But Ext]*(Report[Extérieur]=Classement[[#This Row],[Equipe]]))+Classement[[#This Row],[Colonne1]]</f>
        <v>0</v>
      </c>
      <c r="D614" s="29">
        <f>SUMPRODUCT(Report[But Ext]*(Report[Domicile]=Classement[[#This Row],[Equipe]]))+SUMPRODUCT(Report[But Dom]*(Report[Extérieur]=Classement[[#This Row],[Equipe]]))+Classement[[#This Row],[Colonne2]]</f>
        <v>0</v>
      </c>
      <c r="E614" s="96"/>
      <c r="F614" s="96"/>
      <c r="G614" s="96"/>
      <c r="H614" s="96">
        <f>IF(Classement[[#This Row],[Equipe]]=Report_Données!$D:$D,SUM(Report_Données!$P:$P),3)</f>
        <v>3</v>
      </c>
      <c r="O614" s="31"/>
      <c r="Q614" s="3" t="s">
        <v>546</v>
      </c>
    </row>
    <row r="615" spans="1:17" ht="20.100000000000001" customHeight="1" x14ac:dyDescent="0.25">
      <c r="A615" s="3" t="s">
        <v>707</v>
      </c>
      <c r="B615" s="29">
        <f>COUNTIF(Report_Données!D:E,Classement[[#This Row],[Equipe]])+Classement[[#This Row],[Colonne3]]</f>
        <v>0</v>
      </c>
      <c r="C615" s="29">
        <f>SUMPRODUCT(Report[But Dom]*(Report[Domicile]=Classement[[#This Row],[Equipe]]))+SUMPRODUCT(Report[But Ext]*(Report[Extérieur]=Classement[[#This Row],[Equipe]]))+Classement[[#This Row],[Colonne1]]</f>
        <v>0</v>
      </c>
      <c r="D615" s="29">
        <f>SUMPRODUCT(Report[But Ext]*(Report[Domicile]=Classement[[#This Row],[Equipe]]))+SUMPRODUCT(Report[But Dom]*(Report[Extérieur]=Classement[[#This Row],[Equipe]]))+Classement[[#This Row],[Colonne2]]</f>
        <v>0</v>
      </c>
      <c r="E615" s="96"/>
      <c r="F615" s="96"/>
      <c r="G615" s="96"/>
      <c r="H615" s="96">
        <f>IF(Classement[[#This Row],[Equipe]]=Report_Données!$D:$D,SUM(Report_Données!$P:$P),3)</f>
        <v>3</v>
      </c>
      <c r="Q615" s="3" t="s">
        <v>546</v>
      </c>
    </row>
    <row r="616" spans="1:17" ht="20.100000000000001" customHeight="1" x14ac:dyDescent="0.25">
      <c r="A616" s="3" t="s">
        <v>708</v>
      </c>
      <c r="B616" s="29">
        <f>COUNTIF(Report_Données!D:E,Classement[[#This Row],[Equipe]])+Classement[[#This Row],[Colonne3]]</f>
        <v>0</v>
      </c>
      <c r="C616" s="29">
        <f>SUMPRODUCT(Report[But Dom]*(Report[Domicile]=Classement[[#This Row],[Equipe]]))+SUMPRODUCT(Report[But Ext]*(Report[Extérieur]=Classement[[#This Row],[Equipe]]))+Classement[[#This Row],[Colonne1]]</f>
        <v>0</v>
      </c>
      <c r="D616" s="29">
        <f>SUMPRODUCT(Report[But Ext]*(Report[Domicile]=Classement[[#This Row],[Equipe]]))+SUMPRODUCT(Report[But Dom]*(Report[Extérieur]=Classement[[#This Row],[Equipe]]))+Classement[[#This Row],[Colonne2]]</f>
        <v>0</v>
      </c>
      <c r="E616" s="96"/>
      <c r="F616" s="96"/>
      <c r="G616" s="96"/>
      <c r="H616" s="96">
        <f>IF(Classement[[#This Row],[Equipe]]=Report_Données!$D:$D,SUM(Report_Données!$P:$P),3)</f>
        <v>3</v>
      </c>
      <c r="O616" s="31"/>
    </row>
    <row r="617" spans="1:17" ht="20.100000000000001" customHeight="1" x14ac:dyDescent="0.25">
      <c r="A617" s="28"/>
      <c r="B617" s="30"/>
      <c r="C617" s="30"/>
      <c r="D617" s="30"/>
      <c r="E617" s="96"/>
      <c r="F617" s="96"/>
      <c r="G617" s="96"/>
      <c r="H617" s="96">
        <f>IF(Classement[[#This Row],[Equipe]]=Report_Données!$D:$D,SUM(Report_Données!$P:$P),3)</f>
        <v>493</v>
      </c>
    </row>
    <row r="618" spans="1:17" ht="20.100000000000001" customHeight="1" x14ac:dyDescent="0.25">
      <c r="A618" s="3" t="s">
        <v>709</v>
      </c>
      <c r="B618" s="29">
        <f>COUNTIF(Report_Données!D:E,Classement[[#This Row],[Equipe]])+Classement[[#This Row],[Colonne3]]</f>
        <v>33</v>
      </c>
      <c r="C618" s="29">
        <f>SUMPRODUCT(Report[But Dom]*(Report[Domicile]=Classement[[#This Row],[Equipe]]))+SUMPRODUCT(Report[But Ext]*(Report[Extérieur]=Classement[[#This Row],[Equipe]]))+Classement[[#This Row],[Colonne1]]</f>
        <v>28</v>
      </c>
      <c r="D618" s="29">
        <f>SUMPRODUCT(Report[But Ext]*(Report[Domicile]=Classement[[#This Row],[Equipe]]))+SUMPRODUCT(Report[But Dom]*(Report[Extérieur]=Classement[[#This Row],[Equipe]]))+Classement[[#This Row],[Colonne2]]</f>
        <v>75</v>
      </c>
      <c r="E618" s="95">
        <v>33</v>
      </c>
      <c r="F618" s="96">
        <v>28</v>
      </c>
      <c r="G618" s="96">
        <v>75</v>
      </c>
      <c r="H618" s="96">
        <f>IF(Classement[[#This Row],[Equipe]]=Report_Données!$D:$D,SUM(Report_Données!$P:$P),3)</f>
        <v>3</v>
      </c>
      <c r="O618" s="31"/>
      <c r="Q618" s="3" t="s">
        <v>546</v>
      </c>
    </row>
    <row r="619" spans="1:17" ht="20.100000000000001" customHeight="1" x14ac:dyDescent="0.25">
      <c r="A619" s="3" t="s">
        <v>710</v>
      </c>
      <c r="B619" s="29">
        <f>COUNTIF(Report_Données!D:E,Classement[[#This Row],[Equipe]])+Classement[[#This Row],[Colonne3]]</f>
        <v>28</v>
      </c>
      <c r="C619" s="29">
        <f>SUMPRODUCT(Report[But Dom]*(Report[Domicile]=Classement[[#This Row],[Equipe]]))+SUMPRODUCT(Report[But Ext]*(Report[Extérieur]=Classement[[#This Row],[Equipe]]))+Classement[[#This Row],[Colonne1]]</f>
        <v>24</v>
      </c>
      <c r="D619" s="29">
        <f>SUMPRODUCT(Report[But Ext]*(Report[Domicile]=Classement[[#This Row],[Equipe]]))+SUMPRODUCT(Report[But Dom]*(Report[Extérieur]=Classement[[#This Row],[Equipe]]))+Classement[[#This Row],[Colonne2]]</f>
        <v>50</v>
      </c>
      <c r="E619" s="95">
        <v>28</v>
      </c>
      <c r="F619" s="96">
        <v>24</v>
      </c>
      <c r="G619" s="96">
        <v>50</v>
      </c>
      <c r="H619" s="96">
        <f>IF(Classement[[#This Row],[Equipe]]=Report_Données!$D:$D,SUM(Report_Données!$P:$P),3)</f>
        <v>3</v>
      </c>
      <c r="O619" s="31"/>
      <c r="Q619" s="3" t="s">
        <v>546</v>
      </c>
    </row>
    <row r="620" spans="1:17" ht="20.100000000000001" customHeight="1" x14ac:dyDescent="0.25">
      <c r="A620" s="3" t="s">
        <v>711</v>
      </c>
      <c r="B620" s="29">
        <f>COUNTIF(Report_Données!D:E,Classement[[#This Row],[Equipe]])+Classement[[#This Row],[Colonne3]]</f>
        <v>33</v>
      </c>
      <c r="C620" s="29">
        <f>SUMPRODUCT(Report[But Dom]*(Report[Domicile]=Classement[[#This Row],[Equipe]]))+SUMPRODUCT(Report[But Ext]*(Report[Extérieur]=Classement[[#This Row],[Equipe]]))+Classement[[#This Row],[Colonne1]]</f>
        <v>29</v>
      </c>
      <c r="D620" s="29">
        <f>SUMPRODUCT(Report[But Ext]*(Report[Domicile]=Classement[[#This Row],[Equipe]]))+SUMPRODUCT(Report[But Dom]*(Report[Extérieur]=Classement[[#This Row],[Equipe]]))+Classement[[#This Row],[Colonne2]]</f>
        <v>41</v>
      </c>
      <c r="E620" s="95">
        <v>33</v>
      </c>
      <c r="F620" s="96">
        <v>29</v>
      </c>
      <c r="G620" s="96">
        <v>41</v>
      </c>
      <c r="H620" s="96">
        <f>IF(Classement[[#This Row],[Equipe]]=Report_Données!$D:$D,SUM(Report_Données!$P:$P),3)</f>
        <v>3</v>
      </c>
      <c r="O620" s="32"/>
      <c r="Q620" s="3" t="s">
        <v>546</v>
      </c>
    </row>
    <row r="621" spans="1:17" ht="20.100000000000001" customHeight="1" x14ac:dyDescent="0.25">
      <c r="A621" s="3" t="s">
        <v>712</v>
      </c>
      <c r="B621" s="29">
        <f>COUNTIF(Report_Données!D:E,Classement[[#This Row],[Equipe]])+Classement[[#This Row],[Colonne3]]</f>
        <v>28</v>
      </c>
      <c r="C621" s="29">
        <f>SUMPRODUCT(Report[But Dom]*(Report[Domicile]=Classement[[#This Row],[Equipe]]))+SUMPRODUCT(Report[But Ext]*(Report[Extérieur]=Classement[[#This Row],[Equipe]]))+Classement[[#This Row],[Colonne1]]</f>
        <v>17</v>
      </c>
      <c r="D621" s="29">
        <f>SUMPRODUCT(Report[But Ext]*(Report[Domicile]=Classement[[#This Row],[Equipe]]))+SUMPRODUCT(Report[But Dom]*(Report[Extérieur]=Classement[[#This Row],[Equipe]]))+Classement[[#This Row],[Colonne2]]</f>
        <v>58</v>
      </c>
      <c r="E621" s="95">
        <v>28</v>
      </c>
      <c r="F621" s="96">
        <v>17</v>
      </c>
      <c r="G621" s="96">
        <v>58</v>
      </c>
      <c r="H621" s="96">
        <f>IF(Classement[[#This Row],[Equipe]]=Report_Données!$D:$D,SUM(Report_Données!$P:$P),3)</f>
        <v>3</v>
      </c>
      <c r="O621" s="32"/>
      <c r="Q621" s="3" t="s">
        <v>546</v>
      </c>
    </row>
    <row r="622" spans="1:17" ht="20.100000000000001" customHeight="1" x14ac:dyDescent="0.25">
      <c r="A622" s="3" t="s">
        <v>713</v>
      </c>
      <c r="B622" s="29">
        <f>COUNTIF(Report_Données!D:E,Classement[[#This Row],[Equipe]])+Classement[[#This Row],[Colonne3]]</f>
        <v>33</v>
      </c>
      <c r="C622" s="29">
        <f>SUMPRODUCT(Report[But Dom]*(Report[Domicile]=Classement[[#This Row],[Equipe]]))+SUMPRODUCT(Report[But Ext]*(Report[Extérieur]=Classement[[#This Row],[Equipe]]))+Classement[[#This Row],[Colonne1]]</f>
        <v>45</v>
      </c>
      <c r="D622" s="29">
        <f>SUMPRODUCT(Report[But Ext]*(Report[Domicile]=Classement[[#This Row],[Equipe]]))+SUMPRODUCT(Report[But Dom]*(Report[Extérieur]=Classement[[#This Row],[Equipe]]))+Classement[[#This Row],[Colonne2]]</f>
        <v>35</v>
      </c>
      <c r="E622" s="95">
        <v>33</v>
      </c>
      <c r="F622" s="96">
        <v>45</v>
      </c>
      <c r="G622" s="96">
        <v>35</v>
      </c>
      <c r="H622" s="96">
        <f>IF(Classement[[#This Row],[Equipe]]=Report_Données!$D:$D,SUM(Report_Données!$P:$P),3)</f>
        <v>3</v>
      </c>
      <c r="O622" s="31"/>
      <c r="Q622" s="3" t="s">
        <v>546</v>
      </c>
    </row>
    <row r="623" spans="1:17" ht="20.100000000000001" customHeight="1" x14ac:dyDescent="0.25">
      <c r="A623" s="3" t="s">
        <v>714</v>
      </c>
      <c r="B623" s="29">
        <f>COUNTIF(Report_Données!D:E,Classement[[#This Row],[Equipe]])+Classement[[#This Row],[Colonne3]]</f>
        <v>33</v>
      </c>
      <c r="C623" s="29">
        <f>SUMPRODUCT(Report[But Dom]*(Report[Domicile]=Classement[[#This Row],[Equipe]]))+SUMPRODUCT(Report[But Ext]*(Report[Extérieur]=Classement[[#This Row],[Equipe]]))+Classement[[#This Row],[Colonne1]]</f>
        <v>72</v>
      </c>
      <c r="D623" s="29">
        <f>SUMPRODUCT(Report[But Ext]*(Report[Domicile]=Classement[[#This Row],[Equipe]]))+SUMPRODUCT(Report[But Dom]*(Report[Extérieur]=Classement[[#This Row],[Equipe]]))+Classement[[#This Row],[Colonne2]]</f>
        <v>20</v>
      </c>
      <c r="E623" s="95">
        <v>33</v>
      </c>
      <c r="F623" s="96">
        <v>72</v>
      </c>
      <c r="G623" s="96">
        <v>20</v>
      </c>
      <c r="H623" s="96">
        <f>IF(Classement[[#This Row],[Equipe]]=Report_Données!$D:$D,SUM(Report_Données!$P:$P),3)</f>
        <v>3</v>
      </c>
      <c r="O623" s="31"/>
      <c r="Q623" s="3" t="s">
        <v>546</v>
      </c>
    </row>
    <row r="624" spans="1:17" ht="20.100000000000001" customHeight="1" x14ac:dyDescent="0.25">
      <c r="A624" s="3" t="s">
        <v>715</v>
      </c>
      <c r="B624" s="29">
        <f>COUNTIF(Report_Données!D:E,Classement[[#This Row],[Equipe]])+Classement[[#This Row],[Colonne3]]</f>
        <v>33</v>
      </c>
      <c r="C624" s="29">
        <f>SUMPRODUCT(Report[But Dom]*(Report[Domicile]=Classement[[#This Row],[Equipe]]))+SUMPRODUCT(Report[But Ext]*(Report[Extérieur]=Classement[[#This Row],[Equipe]]))+Classement[[#This Row],[Colonne1]]</f>
        <v>46</v>
      </c>
      <c r="D624" s="29">
        <f>SUMPRODUCT(Report[But Ext]*(Report[Domicile]=Classement[[#This Row],[Equipe]]))+SUMPRODUCT(Report[But Dom]*(Report[Extérieur]=Classement[[#This Row],[Equipe]]))+Classement[[#This Row],[Colonne2]]</f>
        <v>29</v>
      </c>
      <c r="E624" s="95">
        <v>33</v>
      </c>
      <c r="F624" s="96">
        <v>46</v>
      </c>
      <c r="G624" s="96">
        <v>29</v>
      </c>
      <c r="H624" s="96">
        <f>IF(Classement[[#This Row],[Equipe]]=Report_Données!$D:$D,SUM(Report_Données!$P:$P),3)</f>
        <v>3</v>
      </c>
      <c r="O624" s="31"/>
      <c r="Q624" s="3" t="s">
        <v>546</v>
      </c>
    </row>
    <row r="625" spans="1:17" ht="20.100000000000001" customHeight="1" x14ac:dyDescent="0.25">
      <c r="A625" s="3" t="s">
        <v>716</v>
      </c>
      <c r="B625" s="29">
        <f>COUNTIF(Report_Données!D:E,Classement[[#This Row],[Equipe]])+Classement[[#This Row],[Colonne3]]</f>
        <v>33</v>
      </c>
      <c r="C625" s="29">
        <f>SUMPRODUCT(Report[But Dom]*(Report[Domicile]=Classement[[#This Row],[Equipe]]))+SUMPRODUCT(Report[But Ext]*(Report[Extérieur]=Classement[[#This Row],[Equipe]]))+Classement[[#This Row],[Colonne1]]</f>
        <v>49</v>
      </c>
      <c r="D625" s="29">
        <f>SUMPRODUCT(Report[But Ext]*(Report[Domicile]=Classement[[#This Row],[Equipe]]))+SUMPRODUCT(Report[But Dom]*(Report[Extérieur]=Classement[[#This Row],[Equipe]]))+Classement[[#This Row],[Colonne2]]</f>
        <v>23</v>
      </c>
      <c r="E625" s="95">
        <v>33</v>
      </c>
      <c r="F625" s="96">
        <v>49</v>
      </c>
      <c r="G625" s="96">
        <v>23</v>
      </c>
      <c r="H625" s="96">
        <f>IF(Classement[[#This Row],[Equipe]]=Report_Données!$D:$D,SUM(Report_Données!$P:$P),3)</f>
        <v>3</v>
      </c>
      <c r="O625" s="31"/>
    </row>
    <row r="626" spans="1:17" ht="20.100000000000001" customHeight="1" x14ac:dyDescent="0.25">
      <c r="A626" s="28"/>
      <c r="B626" s="30"/>
      <c r="C626" s="30"/>
      <c r="D626" s="30"/>
      <c r="E626" s="96"/>
      <c r="F626" s="96"/>
      <c r="G626" s="96"/>
      <c r="H626" s="96">
        <f>IF(Classement[[#This Row],[Equipe]]=Report_Données!$D:$D,SUM(Report_Données!$P:$P),3)</f>
        <v>493</v>
      </c>
    </row>
    <row r="627" spans="1:17" ht="20.100000000000001" customHeight="1" x14ac:dyDescent="0.25">
      <c r="A627" s="3" t="s">
        <v>315</v>
      </c>
      <c r="B627" s="29">
        <f>COUNTIF(Report_Données!D:E,Classement[[#This Row],[Equipe]])+Classement[[#This Row],[Colonne3]]</f>
        <v>12</v>
      </c>
      <c r="C627" s="29">
        <f>SUMPRODUCT(Report[But Dom]*(Report[Domicile]=Classement[[#This Row],[Equipe]]))+SUMPRODUCT(Report[But Ext]*(Report[Extérieur]=Classement[[#This Row],[Equipe]]))+Classement[[#This Row],[Colonne1]]</f>
        <v>14</v>
      </c>
      <c r="D627" s="29">
        <f>SUMPRODUCT(Report[But Ext]*(Report[Domicile]=Classement[[#This Row],[Equipe]]))+SUMPRODUCT(Report[But Dom]*(Report[Extérieur]=Classement[[#This Row],[Equipe]]))+Classement[[#This Row],[Colonne2]]</f>
        <v>25</v>
      </c>
      <c r="E627" s="95">
        <v>11</v>
      </c>
      <c r="F627" s="96">
        <v>13</v>
      </c>
      <c r="G627" s="96">
        <v>23</v>
      </c>
      <c r="H627" s="96">
        <f>IF(Classement[[#This Row],[Equipe]]=Report_Données!$D:$D,SUM(Report_Données!$P:$P),3)</f>
        <v>3</v>
      </c>
      <c r="O627" s="32"/>
      <c r="Q627" s="3" t="s">
        <v>195</v>
      </c>
    </row>
    <row r="628" spans="1:17" ht="20.100000000000001" customHeight="1" x14ac:dyDescent="0.25">
      <c r="A628" s="3" t="s">
        <v>717</v>
      </c>
      <c r="B628" s="29">
        <f>COUNTIF(Report_Données!D:E,Classement[[#This Row],[Equipe]])+Classement[[#This Row],[Colonne3]]</f>
        <v>12</v>
      </c>
      <c r="C628" s="29">
        <f>SUMPRODUCT(Report[But Dom]*(Report[Domicile]=Classement[[#This Row],[Equipe]]))+SUMPRODUCT(Report[But Ext]*(Report[Extérieur]=Classement[[#This Row],[Equipe]]))+Classement[[#This Row],[Colonne1]]</f>
        <v>18</v>
      </c>
      <c r="D628" s="29">
        <f>SUMPRODUCT(Report[But Ext]*(Report[Domicile]=Classement[[#This Row],[Equipe]]))+SUMPRODUCT(Report[But Dom]*(Report[Extérieur]=Classement[[#This Row],[Equipe]]))+Classement[[#This Row],[Colonne2]]</f>
        <v>9</v>
      </c>
      <c r="E628" s="95">
        <v>11</v>
      </c>
      <c r="F628" s="96">
        <v>18</v>
      </c>
      <c r="G628" s="96">
        <v>9</v>
      </c>
      <c r="H628" s="96">
        <f>IF(Classement[[#This Row],[Equipe]]=Report_Données!$D:$D,SUM(Report_Données!$P:$P),3)</f>
        <v>3</v>
      </c>
      <c r="O628" s="32"/>
      <c r="Q628" s="3" t="s">
        <v>195</v>
      </c>
    </row>
    <row r="629" spans="1:17" ht="20.100000000000001" customHeight="1" x14ac:dyDescent="0.25">
      <c r="A629" s="3" t="s">
        <v>718</v>
      </c>
      <c r="B629" s="29">
        <f>COUNTIF(Report_Données!D:E,Classement[[#This Row],[Equipe]])+Classement[[#This Row],[Colonne3]]</f>
        <v>12</v>
      </c>
      <c r="C629" s="29">
        <f>SUMPRODUCT(Report[But Dom]*(Report[Domicile]=Classement[[#This Row],[Equipe]]))+SUMPRODUCT(Report[But Ext]*(Report[Extérieur]=Classement[[#This Row],[Equipe]]))+Classement[[#This Row],[Colonne1]]</f>
        <v>35</v>
      </c>
      <c r="D629" s="29">
        <f>SUMPRODUCT(Report[But Ext]*(Report[Domicile]=Classement[[#This Row],[Equipe]]))+SUMPRODUCT(Report[But Dom]*(Report[Extérieur]=Classement[[#This Row],[Equipe]]))+Classement[[#This Row],[Colonne2]]</f>
        <v>20</v>
      </c>
      <c r="E629" s="95">
        <v>11</v>
      </c>
      <c r="F629" s="96">
        <v>33</v>
      </c>
      <c r="G629" s="96">
        <v>18</v>
      </c>
      <c r="H629" s="96">
        <f>IF(Classement[[#This Row],[Equipe]]=Report_Données!$D:$D,SUM(Report_Données!$P:$P),3)</f>
        <v>3</v>
      </c>
      <c r="O629" s="31"/>
      <c r="Q629" s="3" t="s">
        <v>195</v>
      </c>
    </row>
    <row r="630" spans="1:17" ht="20.100000000000001" customHeight="1" x14ac:dyDescent="0.25">
      <c r="A630" s="3" t="s">
        <v>719</v>
      </c>
      <c r="B630" s="29">
        <f>COUNTIF(Report_Données!D:E,Classement[[#This Row],[Equipe]])+Classement[[#This Row],[Colonne3]]</f>
        <v>12</v>
      </c>
      <c r="C630" s="29">
        <f>SUMPRODUCT(Report[But Dom]*(Report[Domicile]=Classement[[#This Row],[Equipe]]))+SUMPRODUCT(Report[But Ext]*(Report[Extérieur]=Classement[[#This Row],[Equipe]]))+Classement[[#This Row],[Colonne1]]</f>
        <v>15</v>
      </c>
      <c r="D630" s="29">
        <f>SUMPRODUCT(Report[But Ext]*(Report[Domicile]=Classement[[#This Row],[Equipe]]))+SUMPRODUCT(Report[But Dom]*(Report[Extérieur]=Classement[[#This Row],[Equipe]]))+Classement[[#This Row],[Colonne2]]</f>
        <v>21</v>
      </c>
      <c r="E630" s="95">
        <v>11</v>
      </c>
      <c r="F630" s="96">
        <v>15</v>
      </c>
      <c r="G630" s="96">
        <v>19</v>
      </c>
      <c r="H630" s="96">
        <f>IF(Classement[[#This Row],[Equipe]]=Report_Données!$D:$D,SUM(Report_Données!$P:$P),3)</f>
        <v>3</v>
      </c>
      <c r="O630" s="32"/>
      <c r="Q630" s="3" t="s">
        <v>195</v>
      </c>
    </row>
    <row r="631" spans="1:17" ht="20.100000000000001" customHeight="1" x14ac:dyDescent="0.25">
      <c r="A631" s="3" t="s">
        <v>720</v>
      </c>
      <c r="B631" s="29">
        <f>COUNTIF(Report_Données!D:E,Classement[[#This Row],[Equipe]])+Classement[[#This Row],[Colonne3]]</f>
        <v>12</v>
      </c>
      <c r="C631" s="29">
        <f>SUMPRODUCT(Report[But Dom]*(Report[Domicile]=Classement[[#This Row],[Equipe]]))+SUMPRODUCT(Report[But Ext]*(Report[Extérieur]=Classement[[#This Row],[Equipe]]))+Classement[[#This Row],[Colonne1]]</f>
        <v>29</v>
      </c>
      <c r="D631" s="29">
        <f>SUMPRODUCT(Report[But Ext]*(Report[Domicile]=Classement[[#This Row],[Equipe]]))+SUMPRODUCT(Report[But Dom]*(Report[Extérieur]=Classement[[#This Row],[Equipe]]))+Classement[[#This Row],[Colonne2]]</f>
        <v>13</v>
      </c>
      <c r="E631" s="95">
        <v>11</v>
      </c>
      <c r="F631" s="96">
        <v>27</v>
      </c>
      <c r="G631" s="96">
        <v>12</v>
      </c>
      <c r="H631" s="96">
        <f>IF(Classement[[#This Row],[Equipe]]=Report_Données!$D:$D,SUM(Report_Données!$P:$P),3)</f>
        <v>3</v>
      </c>
      <c r="O631" s="31"/>
      <c r="Q631" s="3" t="s">
        <v>195</v>
      </c>
    </row>
    <row r="632" spans="1:17" ht="20.100000000000001" customHeight="1" x14ac:dyDescent="0.25">
      <c r="A632" s="3" t="s">
        <v>721</v>
      </c>
      <c r="B632" s="29">
        <f>COUNTIF(Report_Données!D:E,Classement[[#This Row],[Equipe]])+Classement[[#This Row],[Colonne3]]</f>
        <v>12</v>
      </c>
      <c r="C632" s="29">
        <f>SUMPRODUCT(Report[But Dom]*(Report[Domicile]=Classement[[#This Row],[Equipe]]))+SUMPRODUCT(Report[But Ext]*(Report[Extérieur]=Classement[[#This Row],[Equipe]]))+Classement[[#This Row],[Colonne1]]</f>
        <v>13</v>
      </c>
      <c r="D632" s="29">
        <f>SUMPRODUCT(Report[But Ext]*(Report[Domicile]=Classement[[#This Row],[Equipe]]))+SUMPRODUCT(Report[But Dom]*(Report[Extérieur]=Classement[[#This Row],[Equipe]]))+Classement[[#This Row],[Colonne2]]</f>
        <v>28</v>
      </c>
      <c r="E632" s="95">
        <v>11</v>
      </c>
      <c r="F632" s="96">
        <v>12</v>
      </c>
      <c r="G632" s="96">
        <v>27</v>
      </c>
      <c r="H632" s="96">
        <f>IF(Classement[[#This Row],[Equipe]]=Report_Données!$D:$D,SUM(Report_Données!$P:$P),3)</f>
        <v>3</v>
      </c>
      <c r="O632" s="32"/>
      <c r="Q632" s="3" t="s">
        <v>195</v>
      </c>
    </row>
    <row r="633" spans="1:17" ht="20.100000000000001" customHeight="1" x14ac:dyDescent="0.25">
      <c r="A633" s="3" t="s">
        <v>722</v>
      </c>
      <c r="B633" s="29">
        <f>COUNTIF(Report_Données!D:E,Classement[[#This Row],[Equipe]])+Classement[[#This Row],[Colonne3]]</f>
        <v>12</v>
      </c>
      <c r="C633" s="29">
        <f>SUMPRODUCT(Report[But Dom]*(Report[Domicile]=Classement[[#This Row],[Equipe]]))+SUMPRODUCT(Report[But Ext]*(Report[Extérieur]=Classement[[#This Row],[Equipe]]))+Classement[[#This Row],[Colonne1]]</f>
        <v>27</v>
      </c>
      <c r="D633" s="29">
        <f>SUMPRODUCT(Report[But Ext]*(Report[Domicile]=Classement[[#This Row],[Equipe]]))+SUMPRODUCT(Report[But Dom]*(Report[Extérieur]=Classement[[#This Row],[Equipe]]))+Classement[[#This Row],[Colonne2]]</f>
        <v>7</v>
      </c>
      <c r="E633" s="95">
        <v>11</v>
      </c>
      <c r="F633" s="96">
        <v>27</v>
      </c>
      <c r="G633" s="96">
        <v>7</v>
      </c>
      <c r="H633" s="96">
        <f>IF(Classement[[#This Row],[Equipe]]=Report_Données!$D:$D,SUM(Report_Données!$P:$P),3)</f>
        <v>3</v>
      </c>
      <c r="O633" s="31"/>
      <c r="Q633" s="3" t="s">
        <v>195</v>
      </c>
    </row>
    <row r="634" spans="1:17" ht="20.100000000000001" customHeight="1" x14ac:dyDescent="0.25">
      <c r="A634" s="3" t="s">
        <v>723</v>
      </c>
      <c r="B634" s="29">
        <f>COUNTIF(Report_Données!D:E,Classement[[#This Row],[Equipe]])+Classement[[#This Row],[Colonne3]]</f>
        <v>12</v>
      </c>
      <c r="C634" s="29">
        <f>SUMPRODUCT(Report[But Dom]*(Report[Domicile]=Classement[[#This Row],[Equipe]]))+SUMPRODUCT(Report[But Ext]*(Report[Extérieur]=Classement[[#This Row],[Equipe]]))+Classement[[#This Row],[Colonne1]]</f>
        <v>18</v>
      </c>
      <c r="D634" s="29">
        <f>SUMPRODUCT(Report[But Ext]*(Report[Domicile]=Classement[[#This Row],[Equipe]]))+SUMPRODUCT(Report[But Dom]*(Report[Extérieur]=Classement[[#This Row],[Equipe]]))+Classement[[#This Row],[Colonne2]]</f>
        <v>19</v>
      </c>
      <c r="E634" s="95">
        <v>11</v>
      </c>
      <c r="F634" s="96">
        <v>17</v>
      </c>
      <c r="G634" s="96">
        <v>18</v>
      </c>
      <c r="H634" s="96">
        <f>IF(Classement[[#This Row],[Equipe]]=Report_Données!$D:$D,SUM(Report_Données!$P:$P),3)</f>
        <v>3</v>
      </c>
      <c r="O634" s="32"/>
      <c r="Q634" s="3" t="s">
        <v>195</v>
      </c>
    </row>
    <row r="635" spans="1:17" ht="20.100000000000001" customHeight="1" x14ac:dyDescent="0.25">
      <c r="A635" s="3" t="s">
        <v>724</v>
      </c>
      <c r="B635" s="29">
        <f>COUNTIF(Report_Données!D:E,Classement[[#This Row],[Equipe]])+Classement[[#This Row],[Colonne3]]</f>
        <v>12</v>
      </c>
      <c r="C635" s="29">
        <f>SUMPRODUCT(Report[But Dom]*(Report[Domicile]=Classement[[#This Row],[Equipe]]))+SUMPRODUCT(Report[But Ext]*(Report[Extérieur]=Classement[[#This Row],[Equipe]]))+Classement[[#This Row],[Colonne1]]</f>
        <v>24</v>
      </c>
      <c r="D635" s="29">
        <f>SUMPRODUCT(Report[But Ext]*(Report[Domicile]=Classement[[#This Row],[Equipe]]))+SUMPRODUCT(Report[But Dom]*(Report[Extérieur]=Classement[[#This Row],[Equipe]]))+Classement[[#This Row],[Colonne2]]</f>
        <v>17</v>
      </c>
      <c r="E635" s="95">
        <v>11</v>
      </c>
      <c r="F635" s="96">
        <v>22</v>
      </c>
      <c r="G635" s="96">
        <v>17</v>
      </c>
      <c r="H635" s="96">
        <f>IF(Classement[[#This Row],[Equipe]]=Report_Données!$D:$D,SUM(Report_Données!$P:$P),3)</f>
        <v>3</v>
      </c>
      <c r="O635" s="32"/>
      <c r="Q635" s="3" t="s">
        <v>195</v>
      </c>
    </row>
    <row r="636" spans="1:17" ht="20.100000000000001" customHeight="1" x14ac:dyDescent="0.25">
      <c r="A636" s="3" t="s">
        <v>725</v>
      </c>
      <c r="B636" s="29">
        <f>COUNTIF(Report_Données!D:E,Classement[[#This Row],[Equipe]])+Classement[[#This Row],[Colonne3]]</f>
        <v>12</v>
      </c>
      <c r="C636" s="29">
        <f>SUMPRODUCT(Report[But Dom]*(Report[Domicile]=Classement[[#This Row],[Equipe]]))+SUMPRODUCT(Report[But Ext]*(Report[Extérieur]=Classement[[#This Row],[Equipe]]))+Classement[[#This Row],[Colonne1]]</f>
        <v>20</v>
      </c>
      <c r="D636" s="29">
        <f>SUMPRODUCT(Report[But Ext]*(Report[Domicile]=Classement[[#This Row],[Equipe]]))+SUMPRODUCT(Report[But Dom]*(Report[Extérieur]=Classement[[#This Row],[Equipe]]))+Classement[[#This Row],[Colonne2]]</f>
        <v>11</v>
      </c>
      <c r="E636" s="95">
        <v>11</v>
      </c>
      <c r="F636" s="96">
        <v>20</v>
      </c>
      <c r="G636" s="96">
        <v>9</v>
      </c>
      <c r="H636" s="96">
        <f>IF(Classement[[#This Row],[Equipe]]=Report_Données!$D:$D,SUM(Report_Données!$P:$P),3)</f>
        <v>3</v>
      </c>
      <c r="O636" s="32"/>
      <c r="Q636" s="3" t="s">
        <v>195</v>
      </c>
    </row>
    <row r="637" spans="1:17" ht="20.100000000000001" customHeight="1" x14ac:dyDescent="0.25">
      <c r="A637" s="3" t="s">
        <v>726</v>
      </c>
      <c r="B637" s="29">
        <f>COUNTIF(Report_Données!D:E,Classement[[#This Row],[Equipe]])+Classement[[#This Row],[Colonne3]]</f>
        <v>12</v>
      </c>
      <c r="C637" s="29">
        <f>SUMPRODUCT(Report[But Dom]*(Report[Domicile]=Classement[[#This Row],[Equipe]]))+SUMPRODUCT(Report[But Ext]*(Report[Extérieur]=Classement[[#This Row],[Equipe]]))+Classement[[#This Row],[Colonne1]]</f>
        <v>18</v>
      </c>
      <c r="D637" s="29">
        <f>SUMPRODUCT(Report[But Ext]*(Report[Domicile]=Classement[[#This Row],[Equipe]]))+SUMPRODUCT(Report[But Dom]*(Report[Extérieur]=Classement[[#This Row],[Equipe]]))+Classement[[#This Row],[Colonne2]]</f>
        <v>38</v>
      </c>
      <c r="E637" s="95">
        <v>11</v>
      </c>
      <c r="F637" s="96">
        <v>18</v>
      </c>
      <c r="G637" s="96">
        <v>38</v>
      </c>
      <c r="H637" s="96">
        <f>IF(Classement[[#This Row],[Equipe]]=Report_Données!$D:$D,SUM(Report_Données!$P:$P),3)</f>
        <v>3</v>
      </c>
      <c r="O637" s="32"/>
      <c r="Q637" s="3" t="s">
        <v>195</v>
      </c>
    </row>
    <row r="638" spans="1:17" ht="20.100000000000001" customHeight="1" x14ac:dyDescent="0.25">
      <c r="A638" s="3" t="s">
        <v>727</v>
      </c>
      <c r="B638" s="29">
        <f>COUNTIF(Report_Données!D:E,Classement[[#This Row],[Equipe]])+Classement[[#This Row],[Colonne3]]</f>
        <v>12</v>
      </c>
      <c r="C638" s="29">
        <f>SUMPRODUCT(Report[But Dom]*(Report[Domicile]=Classement[[#This Row],[Equipe]]))+SUMPRODUCT(Report[But Ext]*(Report[Extérieur]=Classement[[#This Row],[Equipe]]))+Classement[[#This Row],[Colonne1]]</f>
        <v>19</v>
      </c>
      <c r="D638" s="29">
        <f>SUMPRODUCT(Report[But Ext]*(Report[Domicile]=Classement[[#This Row],[Equipe]]))+SUMPRODUCT(Report[But Dom]*(Report[Extérieur]=Classement[[#This Row],[Equipe]]))+Classement[[#This Row],[Colonne2]]</f>
        <v>23</v>
      </c>
      <c r="E638" s="95">
        <v>11</v>
      </c>
      <c r="F638" s="96">
        <v>17</v>
      </c>
      <c r="G638" s="96">
        <v>23</v>
      </c>
      <c r="H638" s="96">
        <f>IF(Classement[[#This Row],[Equipe]]=Report_Données!$D:$D,SUM(Report_Données!$P:$P),3)</f>
        <v>3</v>
      </c>
      <c r="O638" s="32"/>
      <c r="Q638" s="3" t="s">
        <v>195</v>
      </c>
    </row>
    <row r="639" spans="1:17" ht="20.100000000000001" customHeight="1" x14ac:dyDescent="0.25">
      <c r="A639" s="3" t="s">
        <v>728</v>
      </c>
      <c r="B639" s="29">
        <f>COUNTIF(Report_Données!D:E,Classement[[#This Row],[Equipe]])+Classement[[#This Row],[Colonne3]]</f>
        <v>12</v>
      </c>
      <c r="C639" s="29">
        <f>SUMPRODUCT(Report[But Dom]*(Report[Domicile]=Classement[[#This Row],[Equipe]]))+SUMPRODUCT(Report[But Ext]*(Report[Extérieur]=Classement[[#This Row],[Equipe]]))+Classement[[#This Row],[Colonne1]]</f>
        <v>15</v>
      </c>
      <c r="D639" s="29">
        <f>SUMPRODUCT(Report[But Ext]*(Report[Domicile]=Classement[[#This Row],[Equipe]]))+SUMPRODUCT(Report[But Dom]*(Report[Extérieur]=Classement[[#This Row],[Equipe]]))+Classement[[#This Row],[Colonne2]]</f>
        <v>25</v>
      </c>
      <c r="E639" s="95">
        <v>11</v>
      </c>
      <c r="F639" s="96">
        <v>15</v>
      </c>
      <c r="G639" s="96">
        <v>25</v>
      </c>
      <c r="H639" s="96">
        <f>IF(Classement[[#This Row],[Equipe]]=Report_Données!$D:$D,SUM(Report_Données!$P:$P),3)</f>
        <v>3</v>
      </c>
      <c r="O639" s="32"/>
      <c r="Q639" s="3" t="s">
        <v>195</v>
      </c>
    </row>
    <row r="640" spans="1:17" ht="20.100000000000001" customHeight="1" x14ac:dyDescent="0.25">
      <c r="A640" s="3" t="s">
        <v>729</v>
      </c>
      <c r="B640" s="29">
        <f>COUNTIF(Report_Données!D:E,Classement[[#This Row],[Equipe]])+Classement[[#This Row],[Colonne3]]</f>
        <v>12</v>
      </c>
      <c r="C640" s="29">
        <f>SUMPRODUCT(Report[But Dom]*(Report[Domicile]=Classement[[#This Row],[Equipe]]))+SUMPRODUCT(Report[But Ext]*(Report[Extérieur]=Classement[[#This Row],[Equipe]]))+Classement[[#This Row],[Colonne1]]</f>
        <v>16</v>
      </c>
      <c r="D640" s="29">
        <f>SUMPRODUCT(Report[But Ext]*(Report[Domicile]=Classement[[#This Row],[Equipe]]))+SUMPRODUCT(Report[But Dom]*(Report[Extérieur]=Classement[[#This Row],[Equipe]]))+Classement[[#This Row],[Colonne2]]</f>
        <v>25</v>
      </c>
      <c r="E640" s="95">
        <v>11</v>
      </c>
      <c r="F640" s="96">
        <v>14</v>
      </c>
      <c r="G640" s="96">
        <v>23</v>
      </c>
      <c r="H640" s="96">
        <f>IF(Classement[[#This Row],[Equipe]]=Report_Données!$D:$D,SUM(Report_Données!$P:$P),3)</f>
        <v>3</v>
      </c>
      <c r="O640" s="32"/>
    </row>
    <row r="641" spans="1:17" ht="20.100000000000001" customHeight="1" x14ac:dyDescent="0.25">
      <c r="A641" s="28"/>
      <c r="B641" s="30"/>
      <c r="C641" s="30"/>
      <c r="D641" s="30"/>
      <c r="E641" s="96"/>
      <c r="F641" s="96"/>
      <c r="G641" s="96"/>
      <c r="H641" s="96">
        <f>IF(Classement[[#This Row],[Equipe]]=Report_Données!$D:$D,SUM(Report_Données!$P:$P),3)</f>
        <v>493</v>
      </c>
    </row>
    <row r="642" spans="1:17" ht="20.100000000000001" customHeight="1" x14ac:dyDescent="0.25">
      <c r="A642" s="3" t="s">
        <v>730</v>
      </c>
      <c r="B642" s="29">
        <f>COUNTIF(Report_Données!D:E,Classement[[#This Row],[Equipe]])+Classement[[#This Row],[Colonne3]]</f>
        <v>30</v>
      </c>
      <c r="C642" s="29">
        <f>SUMPRODUCT(Report[But Dom]*(Report[Domicile]=Classement[[#This Row],[Equipe]]))+SUMPRODUCT(Report[But Ext]*(Report[Extérieur]=Classement[[#This Row],[Equipe]]))+Classement[[#This Row],[Colonne1]]</f>
        <v>32</v>
      </c>
      <c r="D642" s="29">
        <f>SUMPRODUCT(Report[But Ext]*(Report[Domicile]=Classement[[#This Row],[Equipe]]))+SUMPRODUCT(Report[But Dom]*(Report[Extérieur]=Classement[[#This Row],[Equipe]]))+Classement[[#This Row],[Colonne2]]</f>
        <v>35</v>
      </c>
      <c r="E642" s="95">
        <v>29</v>
      </c>
      <c r="F642" s="96">
        <v>31</v>
      </c>
      <c r="G642" s="96">
        <v>34</v>
      </c>
      <c r="H642" s="96">
        <f>IF(Classement[[#This Row],[Equipe]]=Report_Données!$D:$D,SUM(Report_Données!$P:$P),3)</f>
        <v>3</v>
      </c>
      <c r="O642" s="31"/>
      <c r="Q642" s="3" t="s">
        <v>195</v>
      </c>
    </row>
    <row r="643" spans="1:17" ht="20.100000000000001" customHeight="1" x14ac:dyDescent="0.25">
      <c r="A643" s="3" t="s">
        <v>731</v>
      </c>
      <c r="B643" s="29">
        <f>COUNTIF(Report_Données!D:E,Classement[[#This Row],[Equipe]])+Classement[[#This Row],[Colonne3]]</f>
        <v>30</v>
      </c>
      <c r="C643" s="29">
        <f>SUMPRODUCT(Report[But Dom]*(Report[Domicile]=Classement[[#This Row],[Equipe]]))+SUMPRODUCT(Report[But Ext]*(Report[Extérieur]=Classement[[#This Row],[Equipe]]))+Classement[[#This Row],[Colonne1]]</f>
        <v>45</v>
      </c>
      <c r="D643" s="29">
        <f>SUMPRODUCT(Report[But Ext]*(Report[Domicile]=Classement[[#This Row],[Equipe]]))+SUMPRODUCT(Report[But Dom]*(Report[Extérieur]=Classement[[#This Row],[Equipe]]))+Classement[[#This Row],[Colonne2]]</f>
        <v>31</v>
      </c>
      <c r="E643" s="95">
        <v>29</v>
      </c>
      <c r="F643" s="96">
        <v>44</v>
      </c>
      <c r="G643" s="96">
        <v>31</v>
      </c>
      <c r="H643" s="96">
        <f>IF(Classement[[#This Row],[Equipe]]=Report_Données!$D:$D,SUM(Report_Données!$P:$P),3)</f>
        <v>3</v>
      </c>
      <c r="O643" s="31"/>
      <c r="Q643" s="3" t="s">
        <v>195</v>
      </c>
    </row>
    <row r="644" spans="1:17" ht="20.100000000000001" customHeight="1" x14ac:dyDescent="0.25">
      <c r="A644" s="3" t="s">
        <v>732</v>
      </c>
      <c r="B644" s="29">
        <f>COUNTIF(Report_Données!D:E,Classement[[#This Row],[Equipe]])+Classement[[#This Row],[Colonne3]]</f>
        <v>30</v>
      </c>
      <c r="C644" s="29">
        <f>SUMPRODUCT(Report[But Dom]*(Report[Domicile]=Classement[[#This Row],[Equipe]]))+SUMPRODUCT(Report[But Ext]*(Report[Extérieur]=Classement[[#This Row],[Equipe]]))+Classement[[#This Row],[Colonne1]]</f>
        <v>45</v>
      </c>
      <c r="D644" s="29">
        <f>SUMPRODUCT(Report[But Ext]*(Report[Domicile]=Classement[[#This Row],[Equipe]]))+SUMPRODUCT(Report[But Dom]*(Report[Extérieur]=Classement[[#This Row],[Equipe]]))+Classement[[#This Row],[Colonne2]]</f>
        <v>33</v>
      </c>
      <c r="E644" s="95">
        <v>29</v>
      </c>
      <c r="F644" s="96">
        <v>42</v>
      </c>
      <c r="G644" s="96">
        <v>32</v>
      </c>
      <c r="H644" s="96">
        <f>IF(Classement[[#This Row],[Equipe]]=Report_Données!$D:$D,SUM(Report_Données!$P:$P),3)</f>
        <v>3</v>
      </c>
      <c r="O644" s="31"/>
      <c r="Q644" s="3" t="s">
        <v>195</v>
      </c>
    </row>
    <row r="645" spans="1:17" ht="20.100000000000001" customHeight="1" x14ac:dyDescent="0.25">
      <c r="A645" s="3" t="s">
        <v>733</v>
      </c>
      <c r="B645" s="29">
        <f>COUNTIF(Report_Données!D:E,Classement[[#This Row],[Equipe]])+Classement[[#This Row],[Colonne3]]</f>
        <v>30</v>
      </c>
      <c r="C645" s="29">
        <f>SUMPRODUCT(Report[But Dom]*(Report[Domicile]=Classement[[#This Row],[Equipe]]))+SUMPRODUCT(Report[But Ext]*(Report[Extérieur]=Classement[[#This Row],[Equipe]]))+Classement[[#This Row],[Colonne1]]</f>
        <v>46</v>
      </c>
      <c r="D645" s="29">
        <f>SUMPRODUCT(Report[But Ext]*(Report[Domicile]=Classement[[#This Row],[Equipe]]))+SUMPRODUCT(Report[But Dom]*(Report[Extérieur]=Classement[[#This Row],[Equipe]]))+Classement[[#This Row],[Colonne2]]</f>
        <v>41</v>
      </c>
      <c r="E645" s="95">
        <v>29</v>
      </c>
      <c r="F645" s="96">
        <v>46</v>
      </c>
      <c r="G645" s="96">
        <v>39</v>
      </c>
      <c r="H645" s="96">
        <f>IF(Classement[[#This Row],[Equipe]]=Report_Données!$D:$D,SUM(Report_Données!$P:$P),3)</f>
        <v>3</v>
      </c>
      <c r="O645" s="31"/>
      <c r="Q645" s="3" t="s">
        <v>195</v>
      </c>
    </row>
    <row r="646" spans="1:17" ht="20.100000000000001" customHeight="1" x14ac:dyDescent="0.25">
      <c r="A646" s="3" t="s">
        <v>734</v>
      </c>
      <c r="B646" s="29">
        <f>COUNTIF(Report_Données!D:E,Classement[[#This Row],[Equipe]])+Classement[[#This Row],[Colonne3]]</f>
        <v>30</v>
      </c>
      <c r="C646" s="29">
        <f>SUMPRODUCT(Report[But Dom]*(Report[Domicile]=Classement[[#This Row],[Equipe]]))+SUMPRODUCT(Report[But Ext]*(Report[Extérieur]=Classement[[#This Row],[Equipe]]))+Classement[[#This Row],[Colonne1]]</f>
        <v>34</v>
      </c>
      <c r="D646" s="29">
        <f>SUMPRODUCT(Report[But Ext]*(Report[Domicile]=Classement[[#This Row],[Equipe]]))+SUMPRODUCT(Report[But Dom]*(Report[Extérieur]=Classement[[#This Row],[Equipe]]))+Classement[[#This Row],[Colonne2]]</f>
        <v>44</v>
      </c>
      <c r="E646" s="95">
        <v>29</v>
      </c>
      <c r="F646" s="96">
        <v>32</v>
      </c>
      <c r="G646" s="96">
        <v>44</v>
      </c>
      <c r="H646" s="96">
        <f>IF(Classement[[#This Row],[Equipe]]=Report_Données!$D:$D,SUM(Report_Données!$P:$P),3)</f>
        <v>3</v>
      </c>
      <c r="O646" s="31"/>
      <c r="Q646" s="3" t="s">
        <v>195</v>
      </c>
    </row>
    <row r="647" spans="1:17" ht="20.100000000000001" customHeight="1" x14ac:dyDescent="0.25">
      <c r="A647" s="3" t="s">
        <v>735</v>
      </c>
      <c r="B647" s="29">
        <f>COUNTIF(Report_Données!D:E,Classement[[#This Row],[Equipe]])+Classement[[#This Row],[Colonne3]]</f>
        <v>30</v>
      </c>
      <c r="C647" s="29">
        <f>SUMPRODUCT(Report[But Dom]*(Report[Domicile]=Classement[[#This Row],[Equipe]]))+SUMPRODUCT(Report[But Ext]*(Report[Extérieur]=Classement[[#This Row],[Equipe]]))+Classement[[#This Row],[Colonne1]]</f>
        <v>63</v>
      </c>
      <c r="D647" s="29">
        <f>SUMPRODUCT(Report[But Ext]*(Report[Domicile]=Classement[[#This Row],[Equipe]]))+SUMPRODUCT(Report[But Dom]*(Report[Extérieur]=Classement[[#This Row],[Equipe]]))+Classement[[#This Row],[Colonne2]]</f>
        <v>36</v>
      </c>
      <c r="E647" s="95">
        <v>29</v>
      </c>
      <c r="F647" s="96">
        <v>60</v>
      </c>
      <c r="G647" s="96">
        <v>35</v>
      </c>
      <c r="H647" s="96">
        <f>IF(Classement[[#This Row],[Equipe]]=Report_Données!$D:$D,SUM(Report_Données!$P:$P),3)</f>
        <v>3</v>
      </c>
      <c r="O647" s="31"/>
      <c r="Q647" s="3" t="s">
        <v>195</v>
      </c>
    </row>
    <row r="648" spans="1:17" ht="20.100000000000001" customHeight="1" x14ac:dyDescent="0.25">
      <c r="A648" s="3" t="s">
        <v>736</v>
      </c>
      <c r="B648" s="29">
        <f>COUNTIF(Report_Données!D:E,Classement[[#This Row],[Equipe]])+Classement[[#This Row],[Colonne3]]</f>
        <v>30</v>
      </c>
      <c r="C648" s="29">
        <f>SUMPRODUCT(Report[But Dom]*(Report[Domicile]=Classement[[#This Row],[Equipe]]))+SUMPRODUCT(Report[But Ext]*(Report[Extérieur]=Classement[[#This Row],[Equipe]]))+Classement[[#This Row],[Colonne1]]</f>
        <v>39</v>
      </c>
      <c r="D648" s="29">
        <f>SUMPRODUCT(Report[But Ext]*(Report[Domicile]=Classement[[#This Row],[Equipe]]))+SUMPRODUCT(Report[But Dom]*(Report[Extérieur]=Classement[[#This Row],[Equipe]]))+Classement[[#This Row],[Colonne2]]</f>
        <v>38</v>
      </c>
      <c r="E648" s="95">
        <v>29</v>
      </c>
      <c r="F648" s="96">
        <v>39</v>
      </c>
      <c r="G648" s="96">
        <v>37</v>
      </c>
      <c r="H648" s="96">
        <f>IF(Classement[[#This Row],[Equipe]]=Report_Données!$D:$D,SUM(Report_Données!$P:$P),3)</f>
        <v>3</v>
      </c>
      <c r="O648" s="31"/>
      <c r="Q648" s="3" t="s">
        <v>195</v>
      </c>
    </row>
    <row r="649" spans="1:17" ht="20.100000000000001" customHeight="1" x14ac:dyDescent="0.25">
      <c r="A649" s="3" t="s">
        <v>737</v>
      </c>
      <c r="B649" s="29">
        <f>COUNTIF(Report_Données!D:E,Classement[[#This Row],[Equipe]])+Classement[[#This Row],[Colonne3]]</f>
        <v>30</v>
      </c>
      <c r="C649" s="29">
        <f>SUMPRODUCT(Report[But Dom]*(Report[Domicile]=Classement[[#This Row],[Equipe]]))+SUMPRODUCT(Report[But Ext]*(Report[Extérieur]=Classement[[#This Row],[Equipe]]))+Classement[[#This Row],[Colonne1]]</f>
        <v>43</v>
      </c>
      <c r="D649" s="29">
        <f>SUMPRODUCT(Report[But Ext]*(Report[Domicile]=Classement[[#This Row],[Equipe]]))+SUMPRODUCT(Report[But Dom]*(Report[Extérieur]=Classement[[#This Row],[Equipe]]))+Classement[[#This Row],[Colonne2]]</f>
        <v>50</v>
      </c>
      <c r="E649" s="95">
        <v>29</v>
      </c>
      <c r="F649" s="96">
        <v>42</v>
      </c>
      <c r="G649" s="96">
        <v>48</v>
      </c>
      <c r="H649" s="96">
        <f>IF(Classement[[#This Row],[Equipe]]=Report_Données!$D:$D,SUM(Report_Données!$P:$P),3)</f>
        <v>3</v>
      </c>
      <c r="O649" s="31"/>
      <c r="Q649" s="3" t="s">
        <v>195</v>
      </c>
    </row>
    <row r="650" spans="1:17" ht="20.100000000000001" customHeight="1" x14ac:dyDescent="0.25">
      <c r="A650" s="3" t="s">
        <v>738</v>
      </c>
      <c r="B650" s="29">
        <f>COUNTIF(Report_Données!D:E,Classement[[#This Row],[Equipe]])+Classement[[#This Row],[Colonne3]]</f>
        <v>30</v>
      </c>
      <c r="C650" s="29">
        <f>SUMPRODUCT(Report[But Dom]*(Report[Domicile]=Classement[[#This Row],[Equipe]]))+SUMPRODUCT(Report[But Ext]*(Report[Extérieur]=Classement[[#This Row],[Equipe]]))+Classement[[#This Row],[Colonne1]]</f>
        <v>51</v>
      </c>
      <c r="D650" s="29">
        <f>SUMPRODUCT(Report[But Ext]*(Report[Domicile]=Classement[[#This Row],[Equipe]]))+SUMPRODUCT(Report[But Dom]*(Report[Extérieur]=Classement[[#This Row],[Equipe]]))+Classement[[#This Row],[Colonne2]]</f>
        <v>24</v>
      </c>
      <c r="E650" s="95">
        <v>29</v>
      </c>
      <c r="F650" s="96">
        <v>50</v>
      </c>
      <c r="G650" s="96">
        <v>23</v>
      </c>
      <c r="H650" s="96">
        <f>IF(Classement[[#This Row],[Equipe]]=Report_Données!$D:$D,SUM(Report_Données!$P:$P),3)</f>
        <v>3</v>
      </c>
      <c r="O650" s="31"/>
      <c r="Q650" s="3" t="s">
        <v>195</v>
      </c>
    </row>
    <row r="651" spans="1:17" ht="20.100000000000001" customHeight="1" x14ac:dyDescent="0.25">
      <c r="A651" s="3" t="s">
        <v>739</v>
      </c>
      <c r="B651" s="29">
        <f>COUNTIF(Report_Données!D:E,Classement[[#This Row],[Equipe]])+Classement[[#This Row],[Colonne3]]</f>
        <v>30</v>
      </c>
      <c r="C651" s="29">
        <f>SUMPRODUCT(Report[But Dom]*(Report[Domicile]=Classement[[#This Row],[Equipe]]))+SUMPRODUCT(Report[But Ext]*(Report[Extérieur]=Classement[[#This Row],[Equipe]]))+Classement[[#This Row],[Colonne1]]</f>
        <v>35</v>
      </c>
      <c r="D651" s="29">
        <f>SUMPRODUCT(Report[But Ext]*(Report[Domicile]=Classement[[#This Row],[Equipe]]))+SUMPRODUCT(Report[But Dom]*(Report[Extérieur]=Classement[[#This Row],[Equipe]]))+Classement[[#This Row],[Colonne2]]</f>
        <v>57</v>
      </c>
      <c r="E651" s="95">
        <v>29</v>
      </c>
      <c r="F651" s="96">
        <v>34</v>
      </c>
      <c r="G651" s="96">
        <v>54</v>
      </c>
      <c r="H651" s="96">
        <f>IF(Classement[[#This Row],[Equipe]]=Report_Données!$D:$D,SUM(Report_Données!$P:$P),3)</f>
        <v>3</v>
      </c>
      <c r="O651" s="31"/>
      <c r="Q651" s="3" t="s">
        <v>195</v>
      </c>
    </row>
    <row r="652" spans="1:17" ht="20.100000000000001" customHeight="1" x14ac:dyDescent="0.25">
      <c r="A652" s="3" t="s">
        <v>740</v>
      </c>
      <c r="B652" s="29">
        <f>COUNTIF(Report_Données!D:E,Classement[[#This Row],[Equipe]])+Classement[[#This Row],[Colonne3]]</f>
        <v>30</v>
      </c>
      <c r="C652" s="29">
        <f>SUMPRODUCT(Report[But Dom]*(Report[Domicile]=Classement[[#This Row],[Equipe]]))+SUMPRODUCT(Report[But Ext]*(Report[Extérieur]=Classement[[#This Row],[Equipe]]))+Classement[[#This Row],[Colonne1]]</f>
        <v>46</v>
      </c>
      <c r="D652" s="29">
        <f>SUMPRODUCT(Report[But Ext]*(Report[Domicile]=Classement[[#This Row],[Equipe]]))+SUMPRODUCT(Report[But Dom]*(Report[Extérieur]=Classement[[#This Row],[Equipe]]))+Classement[[#This Row],[Colonne2]]</f>
        <v>39</v>
      </c>
      <c r="E652" s="95">
        <v>29</v>
      </c>
      <c r="F652" s="96">
        <v>44</v>
      </c>
      <c r="G652" s="96">
        <v>39</v>
      </c>
      <c r="H652" s="96">
        <f>IF(Classement[[#This Row],[Equipe]]=Report_Données!$D:$D,SUM(Report_Données!$P:$P),3)</f>
        <v>3</v>
      </c>
      <c r="O652" s="31"/>
      <c r="Q652" s="3" t="s">
        <v>195</v>
      </c>
    </row>
    <row r="653" spans="1:17" ht="20.100000000000001" customHeight="1" x14ac:dyDescent="0.25">
      <c r="A653" s="3" t="s">
        <v>741</v>
      </c>
      <c r="B653" s="29">
        <f>COUNTIF(Report_Données!D:E,Classement[[#This Row],[Equipe]])+Classement[[#This Row],[Colonne3]]</f>
        <v>30</v>
      </c>
      <c r="C653" s="29">
        <f>SUMPRODUCT(Report[But Dom]*(Report[Domicile]=Classement[[#This Row],[Equipe]]))+SUMPRODUCT(Report[But Ext]*(Report[Extérieur]=Classement[[#This Row],[Equipe]]))+Classement[[#This Row],[Colonne1]]</f>
        <v>37</v>
      </c>
      <c r="D653" s="29">
        <f>SUMPRODUCT(Report[But Ext]*(Report[Domicile]=Classement[[#This Row],[Equipe]]))+SUMPRODUCT(Report[But Dom]*(Report[Extérieur]=Classement[[#This Row],[Equipe]]))+Classement[[#This Row],[Colonne2]]</f>
        <v>50</v>
      </c>
      <c r="E653" s="95">
        <v>29</v>
      </c>
      <c r="F653" s="96">
        <v>35</v>
      </c>
      <c r="G653" s="96">
        <v>48</v>
      </c>
      <c r="H653" s="96">
        <f>IF(Classement[[#This Row],[Equipe]]=Report_Données!$D:$D,SUM(Report_Données!$P:$P),3)</f>
        <v>3</v>
      </c>
      <c r="O653" s="31"/>
      <c r="Q653" s="3" t="s">
        <v>195</v>
      </c>
    </row>
    <row r="654" spans="1:17" ht="20.100000000000001" customHeight="1" x14ac:dyDescent="0.25">
      <c r="A654" s="3" t="s">
        <v>742</v>
      </c>
      <c r="B654" s="29">
        <f>COUNTIF(Report_Données!D:E,Classement[[#This Row],[Equipe]])+Classement[[#This Row],[Colonne3]]</f>
        <v>30</v>
      </c>
      <c r="C654" s="29">
        <f>SUMPRODUCT(Report[But Dom]*(Report[Domicile]=Classement[[#This Row],[Equipe]]))+SUMPRODUCT(Report[But Ext]*(Report[Extérieur]=Classement[[#This Row],[Equipe]]))+Classement[[#This Row],[Colonne1]]</f>
        <v>30</v>
      </c>
      <c r="D654" s="29">
        <f>SUMPRODUCT(Report[But Ext]*(Report[Domicile]=Classement[[#This Row],[Equipe]]))+SUMPRODUCT(Report[But Dom]*(Report[Extérieur]=Classement[[#This Row],[Equipe]]))+Classement[[#This Row],[Colonne2]]</f>
        <v>54</v>
      </c>
      <c r="E654" s="95">
        <v>29</v>
      </c>
      <c r="F654" s="96">
        <v>29</v>
      </c>
      <c r="G654" s="96">
        <v>51</v>
      </c>
      <c r="H654" s="96">
        <f>IF(Classement[[#This Row],[Equipe]]=Report_Données!$D:$D,SUM(Report_Données!$P:$P),3)</f>
        <v>3</v>
      </c>
      <c r="O654" s="31"/>
      <c r="Q654" s="3" t="s">
        <v>195</v>
      </c>
    </row>
    <row r="655" spans="1:17" ht="20.100000000000001" customHeight="1" x14ac:dyDescent="0.25">
      <c r="A655" s="3" t="s">
        <v>743</v>
      </c>
      <c r="B655" s="29">
        <f>COUNTIF(Report_Données!D:E,Classement[[#This Row],[Equipe]])+Classement[[#This Row],[Colonne3]]</f>
        <v>30</v>
      </c>
      <c r="C655" s="29">
        <f>SUMPRODUCT(Report[But Dom]*(Report[Domicile]=Classement[[#This Row],[Equipe]]))+SUMPRODUCT(Report[But Ext]*(Report[Extérieur]=Classement[[#This Row],[Equipe]]))+Classement[[#This Row],[Colonne1]]</f>
        <v>46</v>
      </c>
      <c r="D655" s="29">
        <f>SUMPRODUCT(Report[But Ext]*(Report[Domicile]=Classement[[#This Row],[Equipe]]))+SUMPRODUCT(Report[But Dom]*(Report[Extérieur]=Classement[[#This Row],[Equipe]]))+Classement[[#This Row],[Colonne2]]</f>
        <v>48</v>
      </c>
      <c r="E655" s="95">
        <v>29</v>
      </c>
      <c r="F655" s="96">
        <v>44</v>
      </c>
      <c r="G655" s="96">
        <v>46</v>
      </c>
      <c r="H655" s="96">
        <f>IF(Classement[[#This Row],[Equipe]]=Report_Données!$D:$D,SUM(Report_Données!$P:$P),3)</f>
        <v>3</v>
      </c>
      <c r="O655" s="31"/>
      <c r="Q655" s="3" t="s">
        <v>195</v>
      </c>
    </row>
    <row r="656" spans="1:17" ht="20.100000000000001" customHeight="1" x14ac:dyDescent="0.25">
      <c r="A656" s="3" t="s">
        <v>744</v>
      </c>
      <c r="B656" s="29">
        <f>COUNTIF(Report_Données!D:E,Classement[[#This Row],[Equipe]])+Classement[[#This Row],[Colonne3]]</f>
        <v>30</v>
      </c>
      <c r="C656" s="29">
        <f>SUMPRODUCT(Report[But Dom]*(Report[Domicile]=Classement[[#This Row],[Equipe]]))+SUMPRODUCT(Report[But Ext]*(Report[Extérieur]=Classement[[#This Row],[Equipe]]))+Classement[[#This Row],[Colonne1]]</f>
        <v>41</v>
      </c>
      <c r="D656" s="29">
        <f>SUMPRODUCT(Report[But Ext]*(Report[Domicile]=Classement[[#This Row],[Equipe]]))+SUMPRODUCT(Report[But Dom]*(Report[Extérieur]=Classement[[#This Row],[Equipe]]))+Classement[[#This Row],[Colonne2]]</f>
        <v>48</v>
      </c>
      <c r="E656" s="95">
        <v>29</v>
      </c>
      <c r="F656" s="96">
        <v>41</v>
      </c>
      <c r="G656" s="96">
        <v>46</v>
      </c>
      <c r="H656" s="96">
        <f>IF(Classement[[#This Row],[Equipe]]=Report_Données!$D:$D,SUM(Report_Données!$P:$P),3)</f>
        <v>3</v>
      </c>
      <c r="O656" s="31"/>
      <c r="Q656" s="3" t="s">
        <v>195</v>
      </c>
    </row>
    <row r="657" spans="1:17" ht="20.100000000000001" customHeight="1" x14ac:dyDescent="0.25">
      <c r="A657" s="3" t="s">
        <v>745</v>
      </c>
      <c r="B657" s="29">
        <f>COUNTIF(Report_Données!D:E,Classement[[#This Row],[Equipe]])+Classement[[#This Row],[Colonne3]]</f>
        <v>30</v>
      </c>
      <c r="C657" s="29">
        <f>SUMPRODUCT(Report[But Dom]*(Report[Domicile]=Classement[[#This Row],[Equipe]]))+SUMPRODUCT(Report[But Ext]*(Report[Extérieur]=Classement[[#This Row],[Equipe]]))+Classement[[#This Row],[Colonne1]]</f>
        <v>39</v>
      </c>
      <c r="D657" s="29">
        <f>SUMPRODUCT(Report[But Ext]*(Report[Domicile]=Classement[[#This Row],[Equipe]]))+SUMPRODUCT(Report[But Dom]*(Report[Extérieur]=Classement[[#This Row],[Equipe]]))+Classement[[#This Row],[Colonne2]]</f>
        <v>44</v>
      </c>
      <c r="E657" s="95">
        <v>29</v>
      </c>
      <c r="F657" s="96">
        <v>37</v>
      </c>
      <c r="G657" s="96">
        <v>43</v>
      </c>
      <c r="H657" s="96">
        <f>IF(Classement[[#This Row],[Equipe]]=Report_Données!$D:$D,SUM(Report_Données!$P:$P),3)</f>
        <v>3</v>
      </c>
      <c r="O657" s="31"/>
    </row>
    <row r="658" spans="1:17" ht="20.100000000000001" customHeight="1" x14ac:dyDescent="0.25">
      <c r="A658" s="28"/>
      <c r="B658" s="30"/>
      <c r="C658" s="30"/>
      <c r="D658" s="30"/>
      <c r="E658" s="96"/>
      <c r="F658" s="96"/>
      <c r="G658" s="96"/>
      <c r="H658" s="96">
        <f>IF(Classement[[#This Row],[Equipe]]=Report_Données!$D:$D,SUM(Report_Données!$P:$P),3)</f>
        <v>493</v>
      </c>
    </row>
    <row r="659" spans="1:17" ht="20.100000000000001" customHeight="1" x14ac:dyDescent="0.25">
      <c r="A659" s="3" t="s">
        <v>746</v>
      </c>
      <c r="B659" s="29">
        <f>COUNTIF(Report_Données!D:E,Classement[[#This Row],[Equipe]])+Classement[[#This Row],[Colonne3]]</f>
        <v>13</v>
      </c>
      <c r="C659" s="29">
        <f>SUMPRODUCT(Report[But Dom]*(Report[Domicile]=Classement[[#This Row],[Equipe]]))+SUMPRODUCT(Report[But Ext]*(Report[Extérieur]=Classement[[#This Row],[Equipe]]))+Classement[[#This Row],[Colonne1]]</f>
        <v>40</v>
      </c>
      <c r="D659" s="29">
        <f>SUMPRODUCT(Report[But Ext]*(Report[Domicile]=Classement[[#This Row],[Equipe]]))+SUMPRODUCT(Report[But Dom]*(Report[Extérieur]=Classement[[#This Row],[Equipe]]))+Classement[[#This Row],[Colonne2]]</f>
        <v>5</v>
      </c>
      <c r="E659" s="95">
        <v>12</v>
      </c>
      <c r="F659" s="96">
        <v>37</v>
      </c>
      <c r="G659" s="96">
        <v>5</v>
      </c>
      <c r="H659" s="96">
        <f>IF(Classement[[#This Row],[Equipe]]=Report_Données!$D:$D,SUM(Report_Données!$P:$P),3)</f>
        <v>3</v>
      </c>
      <c r="O659" s="31"/>
      <c r="Q659" s="3" t="s">
        <v>195</v>
      </c>
    </row>
    <row r="660" spans="1:17" ht="20.100000000000001" customHeight="1" x14ac:dyDescent="0.25">
      <c r="A660" s="3" t="s">
        <v>747</v>
      </c>
      <c r="B660" s="29">
        <f>COUNTIF(Report_Données!D:E,Classement[[#This Row],[Equipe]])+Classement[[#This Row],[Colonne3]]</f>
        <v>13</v>
      </c>
      <c r="C660" s="29">
        <f>SUMPRODUCT(Report[But Dom]*(Report[Domicile]=Classement[[#This Row],[Equipe]]))+SUMPRODUCT(Report[But Ext]*(Report[Extérieur]=Classement[[#This Row],[Equipe]]))+Classement[[#This Row],[Colonne1]]</f>
        <v>24</v>
      </c>
      <c r="D660" s="29">
        <f>SUMPRODUCT(Report[But Ext]*(Report[Domicile]=Classement[[#This Row],[Equipe]]))+SUMPRODUCT(Report[But Dom]*(Report[Extérieur]=Classement[[#This Row],[Equipe]]))+Classement[[#This Row],[Colonne2]]</f>
        <v>20</v>
      </c>
      <c r="E660" s="95">
        <v>12</v>
      </c>
      <c r="F660" s="96">
        <v>22</v>
      </c>
      <c r="G660" s="96">
        <v>18</v>
      </c>
      <c r="H660" s="96">
        <f>IF(Classement[[#This Row],[Equipe]]=Report_Données!$D:$D,SUM(Report_Données!$P:$P),3)</f>
        <v>3</v>
      </c>
      <c r="O660" s="32"/>
      <c r="Q660" s="3" t="s">
        <v>195</v>
      </c>
    </row>
    <row r="661" spans="1:17" ht="20.100000000000001" customHeight="1" x14ac:dyDescent="0.25">
      <c r="A661" s="3" t="s">
        <v>748</v>
      </c>
      <c r="B661" s="29">
        <f>COUNTIF(Report_Données!D:E,Classement[[#This Row],[Equipe]])+Classement[[#This Row],[Colonne3]]</f>
        <v>13</v>
      </c>
      <c r="C661" s="29">
        <f>SUMPRODUCT(Report[But Dom]*(Report[Domicile]=Classement[[#This Row],[Equipe]]))+SUMPRODUCT(Report[But Ext]*(Report[Extérieur]=Classement[[#This Row],[Equipe]]))+Classement[[#This Row],[Colonne1]]</f>
        <v>13</v>
      </c>
      <c r="D661" s="29">
        <f>SUMPRODUCT(Report[But Ext]*(Report[Domicile]=Classement[[#This Row],[Equipe]]))+SUMPRODUCT(Report[But Dom]*(Report[Extérieur]=Classement[[#This Row],[Equipe]]))+Classement[[#This Row],[Colonne2]]</f>
        <v>30</v>
      </c>
      <c r="E661" s="95">
        <v>12</v>
      </c>
      <c r="F661" s="96">
        <v>13</v>
      </c>
      <c r="G661" s="96">
        <v>27</v>
      </c>
      <c r="H661" s="96">
        <f>IF(Classement[[#This Row],[Equipe]]=Report_Données!$D:$D,SUM(Report_Données!$P:$P),3)</f>
        <v>3</v>
      </c>
      <c r="O661" s="32"/>
      <c r="Q661" s="3" t="s">
        <v>195</v>
      </c>
    </row>
    <row r="662" spans="1:17" ht="20.100000000000001" customHeight="1" x14ac:dyDescent="0.25">
      <c r="A662" s="3" t="s">
        <v>749</v>
      </c>
      <c r="B662" s="29">
        <f>COUNTIF(Report_Données!D:E,Classement[[#This Row],[Equipe]])+Classement[[#This Row],[Colonne3]]</f>
        <v>13</v>
      </c>
      <c r="C662" s="29">
        <f>SUMPRODUCT(Report[But Dom]*(Report[Domicile]=Classement[[#This Row],[Equipe]]))+SUMPRODUCT(Report[But Ext]*(Report[Extérieur]=Classement[[#This Row],[Equipe]]))+Classement[[#This Row],[Colonne1]]</f>
        <v>17</v>
      </c>
      <c r="D662" s="29">
        <f>SUMPRODUCT(Report[But Ext]*(Report[Domicile]=Classement[[#This Row],[Equipe]]))+SUMPRODUCT(Report[But Dom]*(Report[Extérieur]=Classement[[#This Row],[Equipe]]))+Classement[[#This Row],[Colonne2]]</f>
        <v>27</v>
      </c>
      <c r="E662" s="95">
        <v>12</v>
      </c>
      <c r="F662" s="96">
        <v>14</v>
      </c>
      <c r="G662" s="96">
        <v>25</v>
      </c>
      <c r="H662" s="96">
        <f>IF(Classement[[#This Row],[Equipe]]=Report_Données!$D:$D,SUM(Report_Données!$P:$P),3)</f>
        <v>3</v>
      </c>
      <c r="O662" s="32"/>
      <c r="Q662" s="3" t="s">
        <v>195</v>
      </c>
    </row>
    <row r="663" spans="1:17" ht="20.100000000000001" customHeight="1" x14ac:dyDescent="0.25">
      <c r="A663" s="3" t="s">
        <v>750</v>
      </c>
      <c r="B663" s="29">
        <f>COUNTIF(Report_Données!D:E,Classement[[#This Row],[Equipe]])+Classement[[#This Row],[Colonne3]]</f>
        <v>13</v>
      </c>
      <c r="C663" s="29">
        <f>SUMPRODUCT(Report[But Dom]*(Report[Domicile]=Classement[[#This Row],[Equipe]]))+SUMPRODUCT(Report[But Ext]*(Report[Extérieur]=Classement[[#This Row],[Equipe]]))+Classement[[#This Row],[Colonne1]]</f>
        <v>19</v>
      </c>
      <c r="D663" s="29">
        <f>SUMPRODUCT(Report[But Ext]*(Report[Domicile]=Classement[[#This Row],[Equipe]]))+SUMPRODUCT(Report[But Dom]*(Report[Extérieur]=Classement[[#This Row],[Equipe]]))+Classement[[#This Row],[Colonne2]]</f>
        <v>31</v>
      </c>
      <c r="E663" s="95">
        <v>12</v>
      </c>
      <c r="F663" s="96">
        <v>17</v>
      </c>
      <c r="G663" s="96">
        <v>30</v>
      </c>
      <c r="H663" s="96">
        <f>IF(Classement[[#This Row],[Equipe]]=Report_Données!$D:$D,SUM(Report_Données!$P:$P),3)</f>
        <v>3</v>
      </c>
      <c r="O663" s="32"/>
      <c r="Q663" s="3" t="s">
        <v>195</v>
      </c>
    </row>
    <row r="664" spans="1:17" ht="20.100000000000001" customHeight="1" x14ac:dyDescent="0.25">
      <c r="A664" s="3" t="s">
        <v>751</v>
      </c>
      <c r="B664" s="29">
        <f>COUNTIF(Report_Données!D:E,Classement[[#This Row],[Equipe]])+Classement[[#This Row],[Colonne3]]</f>
        <v>13</v>
      </c>
      <c r="C664" s="29">
        <f>SUMPRODUCT(Report[But Dom]*(Report[Domicile]=Classement[[#This Row],[Equipe]]))+SUMPRODUCT(Report[But Ext]*(Report[Extérieur]=Classement[[#This Row],[Equipe]]))+Classement[[#This Row],[Colonne1]]</f>
        <v>15</v>
      </c>
      <c r="D664" s="29">
        <f>SUMPRODUCT(Report[But Ext]*(Report[Domicile]=Classement[[#This Row],[Equipe]]))+SUMPRODUCT(Report[But Dom]*(Report[Extérieur]=Classement[[#This Row],[Equipe]]))+Classement[[#This Row],[Colonne2]]</f>
        <v>28</v>
      </c>
      <c r="E664" s="95">
        <v>12</v>
      </c>
      <c r="F664" s="96">
        <v>14</v>
      </c>
      <c r="G664" s="96">
        <v>26</v>
      </c>
      <c r="H664" s="96">
        <f>IF(Classement[[#This Row],[Equipe]]=Report_Données!$D:$D,SUM(Report_Données!$P:$P),3)</f>
        <v>3</v>
      </c>
      <c r="O664" s="32"/>
      <c r="Q664" s="3" t="s">
        <v>195</v>
      </c>
    </row>
    <row r="665" spans="1:17" ht="20.100000000000001" customHeight="1" x14ac:dyDescent="0.25">
      <c r="A665" s="3" t="s">
        <v>752</v>
      </c>
      <c r="B665" s="29">
        <f>COUNTIF(Report_Données!D:E,Classement[[#This Row],[Equipe]])+Classement[[#This Row],[Colonne3]]</f>
        <v>12</v>
      </c>
      <c r="C665" s="29">
        <f>SUMPRODUCT(Report[But Dom]*(Report[Domicile]=Classement[[#This Row],[Equipe]]))+SUMPRODUCT(Report[But Ext]*(Report[Extérieur]=Classement[[#This Row],[Equipe]]))+Classement[[#This Row],[Colonne1]]</f>
        <v>23</v>
      </c>
      <c r="D665" s="29">
        <f>SUMPRODUCT(Report[But Ext]*(Report[Domicile]=Classement[[#This Row],[Equipe]]))+SUMPRODUCT(Report[But Dom]*(Report[Extérieur]=Classement[[#This Row],[Equipe]]))+Classement[[#This Row],[Colonne2]]</f>
        <v>13</v>
      </c>
      <c r="E665" s="95">
        <v>11</v>
      </c>
      <c r="F665" s="96">
        <v>22</v>
      </c>
      <c r="G665" s="96">
        <v>13</v>
      </c>
      <c r="H665" s="96">
        <f>IF(Classement[[#This Row],[Equipe]]=Report_Données!$D:$D,SUM(Report_Données!$P:$P),3)</f>
        <v>3</v>
      </c>
      <c r="O665" s="32"/>
      <c r="Q665" s="3" t="s">
        <v>195</v>
      </c>
    </row>
    <row r="666" spans="1:17" ht="20.100000000000001" customHeight="1" x14ac:dyDescent="0.25">
      <c r="A666" s="3" t="s">
        <v>753</v>
      </c>
      <c r="B666" s="29">
        <f>COUNTIF(Report_Données!D:E,Classement[[#This Row],[Equipe]])+Classement[[#This Row],[Colonne3]]</f>
        <v>13</v>
      </c>
      <c r="C666" s="29">
        <f>SUMPRODUCT(Report[But Dom]*(Report[Domicile]=Classement[[#This Row],[Equipe]]))+SUMPRODUCT(Report[But Ext]*(Report[Extérieur]=Classement[[#This Row],[Equipe]]))+Classement[[#This Row],[Colonne1]]</f>
        <v>12</v>
      </c>
      <c r="D666" s="29">
        <f>SUMPRODUCT(Report[But Ext]*(Report[Domicile]=Classement[[#This Row],[Equipe]]))+SUMPRODUCT(Report[But Dom]*(Report[Extérieur]=Classement[[#This Row],[Equipe]]))+Classement[[#This Row],[Colonne2]]</f>
        <v>31</v>
      </c>
      <c r="E666" s="95">
        <v>12</v>
      </c>
      <c r="F666" s="96">
        <v>12</v>
      </c>
      <c r="G666" s="96">
        <v>26</v>
      </c>
      <c r="H666" s="96">
        <f>IF(Classement[[#This Row],[Equipe]]=Report_Données!$D:$D,SUM(Report_Données!$P:$P),3)</f>
        <v>3</v>
      </c>
      <c r="O666" s="32"/>
      <c r="Q666" s="3" t="s">
        <v>195</v>
      </c>
    </row>
    <row r="667" spans="1:17" ht="20.100000000000001" customHeight="1" x14ac:dyDescent="0.25">
      <c r="A667" s="3" t="s">
        <v>754</v>
      </c>
      <c r="B667" s="29">
        <f>COUNTIF(Report_Données!D:E,Classement[[#This Row],[Equipe]])+Classement[[#This Row],[Colonne3]]</f>
        <v>13</v>
      </c>
      <c r="C667" s="29">
        <f>SUMPRODUCT(Report[But Dom]*(Report[Domicile]=Classement[[#This Row],[Equipe]]))+SUMPRODUCT(Report[But Ext]*(Report[Extérieur]=Classement[[#This Row],[Equipe]]))+Classement[[#This Row],[Colonne1]]</f>
        <v>12</v>
      </c>
      <c r="D667" s="29">
        <f>SUMPRODUCT(Report[But Ext]*(Report[Domicile]=Classement[[#This Row],[Equipe]]))+SUMPRODUCT(Report[But Dom]*(Report[Extérieur]=Classement[[#This Row],[Equipe]]))+Classement[[#This Row],[Colonne2]]</f>
        <v>24</v>
      </c>
      <c r="E667" s="95">
        <v>12</v>
      </c>
      <c r="F667" s="96">
        <v>12</v>
      </c>
      <c r="G667" s="96">
        <v>23</v>
      </c>
      <c r="H667" s="96">
        <f>IF(Classement[[#This Row],[Equipe]]=Report_Données!$D:$D,SUM(Report_Données!$P:$P),3)</f>
        <v>3</v>
      </c>
      <c r="O667" s="32"/>
      <c r="Q667" s="3" t="s">
        <v>195</v>
      </c>
    </row>
    <row r="668" spans="1:17" ht="20.100000000000001" customHeight="1" x14ac:dyDescent="0.25">
      <c r="A668" s="3" t="s">
        <v>755</v>
      </c>
      <c r="B668" s="29">
        <f>COUNTIF(Report_Données!D:E,Classement[[#This Row],[Equipe]])+Classement[[#This Row],[Colonne3]]</f>
        <v>13</v>
      </c>
      <c r="C668" s="29">
        <f>SUMPRODUCT(Report[But Dom]*(Report[Domicile]=Classement[[#This Row],[Equipe]]))+SUMPRODUCT(Report[But Ext]*(Report[Extérieur]=Classement[[#This Row],[Equipe]]))+Classement[[#This Row],[Colonne1]]</f>
        <v>24</v>
      </c>
      <c r="D668" s="29">
        <f>SUMPRODUCT(Report[But Ext]*(Report[Domicile]=Classement[[#This Row],[Equipe]]))+SUMPRODUCT(Report[But Dom]*(Report[Extérieur]=Classement[[#This Row],[Equipe]]))+Classement[[#This Row],[Colonne2]]</f>
        <v>30</v>
      </c>
      <c r="E668" s="95">
        <v>12</v>
      </c>
      <c r="F668" s="96">
        <v>24</v>
      </c>
      <c r="G668" s="96">
        <v>27</v>
      </c>
      <c r="H668" s="96">
        <f>IF(Classement[[#This Row],[Equipe]]=Report_Données!$D:$D,SUM(Report_Données!$P:$P),3)</f>
        <v>3</v>
      </c>
      <c r="O668" s="31"/>
      <c r="Q668" s="3" t="s">
        <v>195</v>
      </c>
    </row>
    <row r="669" spans="1:17" ht="20.100000000000001" customHeight="1" x14ac:dyDescent="0.25">
      <c r="A669" s="3" t="s">
        <v>756</v>
      </c>
      <c r="B669" s="29">
        <f>COUNTIF(Report_Données!D:E,Classement[[#This Row],[Equipe]])+Classement[[#This Row],[Colonne3]]</f>
        <v>13</v>
      </c>
      <c r="C669" s="29">
        <f>SUMPRODUCT(Report[But Dom]*(Report[Domicile]=Classement[[#This Row],[Equipe]]))+SUMPRODUCT(Report[But Ext]*(Report[Extérieur]=Classement[[#This Row],[Equipe]]))+Classement[[#This Row],[Colonne1]]</f>
        <v>25</v>
      </c>
      <c r="D669" s="29">
        <f>SUMPRODUCT(Report[But Ext]*(Report[Domicile]=Classement[[#This Row],[Equipe]]))+SUMPRODUCT(Report[But Dom]*(Report[Extérieur]=Classement[[#This Row],[Equipe]]))+Classement[[#This Row],[Colonne2]]</f>
        <v>27</v>
      </c>
      <c r="E669" s="95">
        <v>12</v>
      </c>
      <c r="F669" s="96">
        <v>25</v>
      </c>
      <c r="G669" s="96">
        <v>24</v>
      </c>
      <c r="H669" s="96">
        <f>IF(Classement[[#This Row],[Equipe]]=Report_Données!$D:$D,SUM(Report_Données!$P:$P),3)</f>
        <v>3</v>
      </c>
      <c r="O669" s="31"/>
      <c r="Q669" s="3" t="s">
        <v>195</v>
      </c>
    </row>
    <row r="670" spans="1:17" ht="20.100000000000001" customHeight="1" x14ac:dyDescent="0.25">
      <c r="A670" s="3" t="s">
        <v>757</v>
      </c>
      <c r="B670" s="29">
        <f>COUNTIF(Report_Données!D:E,Classement[[#This Row],[Equipe]])+Classement[[#This Row],[Colonne3]]</f>
        <v>13</v>
      </c>
      <c r="C670" s="29">
        <f>SUMPRODUCT(Report[But Dom]*(Report[Domicile]=Classement[[#This Row],[Equipe]]))+SUMPRODUCT(Report[But Ext]*(Report[Extérieur]=Classement[[#This Row],[Equipe]]))+Classement[[#This Row],[Colonne1]]</f>
        <v>46</v>
      </c>
      <c r="D670" s="29">
        <f>SUMPRODUCT(Report[But Ext]*(Report[Domicile]=Classement[[#This Row],[Equipe]]))+SUMPRODUCT(Report[But Dom]*(Report[Extérieur]=Classement[[#This Row],[Equipe]]))+Classement[[#This Row],[Colonne2]]</f>
        <v>5</v>
      </c>
      <c r="E670" s="95">
        <v>12</v>
      </c>
      <c r="F670" s="96">
        <v>43</v>
      </c>
      <c r="G670" s="96">
        <v>5</v>
      </c>
      <c r="H670" s="96">
        <f>IF(Classement[[#This Row],[Equipe]]=Report_Données!$D:$D,SUM(Report_Données!$P:$P),3)</f>
        <v>3</v>
      </c>
      <c r="O670" s="31"/>
      <c r="Q670" s="3" t="s">
        <v>195</v>
      </c>
    </row>
    <row r="671" spans="1:17" ht="20.100000000000001" customHeight="1" x14ac:dyDescent="0.25">
      <c r="A671" s="3" t="s">
        <v>758</v>
      </c>
      <c r="B671" s="29">
        <f>COUNTIF(Report_Données!D:E,Classement[[#This Row],[Equipe]])+Classement[[#This Row],[Colonne3]]</f>
        <v>13</v>
      </c>
      <c r="C671" s="29">
        <f>SUMPRODUCT(Report[But Dom]*(Report[Domicile]=Classement[[#This Row],[Equipe]]))+SUMPRODUCT(Report[But Ext]*(Report[Extérieur]=Classement[[#This Row],[Equipe]]))+Classement[[#This Row],[Colonne1]]</f>
        <v>26</v>
      </c>
      <c r="D671" s="29">
        <f>SUMPRODUCT(Report[But Ext]*(Report[Domicile]=Classement[[#This Row],[Equipe]]))+SUMPRODUCT(Report[But Dom]*(Report[Extérieur]=Classement[[#This Row],[Equipe]]))+Classement[[#This Row],[Colonne2]]</f>
        <v>24</v>
      </c>
      <c r="E671" s="95">
        <v>12</v>
      </c>
      <c r="F671" s="96">
        <v>23</v>
      </c>
      <c r="G671" s="96">
        <v>24</v>
      </c>
      <c r="H671" s="96">
        <f>IF(Classement[[#This Row],[Equipe]]=Report_Données!$D:$D,SUM(Report_Données!$P:$P),3)</f>
        <v>3</v>
      </c>
      <c r="O671" s="32"/>
      <c r="Q671" s="3" t="s">
        <v>195</v>
      </c>
    </row>
    <row r="672" spans="1:17" ht="20.100000000000001" customHeight="1" x14ac:dyDescent="0.25">
      <c r="A672" s="3" t="s">
        <v>759</v>
      </c>
      <c r="B672" s="29">
        <f>COUNTIF(Report_Données!D:E,Classement[[#This Row],[Equipe]])+Classement[[#This Row],[Colonne3]]</f>
        <v>13</v>
      </c>
      <c r="C672" s="29">
        <f>SUMPRODUCT(Report[But Dom]*(Report[Domicile]=Classement[[#This Row],[Equipe]]))+SUMPRODUCT(Report[But Ext]*(Report[Extérieur]=Classement[[#This Row],[Equipe]]))+Classement[[#This Row],[Colonne1]]</f>
        <v>20</v>
      </c>
      <c r="D672" s="29">
        <f>SUMPRODUCT(Report[But Ext]*(Report[Domicile]=Classement[[#This Row],[Equipe]]))+SUMPRODUCT(Report[But Dom]*(Report[Extérieur]=Classement[[#This Row],[Equipe]]))+Classement[[#This Row],[Colonne2]]</f>
        <v>14</v>
      </c>
      <c r="E672" s="95">
        <v>12</v>
      </c>
      <c r="F672" s="96">
        <v>15</v>
      </c>
      <c r="G672" s="96">
        <v>14</v>
      </c>
      <c r="H672" s="96">
        <f>IF(Classement[[#This Row],[Equipe]]=Report_Données!$D:$D,SUM(Report_Données!$P:$P),3)</f>
        <v>3</v>
      </c>
      <c r="O672" s="32"/>
      <c r="Q672" s="3" t="s">
        <v>195</v>
      </c>
    </row>
    <row r="673" spans="1:17" ht="20.100000000000001" customHeight="1" x14ac:dyDescent="0.25">
      <c r="A673" s="3" t="s">
        <v>760</v>
      </c>
      <c r="B673" s="29">
        <f>COUNTIF(Report_Données!D:E,Classement[[#This Row],[Equipe]])+Classement[[#This Row],[Colonne3]]</f>
        <v>12</v>
      </c>
      <c r="C673" s="29">
        <f>SUMPRODUCT(Report[But Dom]*(Report[Domicile]=Classement[[#This Row],[Equipe]]))+SUMPRODUCT(Report[But Ext]*(Report[Extérieur]=Classement[[#This Row],[Equipe]]))+Classement[[#This Row],[Colonne1]]</f>
        <v>16</v>
      </c>
      <c r="D673" s="29">
        <f>SUMPRODUCT(Report[But Ext]*(Report[Domicile]=Classement[[#This Row],[Equipe]]))+SUMPRODUCT(Report[But Dom]*(Report[Extérieur]=Classement[[#This Row],[Equipe]]))+Classement[[#This Row],[Colonne2]]</f>
        <v>14</v>
      </c>
      <c r="E673" s="95">
        <v>11</v>
      </c>
      <c r="F673" s="96">
        <v>14</v>
      </c>
      <c r="G673" s="96">
        <v>12</v>
      </c>
      <c r="H673" s="96">
        <f>IF(Classement[[#This Row],[Equipe]]=Report_Données!$D:$D,SUM(Report_Données!$P:$P),3)</f>
        <v>3</v>
      </c>
      <c r="O673" s="32"/>
      <c r="Q673" s="3" t="s">
        <v>195</v>
      </c>
    </row>
    <row r="674" spans="1:17" ht="20.100000000000001" customHeight="1" x14ac:dyDescent="0.25">
      <c r="A674" s="3" t="s">
        <v>761</v>
      </c>
      <c r="B674" s="29">
        <f>COUNTIF(Report_Données!D:E,Classement[[#This Row],[Equipe]])+Classement[[#This Row],[Colonne3]]</f>
        <v>13</v>
      </c>
      <c r="C674" s="29">
        <f>SUMPRODUCT(Report[But Dom]*(Report[Domicile]=Classement[[#This Row],[Equipe]]))+SUMPRODUCT(Report[But Ext]*(Report[Extérieur]=Classement[[#This Row],[Equipe]]))+Classement[[#This Row],[Colonne1]]</f>
        <v>21</v>
      </c>
      <c r="D674" s="29">
        <f>SUMPRODUCT(Report[But Ext]*(Report[Domicile]=Classement[[#This Row],[Equipe]]))+SUMPRODUCT(Report[But Dom]*(Report[Extérieur]=Classement[[#This Row],[Equipe]]))+Classement[[#This Row],[Colonne2]]</f>
        <v>15</v>
      </c>
      <c r="E674" s="95">
        <v>12</v>
      </c>
      <c r="F674" s="96">
        <v>18</v>
      </c>
      <c r="G674" s="96">
        <v>14</v>
      </c>
      <c r="H674" s="96">
        <f>IF(Classement[[#This Row],[Equipe]]=Report_Données!$D:$D,SUM(Report_Données!$P:$P),3)</f>
        <v>3</v>
      </c>
      <c r="O674" s="32"/>
      <c r="Q674" s="3" t="s">
        <v>195</v>
      </c>
    </row>
    <row r="675" spans="1:17" ht="20.100000000000001" customHeight="1" x14ac:dyDescent="0.25">
      <c r="A675" s="3" t="s">
        <v>762</v>
      </c>
      <c r="B675" s="29">
        <f>COUNTIF(Report_Données!D:E,Classement[[#This Row],[Equipe]])+Classement[[#This Row],[Colonne3]]</f>
        <v>13</v>
      </c>
      <c r="C675" s="29">
        <f>SUMPRODUCT(Report[But Dom]*(Report[Domicile]=Classement[[#This Row],[Equipe]]))+SUMPRODUCT(Report[But Ext]*(Report[Extérieur]=Classement[[#This Row],[Equipe]]))+Classement[[#This Row],[Colonne1]]</f>
        <v>21</v>
      </c>
      <c r="D675" s="29">
        <f>SUMPRODUCT(Report[But Ext]*(Report[Domicile]=Classement[[#This Row],[Equipe]]))+SUMPRODUCT(Report[But Dom]*(Report[Extérieur]=Classement[[#This Row],[Equipe]]))+Classement[[#This Row],[Colonne2]]</f>
        <v>26</v>
      </c>
      <c r="E675" s="95">
        <v>12</v>
      </c>
      <c r="F675" s="96">
        <v>20</v>
      </c>
      <c r="G675" s="96">
        <v>23</v>
      </c>
      <c r="H675" s="96">
        <f>IF(Classement[[#This Row],[Equipe]]=Report_Données!$D:$D,SUM(Report_Données!$P:$P),3)</f>
        <v>3</v>
      </c>
      <c r="O675" s="32"/>
      <c r="Q675" s="3" t="s">
        <v>195</v>
      </c>
    </row>
    <row r="676" spans="1:17" ht="20.100000000000001" customHeight="1" x14ac:dyDescent="0.25">
      <c r="A676" s="3" t="s">
        <v>763</v>
      </c>
      <c r="B676" s="29">
        <f>COUNTIF(Report_Données!D:E,Classement[[#This Row],[Equipe]])+Classement[[#This Row],[Colonne3]]</f>
        <v>13</v>
      </c>
      <c r="C676" s="29">
        <f>SUMPRODUCT(Report[But Dom]*(Report[Domicile]=Classement[[#This Row],[Equipe]]))+SUMPRODUCT(Report[But Ext]*(Report[Extérieur]=Classement[[#This Row],[Equipe]]))+Classement[[#This Row],[Colonne1]]</f>
        <v>14</v>
      </c>
      <c r="D676" s="29">
        <f>SUMPRODUCT(Report[But Ext]*(Report[Domicile]=Classement[[#This Row],[Equipe]]))+SUMPRODUCT(Report[But Dom]*(Report[Extérieur]=Classement[[#This Row],[Equipe]]))+Classement[[#This Row],[Colonne2]]</f>
        <v>24</v>
      </c>
      <c r="E676" s="95">
        <v>12</v>
      </c>
      <c r="F676" s="96">
        <v>12</v>
      </c>
      <c r="G676" s="96">
        <v>21</v>
      </c>
      <c r="H676" s="96">
        <f>IF(Classement[[#This Row],[Equipe]]=Report_Données!$D:$D,SUM(Report_Données!$P:$P),3)</f>
        <v>3</v>
      </c>
      <c r="O676" s="32"/>
    </row>
    <row r="677" spans="1:17" ht="20.100000000000001" customHeight="1" x14ac:dyDescent="0.25">
      <c r="A677" s="28"/>
      <c r="B677" s="30"/>
      <c r="C677" s="30"/>
      <c r="D677" s="30"/>
      <c r="E677" s="96"/>
      <c r="F677" s="96"/>
      <c r="G677" s="96"/>
      <c r="H677" s="96">
        <f>IF(Classement[[#This Row],[Equipe]]=Report_Données!$D:$D,SUM(Report_Données!$P:$P),3)</f>
        <v>493</v>
      </c>
    </row>
    <row r="678" spans="1:17" ht="20.100000000000001" customHeight="1" x14ac:dyDescent="0.25">
      <c r="A678" s="3" t="s">
        <v>764</v>
      </c>
      <c r="B678" s="29">
        <f>COUNTIF(Report_Données!D:E,Classement[[#This Row],[Equipe]])+Classement[[#This Row],[Colonne3]]</f>
        <v>16</v>
      </c>
      <c r="C678" s="29">
        <f>SUMPRODUCT(Report[But Dom]*(Report[Domicile]=Classement[[#This Row],[Equipe]]))+SUMPRODUCT(Report[But Ext]*(Report[Extérieur]=Classement[[#This Row],[Equipe]]))+Classement[[#This Row],[Colonne1]]</f>
        <v>25</v>
      </c>
      <c r="D678" s="29">
        <f>SUMPRODUCT(Report[But Ext]*(Report[Domicile]=Classement[[#This Row],[Equipe]]))+SUMPRODUCT(Report[But Dom]*(Report[Extérieur]=Classement[[#This Row],[Equipe]]))+Classement[[#This Row],[Colonne2]]</f>
        <v>18</v>
      </c>
      <c r="E678" s="95">
        <v>15</v>
      </c>
      <c r="F678" s="96">
        <v>21</v>
      </c>
      <c r="G678" s="96">
        <v>17</v>
      </c>
      <c r="H678" s="96">
        <f>IF(Classement[[#This Row],[Equipe]]=Report_Données!$D:$D,SUM(Report_Données!$P:$P),3)</f>
        <v>3</v>
      </c>
      <c r="O678" s="32"/>
      <c r="Q678" s="3" t="s">
        <v>195</v>
      </c>
    </row>
    <row r="679" spans="1:17" ht="20.100000000000001" customHeight="1" x14ac:dyDescent="0.25">
      <c r="A679" s="3" t="s">
        <v>765</v>
      </c>
      <c r="B679" s="29">
        <f>COUNTIF(Report_Données!D:E,Classement[[#This Row],[Equipe]])+Classement[[#This Row],[Colonne3]]</f>
        <v>16</v>
      </c>
      <c r="C679" s="29">
        <f>SUMPRODUCT(Report[But Dom]*(Report[Domicile]=Classement[[#This Row],[Equipe]]))+SUMPRODUCT(Report[But Ext]*(Report[Extérieur]=Classement[[#This Row],[Equipe]]))+Classement[[#This Row],[Colonne1]]</f>
        <v>12</v>
      </c>
      <c r="D679" s="29">
        <f>SUMPRODUCT(Report[But Ext]*(Report[Domicile]=Classement[[#This Row],[Equipe]]))+SUMPRODUCT(Report[But Dom]*(Report[Extérieur]=Classement[[#This Row],[Equipe]]))+Classement[[#This Row],[Colonne2]]</f>
        <v>19</v>
      </c>
      <c r="E679" s="95">
        <v>15</v>
      </c>
      <c r="F679" s="96">
        <v>11</v>
      </c>
      <c r="G679" s="96">
        <v>18</v>
      </c>
      <c r="H679" s="96">
        <f>IF(Classement[[#This Row],[Equipe]]=Report_Données!$D:$D,SUM(Report_Données!$P:$P),3)</f>
        <v>3</v>
      </c>
      <c r="O679" s="32"/>
      <c r="Q679" s="3" t="s">
        <v>195</v>
      </c>
    </row>
    <row r="680" spans="1:17" ht="20.100000000000001" customHeight="1" x14ac:dyDescent="0.25">
      <c r="A680" s="3" t="s">
        <v>766</v>
      </c>
      <c r="B680" s="29">
        <f>COUNTIF(Report_Données!D:E,Classement[[#This Row],[Equipe]])+Classement[[#This Row],[Colonne3]]</f>
        <v>16</v>
      </c>
      <c r="C680" s="29">
        <f>SUMPRODUCT(Report[But Dom]*(Report[Domicile]=Classement[[#This Row],[Equipe]]))+SUMPRODUCT(Report[But Ext]*(Report[Extérieur]=Classement[[#This Row],[Equipe]]))+Classement[[#This Row],[Colonne1]]</f>
        <v>17</v>
      </c>
      <c r="D680" s="29">
        <f>SUMPRODUCT(Report[But Ext]*(Report[Domicile]=Classement[[#This Row],[Equipe]]))+SUMPRODUCT(Report[But Dom]*(Report[Extérieur]=Classement[[#This Row],[Equipe]]))+Classement[[#This Row],[Colonne2]]</f>
        <v>29</v>
      </c>
      <c r="E680" s="95">
        <v>15</v>
      </c>
      <c r="F680" s="96">
        <v>15</v>
      </c>
      <c r="G680" s="96">
        <v>25</v>
      </c>
      <c r="H680" s="96">
        <f>IF(Classement[[#This Row],[Equipe]]=Report_Données!$D:$D,SUM(Report_Données!$P:$P),3)</f>
        <v>3</v>
      </c>
      <c r="O680" s="32"/>
      <c r="Q680" s="3" t="s">
        <v>195</v>
      </c>
    </row>
    <row r="681" spans="1:17" ht="20.100000000000001" customHeight="1" x14ac:dyDescent="0.25">
      <c r="A681" s="3" t="s">
        <v>767</v>
      </c>
      <c r="B681" s="29">
        <f>COUNTIF(Report_Données!D:E,Classement[[#This Row],[Equipe]])+Classement[[#This Row],[Colonne3]]</f>
        <v>16</v>
      </c>
      <c r="C681" s="29">
        <f>SUMPRODUCT(Report[But Dom]*(Report[Domicile]=Classement[[#This Row],[Equipe]]))+SUMPRODUCT(Report[But Ext]*(Report[Extérieur]=Classement[[#This Row],[Equipe]]))+Classement[[#This Row],[Colonne1]]</f>
        <v>28</v>
      </c>
      <c r="D681" s="29">
        <f>SUMPRODUCT(Report[But Ext]*(Report[Domicile]=Classement[[#This Row],[Equipe]]))+SUMPRODUCT(Report[But Dom]*(Report[Extérieur]=Classement[[#This Row],[Equipe]]))+Classement[[#This Row],[Colonne2]]</f>
        <v>21</v>
      </c>
      <c r="E681" s="95">
        <v>15</v>
      </c>
      <c r="F681" s="96">
        <v>26</v>
      </c>
      <c r="G681" s="96">
        <v>18</v>
      </c>
      <c r="H681" s="96">
        <f>IF(Classement[[#This Row],[Equipe]]=Report_Données!$D:$D,SUM(Report_Données!$P:$P),3)</f>
        <v>3</v>
      </c>
      <c r="O681" s="31"/>
      <c r="Q681" s="3" t="s">
        <v>195</v>
      </c>
    </row>
    <row r="682" spans="1:17" ht="20.100000000000001" customHeight="1" x14ac:dyDescent="0.25">
      <c r="A682" s="3" t="s">
        <v>768</v>
      </c>
      <c r="B682" s="29">
        <f>COUNTIF(Report_Données!D:E,Classement[[#This Row],[Equipe]])+Classement[[#This Row],[Colonne3]]</f>
        <v>16</v>
      </c>
      <c r="C682" s="29">
        <f>SUMPRODUCT(Report[But Dom]*(Report[Domicile]=Classement[[#This Row],[Equipe]]))+SUMPRODUCT(Report[But Ext]*(Report[Extérieur]=Classement[[#This Row],[Equipe]]))+Classement[[#This Row],[Colonne1]]</f>
        <v>22</v>
      </c>
      <c r="D682" s="29">
        <f>SUMPRODUCT(Report[But Ext]*(Report[Domicile]=Classement[[#This Row],[Equipe]]))+SUMPRODUCT(Report[But Dom]*(Report[Extérieur]=Classement[[#This Row],[Equipe]]))+Classement[[#This Row],[Colonne2]]</f>
        <v>17</v>
      </c>
      <c r="E682" s="95">
        <v>15</v>
      </c>
      <c r="F682" s="96">
        <v>18</v>
      </c>
      <c r="G682" s="96">
        <v>15</v>
      </c>
      <c r="H682" s="96">
        <f>IF(Classement[[#This Row],[Equipe]]=Report_Données!$D:$D,SUM(Report_Données!$P:$P),3)</f>
        <v>3</v>
      </c>
      <c r="O682" s="32"/>
      <c r="Q682" s="3" t="s">
        <v>195</v>
      </c>
    </row>
    <row r="683" spans="1:17" ht="20.100000000000001" customHeight="1" x14ac:dyDescent="0.25">
      <c r="A683" s="3" t="s">
        <v>769</v>
      </c>
      <c r="B683" s="29">
        <f>COUNTIF(Report_Données!D:E,Classement[[#This Row],[Equipe]])+Classement[[#This Row],[Colonne3]]</f>
        <v>16</v>
      </c>
      <c r="C683" s="29">
        <f>SUMPRODUCT(Report[But Dom]*(Report[Domicile]=Classement[[#This Row],[Equipe]]))+SUMPRODUCT(Report[But Ext]*(Report[Extérieur]=Classement[[#This Row],[Equipe]]))+Classement[[#This Row],[Colonne1]]</f>
        <v>23</v>
      </c>
      <c r="D683" s="29">
        <f>SUMPRODUCT(Report[But Ext]*(Report[Domicile]=Classement[[#This Row],[Equipe]]))+SUMPRODUCT(Report[But Dom]*(Report[Extérieur]=Classement[[#This Row],[Equipe]]))+Classement[[#This Row],[Colonne2]]</f>
        <v>22</v>
      </c>
      <c r="E683" s="95">
        <v>15</v>
      </c>
      <c r="F683" s="96">
        <v>21</v>
      </c>
      <c r="G683" s="96">
        <v>21</v>
      </c>
      <c r="H683" s="96">
        <f>IF(Classement[[#This Row],[Equipe]]=Report_Données!$D:$D,SUM(Report_Données!$P:$P),3)</f>
        <v>3</v>
      </c>
      <c r="O683" s="32"/>
      <c r="Q683" s="3" t="s">
        <v>195</v>
      </c>
    </row>
    <row r="684" spans="1:17" ht="20.100000000000001" customHeight="1" x14ac:dyDescent="0.25">
      <c r="A684" s="3" t="s">
        <v>770</v>
      </c>
      <c r="B684" s="29">
        <f>COUNTIF(Report_Données!D:E,Classement[[#This Row],[Equipe]])+Classement[[#This Row],[Colonne3]]</f>
        <v>16</v>
      </c>
      <c r="C684" s="29">
        <f>SUMPRODUCT(Report[But Dom]*(Report[Domicile]=Classement[[#This Row],[Equipe]]))+SUMPRODUCT(Report[But Ext]*(Report[Extérieur]=Classement[[#This Row],[Equipe]]))+Classement[[#This Row],[Colonne1]]</f>
        <v>28</v>
      </c>
      <c r="D684" s="29">
        <f>SUMPRODUCT(Report[But Ext]*(Report[Domicile]=Classement[[#This Row],[Equipe]]))+SUMPRODUCT(Report[But Dom]*(Report[Extérieur]=Classement[[#This Row],[Equipe]]))+Classement[[#This Row],[Colonne2]]</f>
        <v>17</v>
      </c>
      <c r="E684" s="95">
        <v>15</v>
      </c>
      <c r="F684" s="96">
        <v>25</v>
      </c>
      <c r="G684" s="96">
        <v>15</v>
      </c>
      <c r="H684" s="96">
        <f>IF(Classement[[#This Row],[Equipe]]=Report_Données!$D:$D,SUM(Report_Données!$P:$P),3)</f>
        <v>3</v>
      </c>
      <c r="O684" s="31"/>
      <c r="Q684" s="3" t="s">
        <v>195</v>
      </c>
    </row>
    <row r="685" spans="1:17" ht="20.100000000000001" customHeight="1" x14ac:dyDescent="0.25">
      <c r="A685" s="3" t="s">
        <v>771</v>
      </c>
      <c r="B685" s="29">
        <f>COUNTIF(Report_Données!D:E,Classement[[#This Row],[Equipe]])+Classement[[#This Row],[Colonne3]]</f>
        <v>16</v>
      </c>
      <c r="C685" s="29">
        <f>SUMPRODUCT(Report[But Dom]*(Report[Domicile]=Classement[[#This Row],[Equipe]]))+SUMPRODUCT(Report[But Ext]*(Report[Extérieur]=Classement[[#This Row],[Equipe]]))+Classement[[#This Row],[Colonne1]]</f>
        <v>26</v>
      </c>
      <c r="D685" s="29">
        <f>SUMPRODUCT(Report[But Ext]*(Report[Domicile]=Classement[[#This Row],[Equipe]]))+SUMPRODUCT(Report[But Dom]*(Report[Extérieur]=Classement[[#This Row],[Equipe]]))+Classement[[#This Row],[Colonne2]]</f>
        <v>18</v>
      </c>
      <c r="E685" s="95">
        <v>15</v>
      </c>
      <c r="F685" s="96">
        <v>25</v>
      </c>
      <c r="G685" s="96">
        <v>18</v>
      </c>
      <c r="H685" s="96">
        <f>IF(Classement[[#This Row],[Equipe]]=Report_Données!$D:$D,SUM(Report_Données!$P:$P),3)</f>
        <v>3</v>
      </c>
      <c r="O685" s="31"/>
      <c r="Q685" s="3" t="s">
        <v>195</v>
      </c>
    </row>
    <row r="686" spans="1:17" ht="20.100000000000001" customHeight="1" x14ac:dyDescent="0.25">
      <c r="A686" s="3" t="s">
        <v>772</v>
      </c>
      <c r="B686" s="29">
        <f>COUNTIF(Report_Données!D:E,Classement[[#This Row],[Equipe]])+Classement[[#This Row],[Colonne3]]</f>
        <v>16</v>
      </c>
      <c r="C686" s="29">
        <f>SUMPRODUCT(Report[But Dom]*(Report[Domicile]=Classement[[#This Row],[Equipe]]))+SUMPRODUCT(Report[But Ext]*(Report[Extérieur]=Classement[[#This Row],[Equipe]]))+Classement[[#This Row],[Colonne1]]</f>
        <v>16</v>
      </c>
      <c r="D686" s="29">
        <f>SUMPRODUCT(Report[But Ext]*(Report[Domicile]=Classement[[#This Row],[Equipe]]))+SUMPRODUCT(Report[But Dom]*(Report[Extérieur]=Classement[[#This Row],[Equipe]]))+Classement[[#This Row],[Colonne2]]</f>
        <v>34</v>
      </c>
      <c r="E686" s="95">
        <v>15</v>
      </c>
      <c r="F686" s="96">
        <v>16</v>
      </c>
      <c r="G686" s="96">
        <v>32</v>
      </c>
      <c r="H686" s="96">
        <f>IF(Classement[[#This Row],[Equipe]]=Report_Données!$D:$D,SUM(Report_Données!$P:$P),3)</f>
        <v>3</v>
      </c>
      <c r="O686" s="32"/>
      <c r="Q686" s="3" t="s">
        <v>195</v>
      </c>
    </row>
    <row r="687" spans="1:17" ht="20.100000000000001" customHeight="1" x14ac:dyDescent="0.25">
      <c r="A687" s="3" t="s">
        <v>773</v>
      </c>
      <c r="B687" s="29">
        <f>COUNTIF(Report_Données!D:E,Classement[[#This Row],[Equipe]])+Classement[[#This Row],[Colonne3]]</f>
        <v>16</v>
      </c>
      <c r="C687" s="29">
        <f>SUMPRODUCT(Report[But Dom]*(Report[Domicile]=Classement[[#This Row],[Equipe]]))+SUMPRODUCT(Report[But Ext]*(Report[Extérieur]=Classement[[#This Row],[Equipe]]))+Classement[[#This Row],[Colonne1]]</f>
        <v>21</v>
      </c>
      <c r="D687" s="29">
        <f>SUMPRODUCT(Report[But Ext]*(Report[Domicile]=Classement[[#This Row],[Equipe]]))+SUMPRODUCT(Report[But Dom]*(Report[Extérieur]=Classement[[#This Row],[Equipe]]))+Classement[[#This Row],[Colonne2]]</f>
        <v>18</v>
      </c>
      <c r="E687" s="95">
        <v>15</v>
      </c>
      <c r="F687" s="96">
        <v>21</v>
      </c>
      <c r="G687" s="96">
        <v>18</v>
      </c>
      <c r="H687" s="96">
        <f>IF(Classement[[#This Row],[Equipe]]=Report_Données!$D:$D,SUM(Report_Données!$P:$P),3)</f>
        <v>3</v>
      </c>
      <c r="O687" s="32"/>
      <c r="Q687" s="3" t="s">
        <v>195</v>
      </c>
    </row>
    <row r="688" spans="1:17" ht="20.100000000000001" customHeight="1" x14ac:dyDescent="0.25">
      <c r="A688" s="3" t="s">
        <v>774</v>
      </c>
      <c r="B688" s="29">
        <f>COUNTIF(Report_Données!D:E,Classement[[#This Row],[Equipe]])+Classement[[#This Row],[Colonne3]]</f>
        <v>16</v>
      </c>
      <c r="C688" s="29">
        <f>SUMPRODUCT(Report[But Dom]*(Report[Domicile]=Classement[[#This Row],[Equipe]]))+SUMPRODUCT(Report[But Ext]*(Report[Extérieur]=Classement[[#This Row],[Equipe]]))+Classement[[#This Row],[Colonne1]]</f>
        <v>24</v>
      </c>
      <c r="D688" s="29">
        <f>SUMPRODUCT(Report[But Ext]*(Report[Domicile]=Classement[[#This Row],[Equipe]]))+SUMPRODUCT(Report[But Dom]*(Report[Extérieur]=Classement[[#This Row],[Equipe]]))+Classement[[#This Row],[Colonne2]]</f>
        <v>26</v>
      </c>
      <c r="E688" s="95">
        <v>15</v>
      </c>
      <c r="F688" s="96">
        <v>23</v>
      </c>
      <c r="G688" s="96">
        <v>24</v>
      </c>
      <c r="H688" s="96">
        <f>IF(Classement[[#This Row],[Equipe]]=Report_Données!$D:$D,SUM(Report_Données!$P:$P),3)</f>
        <v>3</v>
      </c>
      <c r="O688" s="32"/>
      <c r="Q688" s="3" t="s">
        <v>195</v>
      </c>
    </row>
    <row r="689" spans="1:17" ht="20.100000000000001" customHeight="1" x14ac:dyDescent="0.25">
      <c r="A689" s="3" t="s">
        <v>775</v>
      </c>
      <c r="B689" s="29">
        <f>COUNTIF(Report_Données!D:E,Classement[[#This Row],[Equipe]])+Classement[[#This Row],[Colonne3]]</f>
        <v>16</v>
      </c>
      <c r="C689" s="29">
        <f>SUMPRODUCT(Report[But Dom]*(Report[Domicile]=Classement[[#This Row],[Equipe]]))+SUMPRODUCT(Report[But Ext]*(Report[Extérieur]=Classement[[#This Row],[Equipe]]))+Classement[[#This Row],[Colonne1]]</f>
        <v>24</v>
      </c>
      <c r="D689" s="29">
        <f>SUMPRODUCT(Report[But Ext]*(Report[Domicile]=Classement[[#This Row],[Equipe]]))+SUMPRODUCT(Report[But Dom]*(Report[Extérieur]=Classement[[#This Row],[Equipe]]))+Classement[[#This Row],[Colonne2]]</f>
        <v>18</v>
      </c>
      <c r="E689" s="95">
        <v>15</v>
      </c>
      <c r="F689" s="96">
        <v>22</v>
      </c>
      <c r="G689" s="96">
        <v>18</v>
      </c>
      <c r="H689" s="96">
        <f>IF(Classement[[#This Row],[Equipe]]=Report_Données!$D:$D,SUM(Report_Données!$P:$P),3)</f>
        <v>3</v>
      </c>
      <c r="O689" s="32"/>
      <c r="Q689" s="3" t="s">
        <v>195</v>
      </c>
    </row>
    <row r="690" spans="1:17" ht="20.100000000000001" customHeight="1" x14ac:dyDescent="0.25">
      <c r="A690" s="3" t="s">
        <v>776</v>
      </c>
      <c r="B690" s="29">
        <f>COUNTIF(Report_Données!D:E,Classement[[#This Row],[Equipe]])+Classement[[#This Row],[Colonne3]]</f>
        <v>16</v>
      </c>
      <c r="C690" s="29">
        <f>SUMPRODUCT(Report[But Dom]*(Report[Domicile]=Classement[[#This Row],[Equipe]]))+SUMPRODUCT(Report[But Ext]*(Report[Extérieur]=Classement[[#This Row],[Equipe]]))+Classement[[#This Row],[Colonne1]]</f>
        <v>25</v>
      </c>
      <c r="D690" s="29">
        <f>SUMPRODUCT(Report[But Ext]*(Report[Domicile]=Classement[[#This Row],[Equipe]]))+SUMPRODUCT(Report[But Dom]*(Report[Extérieur]=Classement[[#This Row],[Equipe]]))+Classement[[#This Row],[Colonne2]]</f>
        <v>23</v>
      </c>
      <c r="E690" s="95">
        <v>15</v>
      </c>
      <c r="F690" s="96">
        <v>24</v>
      </c>
      <c r="G690" s="96">
        <v>22</v>
      </c>
      <c r="H690" s="96">
        <f>IF(Classement[[#This Row],[Equipe]]=Report_Données!$D:$D,SUM(Report_Données!$P:$P),3)</f>
        <v>3</v>
      </c>
      <c r="O690" s="31"/>
      <c r="Q690" s="3" t="s">
        <v>195</v>
      </c>
    </row>
    <row r="691" spans="1:17" ht="20.100000000000001" customHeight="1" x14ac:dyDescent="0.25">
      <c r="A691" s="3" t="s">
        <v>777</v>
      </c>
      <c r="B691" s="29">
        <f>COUNTIF(Report_Données!D:E,Classement[[#This Row],[Equipe]])+Classement[[#This Row],[Colonne3]]</f>
        <v>16</v>
      </c>
      <c r="C691" s="29">
        <f>SUMPRODUCT(Report[But Dom]*(Report[Domicile]=Classement[[#This Row],[Equipe]]))+SUMPRODUCT(Report[But Ext]*(Report[Extérieur]=Classement[[#This Row],[Equipe]]))+Classement[[#This Row],[Colonne1]]</f>
        <v>21</v>
      </c>
      <c r="D691" s="29">
        <f>SUMPRODUCT(Report[But Ext]*(Report[Domicile]=Classement[[#This Row],[Equipe]]))+SUMPRODUCT(Report[But Dom]*(Report[Extérieur]=Classement[[#This Row],[Equipe]]))+Classement[[#This Row],[Colonne2]]</f>
        <v>33</v>
      </c>
      <c r="E691" s="95">
        <v>15</v>
      </c>
      <c r="F691" s="96">
        <v>21</v>
      </c>
      <c r="G691" s="96">
        <v>33</v>
      </c>
      <c r="H691" s="96">
        <f>IF(Classement[[#This Row],[Equipe]]=Report_Données!$D:$D,SUM(Report_Données!$P:$P),3)</f>
        <v>3</v>
      </c>
      <c r="O691" s="32"/>
      <c r="Q691" s="3" t="s">
        <v>195</v>
      </c>
    </row>
    <row r="692" spans="1:17" ht="20.100000000000001" customHeight="1" x14ac:dyDescent="0.25">
      <c r="A692" s="3" t="s">
        <v>778</v>
      </c>
      <c r="B692" s="29">
        <f>COUNTIF(Report_Données!D:E,Classement[[#This Row],[Equipe]])+Classement[[#This Row],[Colonne3]]</f>
        <v>16</v>
      </c>
      <c r="C692" s="29">
        <f>SUMPRODUCT(Report[But Dom]*(Report[Domicile]=Classement[[#This Row],[Equipe]]))+SUMPRODUCT(Report[But Ext]*(Report[Extérieur]=Classement[[#This Row],[Equipe]]))+Classement[[#This Row],[Colonne1]]</f>
        <v>29</v>
      </c>
      <c r="D692" s="29">
        <f>SUMPRODUCT(Report[But Ext]*(Report[Domicile]=Classement[[#This Row],[Equipe]]))+SUMPRODUCT(Report[But Dom]*(Report[Extérieur]=Classement[[#This Row],[Equipe]]))+Classement[[#This Row],[Colonne2]]</f>
        <v>23</v>
      </c>
      <c r="E692" s="95">
        <v>15</v>
      </c>
      <c r="F692" s="96">
        <v>28</v>
      </c>
      <c r="G692" s="96">
        <v>19</v>
      </c>
      <c r="H692" s="96">
        <f>IF(Classement[[#This Row],[Equipe]]=Report_Données!$D:$D,SUM(Report_Données!$P:$P),3)</f>
        <v>3</v>
      </c>
      <c r="O692" s="31"/>
      <c r="Q692" s="3" t="s">
        <v>195</v>
      </c>
    </row>
    <row r="693" spans="1:17" ht="20.100000000000001" customHeight="1" x14ac:dyDescent="0.25">
      <c r="A693" s="3" t="s">
        <v>779</v>
      </c>
      <c r="B693" s="29">
        <f>COUNTIF(Report_Données!D:E,Classement[[#This Row],[Equipe]])+Classement[[#This Row],[Colonne3]]</f>
        <v>16</v>
      </c>
      <c r="C693" s="29">
        <f>SUMPRODUCT(Report[But Dom]*(Report[Domicile]=Classement[[#This Row],[Equipe]]))+SUMPRODUCT(Report[But Ext]*(Report[Extérieur]=Classement[[#This Row],[Equipe]]))+Classement[[#This Row],[Colonne1]]</f>
        <v>22</v>
      </c>
      <c r="D693" s="29">
        <f>SUMPRODUCT(Report[But Ext]*(Report[Domicile]=Classement[[#This Row],[Equipe]]))+SUMPRODUCT(Report[But Dom]*(Report[Extérieur]=Classement[[#This Row],[Equipe]]))+Classement[[#This Row],[Colonne2]]</f>
        <v>27</v>
      </c>
      <c r="E693" s="95">
        <v>15</v>
      </c>
      <c r="F693" s="96">
        <v>22</v>
      </c>
      <c r="G693" s="96">
        <v>26</v>
      </c>
      <c r="H693" s="96">
        <f>IF(Classement[[#This Row],[Equipe]]=Report_Données!$D:$D,SUM(Report_Données!$P:$P),3)</f>
        <v>3</v>
      </c>
      <c r="O693" s="32"/>
    </row>
    <row r="694" spans="1:17" ht="20.100000000000001" customHeight="1" x14ac:dyDescent="0.25">
      <c r="A694" s="28"/>
      <c r="B694" s="30"/>
      <c r="C694" s="30"/>
      <c r="D694" s="30"/>
      <c r="E694" s="96"/>
      <c r="F694" s="96"/>
      <c r="G694" s="96"/>
      <c r="H694" s="96">
        <f>IF(Classement[[#This Row],[Equipe]]=Report_Données!$D:$D,SUM(Report_Données!$P:$P),3)</f>
        <v>493</v>
      </c>
    </row>
    <row r="695" spans="1:17" ht="20.100000000000001" customHeight="1" x14ac:dyDescent="0.25">
      <c r="A695" s="3" t="s">
        <v>780</v>
      </c>
      <c r="B695" s="29">
        <f>COUNTIF(Report_Données!D:E,Classement[[#This Row],[Equipe]])+Classement[[#This Row],[Colonne3]]</f>
        <v>0</v>
      </c>
      <c r="C695" s="29">
        <f>SUMPRODUCT(Report[But Dom]*(Report[Domicile]=Classement[[#This Row],[Equipe]]))+SUMPRODUCT(Report[But Ext]*(Report[Extérieur]=Classement[[#This Row],[Equipe]]))+Classement[[#This Row],[Colonne1]]</f>
        <v>0</v>
      </c>
      <c r="D695" s="29">
        <f>SUMPRODUCT(Report[But Ext]*(Report[Domicile]=Classement[[#This Row],[Equipe]]))+SUMPRODUCT(Report[But Dom]*(Report[Extérieur]=Classement[[#This Row],[Equipe]]))+Classement[[#This Row],[Colonne2]]</f>
        <v>0</v>
      </c>
      <c r="E695" s="96"/>
      <c r="F695" s="96"/>
      <c r="G695" s="96"/>
      <c r="H695" s="96">
        <f>IF(Classement[[#This Row],[Equipe]]=Report_Données!$D:$D,SUM(Report_Données!$P:$P),3)</f>
        <v>3</v>
      </c>
      <c r="O695" s="31"/>
      <c r="Q695" s="3" t="s">
        <v>546</v>
      </c>
    </row>
    <row r="696" spans="1:17" ht="20.100000000000001" customHeight="1" x14ac:dyDescent="0.25">
      <c r="A696" s="3" t="s">
        <v>781</v>
      </c>
      <c r="B696" s="29">
        <f>COUNTIF(Report_Données!D:E,Classement[[#This Row],[Equipe]])+Classement[[#This Row],[Colonne3]]</f>
        <v>0</v>
      </c>
      <c r="C696" s="29">
        <f>SUMPRODUCT(Report[But Dom]*(Report[Domicile]=Classement[[#This Row],[Equipe]]))+SUMPRODUCT(Report[But Ext]*(Report[Extérieur]=Classement[[#This Row],[Equipe]]))+Classement[[#This Row],[Colonne1]]</f>
        <v>0</v>
      </c>
      <c r="D696" s="29">
        <f>SUMPRODUCT(Report[But Ext]*(Report[Domicile]=Classement[[#This Row],[Equipe]]))+SUMPRODUCT(Report[But Dom]*(Report[Extérieur]=Classement[[#This Row],[Equipe]]))+Classement[[#This Row],[Colonne2]]</f>
        <v>0</v>
      </c>
      <c r="E696" s="96"/>
      <c r="F696" s="96"/>
      <c r="G696" s="96"/>
      <c r="H696" s="96">
        <f>IF(Classement[[#This Row],[Equipe]]=Report_Données!$D:$D,SUM(Report_Données!$P:$P),3)</f>
        <v>3</v>
      </c>
      <c r="Q696" s="3" t="s">
        <v>546</v>
      </c>
    </row>
    <row r="697" spans="1:17" ht="20.100000000000001" customHeight="1" x14ac:dyDescent="0.25">
      <c r="A697" s="3" t="s">
        <v>782</v>
      </c>
      <c r="B697" s="29">
        <f>COUNTIF(Report_Données!D:E,Classement[[#This Row],[Equipe]])+Classement[[#This Row],[Colonne3]]</f>
        <v>0</v>
      </c>
      <c r="C697" s="29">
        <f>SUMPRODUCT(Report[But Dom]*(Report[Domicile]=Classement[[#This Row],[Equipe]]))+SUMPRODUCT(Report[But Ext]*(Report[Extérieur]=Classement[[#This Row],[Equipe]]))+Classement[[#This Row],[Colonne1]]</f>
        <v>0</v>
      </c>
      <c r="D697" s="29">
        <f>SUMPRODUCT(Report[But Ext]*(Report[Domicile]=Classement[[#This Row],[Equipe]]))+SUMPRODUCT(Report[But Dom]*(Report[Extérieur]=Classement[[#This Row],[Equipe]]))+Classement[[#This Row],[Colonne2]]</f>
        <v>0</v>
      </c>
      <c r="E697" s="96"/>
      <c r="F697" s="96"/>
      <c r="G697" s="96"/>
      <c r="H697" s="96">
        <f>IF(Classement[[#This Row],[Equipe]]=Report_Données!$D:$D,SUM(Report_Données!$P:$P),3)</f>
        <v>3</v>
      </c>
      <c r="O697" s="31"/>
      <c r="Q697" s="3" t="s">
        <v>546</v>
      </c>
    </row>
    <row r="698" spans="1:17" ht="20.100000000000001" customHeight="1" x14ac:dyDescent="0.25">
      <c r="A698" s="3" t="s">
        <v>783</v>
      </c>
      <c r="B698" s="29">
        <f>COUNTIF(Report_Données!D:E,Classement[[#This Row],[Equipe]])+Classement[[#This Row],[Colonne3]]</f>
        <v>0</v>
      </c>
      <c r="C698" s="29">
        <f>SUMPRODUCT(Report[But Dom]*(Report[Domicile]=Classement[[#This Row],[Equipe]]))+SUMPRODUCT(Report[But Ext]*(Report[Extérieur]=Classement[[#This Row],[Equipe]]))+Classement[[#This Row],[Colonne1]]</f>
        <v>0</v>
      </c>
      <c r="D698" s="29">
        <f>SUMPRODUCT(Report[But Ext]*(Report[Domicile]=Classement[[#This Row],[Equipe]]))+SUMPRODUCT(Report[But Dom]*(Report[Extérieur]=Classement[[#This Row],[Equipe]]))+Classement[[#This Row],[Colonne2]]</f>
        <v>0</v>
      </c>
      <c r="E698" s="96"/>
      <c r="F698" s="96"/>
      <c r="G698" s="96"/>
      <c r="H698" s="96">
        <f>IF(Classement[[#This Row],[Equipe]]=Report_Données!$D:$D,SUM(Report_Données!$P:$P),3)</f>
        <v>3</v>
      </c>
      <c r="O698" s="31"/>
      <c r="Q698" s="3" t="s">
        <v>546</v>
      </c>
    </row>
    <row r="699" spans="1:17" ht="20.100000000000001" customHeight="1" x14ac:dyDescent="0.25">
      <c r="A699" s="3" t="s">
        <v>784</v>
      </c>
      <c r="B699" s="29">
        <f>COUNTIF(Report_Données!D:E,Classement[[#This Row],[Equipe]])+Classement[[#This Row],[Colonne3]]</f>
        <v>0</v>
      </c>
      <c r="C699" s="29">
        <f>SUMPRODUCT(Report[But Dom]*(Report[Domicile]=Classement[[#This Row],[Equipe]]))+SUMPRODUCT(Report[But Ext]*(Report[Extérieur]=Classement[[#This Row],[Equipe]]))+Classement[[#This Row],[Colonne1]]</f>
        <v>0</v>
      </c>
      <c r="D699" s="29">
        <f>SUMPRODUCT(Report[But Ext]*(Report[Domicile]=Classement[[#This Row],[Equipe]]))+SUMPRODUCT(Report[But Dom]*(Report[Extérieur]=Classement[[#This Row],[Equipe]]))+Classement[[#This Row],[Colonne2]]</f>
        <v>0</v>
      </c>
      <c r="E699" s="96"/>
      <c r="F699" s="96"/>
      <c r="G699" s="96"/>
      <c r="H699" s="96">
        <f>IF(Classement[[#This Row],[Equipe]]=Report_Données!$D:$D,SUM(Report_Données!$P:$P),3)</f>
        <v>3</v>
      </c>
      <c r="O699" s="31"/>
      <c r="Q699" s="3" t="s">
        <v>546</v>
      </c>
    </row>
    <row r="700" spans="1:17" ht="20.100000000000001" customHeight="1" x14ac:dyDescent="0.25">
      <c r="A700" s="3" t="s">
        <v>785</v>
      </c>
      <c r="B700" s="29">
        <f>COUNTIF(Report_Données!D:E,Classement[[#This Row],[Equipe]])+Classement[[#This Row],[Colonne3]]</f>
        <v>0</v>
      </c>
      <c r="C700" s="29">
        <f>SUMPRODUCT(Report[But Dom]*(Report[Domicile]=Classement[[#This Row],[Equipe]]))+SUMPRODUCT(Report[But Ext]*(Report[Extérieur]=Classement[[#This Row],[Equipe]]))+Classement[[#This Row],[Colonne1]]</f>
        <v>0</v>
      </c>
      <c r="D700" s="29">
        <f>SUMPRODUCT(Report[But Ext]*(Report[Domicile]=Classement[[#This Row],[Equipe]]))+SUMPRODUCT(Report[But Dom]*(Report[Extérieur]=Classement[[#This Row],[Equipe]]))+Classement[[#This Row],[Colonne2]]</f>
        <v>0</v>
      </c>
      <c r="E700" s="96"/>
      <c r="F700" s="96"/>
      <c r="G700" s="96"/>
      <c r="H700" s="96">
        <f>IF(Classement[[#This Row],[Equipe]]=Report_Données!$D:$D,SUM(Report_Données!$P:$P),3)</f>
        <v>3</v>
      </c>
      <c r="O700" s="31"/>
      <c r="Q700" s="3" t="s">
        <v>546</v>
      </c>
    </row>
    <row r="701" spans="1:17" ht="20.100000000000001" customHeight="1" x14ac:dyDescent="0.25">
      <c r="A701" s="3" t="s">
        <v>786</v>
      </c>
      <c r="B701" s="29">
        <f>COUNTIF(Report_Données!D:E,Classement[[#This Row],[Equipe]])+Classement[[#This Row],[Colonne3]]</f>
        <v>0</v>
      </c>
      <c r="C701" s="29">
        <f>SUMPRODUCT(Report[But Dom]*(Report[Domicile]=Classement[[#This Row],[Equipe]]))+SUMPRODUCT(Report[But Ext]*(Report[Extérieur]=Classement[[#This Row],[Equipe]]))+Classement[[#This Row],[Colonne1]]</f>
        <v>0</v>
      </c>
      <c r="D701" s="29">
        <f>SUMPRODUCT(Report[But Ext]*(Report[Domicile]=Classement[[#This Row],[Equipe]]))+SUMPRODUCT(Report[But Dom]*(Report[Extérieur]=Classement[[#This Row],[Equipe]]))+Classement[[#This Row],[Colonne2]]</f>
        <v>0</v>
      </c>
      <c r="E701" s="96"/>
      <c r="F701" s="96"/>
      <c r="G701" s="96"/>
      <c r="H701" s="96">
        <f>IF(Classement[[#This Row],[Equipe]]=Report_Données!$D:$D,SUM(Report_Données!$P:$P),3)</f>
        <v>3</v>
      </c>
      <c r="O701" s="31"/>
      <c r="Q701" s="3" t="s">
        <v>546</v>
      </c>
    </row>
    <row r="702" spans="1:17" ht="20.100000000000001" customHeight="1" x14ac:dyDescent="0.25">
      <c r="A702" s="3" t="s">
        <v>787</v>
      </c>
      <c r="B702" s="29">
        <f>COUNTIF(Report_Données!D:E,Classement[[#This Row],[Equipe]])+Classement[[#This Row],[Colonne3]]</f>
        <v>0</v>
      </c>
      <c r="C702" s="29">
        <f>SUMPRODUCT(Report[But Dom]*(Report[Domicile]=Classement[[#This Row],[Equipe]]))+SUMPRODUCT(Report[But Ext]*(Report[Extérieur]=Classement[[#This Row],[Equipe]]))+Classement[[#This Row],[Colonne1]]</f>
        <v>0</v>
      </c>
      <c r="D702" s="29">
        <f>SUMPRODUCT(Report[But Ext]*(Report[Domicile]=Classement[[#This Row],[Equipe]]))+SUMPRODUCT(Report[But Dom]*(Report[Extérieur]=Classement[[#This Row],[Equipe]]))+Classement[[#This Row],[Colonne2]]</f>
        <v>0</v>
      </c>
      <c r="E702" s="96"/>
      <c r="F702" s="96"/>
      <c r="G702" s="96"/>
      <c r="H702" s="96">
        <f>IF(Classement[[#This Row],[Equipe]]=Report_Données!$D:$D,SUM(Report_Données!$P:$P),3)</f>
        <v>3</v>
      </c>
      <c r="O702" s="31"/>
      <c r="Q702" s="3" t="s">
        <v>546</v>
      </c>
    </row>
    <row r="703" spans="1:17" ht="20.100000000000001" customHeight="1" x14ac:dyDescent="0.25">
      <c r="A703" s="3" t="s">
        <v>788</v>
      </c>
      <c r="B703" s="29">
        <f>COUNTIF(Report_Données!D:E,Classement[[#This Row],[Equipe]])+Classement[[#This Row],[Colonne3]]</f>
        <v>0</v>
      </c>
      <c r="C703" s="29">
        <f>SUMPRODUCT(Report[But Dom]*(Report[Domicile]=Classement[[#This Row],[Equipe]]))+SUMPRODUCT(Report[But Ext]*(Report[Extérieur]=Classement[[#This Row],[Equipe]]))+Classement[[#This Row],[Colonne1]]</f>
        <v>0</v>
      </c>
      <c r="D703" s="29">
        <f>SUMPRODUCT(Report[But Ext]*(Report[Domicile]=Classement[[#This Row],[Equipe]]))+SUMPRODUCT(Report[But Dom]*(Report[Extérieur]=Classement[[#This Row],[Equipe]]))+Classement[[#This Row],[Colonne2]]</f>
        <v>0</v>
      </c>
      <c r="E703" s="96"/>
      <c r="F703" s="96"/>
      <c r="G703" s="96"/>
      <c r="H703" s="96">
        <f>IF(Classement[[#This Row],[Equipe]]=Report_Données!$D:$D,SUM(Report_Données!$P:$P),3)</f>
        <v>3</v>
      </c>
      <c r="O703" s="31"/>
      <c r="Q703" s="3" t="s">
        <v>546</v>
      </c>
    </row>
    <row r="704" spans="1:17" ht="20.100000000000001" customHeight="1" x14ac:dyDescent="0.25">
      <c r="A704" s="3" t="s">
        <v>789</v>
      </c>
      <c r="B704" s="29">
        <f>COUNTIF(Report_Données!D:E,Classement[[#This Row],[Equipe]])+Classement[[#This Row],[Colonne3]]</f>
        <v>0</v>
      </c>
      <c r="C704" s="29">
        <f>SUMPRODUCT(Report[But Dom]*(Report[Domicile]=Classement[[#This Row],[Equipe]]))+SUMPRODUCT(Report[But Ext]*(Report[Extérieur]=Classement[[#This Row],[Equipe]]))+Classement[[#This Row],[Colonne1]]</f>
        <v>0</v>
      </c>
      <c r="D704" s="29">
        <f>SUMPRODUCT(Report[But Ext]*(Report[Domicile]=Classement[[#This Row],[Equipe]]))+SUMPRODUCT(Report[But Dom]*(Report[Extérieur]=Classement[[#This Row],[Equipe]]))+Classement[[#This Row],[Colonne2]]</f>
        <v>0</v>
      </c>
      <c r="E704" s="96"/>
      <c r="F704" s="96"/>
      <c r="G704" s="96"/>
      <c r="H704" s="96">
        <f>IF(Classement[[#This Row],[Equipe]]=Report_Données!$D:$D,SUM(Report_Données!$P:$P),3)</f>
        <v>3</v>
      </c>
      <c r="O704" s="31"/>
      <c r="Q704" s="3" t="s">
        <v>546</v>
      </c>
    </row>
    <row r="705" spans="1:17" ht="20.100000000000001" customHeight="1" x14ac:dyDescent="0.25">
      <c r="A705" s="3" t="s">
        <v>790</v>
      </c>
      <c r="B705" s="29">
        <f>COUNTIF(Report_Données!D:E,Classement[[#This Row],[Equipe]])+Classement[[#This Row],[Colonne3]]</f>
        <v>0</v>
      </c>
      <c r="C705" s="29">
        <f>SUMPRODUCT(Report[But Dom]*(Report[Domicile]=Classement[[#This Row],[Equipe]]))+SUMPRODUCT(Report[But Ext]*(Report[Extérieur]=Classement[[#This Row],[Equipe]]))+Classement[[#This Row],[Colonne1]]</f>
        <v>0</v>
      </c>
      <c r="D705" s="29">
        <f>SUMPRODUCT(Report[But Ext]*(Report[Domicile]=Classement[[#This Row],[Equipe]]))+SUMPRODUCT(Report[But Dom]*(Report[Extérieur]=Classement[[#This Row],[Equipe]]))+Classement[[#This Row],[Colonne2]]</f>
        <v>0</v>
      </c>
      <c r="E705" s="96"/>
      <c r="F705" s="96"/>
      <c r="G705" s="96"/>
      <c r="H705" s="96">
        <f>IF(Classement[[#This Row],[Equipe]]=Report_Données!$D:$D,SUM(Report_Données!$P:$P),3)</f>
        <v>3</v>
      </c>
      <c r="O705" s="31"/>
      <c r="Q705" s="3" t="s">
        <v>546</v>
      </c>
    </row>
    <row r="706" spans="1:17" ht="20.100000000000001" customHeight="1" x14ac:dyDescent="0.25">
      <c r="A706" s="3" t="s">
        <v>791</v>
      </c>
      <c r="B706" s="29">
        <f>COUNTIF(Report_Données!D:E,Classement[[#This Row],[Equipe]])+Classement[[#This Row],[Colonne3]]</f>
        <v>0</v>
      </c>
      <c r="C706" s="29">
        <f>SUMPRODUCT(Report[But Dom]*(Report[Domicile]=Classement[[#This Row],[Equipe]]))+SUMPRODUCT(Report[But Ext]*(Report[Extérieur]=Classement[[#This Row],[Equipe]]))+Classement[[#This Row],[Colonne1]]</f>
        <v>0</v>
      </c>
      <c r="D706" s="29">
        <f>SUMPRODUCT(Report[But Ext]*(Report[Domicile]=Classement[[#This Row],[Equipe]]))+SUMPRODUCT(Report[But Dom]*(Report[Extérieur]=Classement[[#This Row],[Equipe]]))+Classement[[#This Row],[Colonne2]]</f>
        <v>0</v>
      </c>
      <c r="E706" s="96"/>
      <c r="F706" s="96"/>
      <c r="G706" s="96"/>
      <c r="H706" s="96">
        <f>IF(Classement[[#This Row],[Equipe]]=Report_Données!$D:$D,SUM(Report_Données!$P:$P),3)</f>
        <v>3</v>
      </c>
      <c r="O706" s="31"/>
      <c r="Q706" s="3" t="s">
        <v>546</v>
      </c>
    </row>
    <row r="707" spans="1:17" ht="20.100000000000001" customHeight="1" x14ac:dyDescent="0.25">
      <c r="A707" s="3" t="s">
        <v>792</v>
      </c>
      <c r="B707" s="29">
        <f>COUNTIF(Report_Données!D:E,Classement[[#This Row],[Equipe]])+Classement[[#This Row],[Colonne3]]</f>
        <v>0</v>
      </c>
      <c r="C707" s="29">
        <f>SUMPRODUCT(Report[But Dom]*(Report[Domicile]=Classement[[#This Row],[Equipe]]))+SUMPRODUCT(Report[But Ext]*(Report[Extérieur]=Classement[[#This Row],[Equipe]]))+Classement[[#This Row],[Colonne1]]</f>
        <v>0</v>
      </c>
      <c r="D707" s="29">
        <f>SUMPRODUCT(Report[But Ext]*(Report[Domicile]=Classement[[#This Row],[Equipe]]))+SUMPRODUCT(Report[But Dom]*(Report[Extérieur]=Classement[[#This Row],[Equipe]]))+Classement[[#This Row],[Colonne2]]</f>
        <v>0</v>
      </c>
      <c r="E707" s="96"/>
      <c r="F707" s="96"/>
      <c r="G707" s="96"/>
      <c r="H707" s="96">
        <f>IF(Classement[[#This Row],[Equipe]]=Report_Données!$D:$D,SUM(Report_Données!$P:$P),3)</f>
        <v>3</v>
      </c>
      <c r="O707" s="31"/>
      <c r="Q707" s="3" t="s">
        <v>546</v>
      </c>
    </row>
    <row r="708" spans="1:17" ht="20.100000000000001" customHeight="1" x14ac:dyDescent="0.25">
      <c r="A708" s="3" t="s">
        <v>793</v>
      </c>
      <c r="B708" s="29">
        <f>COUNTIF(Report_Données!D:E,Classement[[#This Row],[Equipe]])+Classement[[#This Row],[Colonne3]]</f>
        <v>0</v>
      </c>
      <c r="C708" s="29">
        <f>SUMPRODUCT(Report[But Dom]*(Report[Domicile]=Classement[[#This Row],[Equipe]]))+SUMPRODUCT(Report[But Ext]*(Report[Extérieur]=Classement[[#This Row],[Equipe]]))+Classement[[#This Row],[Colonne1]]</f>
        <v>0</v>
      </c>
      <c r="D708" s="29">
        <f>SUMPRODUCT(Report[But Ext]*(Report[Domicile]=Classement[[#This Row],[Equipe]]))+SUMPRODUCT(Report[But Dom]*(Report[Extérieur]=Classement[[#This Row],[Equipe]]))+Classement[[#This Row],[Colonne2]]</f>
        <v>0</v>
      </c>
      <c r="E708" s="96"/>
      <c r="F708" s="96"/>
      <c r="G708" s="96"/>
      <c r="H708" s="96">
        <f>IF(Classement[[#This Row],[Equipe]]=Report_Données!$D:$D,SUM(Report_Données!$P:$P),3)</f>
        <v>3</v>
      </c>
      <c r="Q708" s="3" t="s">
        <v>546</v>
      </c>
    </row>
    <row r="709" spans="1:17" ht="20.100000000000001" customHeight="1" x14ac:dyDescent="0.25">
      <c r="A709" s="3" t="s">
        <v>794</v>
      </c>
      <c r="B709" s="29">
        <f>COUNTIF(Report_Données!D:E,Classement[[#This Row],[Equipe]])+Classement[[#This Row],[Colonne3]]</f>
        <v>0</v>
      </c>
      <c r="C709" s="29">
        <f>SUMPRODUCT(Report[But Dom]*(Report[Domicile]=Classement[[#This Row],[Equipe]]))+SUMPRODUCT(Report[But Ext]*(Report[Extérieur]=Classement[[#This Row],[Equipe]]))+Classement[[#This Row],[Colonne1]]</f>
        <v>0</v>
      </c>
      <c r="D709" s="29">
        <f>SUMPRODUCT(Report[But Ext]*(Report[Domicile]=Classement[[#This Row],[Equipe]]))+SUMPRODUCT(Report[But Dom]*(Report[Extérieur]=Classement[[#This Row],[Equipe]]))+Classement[[#This Row],[Colonne2]]</f>
        <v>0</v>
      </c>
      <c r="E709" s="96"/>
      <c r="F709" s="96"/>
      <c r="G709" s="96"/>
      <c r="H709" s="96">
        <f>IF(Classement[[#This Row],[Equipe]]=Report_Données!$D:$D,SUM(Report_Données!$P:$P),3)</f>
        <v>3</v>
      </c>
      <c r="O709" s="31"/>
      <c r="Q709" s="3" t="s">
        <v>546</v>
      </c>
    </row>
    <row r="710" spans="1:17" ht="20.100000000000001" customHeight="1" x14ac:dyDescent="0.25">
      <c r="A710" s="3" t="s">
        <v>795</v>
      </c>
      <c r="B710" s="29">
        <f>COUNTIF(Report_Données!D:E,Classement[[#This Row],[Equipe]])+Classement[[#This Row],[Colonne3]]</f>
        <v>0</v>
      </c>
      <c r="C710" s="29">
        <f>SUMPRODUCT(Report[But Dom]*(Report[Domicile]=Classement[[#This Row],[Equipe]]))+SUMPRODUCT(Report[But Ext]*(Report[Extérieur]=Classement[[#This Row],[Equipe]]))+Classement[[#This Row],[Colonne1]]</f>
        <v>0</v>
      </c>
      <c r="D710" s="29">
        <f>SUMPRODUCT(Report[But Ext]*(Report[Domicile]=Classement[[#This Row],[Equipe]]))+SUMPRODUCT(Report[But Dom]*(Report[Extérieur]=Classement[[#This Row],[Equipe]]))+Classement[[#This Row],[Colonne2]]</f>
        <v>0</v>
      </c>
      <c r="E710" s="96"/>
      <c r="F710" s="96"/>
      <c r="G710" s="96"/>
      <c r="H710" s="96">
        <f>IF(Classement[[#This Row],[Equipe]]=Report_Données!$D:$D,SUM(Report_Données!$P:$P),3)</f>
        <v>3</v>
      </c>
    </row>
    <row r="711" spans="1:17" ht="20.100000000000001" customHeight="1" x14ac:dyDescent="0.25">
      <c r="A711" s="28"/>
      <c r="B711" s="30"/>
      <c r="C711" s="30"/>
      <c r="D711" s="30"/>
      <c r="E711" s="96"/>
      <c r="F711" s="96"/>
      <c r="G711" s="96"/>
      <c r="H711" s="96">
        <f>IF(Classement[[#This Row],[Equipe]]=Report_Données!$D:$D,SUM(Report_Données!$P:$P),3)</f>
        <v>493</v>
      </c>
    </row>
    <row r="712" spans="1:17" ht="20.100000000000001" customHeight="1" x14ac:dyDescent="0.25">
      <c r="A712" s="3" t="s">
        <v>796</v>
      </c>
      <c r="B712" s="29">
        <f>COUNTIF(Report_Données!D:E,Classement[[#This Row],[Equipe]])+Classement[[#This Row],[Colonne3]]</f>
        <v>15</v>
      </c>
      <c r="C712" s="29">
        <f>SUMPRODUCT(Report[But Dom]*(Report[Domicile]=Classement[[#This Row],[Equipe]]))+SUMPRODUCT(Report[But Ext]*(Report[Extérieur]=Classement[[#This Row],[Equipe]]))+Classement[[#This Row],[Colonne1]]</f>
        <v>29</v>
      </c>
      <c r="D712" s="29">
        <f>SUMPRODUCT(Report[But Ext]*(Report[Domicile]=Classement[[#This Row],[Equipe]]))+SUMPRODUCT(Report[But Dom]*(Report[Extérieur]=Classement[[#This Row],[Equipe]]))+Classement[[#This Row],[Colonne2]]</f>
        <v>29</v>
      </c>
      <c r="E712" s="95">
        <v>14</v>
      </c>
      <c r="F712" s="96">
        <v>28</v>
      </c>
      <c r="G712" s="96">
        <v>28</v>
      </c>
      <c r="H712" s="96">
        <f>IF(Classement[[#This Row],[Equipe]]=Report_Données!$D:$D,SUM(Report_Données!$P:$P),3)</f>
        <v>3</v>
      </c>
      <c r="O712" s="31"/>
      <c r="Q712" s="3" t="s">
        <v>195</v>
      </c>
    </row>
    <row r="713" spans="1:17" ht="20.100000000000001" customHeight="1" x14ac:dyDescent="0.25">
      <c r="A713" s="3" t="s">
        <v>797</v>
      </c>
      <c r="B713" s="29">
        <f>COUNTIF(Report_Données!D:E,Classement[[#This Row],[Equipe]])+Classement[[#This Row],[Colonne3]]</f>
        <v>15</v>
      </c>
      <c r="C713" s="29">
        <f>SUMPRODUCT(Report[But Dom]*(Report[Domicile]=Classement[[#This Row],[Equipe]]))+SUMPRODUCT(Report[But Ext]*(Report[Extérieur]=Classement[[#This Row],[Equipe]]))+Classement[[#This Row],[Colonne1]]</f>
        <v>19</v>
      </c>
      <c r="D713" s="29">
        <f>SUMPRODUCT(Report[But Ext]*(Report[Domicile]=Classement[[#This Row],[Equipe]]))+SUMPRODUCT(Report[But Dom]*(Report[Extérieur]=Classement[[#This Row],[Equipe]]))+Classement[[#This Row],[Colonne2]]</f>
        <v>28</v>
      </c>
      <c r="E713" s="95">
        <v>14</v>
      </c>
      <c r="F713" s="96">
        <v>17</v>
      </c>
      <c r="G713" s="96">
        <v>27</v>
      </c>
      <c r="H713" s="96">
        <f>IF(Classement[[#This Row],[Equipe]]=Report_Données!$D:$D,SUM(Report_Données!$P:$P),3)</f>
        <v>3</v>
      </c>
      <c r="O713" s="32"/>
      <c r="Q713" s="3" t="s">
        <v>195</v>
      </c>
    </row>
    <row r="714" spans="1:17" ht="20.100000000000001" customHeight="1" x14ac:dyDescent="0.25">
      <c r="A714" s="3" t="s">
        <v>798</v>
      </c>
      <c r="B714" s="29">
        <f>COUNTIF(Report_Données!D:E,Classement[[#This Row],[Equipe]])+Classement[[#This Row],[Colonne3]]</f>
        <v>15</v>
      </c>
      <c r="C714" s="29">
        <f>SUMPRODUCT(Report[But Dom]*(Report[Domicile]=Classement[[#This Row],[Equipe]]))+SUMPRODUCT(Report[But Ext]*(Report[Extérieur]=Classement[[#This Row],[Equipe]]))+Classement[[#This Row],[Colonne1]]</f>
        <v>22</v>
      </c>
      <c r="D714" s="29">
        <f>SUMPRODUCT(Report[But Ext]*(Report[Domicile]=Classement[[#This Row],[Equipe]]))+SUMPRODUCT(Report[But Dom]*(Report[Extérieur]=Classement[[#This Row],[Equipe]]))+Classement[[#This Row],[Colonne2]]</f>
        <v>28</v>
      </c>
      <c r="E714" s="95">
        <v>14</v>
      </c>
      <c r="F714" s="96">
        <v>22</v>
      </c>
      <c r="G714" s="96">
        <v>27</v>
      </c>
      <c r="H714" s="96">
        <f>IF(Classement[[#This Row],[Equipe]]=Report_Données!$D:$D,SUM(Report_Données!$P:$P),3)</f>
        <v>3</v>
      </c>
      <c r="O714" s="32"/>
      <c r="Q714" s="3" t="s">
        <v>195</v>
      </c>
    </row>
    <row r="715" spans="1:17" ht="20.100000000000001" customHeight="1" x14ac:dyDescent="0.25">
      <c r="A715" s="3" t="s">
        <v>799</v>
      </c>
      <c r="B715" s="29">
        <f>COUNTIF(Report_Données!D:E,Classement[[#This Row],[Equipe]])+Classement[[#This Row],[Colonne3]]</f>
        <v>15</v>
      </c>
      <c r="C715" s="29">
        <f>SUMPRODUCT(Report[But Dom]*(Report[Domicile]=Classement[[#This Row],[Equipe]]))+SUMPRODUCT(Report[But Ext]*(Report[Extérieur]=Classement[[#This Row],[Equipe]]))+Classement[[#This Row],[Colonne1]]</f>
        <v>24</v>
      </c>
      <c r="D715" s="29">
        <f>SUMPRODUCT(Report[But Ext]*(Report[Domicile]=Classement[[#This Row],[Equipe]]))+SUMPRODUCT(Report[But Dom]*(Report[Extérieur]=Classement[[#This Row],[Equipe]]))+Classement[[#This Row],[Colonne2]]</f>
        <v>28</v>
      </c>
      <c r="E715" s="95">
        <v>14</v>
      </c>
      <c r="F715" s="96">
        <v>23</v>
      </c>
      <c r="G715" s="96">
        <v>27</v>
      </c>
      <c r="H715" s="96">
        <f>IF(Classement[[#This Row],[Equipe]]=Report_Données!$D:$D,SUM(Report_Données!$P:$P),3)</f>
        <v>3</v>
      </c>
      <c r="O715" s="32"/>
      <c r="Q715" s="3" t="s">
        <v>195</v>
      </c>
    </row>
    <row r="716" spans="1:17" ht="20.100000000000001" customHeight="1" x14ac:dyDescent="0.25">
      <c r="A716" s="3" t="s">
        <v>800</v>
      </c>
      <c r="B716" s="29">
        <f>COUNTIF(Report_Données!D:E,Classement[[#This Row],[Equipe]])+Classement[[#This Row],[Colonne3]]</f>
        <v>15</v>
      </c>
      <c r="C716" s="29">
        <f>SUMPRODUCT(Report[But Dom]*(Report[Domicile]=Classement[[#This Row],[Equipe]]))+SUMPRODUCT(Report[But Ext]*(Report[Extérieur]=Classement[[#This Row],[Equipe]]))+Classement[[#This Row],[Colonne1]]</f>
        <v>23</v>
      </c>
      <c r="D716" s="29">
        <f>SUMPRODUCT(Report[But Ext]*(Report[Domicile]=Classement[[#This Row],[Equipe]]))+SUMPRODUCT(Report[But Dom]*(Report[Extérieur]=Classement[[#This Row],[Equipe]]))+Classement[[#This Row],[Colonne2]]</f>
        <v>26</v>
      </c>
      <c r="E716" s="95">
        <v>14</v>
      </c>
      <c r="F716" s="96">
        <v>21</v>
      </c>
      <c r="G716" s="96">
        <v>25</v>
      </c>
      <c r="H716" s="96">
        <f>IF(Classement[[#This Row],[Equipe]]=Report_Données!$D:$D,SUM(Report_Données!$P:$P),3)</f>
        <v>3</v>
      </c>
      <c r="O716" s="32"/>
      <c r="Q716" s="3" t="s">
        <v>195</v>
      </c>
    </row>
    <row r="717" spans="1:17" ht="20.100000000000001" customHeight="1" x14ac:dyDescent="0.25">
      <c r="A717" s="3" t="s">
        <v>801</v>
      </c>
      <c r="B717" s="29">
        <f>COUNTIF(Report_Données!D:E,Classement[[#This Row],[Equipe]])+Classement[[#This Row],[Colonne3]]</f>
        <v>15</v>
      </c>
      <c r="C717" s="29">
        <f>SUMPRODUCT(Report[But Dom]*(Report[Domicile]=Classement[[#This Row],[Equipe]]))+SUMPRODUCT(Report[But Ext]*(Report[Extérieur]=Classement[[#This Row],[Equipe]]))+Classement[[#This Row],[Colonne1]]</f>
        <v>23</v>
      </c>
      <c r="D717" s="29">
        <f>SUMPRODUCT(Report[But Ext]*(Report[Domicile]=Classement[[#This Row],[Equipe]]))+SUMPRODUCT(Report[But Dom]*(Report[Extérieur]=Classement[[#This Row],[Equipe]]))+Classement[[#This Row],[Colonne2]]</f>
        <v>28</v>
      </c>
      <c r="E717" s="95">
        <v>14</v>
      </c>
      <c r="F717" s="96">
        <v>22</v>
      </c>
      <c r="G717" s="96">
        <v>26</v>
      </c>
      <c r="H717" s="96">
        <f>IF(Classement[[#This Row],[Equipe]]=Report_Données!$D:$D,SUM(Report_Données!$P:$P),3)</f>
        <v>3</v>
      </c>
      <c r="O717" s="32"/>
      <c r="Q717" s="3" t="s">
        <v>195</v>
      </c>
    </row>
    <row r="718" spans="1:17" ht="20.100000000000001" customHeight="1" x14ac:dyDescent="0.25">
      <c r="A718" s="3" t="s">
        <v>802</v>
      </c>
      <c r="B718" s="29">
        <f>COUNTIF(Report_Données!D:E,Classement[[#This Row],[Equipe]])+Classement[[#This Row],[Colonne3]]</f>
        <v>15</v>
      </c>
      <c r="C718" s="29">
        <f>SUMPRODUCT(Report[But Dom]*(Report[Domicile]=Classement[[#This Row],[Equipe]]))+SUMPRODUCT(Report[But Ext]*(Report[Extérieur]=Classement[[#This Row],[Equipe]]))+Classement[[#This Row],[Colonne1]]</f>
        <v>31</v>
      </c>
      <c r="D718" s="29">
        <f>SUMPRODUCT(Report[But Ext]*(Report[Domicile]=Classement[[#This Row],[Equipe]]))+SUMPRODUCT(Report[But Dom]*(Report[Extérieur]=Classement[[#This Row],[Equipe]]))+Classement[[#This Row],[Colonne2]]</f>
        <v>24</v>
      </c>
      <c r="E718" s="95">
        <v>14</v>
      </c>
      <c r="F718" s="96">
        <v>30</v>
      </c>
      <c r="G718" s="96">
        <v>22</v>
      </c>
      <c r="H718" s="96">
        <f>IF(Classement[[#This Row],[Equipe]]=Report_Données!$D:$D,SUM(Report_Données!$P:$P),3)</f>
        <v>3</v>
      </c>
      <c r="O718" s="31"/>
      <c r="Q718" s="3" t="s">
        <v>195</v>
      </c>
    </row>
    <row r="719" spans="1:17" ht="20.100000000000001" customHeight="1" x14ac:dyDescent="0.25">
      <c r="A719" s="3" t="s">
        <v>803</v>
      </c>
      <c r="B719" s="29">
        <f>COUNTIF(Report_Données!D:E,Classement[[#This Row],[Equipe]])+Classement[[#This Row],[Colonne3]]</f>
        <v>15</v>
      </c>
      <c r="C719" s="29">
        <f>SUMPRODUCT(Report[But Dom]*(Report[Domicile]=Classement[[#This Row],[Equipe]]))+SUMPRODUCT(Report[But Ext]*(Report[Extérieur]=Classement[[#This Row],[Equipe]]))+Classement[[#This Row],[Colonne1]]</f>
        <v>21</v>
      </c>
      <c r="D719" s="29">
        <f>SUMPRODUCT(Report[But Ext]*(Report[Domicile]=Classement[[#This Row],[Equipe]]))+SUMPRODUCT(Report[But Dom]*(Report[Extérieur]=Classement[[#This Row],[Equipe]]))+Classement[[#This Row],[Colonne2]]</f>
        <v>33</v>
      </c>
      <c r="E719" s="95">
        <v>14</v>
      </c>
      <c r="F719" s="96">
        <v>18</v>
      </c>
      <c r="G719" s="96">
        <v>30</v>
      </c>
      <c r="H719" s="96">
        <f>IF(Classement[[#This Row],[Equipe]]=Report_Données!$D:$D,SUM(Report_Données!$P:$P),3)</f>
        <v>3</v>
      </c>
      <c r="O719" s="32"/>
      <c r="Q719" s="3" t="s">
        <v>195</v>
      </c>
    </row>
    <row r="720" spans="1:17" ht="20.100000000000001" customHeight="1" x14ac:dyDescent="0.25">
      <c r="A720" s="3" t="s">
        <v>804</v>
      </c>
      <c r="B720" s="29">
        <f>COUNTIF(Report_Données!D:E,Classement[[#This Row],[Equipe]])+Classement[[#This Row],[Colonne3]]</f>
        <v>15</v>
      </c>
      <c r="C720" s="29">
        <f>SUMPRODUCT(Report[But Dom]*(Report[Domicile]=Classement[[#This Row],[Equipe]]))+SUMPRODUCT(Report[But Ext]*(Report[Extérieur]=Classement[[#This Row],[Equipe]]))+Classement[[#This Row],[Colonne1]]</f>
        <v>47</v>
      </c>
      <c r="D720" s="29">
        <f>SUMPRODUCT(Report[But Ext]*(Report[Domicile]=Classement[[#This Row],[Equipe]]))+SUMPRODUCT(Report[But Dom]*(Report[Extérieur]=Classement[[#This Row],[Equipe]]))+Classement[[#This Row],[Colonne2]]</f>
        <v>16</v>
      </c>
      <c r="E720" s="95">
        <v>14</v>
      </c>
      <c r="F720" s="96">
        <v>46</v>
      </c>
      <c r="G720" s="96">
        <v>16</v>
      </c>
      <c r="H720" s="96">
        <f>IF(Classement[[#This Row],[Equipe]]=Report_Données!$D:$D,SUM(Report_Données!$P:$P),3)</f>
        <v>3</v>
      </c>
      <c r="O720" s="31"/>
      <c r="Q720" s="3" t="s">
        <v>195</v>
      </c>
    </row>
    <row r="721" spans="1:17" ht="20.100000000000001" customHeight="1" x14ac:dyDescent="0.25">
      <c r="A721" s="3" t="s">
        <v>805</v>
      </c>
      <c r="B721" s="29">
        <f>COUNTIF(Report_Données!D:E,Classement[[#This Row],[Equipe]])+Classement[[#This Row],[Colonne3]]</f>
        <v>15</v>
      </c>
      <c r="C721" s="29">
        <f>SUMPRODUCT(Report[But Dom]*(Report[Domicile]=Classement[[#This Row],[Equipe]]))+SUMPRODUCT(Report[But Ext]*(Report[Extérieur]=Classement[[#This Row],[Equipe]]))+Classement[[#This Row],[Colonne1]]</f>
        <v>24</v>
      </c>
      <c r="D721" s="29">
        <f>SUMPRODUCT(Report[But Ext]*(Report[Domicile]=Classement[[#This Row],[Equipe]]))+SUMPRODUCT(Report[But Dom]*(Report[Extérieur]=Classement[[#This Row],[Equipe]]))+Classement[[#This Row],[Colonne2]]</f>
        <v>24</v>
      </c>
      <c r="E721" s="95">
        <v>14</v>
      </c>
      <c r="F721" s="96">
        <v>21</v>
      </c>
      <c r="G721" s="96">
        <v>21</v>
      </c>
      <c r="H721" s="96">
        <f>IF(Classement[[#This Row],[Equipe]]=Report_Données!$D:$D,SUM(Report_Données!$P:$P),3)</f>
        <v>3</v>
      </c>
      <c r="O721" s="32"/>
    </row>
    <row r="722" spans="1:17" ht="20.100000000000001" customHeight="1" x14ac:dyDescent="0.25">
      <c r="A722" s="28"/>
      <c r="B722" s="30"/>
      <c r="C722" s="30"/>
      <c r="D722" s="30"/>
      <c r="E722" s="96"/>
      <c r="F722" s="96"/>
      <c r="G722" s="96"/>
      <c r="H722" s="96">
        <f>IF(Classement[[#This Row],[Equipe]]=Report_Données!$D:$D,SUM(Report_Données!$P:$P),3)</f>
        <v>493</v>
      </c>
    </row>
    <row r="723" spans="1:17" ht="20.100000000000001" customHeight="1" x14ac:dyDescent="0.25">
      <c r="A723" s="3" t="s">
        <v>806</v>
      </c>
      <c r="B723" s="29">
        <f>COUNTIF(Report_Données!D:E,Classement[[#This Row],[Equipe]])+Classement[[#This Row],[Colonne3]]</f>
        <v>13</v>
      </c>
      <c r="C723" s="29">
        <f>SUMPRODUCT(Report[But Dom]*(Report[Domicile]=Classement[[#This Row],[Equipe]]))+SUMPRODUCT(Report[But Ext]*(Report[Extérieur]=Classement[[#This Row],[Equipe]]))+Classement[[#This Row],[Colonne1]]</f>
        <v>15</v>
      </c>
      <c r="D723" s="29">
        <f>SUMPRODUCT(Report[But Ext]*(Report[Domicile]=Classement[[#This Row],[Equipe]]))+SUMPRODUCT(Report[But Dom]*(Report[Extérieur]=Classement[[#This Row],[Equipe]]))+Classement[[#This Row],[Colonne2]]</f>
        <v>24</v>
      </c>
      <c r="E723" s="95">
        <v>12</v>
      </c>
      <c r="F723" s="96">
        <v>13</v>
      </c>
      <c r="G723" s="96">
        <v>20</v>
      </c>
      <c r="H723" s="96">
        <f>IF(Classement[[#This Row],[Equipe]]=Report_Données!$D:$D,SUM(Report_Données!$P:$P),3)</f>
        <v>3</v>
      </c>
      <c r="O723" s="32"/>
      <c r="Q723" s="3" t="s">
        <v>195</v>
      </c>
    </row>
    <row r="724" spans="1:17" ht="20.100000000000001" customHeight="1" x14ac:dyDescent="0.25">
      <c r="A724" s="3" t="s">
        <v>807</v>
      </c>
      <c r="B724" s="29">
        <f>COUNTIF(Report_Données!D:E,Classement[[#This Row],[Equipe]])+Classement[[#This Row],[Colonne3]]</f>
        <v>14</v>
      </c>
      <c r="C724" s="29">
        <f>SUMPRODUCT(Report[But Dom]*(Report[Domicile]=Classement[[#This Row],[Equipe]]))+SUMPRODUCT(Report[But Ext]*(Report[Extérieur]=Classement[[#This Row],[Equipe]]))+Classement[[#This Row],[Colonne1]]</f>
        <v>11</v>
      </c>
      <c r="D724" s="29">
        <f>SUMPRODUCT(Report[But Ext]*(Report[Domicile]=Classement[[#This Row],[Equipe]]))+SUMPRODUCT(Report[But Dom]*(Report[Extérieur]=Classement[[#This Row],[Equipe]]))+Classement[[#This Row],[Colonne2]]</f>
        <v>19</v>
      </c>
      <c r="E724" s="95">
        <v>12</v>
      </c>
      <c r="F724" s="96">
        <v>6</v>
      </c>
      <c r="G724" s="96">
        <v>18</v>
      </c>
      <c r="H724" s="96">
        <f>IF(Classement[[#This Row],[Equipe]]=Report_Données!$D:$D,SUM(Report_Données!$P:$P),3)</f>
        <v>3</v>
      </c>
      <c r="O724" s="32"/>
      <c r="Q724" s="3" t="s">
        <v>195</v>
      </c>
    </row>
    <row r="725" spans="1:17" ht="20.100000000000001" customHeight="1" x14ac:dyDescent="0.25">
      <c r="A725" s="3" t="s">
        <v>808</v>
      </c>
      <c r="B725" s="29">
        <f>COUNTIF(Report_Données!D:E,Classement[[#This Row],[Equipe]])+Classement[[#This Row],[Colonne3]]</f>
        <v>13</v>
      </c>
      <c r="C725" s="29">
        <f>SUMPRODUCT(Report[But Dom]*(Report[Domicile]=Classement[[#This Row],[Equipe]]))+SUMPRODUCT(Report[But Ext]*(Report[Extérieur]=Classement[[#This Row],[Equipe]]))+Classement[[#This Row],[Colonne1]]</f>
        <v>16</v>
      </c>
      <c r="D725" s="29">
        <f>SUMPRODUCT(Report[But Ext]*(Report[Domicile]=Classement[[#This Row],[Equipe]]))+SUMPRODUCT(Report[But Dom]*(Report[Extérieur]=Classement[[#This Row],[Equipe]]))+Classement[[#This Row],[Colonne2]]</f>
        <v>17</v>
      </c>
      <c r="E725" s="95">
        <v>12</v>
      </c>
      <c r="F725" s="96">
        <v>15</v>
      </c>
      <c r="G725" s="96">
        <v>13</v>
      </c>
      <c r="H725" s="96">
        <f>IF(Classement[[#This Row],[Equipe]]=Report_Données!$D:$D,SUM(Report_Données!$P:$P),3)</f>
        <v>3</v>
      </c>
      <c r="O725" s="32"/>
      <c r="Q725" s="3" t="s">
        <v>195</v>
      </c>
    </row>
    <row r="726" spans="1:17" ht="20.100000000000001" customHeight="1" x14ac:dyDescent="0.25">
      <c r="A726" s="3" t="s">
        <v>809</v>
      </c>
      <c r="B726" s="29">
        <f>COUNTIF(Report_Données!D:E,Classement[[#This Row],[Equipe]])+Classement[[#This Row],[Colonne3]]</f>
        <v>12</v>
      </c>
      <c r="C726" s="29">
        <f>SUMPRODUCT(Report[But Dom]*(Report[Domicile]=Classement[[#This Row],[Equipe]]))+SUMPRODUCT(Report[But Ext]*(Report[Extérieur]=Classement[[#This Row],[Equipe]]))+Classement[[#This Row],[Colonne1]]</f>
        <v>16</v>
      </c>
      <c r="D726" s="29">
        <f>SUMPRODUCT(Report[But Ext]*(Report[Domicile]=Classement[[#This Row],[Equipe]]))+SUMPRODUCT(Report[But Dom]*(Report[Extérieur]=Classement[[#This Row],[Equipe]]))+Classement[[#This Row],[Colonne2]]</f>
        <v>18</v>
      </c>
      <c r="E726" s="95">
        <v>12</v>
      </c>
      <c r="F726" s="96">
        <v>16</v>
      </c>
      <c r="G726" s="96">
        <v>18</v>
      </c>
      <c r="H726" s="96">
        <f>IF(Classement[[#This Row],[Equipe]]=Report_Données!$D:$D,SUM(Report_Données!$P:$P),3)</f>
        <v>3</v>
      </c>
      <c r="O726" s="32"/>
      <c r="Q726" s="3" t="s">
        <v>195</v>
      </c>
    </row>
    <row r="727" spans="1:17" ht="20.100000000000001" customHeight="1" x14ac:dyDescent="0.25">
      <c r="A727" s="3" t="s">
        <v>810</v>
      </c>
      <c r="B727" s="29">
        <f>COUNTIF(Report_Données!D:E,Classement[[#This Row],[Equipe]])+Classement[[#This Row],[Colonne3]]</f>
        <v>13</v>
      </c>
      <c r="C727" s="29">
        <f>SUMPRODUCT(Report[But Dom]*(Report[Domicile]=Classement[[#This Row],[Equipe]]))+SUMPRODUCT(Report[But Ext]*(Report[Extérieur]=Classement[[#This Row],[Equipe]]))+Classement[[#This Row],[Colonne1]]</f>
        <v>19</v>
      </c>
      <c r="D727" s="29">
        <f>SUMPRODUCT(Report[But Ext]*(Report[Domicile]=Classement[[#This Row],[Equipe]]))+SUMPRODUCT(Report[But Dom]*(Report[Extérieur]=Classement[[#This Row],[Equipe]]))+Classement[[#This Row],[Colonne2]]</f>
        <v>5</v>
      </c>
      <c r="E727" s="95">
        <v>12</v>
      </c>
      <c r="F727" s="96">
        <v>17</v>
      </c>
      <c r="G727" s="96">
        <v>5</v>
      </c>
      <c r="H727" s="96">
        <f>IF(Classement[[#This Row],[Equipe]]=Report_Données!$D:$D,SUM(Report_Données!$P:$P),3)</f>
        <v>3</v>
      </c>
      <c r="O727" s="32"/>
      <c r="Q727" s="3" t="s">
        <v>195</v>
      </c>
    </row>
    <row r="728" spans="1:17" ht="20.100000000000001" customHeight="1" x14ac:dyDescent="0.25">
      <c r="A728" s="3" t="s">
        <v>811</v>
      </c>
      <c r="B728" s="29">
        <f>COUNTIF(Report_Données!D:E,Classement[[#This Row],[Equipe]])+Classement[[#This Row],[Colonne3]]</f>
        <v>13</v>
      </c>
      <c r="C728" s="29">
        <f>SUMPRODUCT(Report[But Dom]*(Report[Domicile]=Classement[[#This Row],[Equipe]]))+SUMPRODUCT(Report[But Ext]*(Report[Extérieur]=Classement[[#This Row],[Equipe]]))+Classement[[#This Row],[Colonne1]]</f>
        <v>24</v>
      </c>
      <c r="D728" s="29">
        <f>SUMPRODUCT(Report[But Ext]*(Report[Domicile]=Classement[[#This Row],[Equipe]]))+SUMPRODUCT(Report[But Dom]*(Report[Extérieur]=Classement[[#This Row],[Equipe]]))+Classement[[#This Row],[Colonne2]]</f>
        <v>17</v>
      </c>
      <c r="E728" s="95">
        <v>12</v>
      </c>
      <c r="F728" s="96">
        <v>20</v>
      </c>
      <c r="G728" s="96">
        <v>16</v>
      </c>
      <c r="H728" s="96">
        <f>IF(Classement[[#This Row],[Equipe]]=Report_Données!$D:$D,SUM(Report_Données!$P:$P),3)</f>
        <v>3</v>
      </c>
      <c r="O728" s="32"/>
      <c r="Q728" s="3" t="s">
        <v>195</v>
      </c>
    </row>
    <row r="729" spans="1:17" ht="20.100000000000001" customHeight="1" x14ac:dyDescent="0.25">
      <c r="A729" s="3" t="s">
        <v>812</v>
      </c>
      <c r="B729" s="29">
        <f>COUNTIF(Report_Données!D:E,Classement[[#This Row],[Equipe]])+Classement[[#This Row],[Colonne3]]</f>
        <v>13</v>
      </c>
      <c r="C729" s="29">
        <f>SUMPRODUCT(Report[But Dom]*(Report[Domicile]=Classement[[#This Row],[Equipe]]))+SUMPRODUCT(Report[But Ext]*(Report[Extérieur]=Classement[[#This Row],[Equipe]]))+Classement[[#This Row],[Colonne1]]</f>
        <v>14</v>
      </c>
      <c r="D729" s="29">
        <f>SUMPRODUCT(Report[But Ext]*(Report[Domicile]=Classement[[#This Row],[Equipe]]))+SUMPRODUCT(Report[But Dom]*(Report[Extérieur]=Classement[[#This Row],[Equipe]]))+Classement[[#This Row],[Colonne2]]</f>
        <v>13</v>
      </c>
      <c r="E729" s="95">
        <v>12</v>
      </c>
      <c r="F729" s="96">
        <v>10</v>
      </c>
      <c r="G729" s="96">
        <v>11</v>
      </c>
      <c r="H729" s="96">
        <f>IF(Classement[[#This Row],[Equipe]]=Report_Données!$D:$D,SUM(Report_Données!$P:$P),3)</f>
        <v>3</v>
      </c>
      <c r="O729" s="32"/>
      <c r="Q729" s="3" t="s">
        <v>195</v>
      </c>
    </row>
    <row r="730" spans="1:17" ht="20.100000000000001" customHeight="1" x14ac:dyDescent="0.25">
      <c r="A730" s="3" t="s">
        <v>813</v>
      </c>
      <c r="B730" s="29">
        <f>COUNTIF(Report_Données!D:E,Classement[[#This Row],[Equipe]])+Classement[[#This Row],[Colonne3]]</f>
        <v>13</v>
      </c>
      <c r="C730" s="29">
        <f>SUMPRODUCT(Report[But Dom]*(Report[Domicile]=Classement[[#This Row],[Equipe]]))+SUMPRODUCT(Report[But Ext]*(Report[Extérieur]=Classement[[#This Row],[Equipe]]))+Classement[[#This Row],[Colonne1]]</f>
        <v>11</v>
      </c>
      <c r="D730" s="29">
        <f>SUMPRODUCT(Report[But Ext]*(Report[Domicile]=Classement[[#This Row],[Equipe]]))+SUMPRODUCT(Report[But Dom]*(Report[Extérieur]=Classement[[#This Row],[Equipe]]))+Classement[[#This Row],[Colonne2]]</f>
        <v>14</v>
      </c>
      <c r="E730" s="95">
        <v>12</v>
      </c>
      <c r="F730" s="96">
        <v>10</v>
      </c>
      <c r="G730" s="96">
        <v>14</v>
      </c>
      <c r="H730" s="96">
        <f>IF(Classement[[#This Row],[Equipe]]=Report_Données!$D:$D,SUM(Report_Données!$P:$P),3)</f>
        <v>3</v>
      </c>
      <c r="O730" s="32"/>
      <c r="Q730" s="3" t="s">
        <v>195</v>
      </c>
    </row>
    <row r="731" spans="1:17" ht="20.100000000000001" customHeight="1" x14ac:dyDescent="0.25">
      <c r="A731" s="3" t="s">
        <v>814</v>
      </c>
      <c r="B731" s="29">
        <f>COUNTIF(Report_Données!D:E,Classement[[#This Row],[Equipe]])+Classement[[#This Row],[Colonne3]]</f>
        <v>13</v>
      </c>
      <c r="C731" s="29">
        <f>SUMPRODUCT(Report[But Dom]*(Report[Domicile]=Classement[[#This Row],[Equipe]]))+SUMPRODUCT(Report[But Ext]*(Report[Extérieur]=Classement[[#This Row],[Equipe]]))+Classement[[#This Row],[Colonne1]]</f>
        <v>12</v>
      </c>
      <c r="D731" s="29">
        <f>SUMPRODUCT(Report[But Ext]*(Report[Domicile]=Classement[[#This Row],[Equipe]]))+SUMPRODUCT(Report[But Dom]*(Report[Extérieur]=Classement[[#This Row],[Equipe]]))+Classement[[#This Row],[Colonne2]]</f>
        <v>17</v>
      </c>
      <c r="E731" s="95">
        <v>12</v>
      </c>
      <c r="F731" s="96">
        <v>11</v>
      </c>
      <c r="G731" s="96">
        <v>15</v>
      </c>
      <c r="H731" s="96">
        <f>IF(Classement[[#This Row],[Equipe]]=Report_Données!$D:$D,SUM(Report_Données!$P:$P),3)</f>
        <v>3</v>
      </c>
      <c r="O731" s="32"/>
      <c r="Q731" s="3" t="s">
        <v>195</v>
      </c>
    </row>
    <row r="732" spans="1:17" ht="20.100000000000001" customHeight="1" x14ac:dyDescent="0.25">
      <c r="A732" s="3" t="s">
        <v>815</v>
      </c>
      <c r="B732" s="29">
        <f>COUNTIF(Report_Données!D:E,Classement[[#This Row],[Equipe]])+Classement[[#This Row],[Colonne3]]</f>
        <v>13</v>
      </c>
      <c r="C732" s="29">
        <f>SUMPRODUCT(Report[But Dom]*(Report[Domicile]=Classement[[#This Row],[Equipe]]))+SUMPRODUCT(Report[But Ext]*(Report[Extérieur]=Classement[[#This Row],[Equipe]]))+Classement[[#This Row],[Colonne1]]</f>
        <v>23</v>
      </c>
      <c r="D732" s="29">
        <f>SUMPRODUCT(Report[But Ext]*(Report[Domicile]=Classement[[#This Row],[Equipe]]))+SUMPRODUCT(Report[But Dom]*(Report[Extérieur]=Classement[[#This Row],[Equipe]]))+Classement[[#This Row],[Colonne2]]</f>
        <v>15</v>
      </c>
      <c r="E732" s="95">
        <v>12</v>
      </c>
      <c r="F732" s="96">
        <v>22</v>
      </c>
      <c r="G732" s="96">
        <v>14</v>
      </c>
      <c r="H732" s="96">
        <f>IF(Classement[[#This Row],[Equipe]]=Report_Données!$D:$D,SUM(Report_Données!$P:$P),3)</f>
        <v>3</v>
      </c>
      <c r="O732" s="32"/>
      <c r="Q732" s="3" t="s">
        <v>195</v>
      </c>
    </row>
    <row r="733" spans="1:17" ht="20.100000000000001" customHeight="1" x14ac:dyDescent="0.25">
      <c r="A733" s="3" t="s">
        <v>816</v>
      </c>
      <c r="B733" s="29">
        <f>COUNTIF(Report_Données!D:E,Classement[[#This Row],[Equipe]])+Classement[[#This Row],[Colonne3]]</f>
        <v>13</v>
      </c>
      <c r="C733" s="29">
        <f>SUMPRODUCT(Report[But Dom]*(Report[Domicile]=Classement[[#This Row],[Equipe]]))+SUMPRODUCT(Report[But Ext]*(Report[Extérieur]=Classement[[#This Row],[Equipe]]))+Classement[[#This Row],[Colonne1]]</f>
        <v>15</v>
      </c>
      <c r="D733" s="29">
        <f>SUMPRODUCT(Report[But Ext]*(Report[Domicile]=Classement[[#This Row],[Equipe]]))+SUMPRODUCT(Report[But Dom]*(Report[Extérieur]=Classement[[#This Row],[Equipe]]))+Classement[[#This Row],[Colonne2]]</f>
        <v>16</v>
      </c>
      <c r="E733" s="95">
        <v>12</v>
      </c>
      <c r="F733" s="96">
        <v>15</v>
      </c>
      <c r="G733" s="96">
        <v>14</v>
      </c>
      <c r="H733" s="96">
        <f>IF(Classement[[#This Row],[Equipe]]=Report_Données!$D:$D,SUM(Report_Données!$P:$P),3)</f>
        <v>3</v>
      </c>
      <c r="O733" s="32"/>
      <c r="Q733" s="3" t="s">
        <v>195</v>
      </c>
    </row>
    <row r="734" spans="1:17" ht="20.100000000000001" customHeight="1" x14ac:dyDescent="0.25">
      <c r="A734" s="3" t="s">
        <v>817</v>
      </c>
      <c r="B734" s="29">
        <f>COUNTIF(Report_Données!D:E,Classement[[#This Row],[Equipe]])+Classement[[#This Row],[Colonne3]]</f>
        <v>13</v>
      </c>
      <c r="C734" s="29">
        <f>SUMPRODUCT(Report[But Dom]*(Report[Domicile]=Classement[[#This Row],[Equipe]]))+SUMPRODUCT(Report[But Ext]*(Report[Extérieur]=Classement[[#This Row],[Equipe]]))+Classement[[#This Row],[Colonne1]]</f>
        <v>29</v>
      </c>
      <c r="D734" s="29">
        <f>SUMPRODUCT(Report[But Ext]*(Report[Domicile]=Classement[[#This Row],[Equipe]]))+SUMPRODUCT(Report[But Dom]*(Report[Extérieur]=Classement[[#This Row],[Equipe]]))+Classement[[#This Row],[Colonne2]]</f>
        <v>19</v>
      </c>
      <c r="E734" s="95">
        <v>12</v>
      </c>
      <c r="F734" s="96">
        <v>26</v>
      </c>
      <c r="G734" s="96">
        <v>19</v>
      </c>
      <c r="H734" s="96">
        <f>IF(Classement[[#This Row],[Equipe]]=Report_Données!$D:$D,SUM(Report_Données!$P:$P),3)</f>
        <v>3</v>
      </c>
      <c r="O734" s="31"/>
      <c r="Q734" s="3" t="s">
        <v>195</v>
      </c>
    </row>
    <row r="735" spans="1:17" ht="20.100000000000001" customHeight="1" x14ac:dyDescent="0.25">
      <c r="A735" s="3" t="s">
        <v>818</v>
      </c>
      <c r="B735" s="29">
        <f>COUNTIF(Report_Données!D:E,Classement[[#This Row],[Equipe]])+Classement[[#This Row],[Colonne3]]</f>
        <v>13</v>
      </c>
      <c r="C735" s="29">
        <f>SUMPRODUCT(Report[But Dom]*(Report[Domicile]=Classement[[#This Row],[Equipe]]))+SUMPRODUCT(Report[But Ext]*(Report[Extérieur]=Classement[[#This Row],[Equipe]]))+Classement[[#This Row],[Colonne1]]</f>
        <v>10</v>
      </c>
      <c r="D735" s="29">
        <f>SUMPRODUCT(Report[But Ext]*(Report[Domicile]=Classement[[#This Row],[Equipe]]))+SUMPRODUCT(Report[But Dom]*(Report[Extérieur]=Classement[[#This Row],[Equipe]]))+Classement[[#This Row],[Colonne2]]</f>
        <v>22</v>
      </c>
      <c r="E735" s="95">
        <v>12</v>
      </c>
      <c r="F735" s="96">
        <v>10</v>
      </c>
      <c r="G735" s="96">
        <v>17</v>
      </c>
      <c r="H735" s="96">
        <f>IF(Classement[[#This Row],[Equipe]]=Report_Données!$D:$D,SUM(Report_Données!$P:$P),3)</f>
        <v>3</v>
      </c>
      <c r="O735" s="32"/>
      <c r="Q735" s="3" t="s">
        <v>195</v>
      </c>
    </row>
    <row r="736" spans="1:17" ht="20.100000000000001" customHeight="1" x14ac:dyDescent="0.25">
      <c r="A736" s="3" t="s">
        <v>819</v>
      </c>
      <c r="B736" s="29">
        <f>COUNTIF(Report_Données!D:E,Classement[[#This Row],[Equipe]])+Classement[[#This Row],[Colonne3]]</f>
        <v>13</v>
      </c>
      <c r="C736" s="29">
        <f>SUMPRODUCT(Report[But Dom]*(Report[Domicile]=Classement[[#This Row],[Equipe]]))+SUMPRODUCT(Report[But Ext]*(Report[Extérieur]=Classement[[#This Row],[Equipe]]))+Classement[[#This Row],[Colonne1]]</f>
        <v>18</v>
      </c>
      <c r="D736" s="29">
        <f>SUMPRODUCT(Report[But Ext]*(Report[Domicile]=Classement[[#This Row],[Equipe]]))+SUMPRODUCT(Report[But Dom]*(Report[Extérieur]=Classement[[#This Row],[Equipe]]))+Classement[[#This Row],[Colonne2]]</f>
        <v>15</v>
      </c>
      <c r="E736" s="95">
        <v>12</v>
      </c>
      <c r="F736" s="96">
        <v>17</v>
      </c>
      <c r="G736" s="96">
        <v>14</v>
      </c>
      <c r="H736" s="96">
        <f>IF(Classement[[#This Row],[Equipe]]=Report_Données!$D:$D,SUM(Report_Données!$P:$P),3)</f>
        <v>3</v>
      </c>
      <c r="O736" s="32"/>
      <c r="Q736" s="3" t="s">
        <v>195</v>
      </c>
    </row>
    <row r="737" spans="1:17" ht="20.100000000000001" customHeight="1" x14ac:dyDescent="0.25">
      <c r="A737" s="3" t="s">
        <v>820</v>
      </c>
      <c r="B737" s="29">
        <f>COUNTIF(Report_Données!D:E,Classement[[#This Row],[Equipe]])+Classement[[#This Row],[Colonne3]]</f>
        <v>13</v>
      </c>
      <c r="C737" s="29">
        <f>SUMPRODUCT(Report[But Dom]*(Report[Domicile]=Classement[[#This Row],[Equipe]]))+SUMPRODUCT(Report[But Ext]*(Report[Extérieur]=Classement[[#This Row],[Equipe]]))+Classement[[#This Row],[Colonne1]]</f>
        <v>14</v>
      </c>
      <c r="D737" s="29">
        <f>SUMPRODUCT(Report[But Ext]*(Report[Domicile]=Classement[[#This Row],[Equipe]]))+SUMPRODUCT(Report[But Dom]*(Report[Extérieur]=Classement[[#This Row],[Equipe]]))+Classement[[#This Row],[Colonne2]]</f>
        <v>20</v>
      </c>
      <c r="E737" s="95">
        <v>12</v>
      </c>
      <c r="F737" s="96">
        <v>13</v>
      </c>
      <c r="G737" s="96">
        <v>19</v>
      </c>
      <c r="H737" s="96">
        <f>IF(Classement[[#This Row],[Equipe]]=Report_Données!$D:$D,SUM(Report_Données!$P:$P),3)</f>
        <v>3</v>
      </c>
      <c r="O737" s="32"/>
      <c r="Q737" s="3" t="s">
        <v>195</v>
      </c>
    </row>
    <row r="738" spans="1:17" ht="20.100000000000001" customHeight="1" x14ac:dyDescent="0.25">
      <c r="A738" s="3" t="s">
        <v>821</v>
      </c>
      <c r="B738" s="29">
        <f>COUNTIF(Report_Données!D:E,Classement[[#This Row],[Equipe]])+Classement[[#This Row],[Colonne3]]</f>
        <v>13</v>
      </c>
      <c r="C738" s="29">
        <f>SUMPRODUCT(Report[But Dom]*(Report[Domicile]=Classement[[#This Row],[Equipe]]))+SUMPRODUCT(Report[But Ext]*(Report[Extérieur]=Classement[[#This Row],[Equipe]]))+Classement[[#This Row],[Colonne1]]</f>
        <v>15</v>
      </c>
      <c r="D738" s="29">
        <f>SUMPRODUCT(Report[But Ext]*(Report[Domicile]=Classement[[#This Row],[Equipe]]))+SUMPRODUCT(Report[But Dom]*(Report[Extérieur]=Classement[[#This Row],[Equipe]]))+Classement[[#This Row],[Colonne2]]</f>
        <v>19</v>
      </c>
      <c r="E738" s="95">
        <v>12</v>
      </c>
      <c r="F738" s="96">
        <v>14</v>
      </c>
      <c r="G738" s="96">
        <v>18</v>
      </c>
      <c r="H738" s="96">
        <f>IF(Classement[[#This Row],[Equipe]]=Report_Données!$D:$D,SUM(Report_Données!$P:$P),3)</f>
        <v>3</v>
      </c>
      <c r="O738" s="32"/>
      <c r="Q738" s="3" t="s">
        <v>195</v>
      </c>
    </row>
    <row r="739" spans="1:17" ht="20.100000000000001" customHeight="1" x14ac:dyDescent="0.25">
      <c r="A739" s="3" t="s">
        <v>822</v>
      </c>
      <c r="B739" s="29">
        <f>COUNTIF(Report_Données!D:E,Classement[[#This Row],[Equipe]])+Classement[[#This Row],[Colonne3]]</f>
        <v>13</v>
      </c>
      <c r="C739" s="29">
        <f>SUMPRODUCT(Report[But Dom]*(Report[Domicile]=Classement[[#This Row],[Equipe]]))+SUMPRODUCT(Report[But Ext]*(Report[Extérieur]=Classement[[#This Row],[Equipe]]))+Classement[[#This Row],[Colonne1]]</f>
        <v>21</v>
      </c>
      <c r="D739" s="29">
        <f>SUMPRODUCT(Report[But Ext]*(Report[Domicile]=Classement[[#This Row],[Equipe]]))+SUMPRODUCT(Report[But Dom]*(Report[Extérieur]=Classement[[#This Row],[Equipe]]))+Classement[[#This Row],[Colonne2]]</f>
        <v>19</v>
      </c>
      <c r="E739" s="95">
        <v>12</v>
      </c>
      <c r="F739" s="96">
        <v>19</v>
      </c>
      <c r="G739" s="96">
        <v>18</v>
      </c>
      <c r="H739" s="96">
        <f>IF(Classement[[#This Row],[Equipe]]=Report_Données!$D:$D,SUM(Report_Données!$P:$P),3)</f>
        <v>3</v>
      </c>
      <c r="O739" s="32"/>
      <c r="Q739" s="3" t="s">
        <v>195</v>
      </c>
    </row>
    <row r="740" spans="1:17" ht="20.100000000000001" customHeight="1" x14ac:dyDescent="0.25">
      <c r="A740" s="3" t="s">
        <v>823</v>
      </c>
      <c r="B740" s="29">
        <f>COUNTIF(Report_Données!D:E,Classement[[#This Row],[Equipe]])+Classement[[#This Row],[Colonne3]]</f>
        <v>13</v>
      </c>
      <c r="C740" s="29">
        <f>SUMPRODUCT(Report[But Dom]*(Report[Domicile]=Classement[[#This Row],[Equipe]]))+SUMPRODUCT(Report[But Ext]*(Report[Extérieur]=Classement[[#This Row],[Equipe]]))+Classement[[#This Row],[Colonne1]]</f>
        <v>19</v>
      </c>
      <c r="D740" s="29">
        <f>SUMPRODUCT(Report[But Ext]*(Report[Domicile]=Classement[[#This Row],[Equipe]]))+SUMPRODUCT(Report[But Dom]*(Report[Extérieur]=Classement[[#This Row],[Equipe]]))+Classement[[#This Row],[Colonne2]]</f>
        <v>13</v>
      </c>
      <c r="E740" s="95">
        <v>12</v>
      </c>
      <c r="F740" s="96">
        <v>19</v>
      </c>
      <c r="G740" s="96">
        <v>10</v>
      </c>
      <c r="H740" s="96">
        <f>IF(Classement[[#This Row],[Equipe]]=Report_Données!$D:$D,SUM(Report_Données!$P:$P),3)</f>
        <v>3</v>
      </c>
      <c r="O740" s="32"/>
    </row>
    <row r="741" spans="1:17" ht="20.100000000000001" customHeight="1" x14ac:dyDescent="0.25">
      <c r="A741" s="28"/>
      <c r="B741" s="30"/>
      <c r="C741" s="30"/>
      <c r="D741" s="30"/>
      <c r="E741" s="96"/>
      <c r="F741" s="96"/>
      <c r="G741" s="96"/>
      <c r="H741" s="96">
        <f>IF(Classement[[#This Row],[Equipe]]=Report_Données!$D:$D,SUM(Report_Données!$P:$P),3)</f>
        <v>493</v>
      </c>
    </row>
    <row r="742" spans="1:17" ht="20.100000000000001" customHeight="1" x14ac:dyDescent="0.25">
      <c r="A742" s="3" t="s">
        <v>864</v>
      </c>
      <c r="B742" s="29">
        <f>COUNTIF(Report_Données!D:E,Classement[[#This Row],[Equipe]])+Classement[[#This Row],[Colonne3]]</f>
        <v>15</v>
      </c>
      <c r="C742" s="29">
        <f>SUMPRODUCT(Report[But Dom]*(Report[Domicile]=Classement[[#This Row],[Equipe]]))+SUMPRODUCT(Report[But Ext]*(Report[Extérieur]=Classement[[#This Row],[Equipe]]))+Classement[[#This Row],[Colonne1]]</f>
        <v>20</v>
      </c>
      <c r="D742" s="29">
        <f>SUMPRODUCT(Report[But Ext]*(Report[Domicile]=Classement[[#This Row],[Equipe]]))+SUMPRODUCT(Report[But Dom]*(Report[Extérieur]=Classement[[#This Row],[Equipe]]))+Classement[[#This Row],[Colonne2]]</f>
        <v>19</v>
      </c>
      <c r="E742" s="96">
        <v>14</v>
      </c>
      <c r="F742" s="96">
        <v>20</v>
      </c>
      <c r="G742" s="96">
        <v>18</v>
      </c>
      <c r="H742" s="96">
        <f>IF(Classement[[#This Row],[Equipe]]=Report_Données!$D:$D,SUM(Report_Données!$P:$P),3)</f>
        <v>3</v>
      </c>
      <c r="I742" s="48"/>
      <c r="J742" s="47"/>
      <c r="K742" s="47"/>
    </row>
    <row r="743" spans="1:17" ht="20.100000000000001" customHeight="1" x14ac:dyDescent="0.25">
      <c r="A743" s="3" t="s">
        <v>865</v>
      </c>
      <c r="B743" s="29">
        <f>COUNTIF(Report_Données!D:E,Classement[[#This Row],[Equipe]])+Classement[[#This Row],[Colonne3]]</f>
        <v>15</v>
      </c>
      <c r="C743" s="29">
        <f>SUMPRODUCT(Report[But Dom]*(Report[Domicile]=Classement[[#This Row],[Equipe]]))+SUMPRODUCT(Report[But Ext]*(Report[Extérieur]=Classement[[#This Row],[Equipe]]))+Classement[[#This Row],[Colonne1]]</f>
        <v>14</v>
      </c>
      <c r="D743" s="29">
        <f>SUMPRODUCT(Report[But Ext]*(Report[Domicile]=Classement[[#This Row],[Equipe]]))+SUMPRODUCT(Report[But Dom]*(Report[Extérieur]=Classement[[#This Row],[Equipe]]))+Classement[[#This Row],[Colonne2]]</f>
        <v>26</v>
      </c>
      <c r="E743" s="96">
        <v>14</v>
      </c>
      <c r="F743" s="96">
        <v>11</v>
      </c>
      <c r="G743" s="96">
        <v>24</v>
      </c>
      <c r="H743" s="96">
        <f>IF(Classement[[#This Row],[Equipe]]=Report_Données!$D:$D,SUM(Report_Données!$P:$P),3)</f>
        <v>3</v>
      </c>
      <c r="I743" s="48"/>
      <c r="J743" s="47"/>
      <c r="K743" s="47"/>
    </row>
    <row r="744" spans="1:17" ht="20.100000000000001" customHeight="1" x14ac:dyDescent="0.25">
      <c r="A744" s="3" t="s">
        <v>866</v>
      </c>
      <c r="B744" s="29">
        <f>COUNTIF(Report_Données!D:E,Classement[[#This Row],[Equipe]])+Classement[[#This Row],[Colonne3]]</f>
        <v>15</v>
      </c>
      <c r="C744" s="29">
        <f>SUMPRODUCT(Report[But Dom]*(Report[Domicile]=Classement[[#This Row],[Equipe]]))+SUMPRODUCT(Report[But Ext]*(Report[Extérieur]=Classement[[#This Row],[Equipe]]))+Classement[[#This Row],[Colonne1]]</f>
        <v>29</v>
      </c>
      <c r="D744" s="29">
        <f>SUMPRODUCT(Report[But Ext]*(Report[Domicile]=Classement[[#This Row],[Equipe]]))+SUMPRODUCT(Report[But Dom]*(Report[Extérieur]=Classement[[#This Row],[Equipe]]))+Classement[[#This Row],[Colonne2]]</f>
        <v>11</v>
      </c>
      <c r="E744" s="96">
        <v>14</v>
      </c>
      <c r="F744" s="96">
        <v>27</v>
      </c>
      <c r="G744" s="96">
        <v>11</v>
      </c>
      <c r="H744" s="96">
        <f>IF(Classement[[#This Row],[Equipe]]=Report_Données!$D:$D,SUM(Report_Données!$P:$P),3)</f>
        <v>3</v>
      </c>
      <c r="I744" s="49"/>
      <c r="J744" s="47"/>
      <c r="K744" s="47"/>
    </row>
    <row r="745" spans="1:17" ht="20.100000000000001" customHeight="1" x14ac:dyDescent="0.25">
      <c r="A745" s="3" t="s">
        <v>867</v>
      </c>
      <c r="B745" s="29">
        <f>COUNTIF(Report_Données!D:E,Classement[[#This Row],[Equipe]])+Classement[[#This Row],[Colonne3]]</f>
        <v>15</v>
      </c>
      <c r="C745" s="29">
        <f>SUMPRODUCT(Report[But Dom]*(Report[Domicile]=Classement[[#This Row],[Equipe]]))+SUMPRODUCT(Report[But Ext]*(Report[Extérieur]=Classement[[#This Row],[Equipe]]))+Classement[[#This Row],[Colonne1]]</f>
        <v>12</v>
      </c>
      <c r="D745" s="29">
        <f>SUMPRODUCT(Report[But Ext]*(Report[Domicile]=Classement[[#This Row],[Equipe]]))+SUMPRODUCT(Report[But Dom]*(Report[Extérieur]=Classement[[#This Row],[Equipe]]))+Classement[[#This Row],[Colonne2]]</f>
        <v>28</v>
      </c>
      <c r="E745" s="96">
        <v>14</v>
      </c>
      <c r="F745" s="96">
        <v>12</v>
      </c>
      <c r="G745" s="96">
        <v>26</v>
      </c>
      <c r="H745" s="96">
        <f>IF(Classement[[#This Row],[Equipe]]=Report_Données!$D:$D,SUM(Report_Données!$P:$P),3)</f>
        <v>3</v>
      </c>
      <c r="I745" s="48"/>
      <c r="J745" s="47"/>
      <c r="K745" s="47"/>
    </row>
    <row r="746" spans="1:17" ht="20.100000000000001" customHeight="1" x14ac:dyDescent="0.25">
      <c r="A746" s="3" t="s">
        <v>868</v>
      </c>
      <c r="B746" s="29">
        <f>COUNTIF(Report_Données!D:E,Classement[[#This Row],[Equipe]])+Classement[[#This Row],[Colonne3]]</f>
        <v>15</v>
      </c>
      <c r="C746" s="29">
        <f>SUMPRODUCT(Report[But Dom]*(Report[Domicile]=Classement[[#This Row],[Equipe]]))+SUMPRODUCT(Report[But Ext]*(Report[Extérieur]=Classement[[#This Row],[Equipe]]))+Classement[[#This Row],[Colonne1]]</f>
        <v>19</v>
      </c>
      <c r="D746" s="29">
        <f>SUMPRODUCT(Report[But Ext]*(Report[Domicile]=Classement[[#This Row],[Equipe]]))+SUMPRODUCT(Report[But Dom]*(Report[Extérieur]=Classement[[#This Row],[Equipe]]))+Classement[[#This Row],[Colonne2]]</f>
        <v>9</v>
      </c>
      <c r="E746" s="96">
        <v>14</v>
      </c>
      <c r="F746" s="96">
        <v>18</v>
      </c>
      <c r="G746" s="96">
        <v>8</v>
      </c>
      <c r="H746" s="96">
        <f>IF(Classement[[#This Row],[Equipe]]=Report_Données!$D:$D,SUM(Report_Données!$P:$P),3)</f>
        <v>3</v>
      </c>
      <c r="I746" s="48"/>
      <c r="J746" s="47"/>
      <c r="K746" s="47"/>
    </row>
    <row r="747" spans="1:17" ht="20.100000000000001" customHeight="1" x14ac:dyDescent="0.25">
      <c r="A747" s="3" t="s">
        <v>869</v>
      </c>
      <c r="B747" s="29">
        <f>COUNTIF(Report_Données!D:E,Classement[[#This Row],[Equipe]])+Classement[[#This Row],[Colonne3]]</f>
        <v>15</v>
      </c>
      <c r="C747" s="29">
        <f>SUMPRODUCT(Report[But Dom]*(Report[Domicile]=Classement[[#This Row],[Equipe]]))+SUMPRODUCT(Report[But Ext]*(Report[Extérieur]=Classement[[#This Row],[Equipe]]))+Classement[[#This Row],[Colonne1]]</f>
        <v>13</v>
      </c>
      <c r="D747" s="29">
        <f>SUMPRODUCT(Report[But Ext]*(Report[Domicile]=Classement[[#This Row],[Equipe]]))+SUMPRODUCT(Report[But Dom]*(Report[Extérieur]=Classement[[#This Row],[Equipe]]))+Classement[[#This Row],[Colonne2]]</f>
        <v>34</v>
      </c>
      <c r="E747" s="96">
        <v>14</v>
      </c>
      <c r="F747" s="96">
        <v>13</v>
      </c>
      <c r="G747" s="96">
        <v>32</v>
      </c>
      <c r="H747" s="96">
        <f>IF(Classement[[#This Row],[Equipe]]=Report_Données!$D:$D,SUM(Report_Données!$P:$P),3)</f>
        <v>3</v>
      </c>
      <c r="I747" s="48"/>
      <c r="J747" s="47"/>
      <c r="K747" s="47"/>
    </row>
    <row r="748" spans="1:17" ht="20.100000000000001" customHeight="1" x14ac:dyDescent="0.25">
      <c r="A748" s="3" t="s">
        <v>870</v>
      </c>
      <c r="B748" s="29">
        <f>COUNTIF(Report_Données!D:E,Classement[[#This Row],[Equipe]])+Classement[[#This Row],[Colonne3]]</f>
        <v>15</v>
      </c>
      <c r="C748" s="29">
        <f>SUMPRODUCT(Report[But Dom]*(Report[Domicile]=Classement[[#This Row],[Equipe]]))+SUMPRODUCT(Report[But Ext]*(Report[Extérieur]=Classement[[#This Row],[Equipe]]))+Classement[[#This Row],[Colonne1]]</f>
        <v>23</v>
      </c>
      <c r="D748" s="29">
        <f>SUMPRODUCT(Report[But Ext]*(Report[Domicile]=Classement[[#This Row],[Equipe]]))+SUMPRODUCT(Report[But Dom]*(Report[Extérieur]=Classement[[#This Row],[Equipe]]))+Classement[[#This Row],[Colonne2]]</f>
        <v>18</v>
      </c>
      <c r="E748" s="96">
        <v>14</v>
      </c>
      <c r="F748" s="96">
        <v>22</v>
      </c>
      <c r="G748" s="96">
        <v>17</v>
      </c>
      <c r="H748" s="96">
        <f>IF(Classement[[#This Row],[Equipe]]=Report_Données!$D:$D,SUM(Report_Données!$P:$P),3)</f>
        <v>3</v>
      </c>
      <c r="I748" s="48"/>
      <c r="J748" s="47"/>
      <c r="K748" s="47"/>
    </row>
    <row r="749" spans="1:17" ht="20.100000000000001" customHeight="1" x14ac:dyDescent="0.25">
      <c r="A749" s="3" t="s">
        <v>871</v>
      </c>
      <c r="B749" s="29">
        <f>COUNTIF(Report_Données!D:E,Classement[[#This Row],[Equipe]])+Classement[[#This Row],[Colonne3]]</f>
        <v>15</v>
      </c>
      <c r="C749" s="29">
        <f>SUMPRODUCT(Report[But Dom]*(Report[Domicile]=Classement[[#This Row],[Equipe]]))+SUMPRODUCT(Report[But Ext]*(Report[Extérieur]=Classement[[#This Row],[Equipe]]))+Classement[[#This Row],[Colonne1]]</f>
        <v>26</v>
      </c>
      <c r="D749" s="29">
        <f>SUMPRODUCT(Report[But Ext]*(Report[Domicile]=Classement[[#This Row],[Equipe]]))+SUMPRODUCT(Report[But Dom]*(Report[Extérieur]=Classement[[#This Row],[Equipe]]))+Classement[[#This Row],[Colonne2]]</f>
        <v>13</v>
      </c>
      <c r="E749" s="96">
        <v>13</v>
      </c>
      <c r="F749" s="96">
        <v>24</v>
      </c>
      <c r="G749" s="96">
        <v>13</v>
      </c>
      <c r="H749" s="96">
        <f>IF(Classement[[#This Row],[Equipe]]=Report_Données!$D:$D,SUM(Report_Données!$P:$P),3)</f>
        <v>3</v>
      </c>
      <c r="I749" s="49"/>
      <c r="J749" s="47"/>
      <c r="K749" s="47"/>
    </row>
    <row r="750" spans="1:17" ht="20.100000000000001" customHeight="1" x14ac:dyDescent="0.25">
      <c r="A750" s="3" t="s">
        <v>872</v>
      </c>
      <c r="B750" s="29">
        <f>COUNTIF(Report_Données!D:E,Classement[[#This Row],[Equipe]])+Classement[[#This Row],[Colonne3]]</f>
        <v>15</v>
      </c>
      <c r="C750" s="29">
        <f>SUMPRODUCT(Report[But Dom]*(Report[Domicile]=Classement[[#This Row],[Equipe]]))+SUMPRODUCT(Report[But Ext]*(Report[Extérieur]=Classement[[#This Row],[Equipe]]))+Classement[[#This Row],[Colonne1]]</f>
        <v>23</v>
      </c>
      <c r="D750" s="29">
        <f>SUMPRODUCT(Report[But Ext]*(Report[Domicile]=Classement[[#This Row],[Equipe]]))+SUMPRODUCT(Report[But Dom]*(Report[Extérieur]=Classement[[#This Row],[Equipe]]))+Classement[[#This Row],[Colonne2]]</f>
        <v>23</v>
      </c>
      <c r="E750" s="96">
        <v>14</v>
      </c>
      <c r="F750" s="96">
        <v>21</v>
      </c>
      <c r="G750" s="96">
        <v>20</v>
      </c>
      <c r="H750" s="96">
        <f>IF(Classement[[#This Row],[Equipe]]=Report_Données!$D:$D,SUM(Report_Données!$P:$P),3)</f>
        <v>3</v>
      </c>
      <c r="I750" s="48"/>
      <c r="J750" s="47"/>
      <c r="K750" s="47"/>
    </row>
    <row r="751" spans="1:17" ht="20.100000000000001" customHeight="1" x14ac:dyDescent="0.25">
      <c r="A751" s="3" t="s">
        <v>873</v>
      </c>
      <c r="B751" s="29">
        <f>COUNTIF(Report_Données!D:E,Classement[[#This Row],[Equipe]])+Classement[[#This Row],[Colonne3]]</f>
        <v>15</v>
      </c>
      <c r="C751" s="29">
        <f>SUMPRODUCT(Report[But Dom]*(Report[Domicile]=Classement[[#This Row],[Equipe]]))+SUMPRODUCT(Report[But Ext]*(Report[Extérieur]=Classement[[#This Row],[Equipe]]))+Classement[[#This Row],[Colonne1]]</f>
        <v>20</v>
      </c>
      <c r="D751" s="29">
        <f>SUMPRODUCT(Report[But Ext]*(Report[Domicile]=Classement[[#This Row],[Equipe]]))+SUMPRODUCT(Report[But Dom]*(Report[Extérieur]=Classement[[#This Row],[Equipe]]))+Classement[[#This Row],[Colonne2]]</f>
        <v>19</v>
      </c>
      <c r="E751" s="96">
        <v>14</v>
      </c>
      <c r="F751" s="96">
        <v>19</v>
      </c>
      <c r="G751" s="96">
        <v>18</v>
      </c>
      <c r="H751" s="96">
        <f>IF(Classement[[#This Row],[Equipe]]=Report_Données!$D:$D,SUM(Report_Données!$P:$P),3)</f>
        <v>3</v>
      </c>
      <c r="I751" s="48"/>
      <c r="J751" s="47"/>
      <c r="K751" s="47"/>
    </row>
    <row r="752" spans="1:17" ht="20.100000000000001" customHeight="1" x14ac:dyDescent="0.25">
      <c r="A752" s="3" t="s">
        <v>874</v>
      </c>
      <c r="B752" s="29">
        <f>COUNTIF(Report_Données!D:E,Classement[[#This Row],[Equipe]])+Classement[[#This Row],[Colonne3]]</f>
        <v>15</v>
      </c>
      <c r="C752" s="29">
        <f>SUMPRODUCT(Report[But Dom]*(Report[Domicile]=Classement[[#This Row],[Equipe]]))+SUMPRODUCT(Report[But Ext]*(Report[Extérieur]=Classement[[#This Row],[Equipe]]))+Classement[[#This Row],[Colonne1]]</f>
        <v>18</v>
      </c>
      <c r="D752" s="29">
        <f>SUMPRODUCT(Report[But Ext]*(Report[Domicile]=Classement[[#This Row],[Equipe]]))+SUMPRODUCT(Report[But Dom]*(Report[Extérieur]=Classement[[#This Row],[Equipe]]))+Classement[[#This Row],[Colonne2]]</f>
        <v>22</v>
      </c>
      <c r="E752" s="96">
        <v>14</v>
      </c>
      <c r="F752" s="96">
        <v>16</v>
      </c>
      <c r="G752" s="96">
        <v>22</v>
      </c>
      <c r="H752" s="96">
        <f>IF(Classement[[#This Row],[Equipe]]=Report_Données!$D:$D,SUM(Report_Données!$P:$P),3)</f>
        <v>3</v>
      </c>
      <c r="I752" s="48"/>
      <c r="J752" s="47"/>
      <c r="K752" s="47"/>
    </row>
    <row r="753" spans="1:11" ht="20.100000000000001" customHeight="1" x14ac:dyDescent="0.25">
      <c r="A753" s="3" t="s">
        <v>875</v>
      </c>
      <c r="B753" s="29">
        <f>COUNTIF(Report_Données!D:E,Classement[[#This Row],[Equipe]])+Classement[[#This Row],[Colonne3]]</f>
        <v>15</v>
      </c>
      <c r="C753" s="29">
        <f>SUMPRODUCT(Report[But Dom]*(Report[Domicile]=Classement[[#This Row],[Equipe]]))+SUMPRODUCT(Report[But Ext]*(Report[Extérieur]=Classement[[#This Row],[Equipe]]))+Classement[[#This Row],[Colonne1]]</f>
        <v>17</v>
      </c>
      <c r="D753" s="29">
        <f>SUMPRODUCT(Report[But Ext]*(Report[Domicile]=Classement[[#This Row],[Equipe]]))+SUMPRODUCT(Report[But Dom]*(Report[Extérieur]=Classement[[#This Row],[Equipe]]))+Classement[[#This Row],[Colonne2]]</f>
        <v>12</v>
      </c>
      <c r="E753" s="96">
        <v>13</v>
      </c>
      <c r="F753" s="96">
        <v>16</v>
      </c>
      <c r="G753" s="96">
        <v>10</v>
      </c>
      <c r="H753" s="96">
        <f>IF(Classement[[#This Row],[Equipe]]=Report_Données!$D:$D,SUM(Report_Données!$P:$P),3)</f>
        <v>3</v>
      </c>
      <c r="I753" s="48"/>
      <c r="J753" s="47"/>
      <c r="K753"/>
    </row>
    <row r="754" spans="1:11" ht="20.100000000000001" customHeight="1" x14ac:dyDescent="0.25">
      <c r="A754" s="28"/>
      <c r="B754" s="30"/>
      <c r="C754" s="30"/>
      <c r="D754" s="30"/>
      <c r="E754" s="96"/>
      <c r="F754" s="96"/>
      <c r="G754" s="96"/>
      <c r="H754" s="96">
        <f>IF(Classement[[#This Row],[Equipe]]=Report_Données!$D:$D,SUM(Report_Données!$P:$P),3)</f>
        <v>493</v>
      </c>
    </row>
    <row r="755" spans="1:11" ht="20.100000000000001" customHeight="1" x14ac:dyDescent="0.25">
      <c r="B755" s="29"/>
      <c r="C755" s="29"/>
      <c r="D755" s="29"/>
      <c r="E755" s="29"/>
      <c r="F755" s="29"/>
      <c r="G755" s="29"/>
    </row>
    <row r="756" spans="1:11" ht="20.100000000000001" customHeight="1" x14ac:dyDescent="0.25">
      <c r="B756" s="29"/>
      <c r="C756" s="29"/>
      <c r="D756" s="29"/>
      <c r="E756" s="29"/>
      <c r="F756" s="29"/>
      <c r="G756" s="29"/>
    </row>
    <row r="757" spans="1:11" ht="20.100000000000001" customHeight="1" x14ac:dyDescent="0.25">
      <c r="B757" s="29"/>
      <c r="C757" s="29"/>
      <c r="D757" s="29"/>
      <c r="E757" s="29"/>
      <c r="F757" s="29"/>
      <c r="G757" s="29"/>
    </row>
    <row r="758" spans="1:11" ht="20.100000000000001" customHeight="1" x14ac:dyDescent="0.25">
      <c r="B758" s="29"/>
      <c r="C758" s="29"/>
      <c r="D758" s="29"/>
      <c r="E758" s="29"/>
      <c r="F758" s="29"/>
      <c r="G758" s="29"/>
    </row>
    <row r="759" spans="1:11" ht="20.100000000000001" customHeight="1" x14ac:dyDescent="0.25">
      <c r="B759" s="29"/>
      <c r="C759" s="29"/>
      <c r="D759" s="29"/>
      <c r="E759" s="29"/>
      <c r="F759" s="29"/>
      <c r="G759" s="29"/>
    </row>
    <row r="760" spans="1:11" ht="20.100000000000001" customHeight="1" x14ac:dyDescent="0.25">
      <c r="B760" s="29"/>
      <c r="C760" s="29"/>
      <c r="D760" s="29"/>
      <c r="E760" s="29"/>
      <c r="F760" s="29"/>
      <c r="G760" s="29"/>
    </row>
    <row r="761" spans="1:11" ht="20.100000000000001" customHeight="1" x14ac:dyDescent="0.25">
      <c r="B761" s="29"/>
      <c r="C761" s="29"/>
      <c r="D761" s="29"/>
      <c r="E761" s="29"/>
      <c r="F761" s="29"/>
      <c r="G761" s="29"/>
    </row>
    <row r="762" spans="1:11" ht="20.100000000000001" customHeight="1" x14ac:dyDescent="0.25">
      <c r="B762" s="29"/>
      <c r="C762" s="29"/>
      <c r="D762" s="29"/>
      <c r="E762" s="29"/>
      <c r="F762" s="29"/>
      <c r="G762" s="29"/>
    </row>
    <row r="763" spans="1:11" ht="20.100000000000001" customHeight="1" x14ac:dyDescent="0.25">
      <c r="B763" s="29"/>
      <c r="C763" s="29"/>
      <c r="D763" s="29"/>
      <c r="E763" s="29"/>
      <c r="F763" s="29"/>
      <c r="G763" s="29"/>
    </row>
    <row r="764" spans="1:11" ht="20.100000000000001" customHeight="1" x14ac:dyDescent="0.25">
      <c r="B764" s="29"/>
      <c r="C764" s="29"/>
      <c r="D764" s="29"/>
      <c r="E764" s="29"/>
      <c r="F764" s="29"/>
      <c r="G764" s="29"/>
    </row>
    <row r="765" spans="1:11" ht="20.100000000000001" customHeight="1" x14ac:dyDescent="0.25">
      <c r="B765" s="29"/>
      <c r="C765" s="29"/>
      <c r="D765" s="29"/>
      <c r="E765" s="29"/>
      <c r="F765" s="29"/>
      <c r="G765" s="29"/>
    </row>
    <row r="766" spans="1:11" ht="20.100000000000001" customHeight="1" x14ac:dyDescent="0.25">
      <c r="B766" s="29"/>
      <c r="C766" s="29"/>
      <c r="D766" s="29"/>
      <c r="E766" s="29"/>
      <c r="F766" s="29"/>
      <c r="G766" s="29"/>
    </row>
    <row r="767" spans="1:11" ht="20.100000000000001" customHeight="1" x14ac:dyDescent="0.25">
      <c r="B767" s="29"/>
      <c r="C767" s="29"/>
      <c r="D767" s="29"/>
      <c r="E767" s="29"/>
      <c r="F767" s="29"/>
      <c r="G767" s="29"/>
    </row>
    <row r="768" spans="1:11" ht="20.100000000000001" customHeight="1" x14ac:dyDescent="0.25">
      <c r="B768" s="29"/>
      <c r="C768" s="29"/>
      <c r="D768" s="29"/>
      <c r="E768" s="29"/>
      <c r="F768" s="29"/>
      <c r="G768" s="29"/>
    </row>
    <row r="769" spans="2:7" ht="20.100000000000001" customHeight="1" x14ac:dyDescent="0.25">
      <c r="B769" s="29"/>
      <c r="C769" s="29"/>
      <c r="D769" s="29"/>
      <c r="E769" s="29"/>
      <c r="F769" s="29"/>
      <c r="G769" s="29"/>
    </row>
    <row r="770" spans="2:7" ht="20.100000000000001" customHeight="1" x14ac:dyDescent="0.25">
      <c r="B770" s="29"/>
      <c r="C770" s="29"/>
      <c r="D770" s="29"/>
      <c r="E770" s="29"/>
      <c r="F770" s="29"/>
      <c r="G770" s="29"/>
    </row>
    <row r="771" spans="2:7" ht="20.100000000000001" customHeight="1" x14ac:dyDescent="0.25">
      <c r="B771" s="29"/>
      <c r="C771" s="29"/>
      <c r="D771" s="29"/>
      <c r="E771" s="29"/>
      <c r="F771" s="29"/>
      <c r="G771" s="29"/>
    </row>
    <row r="772" spans="2:7" ht="20.100000000000001" customHeight="1" x14ac:dyDescent="0.25">
      <c r="B772" s="29"/>
      <c r="C772" s="29"/>
      <c r="D772" s="29"/>
      <c r="E772" s="29"/>
      <c r="F772" s="29"/>
      <c r="G772" s="29"/>
    </row>
    <row r="773" spans="2:7" ht="20.100000000000001" customHeight="1" x14ac:dyDescent="0.25">
      <c r="B773" s="29"/>
      <c r="C773" s="29"/>
      <c r="D773" s="29"/>
      <c r="E773" s="29"/>
      <c r="F773" s="29"/>
      <c r="G773" s="29"/>
    </row>
    <row r="774" spans="2:7" ht="20.100000000000001" customHeight="1" x14ac:dyDescent="0.25">
      <c r="B774" s="29"/>
      <c r="C774" s="29"/>
      <c r="D774" s="29"/>
      <c r="E774" s="29"/>
      <c r="F774" s="29"/>
      <c r="G774" s="29"/>
    </row>
    <row r="775" spans="2:7" ht="20.100000000000001" customHeight="1" x14ac:dyDescent="0.25">
      <c r="B775" s="29"/>
      <c r="C775" s="29"/>
      <c r="D775" s="29"/>
      <c r="E775" s="29"/>
      <c r="F775" s="29"/>
      <c r="G775" s="29"/>
    </row>
    <row r="776" spans="2:7" ht="20.100000000000001" customHeight="1" x14ac:dyDescent="0.25">
      <c r="B776" s="29"/>
      <c r="C776" s="29"/>
      <c r="D776" s="29"/>
      <c r="E776" s="29"/>
      <c r="F776" s="29"/>
      <c r="G776" s="29"/>
    </row>
    <row r="777" spans="2:7" ht="20.100000000000001" customHeight="1" x14ac:dyDescent="0.25">
      <c r="B777" s="29"/>
      <c r="C777" s="29"/>
      <c r="D777" s="29"/>
      <c r="E777" s="29"/>
      <c r="F777" s="29"/>
      <c r="G777" s="29"/>
    </row>
    <row r="778" spans="2:7" ht="20.100000000000001" customHeight="1" x14ac:dyDescent="0.25">
      <c r="B778" s="29"/>
      <c r="C778" s="29"/>
      <c r="D778" s="29"/>
      <c r="E778" s="29"/>
      <c r="F778" s="29"/>
      <c r="G778" s="29"/>
    </row>
    <row r="779" spans="2:7" ht="20.100000000000001" customHeight="1" x14ac:dyDescent="0.25">
      <c r="B779" s="29"/>
      <c r="C779" s="29"/>
      <c r="D779" s="29"/>
      <c r="E779" s="29"/>
      <c r="F779" s="29"/>
      <c r="G779" s="29"/>
    </row>
    <row r="780" spans="2:7" ht="20.100000000000001" customHeight="1" x14ac:dyDescent="0.25">
      <c r="B780" s="29"/>
      <c r="C780" s="29"/>
      <c r="D780" s="29"/>
      <c r="E780" s="29"/>
      <c r="F780" s="29"/>
      <c r="G780" s="29"/>
    </row>
    <row r="781" spans="2:7" ht="20.100000000000001" customHeight="1" x14ac:dyDescent="0.25">
      <c r="B781" s="29"/>
      <c r="C781" s="29"/>
      <c r="D781" s="29"/>
      <c r="E781" s="29"/>
      <c r="F781" s="29"/>
      <c r="G781" s="29"/>
    </row>
    <row r="782" spans="2:7" ht="20.100000000000001" customHeight="1" x14ac:dyDescent="0.25">
      <c r="B782" s="29"/>
      <c r="C782" s="29"/>
      <c r="D782" s="29"/>
      <c r="E782" s="29"/>
      <c r="F782" s="29"/>
      <c r="G782" s="29"/>
    </row>
    <row r="783" spans="2:7" ht="20.100000000000001" customHeight="1" x14ac:dyDescent="0.25">
      <c r="B783" s="29"/>
      <c r="C783" s="29"/>
      <c r="D783" s="29"/>
      <c r="E783" s="29"/>
      <c r="F783" s="29"/>
      <c r="G783" s="29"/>
    </row>
    <row r="784" spans="2:7" ht="20.100000000000001" customHeight="1" x14ac:dyDescent="0.25">
      <c r="B784" s="29"/>
      <c r="C784" s="29"/>
      <c r="D784" s="29"/>
      <c r="E784" s="29"/>
      <c r="F784" s="29"/>
      <c r="G784" s="29"/>
    </row>
    <row r="785" spans="2:7" ht="20.100000000000001" customHeight="1" x14ac:dyDescent="0.25">
      <c r="B785" s="29"/>
      <c r="C785" s="29"/>
      <c r="D785" s="29"/>
      <c r="E785" s="29"/>
      <c r="F785" s="29"/>
      <c r="G785" s="29"/>
    </row>
    <row r="786" spans="2:7" ht="20.100000000000001" customHeight="1" x14ac:dyDescent="0.25">
      <c r="B786" s="29"/>
      <c r="C786" s="29"/>
      <c r="D786" s="29"/>
      <c r="E786" s="29"/>
      <c r="F786" s="29"/>
      <c r="G786" s="29"/>
    </row>
    <row r="787" spans="2:7" ht="20.100000000000001" customHeight="1" x14ac:dyDescent="0.25">
      <c r="B787" s="29"/>
      <c r="C787" s="29"/>
      <c r="D787" s="29"/>
      <c r="E787" s="29"/>
      <c r="F787" s="29"/>
      <c r="G787" s="29"/>
    </row>
    <row r="788" spans="2:7" ht="20.100000000000001" customHeight="1" x14ac:dyDescent="0.25">
      <c r="B788" s="29"/>
      <c r="C788" s="29"/>
      <c r="D788" s="29"/>
      <c r="E788" s="29"/>
      <c r="F788" s="29"/>
      <c r="G788" s="29"/>
    </row>
    <row r="789" spans="2:7" ht="20.100000000000001" customHeight="1" x14ac:dyDescent="0.25">
      <c r="B789" s="29"/>
      <c r="C789" s="29"/>
      <c r="D789" s="29"/>
      <c r="E789" s="29"/>
      <c r="F789" s="29"/>
      <c r="G789" s="29"/>
    </row>
    <row r="790" spans="2:7" ht="20.100000000000001" customHeight="1" x14ac:dyDescent="0.25">
      <c r="B790" s="29"/>
      <c r="C790" s="29"/>
      <c r="D790" s="29"/>
      <c r="E790" s="29"/>
      <c r="F790" s="29"/>
      <c r="G790" s="29"/>
    </row>
    <row r="791" spans="2:7" ht="20.100000000000001" customHeight="1" x14ac:dyDescent="0.25">
      <c r="B791" s="29"/>
      <c r="C791" s="29"/>
      <c r="D791" s="29"/>
      <c r="E791" s="29"/>
      <c r="F791" s="29"/>
      <c r="G791" s="29"/>
    </row>
    <row r="792" spans="2:7" ht="20.100000000000001" customHeight="1" x14ac:dyDescent="0.25">
      <c r="B792" s="29"/>
      <c r="C792" s="29"/>
      <c r="D792" s="29"/>
      <c r="E792" s="29"/>
      <c r="F792" s="29"/>
      <c r="G792" s="29"/>
    </row>
    <row r="793" spans="2:7" ht="20.100000000000001" customHeight="1" x14ac:dyDescent="0.25">
      <c r="B793" s="29"/>
      <c r="C793" s="29"/>
      <c r="D793" s="29"/>
      <c r="E793" s="29"/>
      <c r="F793" s="29"/>
      <c r="G793" s="29"/>
    </row>
    <row r="794" spans="2:7" ht="20.100000000000001" customHeight="1" x14ac:dyDescent="0.25">
      <c r="B794" s="29"/>
      <c r="C794" s="29"/>
      <c r="D794" s="29"/>
      <c r="E794" s="29"/>
      <c r="F794" s="29"/>
      <c r="G794" s="29"/>
    </row>
    <row r="795" spans="2:7" ht="20.100000000000001" customHeight="1" x14ac:dyDescent="0.25">
      <c r="B795" s="29"/>
      <c r="C795" s="29"/>
      <c r="D795" s="29"/>
      <c r="E795" s="29"/>
      <c r="F795" s="29"/>
      <c r="G795" s="29"/>
    </row>
    <row r="796" spans="2:7" ht="20.100000000000001" customHeight="1" x14ac:dyDescent="0.25">
      <c r="B796" s="29"/>
      <c r="C796" s="29"/>
      <c r="D796" s="29"/>
      <c r="E796" s="29"/>
      <c r="F796" s="29"/>
      <c r="G796" s="29"/>
    </row>
    <row r="797" spans="2:7" ht="20.100000000000001" customHeight="1" x14ac:dyDescent="0.25">
      <c r="B797" s="29"/>
      <c r="C797" s="29"/>
      <c r="D797" s="29"/>
      <c r="E797" s="29"/>
      <c r="F797" s="29"/>
      <c r="G797" s="29"/>
    </row>
    <row r="798" spans="2:7" ht="20.100000000000001" customHeight="1" x14ac:dyDescent="0.25">
      <c r="B798" s="29"/>
      <c r="C798" s="29"/>
      <c r="D798" s="29"/>
      <c r="E798" s="29"/>
      <c r="F798" s="29"/>
      <c r="G798" s="29"/>
    </row>
    <row r="799" spans="2:7" ht="20.100000000000001" customHeight="1" x14ac:dyDescent="0.25">
      <c r="B799" s="29"/>
      <c r="C799" s="29"/>
      <c r="D799" s="29"/>
      <c r="E799" s="29"/>
      <c r="F799" s="29"/>
      <c r="G799" s="29"/>
    </row>
    <row r="800" spans="2:7" ht="20.100000000000001" customHeight="1" x14ac:dyDescent="0.25">
      <c r="B800" s="29"/>
      <c r="C800" s="29"/>
      <c r="D800" s="29"/>
      <c r="E800" s="29"/>
      <c r="F800" s="29"/>
      <c r="G800" s="29"/>
    </row>
    <row r="801" spans="2:7" ht="20.100000000000001" customHeight="1" x14ac:dyDescent="0.25">
      <c r="B801" s="29"/>
      <c r="C801" s="29"/>
      <c r="D801" s="29"/>
      <c r="E801" s="29"/>
      <c r="F801" s="29"/>
      <c r="G801" s="29"/>
    </row>
    <row r="802" spans="2:7" ht="20.100000000000001" customHeight="1" x14ac:dyDescent="0.25">
      <c r="B802" s="29"/>
      <c r="C802" s="29"/>
      <c r="D802" s="29"/>
      <c r="E802" s="29"/>
      <c r="F802" s="29"/>
      <c r="G802" s="29"/>
    </row>
    <row r="803" spans="2:7" ht="20.100000000000001" customHeight="1" x14ac:dyDescent="0.25">
      <c r="B803" s="29"/>
      <c r="C803" s="29"/>
      <c r="D803" s="29"/>
      <c r="E803" s="29"/>
      <c r="F803" s="29"/>
      <c r="G803" s="29"/>
    </row>
    <row r="804" spans="2:7" ht="20.100000000000001" customHeight="1" x14ac:dyDescent="0.25">
      <c r="B804" s="29"/>
      <c r="C804" s="29"/>
      <c r="D804" s="29"/>
      <c r="E804" s="29"/>
      <c r="F804" s="29"/>
      <c r="G804" s="29"/>
    </row>
    <row r="805" spans="2:7" ht="20.100000000000001" customHeight="1" x14ac:dyDescent="0.25">
      <c r="B805" s="29"/>
      <c r="C805" s="29"/>
      <c r="D805" s="29"/>
      <c r="E805" s="29"/>
      <c r="F805" s="29"/>
      <c r="G805" s="29"/>
    </row>
    <row r="806" spans="2:7" ht="20.100000000000001" customHeight="1" x14ac:dyDescent="0.25">
      <c r="B806" s="29"/>
      <c r="C806" s="29"/>
      <c r="D806" s="29"/>
      <c r="E806" s="29"/>
      <c r="F806" s="29"/>
      <c r="G806" s="29"/>
    </row>
    <row r="807" spans="2:7" ht="20.100000000000001" customHeight="1" x14ac:dyDescent="0.25">
      <c r="B807" s="29"/>
      <c r="C807" s="29"/>
      <c r="D807" s="29"/>
      <c r="E807" s="29"/>
      <c r="F807" s="29"/>
      <c r="G807" s="29"/>
    </row>
    <row r="808" spans="2:7" ht="20.100000000000001" customHeight="1" x14ac:dyDescent="0.25">
      <c r="B808" s="29"/>
      <c r="C808" s="29"/>
      <c r="D808" s="29"/>
      <c r="E808" s="29"/>
      <c r="F808" s="29"/>
      <c r="G808" s="29"/>
    </row>
    <row r="809" spans="2:7" ht="20.100000000000001" customHeight="1" x14ac:dyDescent="0.25">
      <c r="B809" s="29"/>
      <c r="C809" s="29"/>
      <c r="D809" s="29"/>
      <c r="E809" s="29"/>
      <c r="F809" s="29"/>
      <c r="G809" s="29"/>
    </row>
    <row r="810" spans="2:7" ht="20.100000000000001" customHeight="1" x14ac:dyDescent="0.25">
      <c r="B810" s="29"/>
      <c r="C810" s="29"/>
      <c r="D810" s="29"/>
      <c r="E810" s="29"/>
      <c r="F810" s="29"/>
      <c r="G810" s="29"/>
    </row>
    <row r="811" spans="2:7" ht="20.100000000000001" customHeight="1" x14ac:dyDescent="0.25">
      <c r="B811" s="29"/>
      <c r="C811" s="29"/>
      <c r="D811" s="29"/>
      <c r="E811" s="29"/>
      <c r="F811" s="29"/>
      <c r="G811" s="29"/>
    </row>
    <row r="812" spans="2:7" ht="20.100000000000001" customHeight="1" x14ac:dyDescent="0.25">
      <c r="B812" s="29"/>
      <c r="C812" s="29"/>
      <c r="D812" s="29"/>
      <c r="E812" s="29"/>
      <c r="F812" s="29"/>
      <c r="G812" s="29"/>
    </row>
    <row r="813" spans="2:7" ht="20.100000000000001" customHeight="1" x14ac:dyDescent="0.25">
      <c r="B813" s="29"/>
      <c r="C813" s="29"/>
      <c r="D813" s="29"/>
      <c r="E813" s="29"/>
      <c r="F813" s="29"/>
      <c r="G813" s="29"/>
    </row>
    <row r="814" spans="2:7" ht="20.100000000000001" customHeight="1" x14ac:dyDescent="0.25">
      <c r="B814" s="29"/>
      <c r="C814" s="29"/>
      <c r="D814" s="29"/>
      <c r="E814" s="29"/>
      <c r="F814" s="29"/>
      <c r="G814" s="29"/>
    </row>
    <row r="815" spans="2:7" ht="20.100000000000001" customHeight="1" x14ac:dyDescent="0.25">
      <c r="B815" s="29"/>
      <c r="C815" s="29"/>
      <c r="D815" s="29"/>
      <c r="E815" s="29"/>
      <c r="F815" s="29"/>
      <c r="G815" s="29"/>
    </row>
    <row r="816" spans="2:7" ht="20.100000000000001" customHeight="1" x14ac:dyDescent="0.25">
      <c r="B816" s="29"/>
      <c r="C816" s="29"/>
      <c r="D816" s="29"/>
      <c r="E816" s="29"/>
      <c r="F816" s="29"/>
      <c r="G816" s="29"/>
    </row>
    <row r="817" spans="2:7" ht="20.100000000000001" customHeight="1" x14ac:dyDescent="0.25">
      <c r="B817" s="29"/>
      <c r="C817" s="29"/>
      <c r="D817" s="29"/>
      <c r="E817" s="29"/>
      <c r="F817" s="29"/>
      <c r="G817" s="29"/>
    </row>
    <row r="818" spans="2:7" ht="20.100000000000001" customHeight="1" x14ac:dyDescent="0.25">
      <c r="B818" s="29"/>
      <c r="C818" s="29"/>
      <c r="D818" s="29"/>
      <c r="E818" s="29"/>
      <c r="F818" s="29"/>
      <c r="G818" s="29"/>
    </row>
    <row r="819" spans="2:7" ht="20.100000000000001" customHeight="1" x14ac:dyDescent="0.25">
      <c r="B819" s="29"/>
      <c r="C819" s="29"/>
      <c r="D819" s="29"/>
      <c r="E819" s="29"/>
      <c r="F819" s="29"/>
      <c r="G819" s="29"/>
    </row>
    <row r="820" spans="2:7" ht="20.100000000000001" customHeight="1" x14ac:dyDescent="0.25">
      <c r="B820" s="29"/>
      <c r="C820" s="29"/>
      <c r="D820" s="29"/>
      <c r="E820" s="29"/>
      <c r="F820" s="29"/>
      <c r="G820" s="29"/>
    </row>
    <row r="821" spans="2:7" ht="20.100000000000001" customHeight="1" x14ac:dyDescent="0.25">
      <c r="B821" s="29"/>
      <c r="C821" s="29"/>
      <c r="D821" s="29"/>
      <c r="E821" s="29"/>
      <c r="F821" s="29"/>
      <c r="G821" s="29"/>
    </row>
    <row r="822" spans="2:7" ht="20.100000000000001" customHeight="1" x14ac:dyDescent="0.25">
      <c r="B822" s="29"/>
      <c r="C822" s="29"/>
      <c r="D822" s="29"/>
      <c r="E822" s="29"/>
      <c r="F822" s="29"/>
      <c r="G822" s="29"/>
    </row>
    <row r="823" spans="2:7" ht="20.100000000000001" customHeight="1" x14ac:dyDescent="0.25">
      <c r="B823" s="29"/>
      <c r="C823" s="29"/>
      <c r="D823" s="29"/>
      <c r="E823" s="29"/>
      <c r="F823" s="29"/>
      <c r="G823" s="29"/>
    </row>
    <row r="824" spans="2:7" ht="20.100000000000001" customHeight="1" x14ac:dyDescent="0.25">
      <c r="B824" s="29"/>
      <c r="C824" s="29"/>
      <c r="D824" s="29"/>
      <c r="E824" s="29"/>
      <c r="F824" s="29"/>
      <c r="G824" s="29"/>
    </row>
    <row r="825" spans="2:7" ht="20.100000000000001" customHeight="1" x14ac:dyDescent="0.25">
      <c r="B825" s="29"/>
      <c r="C825" s="29"/>
      <c r="D825" s="29"/>
      <c r="E825" s="29"/>
      <c r="F825" s="29"/>
      <c r="G825" s="29"/>
    </row>
    <row r="826" spans="2:7" ht="20.100000000000001" customHeight="1" x14ac:dyDescent="0.25">
      <c r="B826" s="29"/>
      <c r="C826" s="29"/>
      <c r="D826" s="29"/>
      <c r="E826" s="29"/>
      <c r="F826" s="29"/>
      <c r="G826" s="29"/>
    </row>
    <row r="827" spans="2:7" ht="20.100000000000001" customHeight="1" x14ac:dyDescent="0.25">
      <c r="B827" s="29"/>
      <c r="C827" s="29"/>
      <c r="D827" s="29"/>
      <c r="E827" s="29"/>
      <c r="F827" s="29"/>
      <c r="G827" s="29"/>
    </row>
    <row r="828" spans="2:7" ht="20.100000000000001" customHeight="1" x14ac:dyDescent="0.25">
      <c r="B828" s="29"/>
      <c r="C828" s="29"/>
      <c r="D828" s="29"/>
      <c r="E828" s="29"/>
      <c r="F828" s="29"/>
      <c r="G828" s="29"/>
    </row>
    <row r="829" spans="2:7" ht="20.100000000000001" customHeight="1" x14ac:dyDescent="0.25">
      <c r="B829" s="29"/>
      <c r="C829" s="29"/>
      <c r="D829" s="29"/>
      <c r="E829" s="29"/>
      <c r="F829" s="29"/>
      <c r="G829" s="29"/>
    </row>
    <row r="830" spans="2:7" ht="20.100000000000001" customHeight="1" x14ac:dyDescent="0.25">
      <c r="B830" s="29"/>
      <c r="C830" s="29"/>
      <c r="D830" s="29"/>
      <c r="E830" s="29"/>
      <c r="F830" s="29"/>
      <c r="G830" s="29"/>
    </row>
    <row r="831" spans="2:7" ht="20.100000000000001" customHeight="1" x14ac:dyDescent="0.25">
      <c r="B831" s="29"/>
      <c r="C831" s="29"/>
      <c r="D831" s="29"/>
      <c r="E831" s="29"/>
      <c r="F831" s="29"/>
      <c r="G831" s="29"/>
    </row>
    <row r="832" spans="2:7" ht="20.100000000000001" customHeight="1" x14ac:dyDescent="0.25">
      <c r="B832" s="29"/>
      <c r="C832" s="29"/>
      <c r="D832" s="29"/>
      <c r="E832" s="29"/>
      <c r="F832" s="29"/>
      <c r="G832" s="29"/>
    </row>
    <row r="833" spans="2:7" ht="20.100000000000001" customHeight="1" x14ac:dyDescent="0.25">
      <c r="B833" s="29"/>
      <c r="C833" s="29"/>
      <c r="D833" s="29"/>
      <c r="E833" s="29"/>
      <c r="F833" s="29"/>
      <c r="G833" s="29"/>
    </row>
    <row r="834" spans="2:7" ht="20.100000000000001" customHeight="1" x14ac:dyDescent="0.25">
      <c r="B834" s="29"/>
      <c r="C834" s="29"/>
      <c r="D834" s="29"/>
      <c r="E834" s="29"/>
      <c r="F834" s="29"/>
      <c r="G834" s="29"/>
    </row>
    <row r="835" spans="2:7" ht="20.100000000000001" customHeight="1" x14ac:dyDescent="0.25">
      <c r="B835" s="29"/>
      <c r="C835" s="29"/>
      <c r="D835" s="29"/>
      <c r="E835" s="29"/>
      <c r="F835" s="29"/>
      <c r="G835" s="29"/>
    </row>
    <row r="836" spans="2:7" ht="20.100000000000001" customHeight="1" x14ac:dyDescent="0.25">
      <c r="B836" s="29"/>
      <c r="C836" s="29"/>
      <c r="D836" s="29"/>
      <c r="E836" s="29"/>
      <c r="F836" s="29"/>
      <c r="G836" s="29"/>
    </row>
    <row r="837" spans="2:7" ht="20.100000000000001" customHeight="1" x14ac:dyDescent="0.25">
      <c r="B837" s="29"/>
      <c r="C837" s="29"/>
      <c r="D837" s="29"/>
      <c r="E837" s="29"/>
      <c r="F837" s="29"/>
      <c r="G837" s="29"/>
    </row>
    <row r="838" spans="2:7" ht="20.100000000000001" customHeight="1" x14ac:dyDescent="0.25">
      <c r="B838" s="29"/>
      <c r="C838" s="29"/>
      <c r="D838" s="29"/>
      <c r="E838" s="29"/>
      <c r="F838" s="29"/>
      <c r="G838" s="29"/>
    </row>
    <row r="839" spans="2:7" ht="20.100000000000001" customHeight="1" x14ac:dyDescent="0.25">
      <c r="B839" s="29"/>
      <c r="C839" s="29"/>
      <c r="D839" s="29"/>
      <c r="E839" s="29"/>
      <c r="F839" s="29"/>
      <c r="G839" s="29"/>
    </row>
    <row r="840" spans="2:7" ht="20.100000000000001" customHeight="1" x14ac:dyDescent="0.25">
      <c r="B840" s="29"/>
      <c r="C840" s="29"/>
      <c r="D840" s="29"/>
      <c r="E840" s="29"/>
      <c r="F840" s="29"/>
      <c r="G840" s="29"/>
    </row>
    <row r="841" spans="2:7" ht="20.100000000000001" customHeight="1" x14ac:dyDescent="0.25">
      <c r="B841" s="29"/>
      <c r="C841" s="29"/>
      <c r="D841" s="29"/>
      <c r="E841" s="29"/>
      <c r="F841" s="29"/>
      <c r="G841" s="29"/>
    </row>
    <row r="842" spans="2:7" ht="20.100000000000001" customHeight="1" x14ac:dyDescent="0.25">
      <c r="B842" s="29"/>
      <c r="C842" s="29"/>
      <c r="D842" s="29"/>
      <c r="E842" s="29"/>
      <c r="F842" s="29"/>
      <c r="G842" s="29"/>
    </row>
    <row r="843" spans="2:7" ht="20.100000000000001" customHeight="1" x14ac:dyDescent="0.25">
      <c r="B843" s="29"/>
      <c r="C843" s="29"/>
      <c r="D843" s="29"/>
      <c r="E843" s="29"/>
      <c r="F843" s="29"/>
      <c r="G843" s="29"/>
    </row>
    <row r="844" spans="2:7" ht="20.100000000000001" customHeight="1" x14ac:dyDescent="0.25">
      <c r="B844" s="29"/>
      <c r="C844" s="29"/>
      <c r="D844" s="29"/>
      <c r="E844" s="29"/>
      <c r="F844" s="29"/>
      <c r="G844" s="29"/>
    </row>
    <row r="845" spans="2:7" ht="20.100000000000001" customHeight="1" x14ac:dyDescent="0.25">
      <c r="B845" s="29"/>
      <c r="C845" s="29"/>
      <c r="D845" s="29"/>
      <c r="E845" s="29"/>
      <c r="F845" s="29"/>
      <c r="G845" s="29"/>
    </row>
    <row r="846" spans="2:7" ht="20.100000000000001" customHeight="1" x14ac:dyDescent="0.25">
      <c r="B846" s="29"/>
      <c r="C846" s="29"/>
      <c r="D846" s="29"/>
      <c r="E846" s="29"/>
      <c r="F846" s="29"/>
      <c r="G846" s="29"/>
    </row>
    <row r="847" spans="2:7" ht="20.100000000000001" customHeight="1" x14ac:dyDescent="0.25">
      <c r="B847" s="29"/>
      <c r="C847" s="29"/>
      <c r="D847" s="29"/>
      <c r="E847" s="29"/>
      <c r="F847" s="29"/>
      <c r="G847" s="29"/>
    </row>
    <row r="848" spans="2:7" ht="20.100000000000001" customHeight="1" x14ac:dyDescent="0.25">
      <c r="B848" s="29"/>
      <c r="C848" s="29"/>
      <c r="D848" s="29"/>
      <c r="E848" s="29"/>
      <c r="F848" s="29"/>
      <c r="G848" s="29"/>
    </row>
    <row r="849" spans="2:7" ht="20.100000000000001" customHeight="1" x14ac:dyDescent="0.25">
      <c r="B849" s="29"/>
      <c r="C849" s="29"/>
      <c r="D849" s="29"/>
      <c r="E849" s="29"/>
      <c r="F849" s="29"/>
      <c r="G849" s="29"/>
    </row>
    <row r="850" spans="2:7" ht="20.100000000000001" customHeight="1" x14ac:dyDescent="0.25">
      <c r="B850" s="29"/>
      <c r="C850" s="29"/>
      <c r="D850" s="29"/>
      <c r="E850" s="29"/>
      <c r="F850" s="29"/>
      <c r="G850" s="29"/>
    </row>
  </sheetData>
  <mergeCells count="1">
    <mergeCell ref="K1:L1"/>
  </mergeCells>
  <hyperlinks>
    <hyperlink ref="K21" location="Ligue_1" display="Ligue_1"/>
    <hyperlink ref="L3" location="Serie_A_Ita" display="Serie_A_Ita"/>
    <hyperlink ref="K2" location="Bundesliga" display="Bundesliga"/>
    <hyperlink ref="K3" location="Bundesliga_2" display="Bundesliga_2"/>
    <hyperlink ref="K4" location="Premier_League_Ang" display="Premier_League_Ang"/>
    <hyperlink ref="K5" location="Championship" display="Championship"/>
    <hyperlink ref="K6" location="Premier_League_Arm" display="Premier_League_Arm"/>
    <hyperlink ref="K7" location="Tipico" display="Tipico"/>
    <hyperlink ref="K8" location="Jupiler_League" display="Jupiler_League"/>
    <hyperlink ref="K9" location="Vysshaya_Liga" display="Vysshaya_Liga"/>
    <hyperlink ref="K10" location="Premier_League_Bos" display="Premier_League_Bos"/>
    <hyperlink ref="K11" location="Serie_A_Bre" display="Serie_A_Bre"/>
    <hyperlink ref="K12" location="Parva_Liga" display="Parva_Liga"/>
    <hyperlink ref="K13" location="Premiere_Division_Chy" display="Premiere_Division_Chy"/>
    <hyperlink ref="K15" location="Super_Liga" display="Superliga"/>
    <hyperlink ref="K16" location="Premiership" display="Premiership"/>
    <hyperlink ref="K17" location="LaLiga" display="LaLiga"/>
    <hyperlink ref="K18" location="LaLiga_2" display="LaLiga_2"/>
    <hyperlink ref="K19" location="Meistriliiga" display="Meistriliiga"/>
    <hyperlink ref="K20" location="Veikkausliga" display="Veikkausliga"/>
    <hyperlink ref="K22" location="Ligue_2" display="Ligue_2"/>
    <hyperlink ref="K23" location="Super_League_Gre" display="Super_League_Gre"/>
    <hyperlink ref="K24" location="Premier_Division_Irl" display="Premier_Division_Irl"/>
    <hyperlink ref="L2" location="NIFL" display="NIFL"/>
    <hyperlink ref="L4" location="Serie_B_Ita" display="Serie_B_Ita"/>
    <hyperlink ref="L5" location="J_League" display="J_League"/>
    <hyperlink ref="L6" location="SynotTip" display="SynotTip"/>
    <hyperlink ref="L7" location="A_Lyga" display="A_Lyga"/>
    <hyperlink ref="L8" location="National_Division" display="National_Division"/>
    <hyperlink ref="L9" location="Eliteserien" display="Eliteserien"/>
    <hyperlink ref="L10" location="Eredivisie" display="Eredivisie"/>
    <hyperlink ref="L11" location="Premier_League_Gal" display="Premier_League_Gal"/>
    <hyperlink ref="L12" location="Ekstraklasa" display="Ekstraklasa"/>
    <hyperlink ref="L13" location="Liga_NOS" display="Liga_NOS"/>
    <hyperlink ref="L14" location="Liga_2_Cabovisao" display="Liga_2_Cabovisao"/>
    <hyperlink ref="L15" location="_1_Liga" display="1_Liga"/>
    <hyperlink ref="L16" location="Liga_1" display="Liga_1"/>
    <hyperlink ref="L17" location="Premier_League_Rus" display="Premier_League_Rus"/>
    <hyperlink ref="L18" location="Super_Liga" display="Super_Liga"/>
    <hyperlink ref="L19" location="Fortuna_Liga" display="Fortuna_Liga"/>
    <hyperlink ref="L20" location="Prva_Liga" display="Prva_Liga"/>
    <hyperlink ref="L21" location="Allsvenskan" display="Allsvenskan"/>
    <hyperlink ref="L22" location="Raiffeisen_League" display="Raiffeisen_League"/>
    <hyperlink ref="L23" location="Super_Lig" display="Super_Lig"/>
    <hyperlink ref="L24" location="Premier_League_Ukr" display="Premier_League_Ukr"/>
    <hyperlink ref="K14" location="HNL_1" display="HNL_1"/>
    <hyperlink ref="K25" location="OTP_Bank_Liga" display="OTP_Bank_Liga"/>
  </hyperlink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50"/>
  </sheetPr>
  <dimension ref="A1:U47"/>
  <sheetViews>
    <sheetView zoomScale="85" zoomScaleNormal="85" workbookViewId="0">
      <selection activeCell="N5" sqref="N5"/>
    </sheetView>
  </sheetViews>
  <sheetFormatPr baseColWidth="10" defaultColWidth="15.7109375" defaultRowHeight="24.95" customHeight="1" x14ac:dyDescent="0.25"/>
  <cols>
    <col min="1" max="5" width="15.7109375" style="3"/>
    <col min="6" max="6" width="10.7109375" style="3" customWidth="1"/>
    <col min="7" max="8" width="15.7109375" style="3" hidden="1" customWidth="1"/>
    <col min="9" max="13" width="15.7109375" style="3"/>
    <col min="14" max="14" width="10.7109375" style="3" customWidth="1"/>
    <col min="15" max="16" width="15.7109375" style="3" hidden="1" customWidth="1"/>
    <col min="17" max="16384" width="15.7109375" style="3"/>
  </cols>
  <sheetData>
    <row r="1" spans="1:21" ht="24.95" customHeight="1" x14ac:dyDescent="0.25">
      <c r="A1" s="24" t="s">
        <v>247</v>
      </c>
      <c r="B1" s="26" t="s">
        <v>228</v>
      </c>
      <c r="C1" s="26" t="s">
        <v>229</v>
      </c>
      <c r="D1" s="26" t="s">
        <v>230</v>
      </c>
      <c r="E1" s="26" t="s">
        <v>231</v>
      </c>
      <c r="I1" s="24" t="s">
        <v>234</v>
      </c>
      <c r="J1" s="26" t="s">
        <v>228</v>
      </c>
      <c r="K1" s="26" t="s">
        <v>229</v>
      </c>
      <c r="L1" s="26" t="s">
        <v>230</v>
      </c>
      <c r="M1" s="26" t="s">
        <v>231</v>
      </c>
      <c r="Q1" s="24" t="s">
        <v>249</v>
      </c>
      <c r="R1" s="26" t="s">
        <v>228</v>
      </c>
      <c r="S1" s="26" t="s">
        <v>229</v>
      </c>
      <c r="T1" s="26" t="s">
        <v>230</v>
      </c>
      <c r="U1" s="26" t="s">
        <v>231</v>
      </c>
    </row>
    <row r="2" spans="1:21" ht="24.95" customHeight="1" x14ac:dyDescent="0.25">
      <c r="A2" s="25">
        <v>43420</v>
      </c>
      <c r="B2" s="21">
        <f>COUNTIF(Report[Date],Suivi_FT!$A2)</f>
        <v>2</v>
      </c>
      <c r="C2" s="21">
        <f>COUNTIFS(Report_Données!$A:$A,Suivi_FT!$A2,Report_Données!$R:$R,Suivi_FT!$C$1)</f>
        <v>0</v>
      </c>
      <c r="D2" s="21">
        <f>COUNTIFS(Report_Données!$A:$A,Suivi_FT!$A2,Report_Données!$R:$R,Suivi_FT!$D$1)</f>
        <v>2</v>
      </c>
      <c r="E2" s="23">
        <f>IF(AND($C2=0,$D2=0),"",$C2/($C2+$D2))</f>
        <v>0</v>
      </c>
      <c r="G2" s="4">
        <v>43405</v>
      </c>
      <c r="H2" s="4">
        <v>43434</v>
      </c>
      <c r="I2" s="24" t="s">
        <v>235</v>
      </c>
      <c r="J2" s="21">
        <f>SUMIFS($B:$B,$A:$A,"&lt;="&amp;$H2,$A:$A,"&gt;="&amp;$G2)</f>
        <v>364</v>
      </c>
      <c r="K2" s="21">
        <f t="shared" ref="K2:K13" si="0">SUMIFS($C:$C,$A:$A,"&lt;="&amp;$H2,$A:$A,"&gt;="&amp;$G2)</f>
        <v>136</v>
      </c>
      <c r="L2" s="21">
        <f t="shared" ref="L2:L13" si="1">SUMIFS($D:$D,$A:$A,"&lt;="&amp;$H2,$A:$A,"&gt;="&amp;$G2)</f>
        <v>212</v>
      </c>
      <c r="M2" s="23">
        <f>IF(AND($K2=0,$L2=0),"",($K2/($K2+$L2)))</f>
        <v>0.39080459770114945</v>
      </c>
      <c r="Q2" s="24" t="s">
        <v>250</v>
      </c>
      <c r="R2" s="21">
        <f>SUM(Suivi_FT!R$5:R$7)</f>
        <v>364</v>
      </c>
      <c r="S2" s="21">
        <f>SUM(Suivi_FT!S$5:S$7)</f>
        <v>136</v>
      </c>
      <c r="T2" s="21">
        <f>SUM(Suivi_FT!T$5:T$7)</f>
        <v>212</v>
      </c>
      <c r="U2" s="23">
        <f>SUM(Suivi_FT!U$5:U$7)</f>
        <v>0.39080459770114945</v>
      </c>
    </row>
    <row r="3" spans="1:21" ht="24.95" customHeight="1" x14ac:dyDescent="0.25">
      <c r="A3" s="25">
        <v>43421</v>
      </c>
      <c r="B3" s="21">
        <f>COUNTIF(Report[Date],Suivi_FT!$A3)</f>
        <v>18</v>
      </c>
      <c r="C3" s="21">
        <f>COUNTIFS(Report_Données!$A:$A,Suivi_FT!$A3,Report_Données!$R:$R,Suivi_FT!$C$1)</f>
        <v>7</v>
      </c>
      <c r="D3" s="21">
        <f>COUNTIFS(Report_Données!$A:$A,Suivi_FT!$A3,Report_Données!$R:$R,Suivi_FT!$D$1)</f>
        <v>11</v>
      </c>
      <c r="E3" s="23">
        <f t="shared" ref="E3:E47" si="2">IF(AND($C3=0,$D3=0),"",$C3/($C3+$D3))</f>
        <v>0.3888888888888889</v>
      </c>
      <c r="G3" s="4">
        <v>43435</v>
      </c>
      <c r="H3" s="4">
        <v>43465</v>
      </c>
      <c r="I3" s="24" t="s">
        <v>236</v>
      </c>
      <c r="J3" s="21">
        <f t="shared" ref="J3:J13" si="3">SUMIFS($B:$B,$A:$A,"&lt;="&amp;$H3,$A:$A,"&gt;="&amp;$G3)</f>
        <v>0</v>
      </c>
      <c r="K3" s="21">
        <f t="shared" si="0"/>
        <v>0</v>
      </c>
      <c r="L3" s="21">
        <f t="shared" si="1"/>
        <v>0</v>
      </c>
      <c r="M3" s="23" t="str">
        <f t="shared" ref="M3:M13" si="4">IF(AND($K3=0,$L3=0),"",($K3/($K3+$L3)))</f>
        <v/>
      </c>
    </row>
    <row r="4" spans="1:21" ht="24.95" customHeight="1" x14ac:dyDescent="0.25">
      <c r="A4" s="25">
        <v>43422</v>
      </c>
      <c r="B4" s="21">
        <f>COUNTIF(Report[Date],Suivi_FT!$A4)</f>
        <v>16</v>
      </c>
      <c r="C4" s="21">
        <f>COUNTIFS(Report_Données!$A:$A,Suivi_FT!$A4,Report_Données!$R:$R,Suivi_FT!$C$1)</f>
        <v>7</v>
      </c>
      <c r="D4" s="21">
        <f>COUNTIFS(Report_Données!$A:$A,Suivi_FT!$A4,Report_Données!$R:$R,Suivi_FT!$D$1)</f>
        <v>9</v>
      </c>
      <c r="E4" s="23">
        <f t="shared" si="2"/>
        <v>0.4375</v>
      </c>
      <c r="G4" s="4">
        <v>43466</v>
      </c>
      <c r="H4" s="4">
        <v>43496</v>
      </c>
      <c r="I4" s="24" t="s">
        <v>237</v>
      </c>
      <c r="J4" s="21">
        <f t="shared" si="3"/>
        <v>0</v>
      </c>
      <c r="K4" s="21">
        <f t="shared" si="0"/>
        <v>0</v>
      </c>
      <c r="L4" s="21">
        <f t="shared" si="1"/>
        <v>0</v>
      </c>
      <c r="M4" s="23" t="str">
        <f t="shared" si="4"/>
        <v/>
      </c>
      <c r="Q4" s="24" t="s">
        <v>248</v>
      </c>
      <c r="R4" s="26" t="s">
        <v>228</v>
      </c>
      <c r="S4" s="26" t="s">
        <v>229</v>
      </c>
      <c r="T4" s="26" t="s">
        <v>230</v>
      </c>
      <c r="U4" s="26" t="s">
        <v>231</v>
      </c>
    </row>
    <row r="5" spans="1:21" ht="24.95" customHeight="1" x14ac:dyDescent="0.25">
      <c r="A5" s="25">
        <v>43423</v>
      </c>
      <c r="B5" s="21">
        <f>COUNTIF(Report[Date],Suivi_FT!$A5)</f>
        <v>2</v>
      </c>
      <c r="C5" s="21">
        <f>COUNTIFS(Report_Données!$A:$A,Suivi_FT!$A5,Report_Données!$R:$R,Suivi_FT!$C$1)</f>
        <v>1</v>
      </c>
      <c r="D5" s="21">
        <f>COUNTIFS(Report_Données!$A:$A,Suivi_FT!$A5,Report_Données!$R:$R,Suivi_FT!$D$1)</f>
        <v>1</v>
      </c>
      <c r="E5" s="23">
        <f t="shared" si="2"/>
        <v>0.5</v>
      </c>
      <c r="G5" s="4">
        <v>43497</v>
      </c>
      <c r="H5" s="4">
        <v>43524</v>
      </c>
      <c r="I5" s="24" t="s">
        <v>238</v>
      </c>
      <c r="J5" s="21">
        <f t="shared" si="3"/>
        <v>0</v>
      </c>
      <c r="K5" s="21">
        <f t="shared" si="0"/>
        <v>0</v>
      </c>
      <c r="L5" s="21">
        <f t="shared" si="1"/>
        <v>0</v>
      </c>
      <c r="M5" s="23" t="str">
        <f t="shared" si="4"/>
        <v/>
      </c>
      <c r="Q5" s="24">
        <v>2018</v>
      </c>
      <c r="R5" s="21">
        <f>SUMIFS($B:$B,$A:$A,"&lt;="&amp;$P11,$A:$A,"&gt;="&amp;$O11)</f>
        <v>364</v>
      </c>
      <c r="S5" s="21">
        <f>SUMIFS($C:$C,$A:$A,"&lt;="&amp;$P11,$A:$A,"&gt;="&amp;$O11)</f>
        <v>136</v>
      </c>
      <c r="T5" s="21">
        <f>SUMIFS($D:$D,$A:$A,"&lt;="&amp;$P11,$A:$A,"&gt;="&amp;$O11)</f>
        <v>212</v>
      </c>
      <c r="U5" s="23">
        <f>IFERROR($S5/($S5+$T5),)</f>
        <v>0.39080459770114945</v>
      </c>
    </row>
    <row r="6" spans="1:21" ht="24.95" customHeight="1" x14ac:dyDescent="0.25">
      <c r="A6" s="25">
        <v>43424</v>
      </c>
      <c r="B6" s="21">
        <f>COUNTIF(Report[Date],Suivi_FT!$A6)</f>
        <v>1</v>
      </c>
      <c r="C6" s="21">
        <f>COUNTIFS(Report_Données!$A:$A,Suivi_FT!$A6,Report_Données!$R:$R,Suivi_FT!$C$1)</f>
        <v>1</v>
      </c>
      <c r="D6" s="21">
        <f>COUNTIFS(Report_Données!$A:$A,Suivi_FT!$A6,Report_Données!$R:$R,Suivi_FT!$D$1)</f>
        <v>0</v>
      </c>
      <c r="E6" s="23">
        <f t="shared" si="2"/>
        <v>1</v>
      </c>
      <c r="G6" s="4">
        <v>43525</v>
      </c>
      <c r="H6" s="4">
        <v>43555</v>
      </c>
      <c r="I6" s="24" t="s">
        <v>239</v>
      </c>
      <c r="J6" s="21">
        <f t="shared" si="3"/>
        <v>0</v>
      </c>
      <c r="K6" s="21">
        <f t="shared" si="0"/>
        <v>0</v>
      </c>
      <c r="L6" s="21">
        <f t="shared" si="1"/>
        <v>0</v>
      </c>
      <c r="M6" s="23" t="str">
        <f t="shared" si="4"/>
        <v/>
      </c>
      <c r="Q6" s="24">
        <v>2019</v>
      </c>
      <c r="R6" s="21">
        <f>SUMIFS($B:$B,$A:$A,"&lt;="&amp;$P12,$A:$A,"&gt;="&amp;$O12)</f>
        <v>0</v>
      </c>
      <c r="S6" s="21">
        <f>SUMIFS($C:$C,$A:$A,"&lt;="&amp;$P12,$A:$A,"&gt;="&amp;$O12)</f>
        <v>0</v>
      </c>
      <c r="T6" s="21">
        <f>SUMIFS($D:$D,$A:$A,"&lt;="&amp;$P12,$A:$A,"&gt;="&amp;$O12)</f>
        <v>0</v>
      </c>
      <c r="U6" s="23">
        <f t="shared" ref="U6:U7" si="5">IFERROR($S6/($S6+$T6),)</f>
        <v>0</v>
      </c>
    </row>
    <row r="7" spans="1:21" ht="24.95" customHeight="1" x14ac:dyDescent="0.25">
      <c r="A7" s="25">
        <v>43425</v>
      </c>
      <c r="B7" s="21">
        <f>COUNTIF(Report[Date],Suivi_FT!$A7)</f>
        <v>4</v>
      </c>
      <c r="C7" s="21">
        <f>COUNTIFS(Report_Données!$A:$A,Suivi_FT!$A7,Report_Données!$R:$R,Suivi_FT!$C$1)</f>
        <v>0</v>
      </c>
      <c r="D7" s="21">
        <f>COUNTIFS(Report_Données!$A:$A,Suivi_FT!$A7,Report_Données!$R:$R,Suivi_FT!$D$1)</f>
        <v>4</v>
      </c>
      <c r="E7" s="23">
        <f t="shared" si="2"/>
        <v>0</v>
      </c>
      <c r="G7" s="4">
        <v>43556</v>
      </c>
      <c r="H7" s="4">
        <v>43585</v>
      </c>
      <c r="I7" s="24" t="s">
        <v>240</v>
      </c>
      <c r="J7" s="21">
        <f t="shared" si="3"/>
        <v>0</v>
      </c>
      <c r="K7" s="21">
        <f t="shared" si="0"/>
        <v>0</v>
      </c>
      <c r="L7" s="21">
        <f t="shared" si="1"/>
        <v>0</v>
      </c>
      <c r="M7" s="23" t="str">
        <f t="shared" si="4"/>
        <v/>
      </c>
      <c r="Q7" s="24">
        <v>2020</v>
      </c>
      <c r="R7" s="21">
        <f>SUMIFS($B:$B,$A:$A,"&lt;="&amp;$P13,$A:$A,"&gt;="&amp;$O13)</f>
        <v>0</v>
      </c>
      <c r="S7" s="21">
        <f>SUMIFS($C:$C,$A:$A,"&lt;="&amp;$P13,$A:$A,"&gt;="&amp;$O13)</f>
        <v>0</v>
      </c>
      <c r="T7" s="21">
        <f>SUMIFS($D:$D,$A:$A,"&lt;="&amp;$P13,$A:$A,"&gt;="&amp;$O13)</f>
        <v>0</v>
      </c>
      <c r="U7" s="23">
        <f t="shared" si="5"/>
        <v>0</v>
      </c>
    </row>
    <row r="8" spans="1:21" ht="24.95" customHeight="1" x14ac:dyDescent="0.25">
      <c r="A8" s="25">
        <v>43426</v>
      </c>
      <c r="B8" s="21">
        <f>COUNTIF(Report[Date],Suivi_FT!$A8)</f>
        <v>6</v>
      </c>
      <c r="C8" s="21">
        <f>COUNTIFS(Report_Données!$A:$A,Suivi_FT!$A8,Report_Données!$R:$R,Suivi_FT!$C$1)</f>
        <v>3</v>
      </c>
      <c r="D8" s="21">
        <f>COUNTIFS(Report_Données!$A:$A,Suivi_FT!$A8,Report_Données!$R:$R,Suivi_FT!$D$1)</f>
        <v>3</v>
      </c>
      <c r="E8" s="23">
        <f t="shared" si="2"/>
        <v>0.5</v>
      </c>
      <c r="G8" s="4">
        <v>43586</v>
      </c>
      <c r="H8" s="4">
        <v>43616</v>
      </c>
      <c r="I8" s="24" t="s">
        <v>241</v>
      </c>
      <c r="J8" s="21">
        <f t="shared" si="3"/>
        <v>0</v>
      </c>
      <c r="K8" s="21">
        <f t="shared" si="0"/>
        <v>0</v>
      </c>
      <c r="L8" s="21">
        <f t="shared" si="1"/>
        <v>0</v>
      </c>
      <c r="M8" s="23" t="str">
        <f t="shared" si="4"/>
        <v/>
      </c>
    </row>
    <row r="9" spans="1:21" ht="24.95" customHeight="1" x14ac:dyDescent="0.25">
      <c r="A9" s="25">
        <v>43427</v>
      </c>
      <c r="B9" s="21">
        <f>COUNTIF(Report[Date],Suivi_FT!$A9)</f>
        <v>34</v>
      </c>
      <c r="C9" s="21">
        <f>COUNTIFS(Report_Données!$A:$A,Suivi_FT!$A9,Report_Données!$R:$R,Suivi_FT!$C$1)</f>
        <v>10</v>
      </c>
      <c r="D9" s="21">
        <f>COUNTIFS(Report_Données!$A:$A,Suivi_FT!$A9,Report_Données!$R:$R,Suivi_FT!$D$1)</f>
        <v>24</v>
      </c>
      <c r="E9" s="23">
        <f t="shared" si="2"/>
        <v>0.29411764705882354</v>
      </c>
      <c r="G9" s="4">
        <v>43617</v>
      </c>
      <c r="H9" s="4">
        <v>43646</v>
      </c>
      <c r="I9" s="24" t="s">
        <v>242</v>
      </c>
      <c r="J9" s="21">
        <f t="shared" si="3"/>
        <v>0</v>
      </c>
      <c r="K9" s="21">
        <f t="shared" si="0"/>
        <v>0</v>
      </c>
      <c r="L9" s="21">
        <f t="shared" si="1"/>
        <v>0</v>
      </c>
      <c r="M9" s="23" t="str">
        <f t="shared" si="4"/>
        <v/>
      </c>
    </row>
    <row r="10" spans="1:21" ht="24.95" customHeight="1" x14ac:dyDescent="0.25">
      <c r="A10" s="25">
        <v>43428</v>
      </c>
      <c r="B10" s="21">
        <f>COUNTIF(Report[Date],Suivi_FT!$A10)</f>
        <v>151</v>
      </c>
      <c r="C10" s="21">
        <f>COUNTIFS(Report_Données!$A:$A,Suivi_FT!$A10,Report_Données!$R:$R,Suivi_FT!$C$1)</f>
        <v>60</v>
      </c>
      <c r="D10" s="21">
        <f>COUNTIFS(Report_Données!$A:$A,Suivi_FT!$A10,Report_Données!$R:$R,Suivi_FT!$D$1)</f>
        <v>91</v>
      </c>
      <c r="E10" s="23">
        <f t="shared" si="2"/>
        <v>0.39735099337748342</v>
      </c>
      <c r="G10" s="4">
        <v>43647</v>
      </c>
      <c r="H10" s="4">
        <v>43677</v>
      </c>
      <c r="I10" s="24" t="s">
        <v>243</v>
      </c>
      <c r="J10" s="21">
        <f t="shared" si="3"/>
        <v>0</v>
      </c>
      <c r="K10" s="21">
        <f t="shared" si="0"/>
        <v>0</v>
      </c>
      <c r="L10" s="21">
        <f t="shared" si="1"/>
        <v>0</v>
      </c>
      <c r="M10" s="23" t="str">
        <f t="shared" si="4"/>
        <v/>
      </c>
    </row>
    <row r="11" spans="1:21" ht="24.95" customHeight="1" x14ac:dyDescent="0.25">
      <c r="A11" s="25">
        <v>43429</v>
      </c>
      <c r="B11" s="21">
        <f>COUNTIF(Report[Date],Suivi_FT!$A11)</f>
        <v>100</v>
      </c>
      <c r="C11" s="21">
        <f>COUNTIFS(Report_Données!$A:$A,Suivi_FT!$A11,Report_Données!$R:$R,Suivi_FT!$C$1)</f>
        <v>42</v>
      </c>
      <c r="D11" s="21">
        <f>COUNTIFS(Report_Données!$A:$A,Suivi_FT!$A11,Report_Données!$R:$R,Suivi_FT!$D$1)</f>
        <v>58</v>
      </c>
      <c r="E11" s="23">
        <f t="shared" si="2"/>
        <v>0.42</v>
      </c>
      <c r="G11" s="4">
        <v>43678</v>
      </c>
      <c r="H11" s="4">
        <v>43708</v>
      </c>
      <c r="I11" s="24" t="s">
        <v>244</v>
      </c>
      <c r="J11" s="21">
        <f t="shared" si="3"/>
        <v>0</v>
      </c>
      <c r="K11" s="21">
        <f t="shared" si="0"/>
        <v>0</v>
      </c>
      <c r="L11" s="21">
        <f t="shared" si="1"/>
        <v>0</v>
      </c>
      <c r="M11" s="23" t="str">
        <f t="shared" si="4"/>
        <v/>
      </c>
      <c r="O11" s="4">
        <v>43101</v>
      </c>
      <c r="P11" s="4">
        <v>43465</v>
      </c>
    </row>
    <row r="12" spans="1:21" ht="24.95" customHeight="1" x14ac:dyDescent="0.25">
      <c r="A12" s="25">
        <v>43430</v>
      </c>
      <c r="B12" s="21">
        <f>COUNTIF(Report[Date],Suivi_FT!$A12)</f>
        <v>14</v>
      </c>
      <c r="C12" s="21">
        <f>COUNTIFS(Report_Données!$A:$A,Suivi_FT!$A12,Report_Données!$R:$R,Suivi_FT!$C$1)</f>
        <v>5</v>
      </c>
      <c r="D12" s="21">
        <f>COUNTIFS(Report_Données!$A:$A,Suivi_FT!$A12,Report_Données!$R:$R,Suivi_FT!$D$1)</f>
        <v>9</v>
      </c>
      <c r="E12" s="23">
        <f t="shared" si="2"/>
        <v>0.35714285714285715</v>
      </c>
      <c r="G12" s="4">
        <v>43709</v>
      </c>
      <c r="H12" s="4">
        <v>43738</v>
      </c>
      <c r="I12" s="24" t="s">
        <v>245</v>
      </c>
      <c r="J12" s="21">
        <f t="shared" si="3"/>
        <v>0</v>
      </c>
      <c r="K12" s="21">
        <f t="shared" si="0"/>
        <v>0</v>
      </c>
      <c r="L12" s="21">
        <f t="shared" si="1"/>
        <v>0</v>
      </c>
      <c r="M12" s="23" t="str">
        <f t="shared" si="4"/>
        <v/>
      </c>
      <c r="O12" s="4">
        <v>43466</v>
      </c>
      <c r="P12" s="4">
        <v>43830</v>
      </c>
    </row>
    <row r="13" spans="1:21" ht="24.95" customHeight="1" x14ac:dyDescent="0.25">
      <c r="A13" s="25">
        <v>43431</v>
      </c>
      <c r="B13" s="21">
        <f>COUNTIF(Report[Date],Suivi_FT!$A13)</f>
        <v>6</v>
      </c>
      <c r="C13" s="21">
        <f>COUNTIFS(Report_Données!$A:$A,Suivi_FT!$A13,Report_Données!$R:$R,Suivi_FT!$C$1)</f>
        <v>0</v>
      </c>
      <c r="D13" s="21">
        <f>COUNTIFS(Report_Données!$A:$A,Suivi_FT!$A13,Report_Données!$R:$R,Suivi_FT!$D$1)</f>
        <v>0</v>
      </c>
      <c r="E13" s="23" t="str">
        <f t="shared" si="2"/>
        <v/>
      </c>
      <c r="G13" s="4">
        <v>43739</v>
      </c>
      <c r="H13" s="4">
        <v>43769</v>
      </c>
      <c r="I13" s="24" t="s">
        <v>246</v>
      </c>
      <c r="J13" s="21">
        <f t="shared" si="3"/>
        <v>0</v>
      </c>
      <c r="K13" s="21">
        <f t="shared" si="0"/>
        <v>0</v>
      </c>
      <c r="L13" s="21">
        <f t="shared" si="1"/>
        <v>0</v>
      </c>
      <c r="M13" s="23" t="str">
        <f t="shared" si="4"/>
        <v/>
      </c>
      <c r="O13" s="4">
        <v>43831</v>
      </c>
      <c r="P13" s="4">
        <v>44196</v>
      </c>
    </row>
    <row r="14" spans="1:21" ht="24.95" customHeight="1" x14ac:dyDescent="0.25">
      <c r="A14" s="25">
        <v>43432</v>
      </c>
      <c r="B14" s="21">
        <f>COUNTIF(Report[Date],Suivi_FT!$A14)</f>
        <v>10</v>
      </c>
      <c r="C14" s="21">
        <f>COUNTIFS(Report_Données!$A:$A,Suivi_FT!$A14,Report_Données!$R:$R,Suivi_FT!$C$1)</f>
        <v>0</v>
      </c>
      <c r="D14" s="21">
        <f>COUNTIFS(Report_Données!$A:$A,Suivi_FT!$A14,Report_Données!$R:$R,Suivi_FT!$D$1)</f>
        <v>0</v>
      </c>
      <c r="E14" s="23" t="str">
        <f t="shared" si="2"/>
        <v/>
      </c>
    </row>
    <row r="15" spans="1:21" ht="24.95" customHeight="1" x14ac:dyDescent="0.25">
      <c r="A15" s="25">
        <v>43433</v>
      </c>
      <c r="B15" s="21">
        <f>COUNTIF(Report[Date],Suivi_FT!$A15)</f>
        <v>0</v>
      </c>
      <c r="C15" s="21">
        <f>COUNTIFS(Report_Données!$A:$A,Suivi_FT!$A15,Report_Données!$R:$R,Suivi_FT!$C$1)</f>
        <v>0</v>
      </c>
      <c r="D15" s="21">
        <f>COUNTIFS(Report_Données!$A:$A,Suivi_FT!$A15,Report_Données!$R:$R,Suivi_FT!$D$1)</f>
        <v>0</v>
      </c>
      <c r="E15" s="23" t="str">
        <f t="shared" si="2"/>
        <v/>
      </c>
    </row>
    <row r="16" spans="1:21" ht="24.95" customHeight="1" x14ac:dyDescent="0.25">
      <c r="A16" s="25">
        <v>43434</v>
      </c>
      <c r="B16" s="21">
        <f>COUNTIF(Report[Date],Suivi_FT!$A16)</f>
        <v>0</v>
      </c>
      <c r="C16" s="21">
        <f>COUNTIFS(Report_Données!$A:$A,Suivi_FT!$A16,Report_Données!$R:$R,Suivi_FT!$C$1)</f>
        <v>0</v>
      </c>
      <c r="D16" s="21">
        <f>COUNTIFS(Report_Données!$A:$A,Suivi_FT!$A16,Report_Données!$R:$R,Suivi_FT!$D$1)</f>
        <v>0</v>
      </c>
      <c r="E16" s="23" t="str">
        <f t="shared" si="2"/>
        <v/>
      </c>
    </row>
    <row r="17" spans="1:5" ht="24.95" customHeight="1" x14ac:dyDescent="0.25">
      <c r="A17" s="25">
        <v>43435</v>
      </c>
      <c r="B17" s="21">
        <f>COUNTIF(Report[Date],Suivi_FT!$A17)</f>
        <v>0</v>
      </c>
      <c r="C17" s="21">
        <f>COUNTIFS(Report_Données!$A:$A,Suivi_FT!$A17,Report_Données!$R:$R,Suivi_FT!$C$1)</f>
        <v>0</v>
      </c>
      <c r="D17" s="21">
        <f>COUNTIFS(Report_Données!$A:$A,Suivi_FT!$A17,Report_Données!$R:$R,Suivi_FT!$D$1)</f>
        <v>0</v>
      </c>
      <c r="E17" s="23" t="str">
        <f t="shared" si="2"/>
        <v/>
      </c>
    </row>
    <row r="18" spans="1:5" ht="24.95" customHeight="1" x14ac:dyDescent="0.25">
      <c r="A18" s="25">
        <v>43436</v>
      </c>
      <c r="B18" s="21">
        <f>COUNTIF(Report[Date],Suivi_FT!$A18)</f>
        <v>0</v>
      </c>
      <c r="C18" s="21">
        <f>COUNTIFS(Report_Données!$A:$A,Suivi_FT!$A18,Report_Données!$R:$R,Suivi_FT!$C$1)</f>
        <v>0</v>
      </c>
      <c r="D18" s="21">
        <f>COUNTIFS(Report_Données!$A:$A,Suivi_FT!$A18,Report_Données!$R:$R,Suivi_FT!$D$1)</f>
        <v>0</v>
      </c>
      <c r="E18" s="23" t="str">
        <f t="shared" si="2"/>
        <v/>
      </c>
    </row>
    <row r="19" spans="1:5" ht="24.95" customHeight="1" x14ac:dyDescent="0.25">
      <c r="A19" s="25">
        <v>43437</v>
      </c>
      <c r="B19" s="21">
        <f>COUNTIF(Report[Date],Suivi_FT!$A19)</f>
        <v>0</v>
      </c>
      <c r="C19" s="21">
        <f>COUNTIFS(Report_Données!$A:$A,Suivi_FT!$A19,Report_Données!$R:$R,Suivi_FT!$C$1)</f>
        <v>0</v>
      </c>
      <c r="D19" s="21">
        <f>COUNTIFS(Report_Données!$A:$A,Suivi_FT!$A19,Report_Données!$R:$R,Suivi_FT!$D$1)</f>
        <v>0</v>
      </c>
      <c r="E19" s="23" t="str">
        <f t="shared" si="2"/>
        <v/>
      </c>
    </row>
    <row r="20" spans="1:5" ht="24.95" customHeight="1" x14ac:dyDescent="0.25">
      <c r="A20" s="25">
        <v>43438</v>
      </c>
      <c r="B20" s="21">
        <f>COUNTIF(Report[Date],Suivi_FT!$A20)</f>
        <v>0</v>
      </c>
      <c r="C20" s="21">
        <f>COUNTIFS(Report_Données!$A:$A,Suivi_FT!$A20,Report_Données!$R:$R,Suivi_FT!$C$1)</f>
        <v>0</v>
      </c>
      <c r="D20" s="21">
        <f>COUNTIFS(Report_Données!$A:$A,Suivi_FT!$A20,Report_Données!$R:$R,Suivi_FT!$D$1)</f>
        <v>0</v>
      </c>
      <c r="E20" s="23" t="str">
        <f t="shared" si="2"/>
        <v/>
      </c>
    </row>
    <row r="21" spans="1:5" ht="24.95" customHeight="1" x14ac:dyDescent="0.25">
      <c r="A21" s="25">
        <v>43439</v>
      </c>
      <c r="B21" s="21">
        <f>COUNTIF(Report[Date],Suivi_FT!$A21)</f>
        <v>0</v>
      </c>
      <c r="C21" s="21">
        <f>COUNTIFS(Report_Données!$A:$A,Suivi_FT!$A21,Report_Données!$R:$R,Suivi_FT!$C$1)</f>
        <v>0</v>
      </c>
      <c r="D21" s="21">
        <f>COUNTIFS(Report_Données!$A:$A,Suivi_FT!$A21,Report_Données!$R:$R,Suivi_FT!$D$1)</f>
        <v>0</v>
      </c>
      <c r="E21" s="23" t="str">
        <f t="shared" si="2"/>
        <v/>
      </c>
    </row>
    <row r="22" spans="1:5" ht="24.95" customHeight="1" x14ac:dyDescent="0.25">
      <c r="A22" s="25">
        <v>43440</v>
      </c>
      <c r="B22" s="21">
        <f>COUNTIF(Report[Date],Suivi_FT!$A22)</f>
        <v>0</v>
      </c>
      <c r="C22" s="21">
        <f>COUNTIFS(Report_Données!$A:$A,Suivi_FT!$A22,Report_Données!$R:$R,Suivi_FT!$C$1)</f>
        <v>0</v>
      </c>
      <c r="D22" s="21">
        <f>COUNTIFS(Report_Données!$A:$A,Suivi_FT!$A22,Report_Données!$R:$R,Suivi_FT!$D$1)</f>
        <v>0</v>
      </c>
      <c r="E22" s="23" t="str">
        <f t="shared" si="2"/>
        <v/>
      </c>
    </row>
    <row r="23" spans="1:5" ht="24.95" customHeight="1" x14ac:dyDescent="0.25">
      <c r="A23" s="25">
        <v>43441</v>
      </c>
      <c r="B23" s="21">
        <f>COUNTIF(Report[Date],Suivi_FT!$A23)</f>
        <v>0</v>
      </c>
      <c r="C23" s="21">
        <f>COUNTIFS(Report_Données!$A:$A,Suivi_FT!$A23,Report_Données!$R:$R,Suivi_FT!$C$1)</f>
        <v>0</v>
      </c>
      <c r="D23" s="21">
        <f>COUNTIFS(Report_Données!$A:$A,Suivi_FT!$A23,Report_Données!$R:$R,Suivi_FT!$D$1)</f>
        <v>0</v>
      </c>
      <c r="E23" s="23" t="str">
        <f t="shared" si="2"/>
        <v/>
      </c>
    </row>
    <row r="24" spans="1:5" ht="24.95" customHeight="1" x14ac:dyDescent="0.25">
      <c r="A24" s="25">
        <v>43442</v>
      </c>
      <c r="B24" s="21">
        <f>COUNTIF(Report[Date],Suivi_FT!$A24)</f>
        <v>0</v>
      </c>
      <c r="C24" s="21">
        <f>COUNTIFS(Report_Données!$A:$A,Suivi_FT!$A24,Report_Données!$R:$R,Suivi_FT!$C$1)</f>
        <v>0</v>
      </c>
      <c r="D24" s="21">
        <f>COUNTIFS(Report_Données!$A:$A,Suivi_FT!$A24,Report_Données!$R:$R,Suivi_FT!$D$1)</f>
        <v>0</v>
      </c>
      <c r="E24" s="23" t="str">
        <f t="shared" si="2"/>
        <v/>
      </c>
    </row>
    <row r="25" spans="1:5" ht="24.95" customHeight="1" x14ac:dyDescent="0.25">
      <c r="A25" s="25">
        <v>43443</v>
      </c>
      <c r="B25" s="21">
        <f>COUNTIF(Report[Date],Suivi_FT!$A25)</f>
        <v>0</v>
      </c>
      <c r="C25" s="21">
        <f>COUNTIFS(Report_Données!$A:$A,Suivi_FT!$A25,Report_Données!$R:$R,Suivi_FT!$C$1)</f>
        <v>0</v>
      </c>
      <c r="D25" s="21">
        <f>COUNTIFS(Report_Données!$A:$A,Suivi_FT!$A25,Report_Données!$R:$R,Suivi_FT!$D$1)</f>
        <v>0</v>
      </c>
      <c r="E25" s="23" t="str">
        <f t="shared" si="2"/>
        <v/>
      </c>
    </row>
    <row r="26" spans="1:5" ht="24.95" customHeight="1" x14ac:dyDescent="0.25">
      <c r="A26" s="25">
        <v>43444</v>
      </c>
      <c r="B26" s="21">
        <f>COUNTIF(Report[Date],Suivi_FT!$A26)</f>
        <v>0</v>
      </c>
      <c r="C26" s="21">
        <f>COUNTIFS(Report_Données!$A:$A,Suivi_FT!$A26,Report_Données!$R:$R,Suivi_FT!$C$1)</f>
        <v>0</v>
      </c>
      <c r="D26" s="21">
        <f>COUNTIFS(Report_Données!$A:$A,Suivi_FT!$A26,Report_Données!$R:$R,Suivi_FT!$D$1)</f>
        <v>0</v>
      </c>
      <c r="E26" s="23" t="str">
        <f t="shared" si="2"/>
        <v/>
      </c>
    </row>
    <row r="27" spans="1:5" ht="24.95" customHeight="1" x14ac:dyDescent="0.25">
      <c r="A27" s="25">
        <v>43445</v>
      </c>
      <c r="B27" s="21">
        <f>COUNTIF(Report[Date],Suivi_FT!$A27)</f>
        <v>0</v>
      </c>
      <c r="C27" s="21">
        <f>COUNTIFS(Report_Données!$A:$A,Suivi_FT!$A27,Report_Données!$R:$R,Suivi_FT!$C$1)</f>
        <v>0</v>
      </c>
      <c r="D27" s="21">
        <f>COUNTIFS(Report_Données!$A:$A,Suivi_FT!$A27,Report_Données!$R:$R,Suivi_FT!$D$1)</f>
        <v>0</v>
      </c>
      <c r="E27" s="23" t="str">
        <f t="shared" si="2"/>
        <v/>
      </c>
    </row>
    <row r="28" spans="1:5" ht="24.95" customHeight="1" x14ac:dyDescent="0.25">
      <c r="A28" s="25">
        <v>43446</v>
      </c>
      <c r="B28" s="21">
        <f>COUNTIF(Report[Date],Suivi_FT!$A28)</f>
        <v>0</v>
      </c>
      <c r="C28" s="21">
        <f>COUNTIFS(Report_Données!$A:$A,Suivi_FT!$A28,Report_Données!$R:$R,Suivi_FT!$C$1)</f>
        <v>0</v>
      </c>
      <c r="D28" s="21">
        <f>COUNTIFS(Report_Données!$A:$A,Suivi_FT!$A28,Report_Données!$R:$R,Suivi_FT!$D$1)</f>
        <v>0</v>
      </c>
      <c r="E28" s="23" t="str">
        <f t="shared" si="2"/>
        <v/>
      </c>
    </row>
    <row r="29" spans="1:5" ht="24.95" customHeight="1" x14ac:dyDescent="0.25">
      <c r="A29" s="25">
        <v>43447</v>
      </c>
      <c r="B29" s="21">
        <f>COUNTIF(Report[Date],Suivi_FT!$A29)</f>
        <v>0</v>
      </c>
      <c r="C29" s="21">
        <f>COUNTIFS(Report_Données!$A:$A,Suivi_FT!$A29,Report_Données!$R:$R,Suivi_FT!$C$1)</f>
        <v>0</v>
      </c>
      <c r="D29" s="21">
        <f>COUNTIFS(Report_Données!$A:$A,Suivi_FT!$A29,Report_Données!$R:$R,Suivi_FT!$D$1)</f>
        <v>0</v>
      </c>
      <c r="E29" s="23" t="str">
        <f t="shared" si="2"/>
        <v/>
      </c>
    </row>
    <row r="30" spans="1:5" ht="24.95" customHeight="1" x14ac:dyDescent="0.25">
      <c r="A30" s="25">
        <v>43448</v>
      </c>
      <c r="B30" s="21">
        <f>COUNTIF(Report[Date],Suivi_FT!$A30)</f>
        <v>0</v>
      </c>
      <c r="C30" s="21">
        <f>COUNTIFS(Report_Données!$A:$A,Suivi_FT!$A30,Report_Données!$R:$R,Suivi_FT!$C$1)</f>
        <v>0</v>
      </c>
      <c r="D30" s="21">
        <f>COUNTIFS(Report_Données!$A:$A,Suivi_FT!$A30,Report_Données!$R:$R,Suivi_FT!$D$1)</f>
        <v>0</v>
      </c>
      <c r="E30" s="23" t="str">
        <f t="shared" si="2"/>
        <v/>
      </c>
    </row>
    <row r="31" spans="1:5" ht="24.95" customHeight="1" x14ac:dyDescent="0.25">
      <c r="A31" s="25">
        <v>43449</v>
      </c>
      <c r="B31" s="21">
        <f>COUNTIF(Report[Date],Suivi_FT!$A31)</f>
        <v>0</v>
      </c>
      <c r="C31" s="21">
        <f>COUNTIFS(Report_Données!$A:$A,Suivi_FT!$A31,Report_Données!$R:$R,Suivi_FT!$C$1)</f>
        <v>0</v>
      </c>
      <c r="D31" s="21">
        <f>COUNTIFS(Report_Données!$A:$A,Suivi_FT!$A31,Report_Données!$R:$R,Suivi_FT!$D$1)</f>
        <v>0</v>
      </c>
      <c r="E31" s="23" t="str">
        <f t="shared" si="2"/>
        <v/>
      </c>
    </row>
    <row r="32" spans="1:5" ht="24.95" customHeight="1" x14ac:dyDescent="0.25">
      <c r="A32" s="25">
        <v>43450</v>
      </c>
      <c r="B32" s="21">
        <f>COUNTIF(Report[Date],Suivi_FT!$A32)</f>
        <v>0</v>
      </c>
      <c r="C32" s="21">
        <f>COUNTIFS(Report_Données!$A:$A,Suivi_FT!$A32,Report_Données!$R:$R,Suivi_FT!$C$1)</f>
        <v>0</v>
      </c>
      <c r="D32" s="21">
        <f>COUNTIFS(Report_Données!$A:$A,Suivi_FT!$A32,Report_Données!$R:$R,Suivi_FT!$D$1)</f>
        <v>0</v>
      </c>
      <c r="E32" s="23" t="str">
        <f t="shared" si="2"/>
        <v/>
      </c>
    </row>
    <row r="33" spans="1:5" ht="24.95" customHeight="1" x14ac:dyDescent="0.25">
      <c r="A33" s="25">
        <v>43451</v>
      </c>
      <c r="B33" s="21">
        <f>COUNTIF(Report[Date],Suivi_FT!$A33)</f>
        <v>0</v>
      </c>
      <c r="C33" s="21">
        <f>COUNTIFS(Report_Données!$A:$A,Suivi_FT!$A33,Report_Données!$R:$R,Suivi_FT!$C$1)</f>
        <v>0</v>
      </c>
      <c r="D33" s="21">
        <f>COUNTIFS(Report_Données!$A:$A,Suivi_FT!$A33,Report_Données!$R:$R,Suivi_FT!$D$1)</f>
        <v>0</v>
      </c>
      <c r="E33" s="23" t="str">
        <f t="shared" si="2"/>
        <v/>
      </c>
    </row>
    <row r="34" spans="1:5" ht="24.95" customHeight="1" x14ac:dyDescent="0.25">
      <c r="A34" s="25">
        <v>43452</v>
      </c>
      <c r="B34" s="21">
        <f>COUNTIF(Report[Date],Suivi_FT!$A34)</f>
        <v>0</v>
      </c>
      <c r="C34" s="21">
        <f>COUNTIFS(Report_Données!$A:$A,Suivi_FT!$A34,Report_Données!$R:$R,Suivi_FT!$C$1)</f>
        <v>0</v>
      </c>
      <c r="D34" s="21">
        <f>COUNTIFS(Report_Données!$A:$A,Suivi_FT!$A34,Report_Données!$R:$R,Suivi_FT!$D$1)</f>
        <v>0</v>
      </c>
      <c r="E34" s="23" t="str">
        <f t="shared" si="2"/>
        <v/>
      </c>
    </row>
    <row r="35" spans="1:5" ht="24.95" customHeight="1" x14ac:dyDescent="0.25">
      <c r="A35" s="25">
        <v>43453</v>
      </c>
      <c r="B35" s="21">
        <f>COUNTIF(Report[Date],Suivi_FT!$A35)</f>
        <v>0</v>
      </c>
      <c r="C35" s="21">
        <f>COUNTIFS(Report_Données!$A:$A,Suivi_FT!$A35,Report_Données!$R:$R,Suivi_FT!$C$1)</f>
        <v>0</v>
      </c>
      <c r="D35" s="21">
        <f>COUNTIFS(Report_Données!$A:$A,Suivi_FT!$A35,Report_Données!$R:$R,Suivi_FT!$D$1)</f>
        <v>0</v>
      </c>
      <c r="E35" s="23" t="str">
        <f t="shared" si="2"/>
        <v/>
      </c>
    </row>
    <row r="36" spans="1:5" ht="24.95" customHeight="1" x14ac:dyDescent="0.25">
      <c r="A36" s="25">
        <v>43454</v>
      </c>
      <c r="B36" s="21">
        <f>COUNTIF(Report[Date],Suivi_FT!$A36)</f>
        <v>0</v>
      </c>
      <c r="C36" s="21">
        <f>COUNTIFS(Report_Données!$A:$A,Suivi_FT!$A36,Report_Données!$R:$R,Suivi_FT!$C$1)</f>
        <v>0</v>
      </c>
      <c r="D36" s="21">
        <f>COUNTIFS(Report_Données!$A:$A,Suivi_FT!$A36,Report_Données!$R:$R,Suivi_FT!$D$1)</f>
        <v>0</v>
      </c>
      <c r="E36" s="23" t="str">
        <f t="shared" si="2"/>
        <v/>
      </c>
    </row>
    <row r="37" spans="1:5" ht="24.95" customHeight="1" x14ac:dyDescent="0.25">
      <c r="A37" s="25">
        <v>43455</v>
      </c>
      <c r="B37" s="21">
        <f>COUNTIF(Report[Date],Suivi_FT!$A37)</f>
        <v>0</v>
      </c>
      <c r="C37" s="21">
        <f>COUNTIFS(Report_Données!$A:$A,Suivi_FT!$A37,Report_Données!$R:$R,Suivi_FT!$C$1)</f>
        <v>0</v>
      </c>
      <c r="D37" s="21">
        <f>COUNTIFS(Report_Données!$A:$A,Suivi_FT!$A37,Report_Données!$R:$R,Suivi_FT!$D$1)</f>
        <v>0</v>
      </c>
      <c r="E37" s="23" t="str">
        <f t="shared" si="2"/>
        <v/>
      </c>
    </row>
    <row r="38" spans="1:5" ht="24.95" customHeight="1" x14ac:dyDescent="0.25">
      <c r="A38" s="25">
        <v>43456</v>
      </c>
      <c r="B38" s="21">
        <f>COUNTIF(Report[Date],Suivi_FT!$A38)</f>
        <v>0</v>
      </c>
      <c r="C38" s="21">
        <f>COUNTIFS(Report_Données!$A:$A,Suivi_FT!$A38,Report_Données!$R:$R,Suivi_FT!$C$1)</f>
        <v>0</v>
      </c>
      <c r="D38" s="21">
        <f>COUNTIFS(Report_Données!$A:$A,Suivi_FT!$A38,Report_Données!$R:$R,Suivi_FT!$D$1)</f>
        <v>0</v>
      </c>
      <c r="E38" s="23" t="str">
        <f t="shared" si="2"/>
        <v/>
      </c>
    </row>
    <row r="39" spans="1:5" ht="24.95" customHeight="1" x14ac:dyDescent="0.25">
      <c r="A39" s="25">
        <v>43457</v>
      </c>
      <c r="B39" s="21">
        <f>COUNTIF(Report[Date],Suivi_FT!$A39)</f>
        <v>0</v>
      </c>
      <c r="C39" s="21">
        <f>COUNTIFS(Report_Données!$A:$A,Suivi_FT!$A39,Report_Données!$R:$R,Suivi_FT!$C$1)</f>
        <v>0</v>
      </c>
      <c r="D39" s="21">
        <f>COUNTIFS(Report_Données!$A:$A,Suivi_FT!$A39,Report_Données!$R:$R,Suivi_FT!$D$1)</f>
        <v>0</v>
      </c>
      <c r="E39" s="23" t="str">
        <f t="shared" si="2"/>
        <v/>
      </c>
    </row>
    <row r="40" spans="1:5" ht="24.95" customHeight="1" x14ac:dyDescent="0.25">
      <c r="A40" s="25">
        <v>43458</v>
      </c>
      <c r="B40" s="21">
        <f>COUNTIF(Report[Date],Suivi_FT!$A40)</f>
        <v>0</v>
      </c>
      <c r="C40" s="21">
        <f>COUNTIFS(Report_Données!$A:$A,Suivi_FT!$A40,Report_Données!$R:$R,Suivi_FT!$C$1)</f>
        <v>0</v>
      </c>
      <c r="D40" s="21">
        <f>COUNTIFS(Report_Données!$A:$A,Suivi_FT!$A40,Report_Données!$R:$R,Suivi_FT!$D$1)</f>
        <v>0</v>
      </c>
      <c r="E40" s="23" t="str">
        <f t="shared" si="2"/>
        <v/>
      </c>
    </row>
    <row r="41" spans="1:5" ht="24.95" customHeight="1" x14ac:dyDescent="0.25">
      <c r="A41" s="25">
        <v>43459</v>
      </c>
      <c r="B41" s="21">
        <f>COUNTIF(Report[Date],Suivi_FT!$A41)</f>
        <v>0</v>
      </c>
      <c r="C41" s="21">
        <f>COUNTIFS(Report_Données!$A:$A,Suivi_FT!$A41,Report_Données!$R:$R,Suivi_FT!$C$1)</f>
        <v>0</v>
      </c>
      <c r="D41" s="21">
        <f>COUNTIFS(Report_Données!$A:$A,Suivi_FT!$A41,Report_Données!$R:$R,Suivi_FT!$D$1)</f>
        <v>0</v>
      </c>
      <c r="E41" s="23" t="str">
        <f t="shared" si="2"/>
        <v/>
      </c>
    </row>
    <row r="42" spans="1:5" ht="24.95" customHeight="1" x14ac:dyDescent="0.25">
      <c r="A42" s="25">
        <v>43460</v>
      </c>
      <c r="B42" s="21">
        <f>COUNTIF(Report[Date],Suivi_FT!$A42)</f>
        <v>0</v>
      </c>
      <c r="C42" s="21">
        <f>COUNTIFS(Report_Données!$A:$A,Suivi_FT!$A42,Report_Données!$R:$R,Suivi_FT!$C$1)</f>
        <v>0</v>
      </c>
      <c r="D42" s="21">
        <f>COUNTIFS(Report_Données!$A:$A,Suivi_FT!$A42,Report_Données!$R:$R,Suivi_FT!$D$1)</f>
        <v>0</v>
      </c>
      <c r="E42" s="23" t="str">
        <f t="shared" si="2"/>
        <v/>
      </c>
    </row>
    <row r="43" spans="1:5" ht="24.95" customHeight="1" x14ac:dyDescent="0.25">
      <c r="A43" s="25">
        <v>43461</v>
      </c>
      <c r="B43" s="21">
        <f>COUNTIF(Report[Date],Suivi_FT!$A43)</f>
        <v>0</v>
      </c>
      <c r="C43" s="21">
        <f>COUNTIFS(Report_Données!$A:$A,Suivi_FT!$A43,Report_Données!$R:$R,Suivi_FT!$C$1)</f>
        <v>0</v>
      </c>
      <c r="D43" s="21">
        <f>COUNTIFS(Report_Données!$A:$A,Suivi_FT!$A43,Report_Données!$R:$R,Suivi_FT!$D$1)</f>
        <v>0</v>
      </c>
      <c r="E43" s="23" t="str">
        <f t="shared" si="2"/>
        <v/>
      </c>
    </row>
    <row r="44" spans="1:5" ht="24.95" customHeight="1" x14ac:dyDescent="0.25">
      <c r="A44" s="25">
        <v>43462</v>
      </c>
      <c r="B44" s="21">
        <f>COUNTIF(Report[Date],Suivi_FT!$A44)</f>
        <v>0</v>
      </c>
      <c r="C44" s="21">
        <f>COUNTIFS(Report_Données!$A:$A,Suivi_FT!$A44,Report_Données!$R:$R,Suivi_FT!$C$1)</f>
        <v>0</v>
      </c>
      <c r="D44" s="21">
        <f>COUNTIFS(Report_Données!$A:$A,Suivi_FT!$A44,Report_Données!$R:$R,Suivi_FT!$D$1)</f>
        <v>0</v>
      </c>
      <c r="E44" s="23" t="str">
        <f t="shared" si="2"/>
        <v/>
      </c>
    </row>
    <row r="45" spans="1:5" ht="24.95" customHeight="1" x14ac:dyDescent="0.25">
      <c r="A45" s="25">
        <v>43463</v>
      </c>
      <c r="B45" s="21">
        <f>COUNTIF(Report[Date],Suivi_FT!$A45)</f>
        <v>0</v>
      </c>
      <c r="C45" s="21">
        <f>COUNTIFS(Report_Données!$A:$A,Suivi_FT!$A45,Report_Données!$R:$R,Suivi_FT!$C$1)</f>
        <v>0</v>
      </c>
      <c r="D45" s="21">
        <f>COUNTIFS(Report_Données!$A:$A,Suivi_FT!$A45,Report_Données!$R:$R,Suivi_FT!$D$1)</f>
        <v>0</v>
      </c>
      <c r="E45" s="23" t="str">
        <f t="shared" si="2"/>
        <v/>
      </c>
    </row>
    <row r="46" spans="1:5" ht="24.95" customHeight="1" x14ac:dyDescent="0.25">
      <c r="A46" s="25">
        <v>43464</v>
      </c>
      <c r="B46" s="21">
        <f>COUNTIF(Report[Date],Suivi_FT!$A46)</f>
        <v>0</v>
      </c>
      <c r="C46" s="21">
        <f>COUNTIFS(Report_Données!$A:$A,Suivi_FT!$A46,Report_Données!$R:$R,Suivi_FT!$C$1)</f>
        <v>0</v>
      </c>
      <c r="D46" s="21">
        <f>COUNTIFS(Report_Données!$A:$A,Suivi_FT!$A46,Report_Données!$R:$R,Suivi_FT!$D$1)</f>
        <v>0</v>
      </c>
      <c r="E46" s="23" t="str">
        <f t="shared" si="2"/>
        <v/>
      </c>
    </row>
    <row r="47" spans="1:5" ht="24.95" customHeight="1" x14ac:dyDescent="0.25">
      <c r="A47" s="25">
        <v>43465</v>
      </c>
      <c r="B47" s="21">
        <f>COUNTIF(Report[Date],Suivi_FT!$A47)</f>
        <v>0</v>
      </c>
      <c r="C47" s="21">
        <f>COUNTIFS(Report_Données!$A:$A,Suivi_FT!$A47,Report_Données!$R:$R,Suivi_FT!$C$1)</f>
        <v>0</v>
      </c>
      <c r="D47" s="21">
        <f>COUNTIFS(Report_Données!$A:$A,Suivi_FT!$A47,Report_Données!$R:$R,Suivi_FT!$D$1)</f>
        <v>0</v>
      </c>
      <c r="E47" s="23" t="str">
        <f t="shared" si="2"/>
        <v/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</sheetPr>
  <dimension ref="A1:Y47"/>
  <sheetViews>
    <sheetView zoomScale="80" zoomScaleNormal="80" workbookViewId="0">
      <selection activeCell="E20" sqref="E20"/>
    </sheetView>
  </sheetViews>
  <sheetFormatPr baseColWidth="10" defaultColWidth="15.7109375" defaultRowHeight="24.95" customHeight="1" x14ac:dyDescent="0.25"/>
  <cols>
    <col min="1" max="5" width="15.7109375" style="3"/>
    <col min="6" max="9" width="18.7109375" style="3" customWidth="1"/>
    <col min="10" max="10" width="10.7109375" style="3" customWidth="1"/>
    <col min="11" max="12" width="15.7109375" style="3" hidden="1" customWidth="1"/>
    <col min="13" max="17" width="15.7109375" style="3"/>
    <col min="18" max="18" width="10.7109375" style="3" customWidth="1"/>
    <col min="19" max="20" width="15.7109375" style="3" hidden="1" customWidth="1"/>
    <col min="21" max="16384" width="15.7109375" style="3"/>
  </cols>
  <sheetData>
    <row r="1" spans="1:25" ht="24.95" customHeight="1" x14ac:dyDescent="0.25">
      <c r="A1" s="24" t="s">
        <v>247</v>
      </c>
      <c r="B1" s="26" t="s">
        <v>228</v>
      </c>
      <c r="C1" s="26" t="s">
        <v>229</v>
      </c>
      <c r="D1" s="26" t="s">
        <v>230</v>
      </c>
      <c r="E1" s="55" t="s">
        <v>231</v>
      </c>
      <c r="F1" s="57" t="s">
        <v>26</v>
      </c>
      <c r="G1" s="58" t="s">
        <v>27</v>
      </c>
      <c r="H1" s="58" t="s">
        <v>28</v>
      </c>
      <c r="I1" s="59" t="s">
        <v>29</v>
      </c>
      <c r="M1" s="24" t="s">
        <v>234</v>
      </c>
      <c r="N1" s="26" t="s">
        <v>228</v>
      </c>
      <c r="O1" s="26" t="s">
        <v>229</v>
      </c>
      <c r="P1" s="26" t="s">
        <v>230</v>
      </c>
      <c r="Q1" s="26" t="s">
        <v>231</v>
      </c>
      <c r="U1" s="24" t="s">
        <v>249</v>
      </c>
      <c r="V1" s="26" t="s">
        <v>228</v>
      </c>
      <c r="W1" s="26" t="s">
        <v>229</v>
      </c>
      <c r="X1" s="26" t="s">
        <v>230</v>
      </c>
      <c r="Y1" s="26" t="s">
        <v>231</v>
      </c>
    </row>
    <row r="2" spans="1:25" ht="24.95" customHeight="1" x14ac:dyDescent="0.25">
      <c r="A2" s="25">
        <v>43420</v>
      </c>
      <c r="B2" s="21">
        <f>COUNTIF(Report[Date],Suivi_SE!$A2)</f>
        <v>2</v>
      </c>
      <c r="C2" s="21">
        <f>COUNTIFS(Report_Données!$A:$A,Suivi_SE!$A2,Report_Données!$S:$S,Suivi_SE!$C$1)</f>
        <v>0</v>
      </c>
      <c r="D2" s="21">
        <f>COUNTIFS(Report_Données!$A:$A,Suivi_SE!$A2,Report_Données!$S:$S,Suivi_SE!$D$1)</f>
        <v>2</v>
      </c>
      <c r="E2" s="56">
        <f>IF(AND($C2=0,$D2=0),"",($C2/($C2+$D2)))</f>
        <v>0</v>
      </c>
      <c r="F2" s="60" t="str">
        <f>IF(AND($C2=0,$D2=0),"",SUMIF(Report_Données!$A:$A,Suivi_SE!$A2,Report_Données!$T:$T))&amp;" soit "&amp;IF(AND($C2=0,$D2=0),"",FIXED(SUMIF(Report_Données!$A:$A,Suivi_SE!$A2,Report_Données!$T:$T)/($C2+$D2)*100,2)&amp;" %")</f>
        <v>0 soit 0,00 %</v>
      </c>
      <c r="G2" s="51" t="str">
        <f>IF(AND($C2=0,$D2=0),"",SUMIF(Report_Données!$A:$A,Suivi_SE!$A2,Report_Données!$U:$U))&amp;" soit "&amp;IF(AND($C2=0,$D2=0),"",FIXED(SUMIF(Report_Données!$A:$A,Suivi_SE!$A2,Report_Données!$U:$U)/($C2+$D2)*100,2)&amp;" %")</f>
        <v>0 soit 0,00 %</v>
      </c>
      <c r="H2" s="51" t="str">
        <f>IF(AND($C2=0,$D2=0),"",SUMIF(Report_Données!$A:$A,Suivi_SE!$A2,Report_Données!$V:$V))&amp;" soit "&amp;IF(AND($C2=0,$D2=0),"",FIXED(SUMIF(Report_Données!$A:$A,Suivi_SE!$A2,Report_Données!$V:$V)/($C2+$D2)*100,2)&amp;" %")</f>
        <v>0 soit 0,00 %</v>
      </c>
      <c r="I2" s="61" t="str">
        <f>IF(AND($C2=0,$D2=0),"",SUMIF(Report_Données!$A:$A,Suivi_SE!$A2,Report_Données!$W:$W))&amp;" soit "&amp;IF(AND($C2=0,$D2=0),"",FIXED(SUMIF(Report_Données!$A:$A,Suivi_SE!$A2,Report_Données!$W:$W)/($C2+$D2)*100,2)&amp;" %")</f>
        <v>0 soit 0,00 %</v>
      </c>
      <c r="K2" s="4">
        <v>43405</v>
      </c>
      <c r="L2" s="4">
        <v>43434</v>
      </c>
      <c r="M2" s="24" t="s">
        <v>235</v>
      </c>
      <c r="N2" s="21">
        <f t="shared" ref="N2:N13" si="0">SUMIFS($B:$B,$A:$A,"&lt;="&amp;$L2,$A:$A,"&gt;="&amp;$K2)</f>
        <v>364</v>
      </c>
      <c r="O2" s="21">
        <f>SUMIFS($C:$C,$A:$A,"&lt;="&amp;$L2,$A:$A,"&gt;="&amp;$K2)</f>
        <v>124</v>
      </c>
      <c r="P2" s="21">
        <f t="shared" ref="P2:P13" si="1">SUMIFS($D:$D,$A:$A,"&lt;="&amp;$L2,$A:$A,"&gt;="&amp;$K2)</f>
        <v>224</v>
      </c>
      <c r="Q2" s="23">
        <f>IFERROR($O2/($O2+$P2),)</f>
        <v>0.35632183908045978</v>
      </c>
      <c r="U2" s="24" t="s">
        <v>250</v>
      </c>
      <c r="V2" s="21">
        <f>SUM(Suivi_SE!V$5:V$7)</f>
        <v>364</v>
      </c>
      <c r="W2" s="21">
        <f>SUM(Suivi_SE!W$5:W$7)</f>
        <v>124</v>
      </c>
      <c r="X2" s="21">
        <f>SUM(Suivi_SE!X$5:X$7)</f>
        <v>224</v>
      </c>
      <c r="Y2" s="23">
        <f>SUM(Suivi_SE!Y$5:Y$7)</f>
        <v>0.35632183908045978</v>
      </c>
    </row>
    <row r="3" spans="1:25" ht="24.95" customHeight="1" x14ac:dyDescent="0.25">
      <c r="A3" s="25">
        <v>43421</v>
      </c>
      <c r="B3" s="21">
        <f>COUNTIF(Report[Date],Suivi_SE!$A3)</f>
        <v>18</v>
      </c>
      <c r="C3" s="21">
        <f>COUNTIFS(Report_Données!$A:$A,Suivi_SE!$A3,Report_Données!$S:$S,Suivi_SE!$C$1)</f>
        <v>7</v>
      </c>
      <c r="D3" s="21">
        <f>COUNTIFS(Report_Données!$A:$A,Suivi_SE!$A3,Report_Données!$S:$S,Suivi_SE!$D$1)</f>
        <v>11</v>
      </c>
      <c r="E3" s="56">
        <f t="shared" ref="E3:E47" si="2">IF(AND($C3=0,$D3=0),"",($C3/($C3+$D3)))</f>
        <v>0.3888888888888889</v>
      </c>
      <c r="F3" s="60" t="str">
        <f>IF(AND($C3=0,$D3=0),"",SUMIF(Report_Données!$A:$A,Suivi_SE!$A3,Report_Données!$T:$T))&amp;" soit "&amp;IF(AND($C3=0,$D3=0),"",FIXED(SUMIF(Report_Données!$A:$A,Suivi_SE!$A3,Report_Données!$T:$T)/($C3+$D3)*100,2)&amp;" %")</f>
        <v>3 soit 16,67 %</v>
      </c>
      <c r="G3" s="51" t="str">
        <f>IF(AND($C3=0,$D3=0),"",SUMIF(Report_Données!$A:$A,Suivi_SE!$A3,Report_Données!$U:$U))&amp;" soit "&amp;IF(AND($C3=0,$D3=0),"",FIXED(SUMIF(Report_Données!$A:$A,Suivi_SE!$A3,Report_Données!$U:$U)/($C3+$D3)*100,2)&amp;" %")</f>
        <v>2 soit 11,11 %</v>
      </c>
      <c r="H3" s="51" t="str">
        <f>IF(AND($C3=0,$D3=0),"",SUMIF(Report_Données!$A:$A,Suivi_SE!$A3,Report_Données!$V:$V))&amp;" soit "&amp;IF(AND($C3=0,$D3=0),"",FIXED(SUMIF(Report_Données!$A:$A,Suivi_SE!$A3,Report_Données!$V:$V)/($C3+$D3)*100,2)&amp;" %")</f>
        <v>2 soit 11,11 %</v>
      </c>
      <c r="I3" s="61" t="str">
        <f>IF(AND($C3=0,$D3=0),"",SUMIF(Report_Données!$A:$A,Suivi_SE!$A3,Report_Données!$W:$W))&amp;" soit "&amp;IF(AND($C3=0,$D3=0),"",FIXED(SUMIF(Report_Données!$A:$A,Suivi_SE!$A3,Report_Données!$W:$W)/($C3+$D3)*100,2)&amp;" %")</f>
        <v>0 soit 0,00 %</v>
      </c>
      <c r="K3" s="4">
        <v>43435</v>
      </c>
      <c r="L3" s="4">
        <v>43465</v>
      </c>
      <c r="M3" s="24" t="s">
        <v>236</v>
      </c>
      <c r="N3" s="21">
        <f t="shared" si="0"/>
        <v>0</v>
      </c>
      <c r="O3" s="21">
        <f t="shared" ref="O3:O13" si="3">SUMIFS($C:$C,$A:$A,"&lt;="&amp;$L3,$A:$A,"&gt;="&amp;$K3)</f>
        <v>0</v>
      </c>
      <c r="P3" s="21">
        <f t="shared" si="1"/>
        <v>0</v>
      </c>
      <c r="Q3" s="23">
        <f t="shared" ref="Q3:Q13" si="4">IFERROR($O3/($O3+$P3),)</f>
        <v>0</v>
      </c>
    </row>
    <row r="4" spans="1:25" ht="24.95" customHeight="1" x14ac:dyDescent="0.25">
      <c r="A4" s="25">
        <v>43422</v>
      </c>
      <c r="B4" s="21">
        <f>COUNTIF(Report[Date],Suivi_SE!$A4)</f>
        <v>16</v>
      </c>
      <c r="C4" s="21">
        <f>COUNTIFS(Report_Données!$A:$A,Suivi_SE!$A4,Report_Données!$S:$S,Suivi_SE!$C$1)</f>
        <v>7</v>
      </c>
      <c r="D4" s="21">
        <f>COUNTIFS(Report_Données!$A:$A,Suivi_SE!$A4,Report_Données!$S:$S,Suivi_SE!$D$1)</f>
        <v>9</v>
      </c>
      <c r="E4" s="56">
        <f t="shared" si="2"/>
        <v>0.4375</v>
      </c>
      <c r="F4" s="60" t="str">
        <f>IF(AND($C4=0,$D4=0),"",SUMIF(Report_Données!$A:$A,Suivi_SE!$A4,Report_Données!$T:$T))&amp;" soit "&amp;IF(AND($C4=0,$D4=0),"",FIXED(SUMIF(Report_Données!$A:$A,Suivi_SE!$A4,Report_Données!$T:$T)/($C4+$D4)*100,2)&amp;" %")</f>
        <v>4 soit 25,00 %</v>
      </c>
      <c r="G4" s="51" t="str">
        <f>IF(AND($C4=0,$D4=0),"",SUMIF(Report_Données!$A:$A,Suivi_SE!$A4,Report_Données!$U:$U))&amp;" soit "&amp;IF(AND($C4=0,$D4=0),"",FIXED(SUMIF(Report_Données!$A:$A,Suivi_SE!$A4,Report_Données!$U:$U)/($C4+$D4)*100,2)&amp;" %")</f>
        <v>1 soit 6,25 %</v>
      </c>
      <c r="H4" s="51" t="str">
        <f>IF(AND($C4=0,$D4=0),"",SUMIF(Report_Données!$A:$A,Suivi_SE!$A4,Report_Données!$V:$V))&amp;" soit "&amp;IF(AND($C4=0,$D4=0),"",FIXED(SUMIF(Report_Données!$A:$A,Suivi_SE!$A4,Report_Données!$V:$V)/($C4+$D4)*100,2)&amp;" %")</f>
        <v>2 soit 12,50 %</v>
      </c>
      <c r="I4" s="61" t="str">
        <f>IF(AND($C4=0,$D4=0),"",SUMIF(Report_Données!$A:$A,Suivi_SE!$A4,Report_Données!$W:$W))&amp;" soit "&amp;IF(AND($C4=0,$D4=0),"",FIXED(SUMIF(Report_Données!$A:$A,Suivi_SE!$A4,Report_Données!$W:$W)/($C4+$D4)*100,2)&amp;" %")</f>
        <v>0 soit 0,00 %</v>
      </c>
      <c r="K4" s="4">
        <v>43466</v>
      </c>
      <c r="L4" s="4">
        <v>43496</v>
      </c>
      <c r="M4" s="24" t="s">
        <v>237</v>
      </c>
      <c r="N4" s="21">
        <f t="shared" si="0"/>
        <v>0</v>
      </c>
      <c r="O4" s="21">
        <f t="shared" si="3"/>
        <v>0</v>
      </c>
      <c r="P4" s="21">
        <f t="shared" si="1"/>
        <v>0</v>
      </c>
      <c r="Q4" s="23">
        <f t="shared" si="4"/>
        <v>0</v>
      </c>
      <c r="U4" s="24" t="s">
        <v>248</v>
      </c>
      <c r="V4" s="26" t="s">
        <v>228</v>
      </c>
      <c r="W4" s="26" t="s">
        <v>229</v>
      </c>
      <c r="X4" s="26" t="s">
        <v>230</v>
      </c>
      <c r="Y4" s="26" t="s">
        <v>231</v>
      </c>
    </row>
    <row r="5" spans="1:25" ht="24.95" customHeight="1" x14ac:dyDescent="0.25">
      <c r="A5" s="25">
        <v>43423</v>
      </c>
      <c r="B5" s="21">
        <f>COUNTIF(Report[Date],Suivi_SE!$A5)</f>
        <v>2</v>
      </c>
      <c r="C5" s="21">
        <f>COUNTIFS(Report_Données!$A:$A,Suivi_SE!$A5,Report_Données!$S:$S,Suivi_SE!$C$1)</f>
        <v>1</v>
      </c>
      <c r="D5" s="21">
        <f>COUNTIFS(Report_Données!$A:$A,Suivi_SE!$A5,Report_Données!$S:$S,Suivi_SE!$D$1)</f>
        <v>1</v>
      </c>
      <c r="E5" s="56">
        <f t="shared" si="2"/>
        <v>0.5</v>
      </c>
      <c r="F5" s="60" t="str">
        <f>IF(AND($C5=0,$D5=0),"",SUMIF(Report_Données!$A:$A,Suivi_SE!$A5,Report_Données!$T:$T))&amp;" soit "&amp;IF(AND($C5=0,$D5=0),"",FIXED(SUMIF(Report_Données!$A:$A,Suivi_SE!$A5,Report_Données!$T:$T)/($C5+$D5)*100,2)&amp;" %")</f>
        <v>1 soit 50,00 %</v>
      </c>
      <c r="G5" s="51" t="str">
        <f>IF(AND($C5=0,$D5=0),"",SUMIF(Report_Données!$A:$A,Suivi_SE!$A5,Report_Données!$U:$U))&amp;" soit "&amp;IF(AND($C5=0,$D5=0),"",FIXED(SUMIF(Report_Données!$A:$A,Suivi_SE!$A5,Report_Données!$U:$U)/($C5+$D5)*100,2)&amp;" %")</f>
        <v>0 soit 0,00 %</v>
      </c>
      <c r="H5" s="51" t="str">
        <f>IF(AND($C5=0,$D5=0),"",SUMIF(Report_Données!$A:$A,Suivi_SE!$A5,Report_Données!$V:$V))&amp;" soit "&amp;IF(AND($C5=0,$D5=0),"",FIXED(SUMIF(Report_Données!$A:$A,Suivi_SE!$A5,Report_Données!$V:$V)/($C5+$D5)*100,2)&amp;" %")</f>
        <v>0 soit 0,00 %</v>
      </c>
      <c r="I5" s="61" t="str">
        <f>IF(AND($C5=0,$D5=0),"",SUMIF(Report_Données!$A:$A,Suivi_SE!$A5,Report_Données!$W:$W))&amp;" soit "&amp;IF(AND($C5=0,$D5=0),"",FIXED(SUMIF(Report_Données!$A:$A,Suivi_SE!$A5,Report_Données!$W:$W)/($C5+$D5)*100,2)&amp;" %")</f>
        <v>0 soit 0,00 %</v>
      </c>
      <c r="K5" s="4">
        <v>43497</v>
      </c>
      <c r="L5" s="4">
        <v>43524</v>
      </c>
      <c r="M5" s="24" t="s">
        <v>238</v>
      </c>
      <c r="N5" s="21">
        <f t="shared" si="0"/>
        <v>0</v>
      </c>
      <c r="O5" s="21">
        <f t="shared" si="3"/>
        <v>0</v>
      </c>
      <c r="P5" s="21">
        <f t="shared" si="1"/>
        <v>0</v>
      </c>
      <c r="Q5" s="23">
        <f t="shared" si="4"/>
        <v>0</v>
      </c>
      <c r="U5" s="24">
        <v>2018</v>
      </c>
      <c r="V5" s="21">
        <f>SUMIFS($B:$B,$A:$A,"&lt;="&amp;$T11,$A:$A,"&gt;="&amp;$S11)</f>
        <v>364</v>
      </c>
      <c r="W5" s="21">
        <f>SUMIFS($C:$C,$A:$A,"&lt;="&amp;$T11,$A:$A,"&gt;="&amp;$S11)</f>
        <v>124</v>
      </c>
      <c r="X5" s="21">
        <f>SUMIFS($D:$D,$A:$A,"&lt;="&amp;$T11,$A:$A,"&gt;="&amp;$S11)</f>
        <v>224</v>
      </c>
      <c r="Y5" s="23">
        <f>IFERROR($W5/($W5+$X5),)</f>
        <v>0.35632183908045978</v>
      </c>
    </row>
    <row r="6" spans="1:25" ht="24.95" customHeight="1" x14ac:dyDescent="0.25">
      <c r="A6" s="25">
        <v>43424</v>
      </c>
      <c r="B6" s="21">
        <f>COUNTIF(Report[Date],Suivi_SE!$A6)</f>
        <v>1</v>
      </c>
      <c r="C6" s="21">
        <f>COUNTIFS(Report_Données!$A:$A,Suivi_SE!$A6,Report_Données!$S:$S,Suivi_SE!$C$1)</f>
        <v>1</v>
      </c>
      <c r="D6" s="21">
        <f>COUNTIFS(Report_Données!$A:$A,Suivi_SE!$A6,Report_Données!$S:$S,Suivi_SE!$D$1)</f>
        <v>0</v>
      </c>
      <c r="E6" s="56">
        <f t="shared" si="2"/>
        <v>1</v>
      </c>
      <c r="F6" s="60" t="str">
        <f>IF(AND($C6=0,$D6=0),"",SUMIF(Report_Données!$A:$A,Suivi_SE!$A6,Report_Données!$T:$T))&amp;" soit "&amp;IF(AND($C6=0,$D6=0),"",FIXED(SUMIF(Report_Données!$A:$A,Suivi_SE!$A6,Report_Données!$T:$T)/($C6+$D6)*100,2)&amp;" %")</f>
        <v>1 soit 100,00 %</v>
      </c>
      <c r="G6" s="51" t="str">
        <f>IF(AND($C6=0,$D6=0),"",SUMIF(Report_Données!$A:$A,Suivi_SE!$A6,Report_Données!$U:$U))&amp;" soit "&amp;IF(AND($C6=0,$D6=0),"",FIXED(SUMIF(Report_Données!$A:$A,Suivi_SE!$A6,Report_Données!$U:$U)/($C6+$D6)*100,2)&amp;" %")</f>
        <v>0 soit 0,00 %</v>
      </c>
      <c r="H6" s="51" t="str">
        <f>IF(AND($C6=0,$D6=0),"",SUMIF(Report_Données!$A:$A,Suivi_SE!$A6,Report_Données!$V:$V))&amp;" soit "&amp;IF(AND($C6=0,$D6=0),"",FIXED(SUMIF(Report_Données!$A:$A,Suivi_SE!$A6,Report_Données!$V:$V)/($C6+$D6)*100,2)&amp;" %")</f>
        <v>0 soit 0,00 %</v>
      </c>
      <c r="I6" s="61" t="str">
        <f>IF(AND($C6=0,$D6=0),"",SUMIF(Report_Données!$A:$A,Suivi_SE!$A6,Report_Données!$W:$W))&amp;" soit "&amp;IF(AND($C6=0,$D6=0),"",FIXED(SUMIF(Report_Données!$A:$A,Suivi_SE!$A6,Report_Données!$W:$W)/($C6+$D6)*100,2)&amp;" %")</f>
        <v>0 soit 0,00 %</v>
      </c>
      <c r="K6" s="4">
        <v>43525</v>
      </c>
      <c r="L6" s="4">
        <v>43555</v>
      </c>
      <c r="M6" s="24" t="s">
        <v>239</v>
      </c>
      <c r="N6" s="21">
        <f t="shared" si="0"/>
        <v>0</v>
      </c>
      <c r="O6" s="21">
        <f t="shared" si="3"/>
        <v>0</v>
      </c>
      <c r="P6" s="21">
        <f t="shared" si="1"/>
        <v>0</v>
      </c>
      <c r="Q6" s="23">
        <f t="shared" si="4"/>
        <v>0</v>
      </c>
      <c r="U6" s="24">
        <v>2019</v>
      </c>
      <c r="V6" s="21">
        <f>SUMIFS($B:$B,$A:$A,"&lt;="&amp;$T12,$A:$A,"&gt;="&amp;$S12)</f>
        <v>0</v>
      </c>
      <c r="W6" s="21">
        <f>SUMIFS($C:$C,$A:$A,"&lt;="&amp;$T12,$A:$A,"&gt;="&amp;$S12)</f>
        <v>0</v>
      </c>
      <c r="X6" s="21">
        <f>SUMIFS($D:$D,$A:$A,"&lt;="&amp;$T12,$A:$A,"&gt;="&amp;$S12)</f>
        <v>0</v>
      </c>
      <c r="Y6" s="23">
        <f t="shared" ref="Y6:Y7" si="5">IFERROR($W6/($W6+$X6),)</f>
        <v>0</v>
      </c>
    </row>
    <row r="7" spans="1:25" ht="24.95" customHeight="1" x14ac:dyDescent="0.25">
      <c r="A7" s="25">
        <v>43425</v>
      </c>
      <c r="B7" s="21">
        <f>COUNTIF(Report[Date],Suivi_SE!$A7)</f>
        <v>4</v>
      </c>
      <c r="C7" s="21">
        <f>COUNTIFS(Report_Données!$A:$A,Suivi_SE!$A7,Report_Données!$S:$S,Suivi_SE!$C$1)</f>
        <v>2</v>
      </c>
      <c r="D7" s="21">
        <f>COUNTIFS(Report_Données!$A:$A,Suivi_SE!$A7,Report_Données!$S:$S,Suivi_SE!$D$1)</f>
        <v>2</v>
      </c>
      <c r="E7" s="56">
        <f t="shared" si="2"/>
        <v>0.5</v>
      </c>
      <c r="F7" s="60" t="str">
        <f>IF(AND($C7=0,$D7=0),"",SUMIF(Report_Données!$A:$A,Suivi_SE!$A7,Report_Données!$T:$T))&amp;" soit "&amp;IF(AND($C7=0,$D7=0),"",FIXED(SUMIF(Report_Données!$A:$A,Suivi_SE!$A7,Report_Données!$T:$T)/($C7+$D7)*100,2)&amp;" %")</f>
        <v>0 soit 0,00 %</v>
      </c>
      <c r="G7" s="51" t="str">
        <f>IF(AND($C7=0,$D7=0),"",SUMIF(Report_Données!$A:$A,Suivi_SE!$A7,Report_Données!$U:$U))&amp;" soit "&amp;IF(AND($C7=0,$D7=0),"",FIXED(SUMIF(Report_Données!$A:$A,Suivi_SE!$A7,Report_Données!$U:$U)/($C7+$D7)*100,2)&amp;" %")</f>
        <v>2 soit 50,00 %</v>
      </c>
      <c r="H7" s="51" t="str">
        <f>IF(AND($C7=0,$D7=0),"",SUMIF(Report_Données!$A:$A,Suivi_SE!$A7,Report_Données!$V:$V))&amp;" soit "&amp;IF(AND($C7=0,$D7=0),"",FIXED(SUMIF(Report_Données!$A:$A,Suivi_SE!$A7,Report_Données!$V:$V)/($C7+$D7)*100,2)&amp;" %")</f>
        <v>0 soit 0,00 %</v>
      </c>
      <c r="I7" s="61" t="str">
        <f>IF(AND($C7=0,$D7=0),"",SUMIF(Report_Données!$A:$A,Suivi_SE!$A7,Report_Données!$W:$W))&amp;" soit "&amp;IF(AND($C7=0,$D7=0),"",FIXED(SUMIF(Report_Données!$A:$A,Suivi_SE!$A7,Report_Données!$W:$W)/($C7+$D7)*100,2)&amp;" %")</f>
        <v>0 soit 0,00 %</v>
      </c>
      <c r="K7" s="4">
        <v>43556</v>
      </c>
      <c r="L7" s="4">
        <v>43585</v>
      </c>
      <c r="M7" s="24" t="s">
        <v>240</v>
      </c>
      <c r="N7" s="21">
        <f t="shared" si="0"/>
        <v>0</v>
      </c>
      <c r="O7" s="21">
        <f t="shared" si="3"/>
        <v>0</v>
      </c>
      <c r="P7" s="21">
        <f t="shared" si="1"/>
        <v>0</v>
      </c>
      <c r="Q7" s="23">
        <f t="shared" si="4"/>
        <v>0</v>
      </c>
      <c r="U7" s="24">
        <v>2020</v>
      </c>
      <c r="V7" s="21">
        <f>SUMIFS($B:$B,$A:$A,"&lt;="&amp;$T13,$A:$A,"&gt;="&amp;$S13)</f>
        <v>0</v>
      </c>
      <c r="W7" s="21">
        <f>SUMIFS($C:$C,$A:$A,"&lt;="&amp;$T13,$A:$A,"&gt;="&amp;$S13)</f>
        <v>0</v>
      </c>
      <c r="X7" s="21">
        <f>SUMIFS($D:$D,$A:$A,"&lt;="&amp;$T13,$A:$A,"&gt;="&amp;$S13)</f>
        <v>0</v>
      </c>
      <c r="Y7" s="23">
        <f t="shared" si="5"/>
        <v>0</v>
      </c>
    </row>
    <row r="8" spans="1:25" ht="24.95" customHeight="1" x14ac:dyDescent="0.25">
      <c r="A8" s="25">
        <v>43426</v>
      </c>
      <c r="B8" s="21">
        <f>COUNTIF(Report[Date],Suivi_SE!$A8)</f>
        <v>6</v>
      </c>
      <c r="C8" s="21">
        <f>COUNTIFS(Report_Données!$A:$A,Suivi_SE!$A8,Report_Données!$S:$S,Suivi_SE!$C$1)</f>
        <v>2</v>
      </c>
      <c r="D8" s="21">
        <f>COUNTIFS(Report_Données!$A:$A,Suivi_SE!$A8,Report_Données!$S:$S,Suivi_SE!$D$1)</f>
        <v>4</v>
      </c>
      <c r="E8" s="56">
        <f t="shared" si="2"/>
        <v>0.33333333333333331</v>
      </c>
      <c r="F8" s="60" t="str">
        <f>IF(AND($C8=0,$D8=0),"",SUMIF(Report_Données!$A:$A,Suivi_SE!$A8,Report_Données!$T:$T))&amp;" soit "&amp;IF(AND($C8=0,$D8=0),"",FIXED(SUMIF(Report_Données!$A:$A,Suivi_SE!$A8,Report_Données!$T:$T)/($C8+$D8)*100,2)&amp;" %")</f>
        <v>1 soit 16,67 %</v>
      </c>
      <c r="G8" s="51" t="str">
        <f>IF(AND($C8=0,$D8=0),"",SUMIF(Report_Données!$A:$A,Suivi_SE!$A8,Report_Données!$U:$U))&amp;" soit "&amp;IF(AND($C8=0,$D8=0),"",FIXED(SUMIF(Report_Données!$A:$A,Suivi_SE!$A8,Report_Données!$U:$U)/($C8+$D8)*100,2)&amp;" %")</f>
        <v>0 soit 0,00 %</v>
      </c>
      <c r="H8" s="51" t="str">
        <f>IF(AND($C8=0,$D8=0),"",SUMIF(Report_Données!$A:$A,Suivi_SE!$A8,Report_Données!$V:$V))&amp;" soit "&amp;IF(AND($C8=0,$D8=0),"",FIXED(SUMIF(Report_Données!$A:$A,Suivi_SE!$A8,Report_Données!$V:$V)/($C8+$D8)*100,2)&amp;" %")</f>
        <v>0 soit 0,00 %</v>
      </c>
      <c r="I8" s="61" t="str">
        <f>IF(AND($C8=0,$D8=0),"",SUMIF(Report_Données!$A:$A,Suivi_SE!$A8,Report_Données!$W:$W))&amp;" soit "&amp;IF(AND($C8=0,$D8=0),"",FIXED(SUMIF(Report_Données!$A:$A,Suivi_SE!$A8,Report_Données!$W:$W)/($C8+$D8)*100,2)&amp;" %")</f>
        <v>1 soit 16,67 %</v>
      </c>
      <c r="K8" s="4">
        <v>43586</v>
      </c>
      <c r="L8" s="4">
        <v>43616</v>
      </c>
      <c r="M8" s="24" t="s">
        <v>241</v>
      </c>
      <c r="N8" s="21">
        <f t="shared" si="0"/>
        <v>0</v>
      </c>
      <c r="O8" s="21">
        <f t="shared" si="3"/>
        <v>0</v>
      </c>
      <c r="P8" s="21">
        <f t="shared" si="1"/>
        <v>0</v>
      </c>
      <c r="Q8" s="23">
        <f t="shared" si="4"/>
        <v>0</v>
      </c>
    </row>
    <row r="9" spans="1:25" ht="24.95" customHeight="1" x14ac:dyDescent="0.25">
      <c r="A9" s="25">
        <v>43427</v>
      </c>
      <c r="B9" s="21">
        <f>COUNTIF(Report[Date],Suivi_SE!$A9)</f>
        <v>34</v>
      </c>
      <c r="C9" s="21">
        <f>COUNTIFS(Report_Données!$A:$A,Suivi_SE!$A9,Report_Données!$S:$S,Suivi_SE!$C$1)</f>
        <v>13</v>
      </c>
      <c r="D9" s="21">
        <f>COUNTIFS(Report_Données!$A:$A,Suivi_SE!$A9,Report_Données!$S:$S,Suivi_SE!$D$1)</f>
        <v>21</v>
      </c>
      <c r="E9" s="56">
        <f t="shared" si="2"/>
        <v>0.38235294117647056</v>
      </c>
      <c r="F9" s="60" t="str">
        <f>IF(AND($C9=0,$D9=0),"",SUMIF(Report_Données!$A:$A,Suivi_SE!$A9,Report_Données!$T:$T))&amp;" soit "&amp;IF(AND($C9=0,$D9=0),"",FIXED(SUMIF(Report_Données!$A:$A,Suivi_SE!$A9,Report_Données!$T:$T)/($C9+$D9)*100,2)&amp;" %")</f>
        <v>3 soit 8,82 %</v>
      </c>
      <c r="G9" s="51" t="str">
        <f>IF(AND($C9=0,$D9=0),"",SUMIF(Report_Données!$A:$A,Suivi_SE!$A9,Report_Données!$U:$U))&amp;" soit "&amp;IF(AND($C9=0,$D9=0),"",FIXED(SUMIF(Report_Données!$A:$A,Suivi_SE!$A9,Report_Données!$U:$U)/($C9+$D9)*100,2)&amp;" %")</f>
        <v>5 soit 14,71 %</v>
      </c>
      <c r="H9" s="51" t="str">
        <f>IF(AND($C9=0,$D9=0),"",SUMIF(Report_Données!$A:$A,Suivi_SE!$A9,Report_Données!$V:$V))&amp;" soit "&amp;IF(AND($C9=0,$D9=0),"",FIXED(SUMIF(Report_Données!$A:$A,Suivi_SE!$A9,Report_Données!$V:$V)/($C9+$D9)*100,2)&amp;" %")</f>
        <v>3 soit 8,82 %</v>
      </c>
      <c r="I9" s="61" t="str">
        <f>IF(AND($C9=0,$D9=0),"",SUMIF(Report_Données!$A:$A,Suivi_SE!$A9,Report_Données!$W:$W))&amp;" soit "&amp;IF(AND($C9=0,$D9=0),"",FIXED(SUMIF(Report_Données!$A:$A,Suivi_SE!$A9,Report_Données!$W:$W)/($C9+$D9)*100,2)&amp;" %")</f>
        <v>2 soit 5,88 %</v>
      </c>
      <c r="K9" s="4">
        <v>43617</v>
      </c>
      <c r="L9" s="4">
        <v>43646</v>
      </c>
      <c r="M9" s="24" t="s">
        <v>242</v>
      </c>
      <c r="N9" s="21">
        <f t="shared" si="0"/>
        <v>0</v>
      </c>
      <c r="O9" s="21">
        <f t="shared" si="3"/>
        <v>0</v>
      </c>
      <c r="P9" s="21">
        <f t="shared" si="1"/>
        <v>0</v>
      </c>
      <c r="Q9" s="23">
        <f t="shared" si="4"/>
        <v>0</v>
      </c>
    </row>
    <row r="10" spans="1:25" ht="24.95" customHeight="1" x14ac:dyDescent="0.25">
      <c r="A10" s="25">
        <v>43428</v>
      </c>
      <c r="B10" s="21">
        <f>COUNTIF(Report[Date],Suivi_SE!$A10)</f>
        <v>151</v>
      </c>
      <c r="C10" s="21">
        <f>COUNTIFS(Report_Données!$A:$A,Suivi_SE!$A10,Report_Données!$S:$S,Suivi_SE!$C$1)</f>
        <v>54</v>
      </c>
      <c r="D10" s="21">
        <f>COUNTIFS(Report_Données!$A:$A,Suivi_SE!$A10,Report_Données!$S:$S,Suivi_SE!$D$1)</f>
        <v>97</v>
      </c>
      <c r="E10" s="56">
        <f t="shared" si="2"/>
        <v>0.35761589403973509</v>
      </c>
      <c r="F10" s="60" t="str">
        <f>IF(AND($C10=0,$D10=0),"",SUMIF(Report_Données!$A:$A,Suivi_SE!$A10,Report_Données!$T:$T))&amp;" soit "&amp;IF(AND($C10=0,$D10=0),"",FIXED(SUMIF(Report_Données!$A:$A,Suivi_SE!$A10,Report_Données!$T:$T)/($C10+$D10)*100,2)&amp;" %")</f>
        <v>17 soit 11,26 %</v>
      </c>
      <c r="G10" s="51" t="str">
        <f>IF(AND($C10=0,$D10=0),"",SUMIF(Report_Données!$A:$A,Suivi_SE!$A10,Report_Données!$U:$U))&amp;" soit "&amp;IF(AND($C10=0,$D10=0),"",FIXED(SUMIF(Report_Données!$A:$A,Suivi_SE!$A10,Report_Données!$U:$U)/($C10+$D10)*100,2)&amp;" %")</f>
        <v>17 soit 11,26 %</v>
      </c>
      <c r="H10" s="51" t="str">
        <f>IF(AND($C10=0,$D10=0),"",SUMIF(Report_Données!$A:$A,Suivi_SE!$A10,Report_Données!$V:$V))&amp;" soit "&amp;IF(AND($C10=0,$D10=0),"",FIXED(SUMIF(Report_Données!$A:$A,Suivi_SE!$A10,Report_Données!$V:$V)/($C10+$D10)*100,2)&amp;" %")</f>
        <v>11 soit 7,28 %</v>
      </c>
      <c r="I10" s="61" t="str">
        <f>IF(AND($C10=0,$D10=0),"",SUMIF(Report_Données!$A:$A,Suivi_SE!$A10,Report_Données!$W:$W))&amp;" soit "&amp;IF(AND($C10=0,$D10=0),"",FIXED(SUMIF(Report_Données!$A:$A,Suivi_SE!$A10,Report_Données!$W:$W)/($C10+$D10)*100,2)&amp;" %")</f>
        <v>9 soit 5,96 %</v>
      </c>
      <c r="K10" s="4">
        <v>43647</v>
      </c>
      <c r="L10" s="4">
        <v>43677</v>
      </c>
      <c r="M10" s="24" t="s">
        <v>243</v>
      </c>
      <c r="N10" s="21">
        <f t="shared" si="0"/>
        <v>0</v>
      </c>
      <c r="O10" s="21">
        <f t="shared" si="3"/>
        <v>0</v>
      </c>
      <c r="P10" s="21">
        <f t="shared" si="1"/>
        <v>0</v>
      </c>
      <c r="Q10" s="23">
        <f t="shared" si="4"/>
        <v>0</v>
      </c>
    </row>
    <row r="11" spans="1:25" ht="24.95" customHeight="1" x14ac:dyDescent="0.25">
      <c r="A11" s="25">
        <v>43429</v>
      </c>
      <c r="B11" s="21">
        <f>COUNTIF(Report[Date],Suivi_SE!$A11)</f>
        <v>100</v>
      </c>
      <c r="C11" s="21">
        <f>COUNTIFS(Report_Données!$A:$A,Suivi_SE!$A11,Report_Données!$S:$S,Suivi_SE!$C$1)</f>
        <v>31</v>
      </c>
      <c r="D11" s="21">
        <f>COUNTIFS(Report_Données!$A:$A,Suivi_SE!$A11,Report_Données!$S:$S,Suivi_SE!$D$1)</f>
        <v>69</v>
      </c>
      <c r="E11" s="56">
        <f t="shared" si="2"/>
        <v>0.31</v>
      </c>
      <c r="F11" s="60" t="str">
        <f>IF(AND($C11=0,$D11=0),"",SUMIF(Report_Données!$A:$A,Suivi_SE!$A11,Report_Données!$T:$T))&amp;" soit "&amp;IF(AND($C11=0,$D11=0),"",FIXED(SUMIF(Report_Données!$A:$A,Suivi_SE!$A11,Report_Données!$T:$T)/($C11+$D11)*100,2)&amp;" %")</f>
        <v>9 soit 9,00 %</v>
      </c>
      <c r="G11" s="51" t="str">
        <f>IF(AND($C11=0,$D11=0),"",SUMIF(Report_Données!$A:$A,Suivi_SE!$A11,Report_Données!$U:$U))&amp;" soit "&amp;IF(AND($C11=0,$D11=0),"",FIXED(SUMIF(Report_Données!$A:$A,Suivi_SE!$A11,Report_Données!$U:$U)/($C11+$D11)*100,2)&amp;" %")</f>
        <v>9 soit 9,00 %</v>
      </c>
      <c r="H11" s="51" t="str">
        <f>IF(AND($C11=0,$D11=0),"",SUMIF(Report_Données!$A:$A,Suivi_SE!$A11,Report_Données!$V:$V))&amp;" soit "&amp;IF(AND($C11=0,$D11=0),"",FIXED(SUMIF(Report_Données!$A:$A,Suivi_SE!$A11,Report_Données!$V:$V)/($C11+$D11)*100,2)&amp;" %")</f>
        <v>7 soit 7,00 %</v>
      </c>
      <c r="I11" s="61" t="str">
        <f>IF(AND($C11=0,$D11=0),"",SUMIF(Report_Données!$A:$A,Suivi_SE!$A11,Report_Données!$W:$W))&amp;" soit "&amp;IF(AND($C11=0,$D11=0),"",FIXED(SUMIF(Report_Données!$A:$A,Suivi_SE!$A11,Report_Données!$W:$W)/($C11+$D11)*100,2)&amp;" %")</f>
        <v>6 soit 6,00 %</v>
      </c>
      <c r="K11" s="4">
        <v>43678</v>
      </c>
      <c r="L11" s="4">
        <v>43708</v>
      </c>
      <c r="M11" s="24" t="s">
        <v>244</v>
      </c>
      <c r="N11" s="21">
        <f t="shared" si="0"/>
        <v>0</v>
      </c>
      <c r="O11" s="21">
        <f t="shared" si="3"/>
        <v>0</v>
      </c>
      <c r="P11" s="21">
        <f t="shared" si="1"/>
        <v>0</v>
      </c>
      <c r="Q11" s="23">
        <f t="shared" si="4"/>
        <v>0</v>
      </c>
      <c r="S11" s="4">
        <v>43101</v>
      </c>
      <c r="T11" s="4">
        <v>43465</v>
      </c>
    </row>
    <row r="12" spans="1:25" ht="24.95" customHeight="1" x14ac:dyDescent="0.25">
      <c r="A12" s="25">
        <v>43430</v>
      </c>
      <c r="B12" s="21">
        <f>COUNTIF(Report[Date],Suivi_SE!$A12)</f>
        <v>14</v>
      </c>
      <c r="C12" s="21">
        <f>COUNTIFS(Report_Données!$A:$A,Suivi_SE!$A12,Report_Données!$S:$S,Suivi_SE!$C$1)</f>
        <v>6</v>
      </c>
      <c r="D12" s="21">
        <f>COUNTIFS(Report_Données!$A:$A,Suivi_SE!$A12,Report_Données!$S:$S,Suivi_SE!$D$1)</f>
        <v>8</v>
      </c>
      <c r="E12" s="56">
        <f t="shared" si="2"/>
        <v>0.42857142857142855</v>
      </c>
      <c r="F12" s="60" t="str">
        <f>IF(AND($C12=0,$D12=0),"",SUMIF(Report_Données!$A:$A,Suivi_SE!$A12,Report_Données!$T:$T))&amp;" soit "&amp;IF(AND($C12=0,$D12=0),"",FIXED(SUMIF(Report_Données!$A:$A,Suivi_SE!$A12,Report_Données!$T:$T)/($C12+$D12)*100,2)&amp;" %")</f>
        <v>1 soit 7,14 %</v>
      </c>
      <c r="G12" s="51" t="str">
        <f>IF(AND($C12=0,$D12=0),"",SUMIF(Report_Données!$A:$A,Suivi_SE!$A12,Report_Données!$U:$U))&amp;" soit "&amp;IF(AND($C12=0,$D12=0),"",FIXED(SUMIF(Report_Données!$A:$A,Suivi_SE!$A12,Report_Données!$U:$U)/($C12+$D12)*100,2)&amp;" %")</f>
        <v>2 soit 14,29 %</v>
      </c>
      <c r="H12" s="51" t="str">
        <f>IF(AND($C12=0,$D12=0),"",SUMIF(Report_Données!$A:$A,Suivi_SE!$A12,Report_Données!$V:$V))&amp;" soit "&amp;IF(AND($C12=0,$D12=0),"",FIXED(SUMIF(Report_Données!$A:$A,Suivi_SE!$A12,Report_Données!$V:$V)/($C12+$D12)*100,2)&amp;" %")</f>
        <v>2 soit 14,29 %</v>
      </c>
      <c r="I12" s="61" t="str">
        <f>IF(AND($C12=0,$D12=0),"",SUMIF(Report_Données!$A:$A,Suivi_SE!$A12,Report_Données!$W:$W))&amp;" soit "&amp;IF(AND($C12=0,$D12=0),"",FIXED(SUMIF(Report_Données!$A:$A,Suivi_SE!$A12,Report_Données!$W:$W)/($C12+$D12)*100,2)&amp;" %")</f>
        <v>1 soit 7,14 %</v>
      </c>
      <c r="K12" s="4">
        <v>43709</v>
      </c>
      <c r="L12" s="4">
        <v>43738</v>
      </c>
      <c r="M12" s="24" t="s">
        <v>245</v>
      </c>
      <c r="N12" s="21">
        <f t="shared" si="0"/>
        <v>0</v>
      </c>
      <c r="O12" s="21">
        <f t="shared" si="3"/>
        <v>0</v>
      </c>
      <c r="P12" s="21">
        <f t="shared" si="1"/>
        <v>0</v>
      </c>
      <c r="Q12" s="23">
        <f t="shared" si="4"/>
        <v>0</v>
      </c>
      <c r="S12" s="4">
        <v>43466</v>
      </c>
      <c r="T12" s="4">
        <v>43830</v>
      </c>
    </row>
    <row r="13" spans="1:25" ht="24.95" customHeight="1" x14ac:dyDescent="0.25">
      <c r="A13" s="25">
        <v>43431</v>
      </c>
      <c r="B13" s="21">
        <f>COUNTIF(Report[Date],Suivi_SE!$A13)</f>
        <v>6</v>
      </c>
      <c r="C13" s="21">
        <f>COUNTIFS(Report_Données!$A:$A,Suivi_SE!$A13,Report_Données!$S:$S,Suivi_SE!$C$1)</f>
        <v>0</v>
      </c>
      <c r="D13" s="21">
        <f>COUNTIFS(Report_Données!$A:$A,Suivi_SE!$A13,Report_Données!$S:$S,Suivi_SE!$D$1)</f>
        <v>0</v>
      </c>
      <c r="E13" s="56" t="str">
        <f t="shared" si="2"/>
        <v/>
      </c>
      <c r="F13" s="60" t="str">
        <f>IF(AND($C13=0,$D13=0),"",SUMIF(Report_Données!$A:$A,Suivi_SE!$A13,Report_Données!$T:$T))&amp;" soit "&amp;IF(AND($C13=0,$D13=0),"",FIXED(SUMIF(Report_Données!$A:$A,Suivi_SE!$A13,Report_Données!$T:$T)/($C13+$D13)*100,2)&amp;" %")</f>
        <v xml:space="preserve"> soit </v>
      </c>
      <c r="G13" s="51" t="str">
        <f>IF(AND($C13=0,$D13=0),"",SUMIF(Report_Données!$A:$A,Suivi_SE!$A13,Report_Données!$U:$U))&amp;" soit "&amp;IF(AND($C13=0,$D13=0),"",FIXED(SUMIF(Report_Données!$A:$A,Suivi_SE!$A13,Report_Données!$U:$U)/($C13+$D13)*100,2)&amp;" %")</f>
        <v xml:space="preserve"> soit </v>
      </c>
      <c r="H13" s="51" t="str">
        <f>IF(AND($C13=0,$D13=0),"",SUMIF(Report_Données!$A:$A,Suivi_SE!$A13,Report_Données!$V:$V))&amp;" soit "&amp;IF(AND($C13=0,$D13=0),"",FIXED(SUMIF(Report_Données!$A:$A,Suivi_SE!$A13,Report_Données!$V:$V)/($C13+$D13)*100,2)&amp;" %")</f>
        <v xml:space="preserve"> soit </v>
      </c>
      <c r="I13" s="61" t="str">
        <f>IF(AND($C13=0,$D13=0),"",SUMIF(Report_Données!$A:$A,Suivi_SE!$A13,Report_Données!$W:$W))&amp;" soit "&amp;IF(AND($C13=0,$D13=0),"",FIXED(SUMIF(Report_Données!$A:$A,Suivi_SE!$A13,Report_Données!$W:$W)/($C13+$D13)*100,2)&amp;" %")</f>
        <v xml:space="preserve"> soit </v>
      </c>
      <c r="K13" s="4">
        <v>43739</v>
      </c>
      <c r="L13" s="4">
        <v>43769</v>
      </c>
      <c r="M13" s="24" t="s">
        <v>246</v>
      </c>
      <c r="N13" s="21">
        <f t="shared" si="0"/>
        <v>0</v>
      </c>
      <c r="O13" s="21">
        <f t="shared" si="3"/>
        <v>0</v>
      </c>
      <c r="P13" s="21">
        <f t="shared" si="1"/>
        <v>0</v>
      </c>
      <c r="Q13" s="23">
        <f t="shared" si="4"/>
        <v>0</v>
      </c>
      <c r="S13" s="4">
        <v>43831</v>
      </c>
      <c r="T13" s="4">
        <v>44196</v>
      </c>
    </row>
    <row r="14" spans="1:25" ht="24.95" customHeight="1" x14ac:dyDescent="0.25">
      <c r="A14" s="25">
        <v>43432</v>
      </c>
      <c r="B14" s="21">
        <f>COUNTIF(Report[Date],Suivi_SE!$A14)</f>
        <v>10</v>
      </c>
      <c r="C14" s="21">
        <f>COUNTIFS(Report_Données!$A:$A,Suivi_SE!$A14,Report_Données!$S:$S,Suivi_SE!$C$1)</f>
        <v>0</v>
      </c>
      <c r="D14" s="21">
        <f>COUNTIFS(Report_Données!$A:$A,Suivi_SE!$A14,Report_Données!$S:$S,Suivi_SE!$D$1)</f>
        <v>0</v>
      </c>
      <c r="E14" s="56" t="str">
        <f t="shared" si="2"/>
        <v/>
      </c>
      <c r="F14" s="60" t="str">
        <f>IF(AND($C14=0,$D14=0),"",SUMIF(Report_Données!$A:$A,Suivi_SE!$A14,Report_Données!$T:$T))&amp;" soit "&amp;IF(AND($C14=0,$D14=0),"",FIXED(SUMIF(Report_Données!$A:$A,Suivi_SE!$A14,Report_Données!$T:$T)/($C14+$D14)*100,2)&amp;" %")</f>
        <v xml:space="preserve"> soit </v>
      </c>
      <c r="G14" s="51" t="str">
        <f>IF(AND($C14=0,$D14=0),"",SUMIF(Report_Données!$A:$A,Suivi_SE!$A14,Report_Données!$U:$U))&amp;" soit "&amp;IF(AND($C14=0,$D14=0),"",FIXED(SUMIF(Report_Données!$A:$A,Suivi_SE!$A14,Report_Données!$U:$U)/($C14+$D14)*100,2)&amp;" %")</f>
        <v xml:space="preserve"> soit </v>
      </c>
      <c r="H14" s="51" t="str">
        <f>IF(AND($C14=0,$D14=0),"",SUMIF(Report_Données!$A:$A,Suivi_SE!$A14,Report_Données!$V:$V))&amp;" soit "&amp;IF(AND($C14=0,$D14=0),"",FIXED(SUMIF(Report_Données!$A:$A,Suivi_SE!$A14,Report_Données!$V:$V)/($C14+$D14)*100,2)&amp;" %")</f>
        <v xml:space="preserve"> soit </v>
      </c>
      <c r="I14" s="61" t="str">
        <f>IF(AND($C14=0,$D14=0),"",SUMIF(Report_Données!$A:$A,Suivi_SE!$A14,Report_Données!$W:$W))&amp;" soit "&amp;IF(AND($C14=0,$D14=0),"",FIXED(SUMIF(Report_Données!$A:$A,Suivi_SE!$A14,Report_Données!$W:$W)/($C14+$D14)*100,2)&amp;" %")</f>
        <v xml:space="preserve"> soit </v>
      </c>
    </row>
    <row r="15" spans="1:25" ht="24.95" customHeight="1" x14ac:dyDescent="0.25">
      <c r="A15" s="25">
        <v>43433</v>
      </c>
      <c r="B15" s="21">
        <f>COUNTIF(Report[Date],Suivi_SE!$A15)</f>
        <v>0</v>
      </c>
      <c r="C15" s="21">
        <f>COUNTIFS(Report_Données!$A:$A,Suivi_SE!$A15,Report_Données!$S:$S,Suivi_SE!$C$1)</f>
        <v>0</v>
      </c>
      <c r="D15" s="21">
        <f>COUNTIFS(Report_Données!$A:$A,Suivi_SE!$A15,Report_Données!$S:$S,Suivi_SE!$D$1)</f>
        <v>0</v>
      </c>
      <c r="E15" s="56" t="str">
        <f t="shared" si="2"/>
        <v/>
      </c>
      <c r="F15" s="60" t="str">
        <f>IF(AND($C15=0,$D15=0),"",SUMIF(Report_Données!$A:$A,Suivi_SE!$A15,Report_Données!$T:$T))&amp;" soit "&amp;IF(AND($C15=0,$D15=0),"",FIXED(SUMIF(Report_Données!$A:$A,Suivi_SE!$A15,Report_Données!$T:$T)/($C15+$D15)*100,2)&amp;" %")</f>
        <v xml:space="preserve"> soit </v>
      </c>
      <c r="G15" s="51" t="str">
        <f>IF(AND($C15=0,$D15=0),"",SUMIF(Report_Données!$A:$A,Suivi_SE!$A15,Report_Données!$U:$U))&amp;" soit "&amp;IF(AND($C15=0,$D15=0),"",FIXED(SUMIF(Report_Données!$A:$A,Suivi_SE!$A15,Report_Données!$U:$U)/($C15+$D15)*100,2)&amp;" %")</f>
        <v xml:space="preserve"> soit </v>
      </c>
      <c r="H15" s="51" t="str">
        <f>IF(AND($C15=0,$D15=0),"",SUMIF(Report_Données!$A:$A,Suivi_SE!$A15,Report_Données!$V:$V))&amp;" soit "&amp;IF(AND($C15=0,$D15=0),"",FIXED(SUMIF(Report_Données!$A:$A,Suivi_SE!$A15,Report_Données!$V:$V)/($C15+$D15)*100,2)&amp;" %")</f>
        <v xml:space="preserve"> soit </v>
      </c>
      <c r="I15" s="61" t="str">
        <f>IF(AND($C15=0,$D15=0),"",SUMIF(Report_Données!$A:$A,Suivi_SE!$A15,Report_Données!$W:$W))&amp;" soit "&amp;IF(AND($C15=0,$D15=0),"",FIXED(SUMIF(Report_Données!$A:$A,Suivi_SE!$A15,Report_Données!$W:$W)/($C15+$D15)*100,2)&amp;" %")</f>
        <v xml:space="preserve"> soit </v>
      </c>
    </row>
    <row r="16" spans="1:25" ht="24.95" customHeight="1" x14ac:dyDescent="0.25">
      <c r="A16" s="25">
        <v>43434</v>
      </c>
      <c r="B16" s="21">
        <f>COUNTIF(Report[Date],Suivi_SE!$A16)</f>
        <v>0</v>
      </c>
      <c r="C16" s="21">
        <f>COUNTIFS(Report_Données!$A:$A,Suivi_SE!$A16,Report_Données!$S:$S,Suivi_SE!$C$1)</f>
        <v>0</v>
      </c>
      <c r="D16" s="21">
        <f>COUNTIFS(Report_Données!$A:$A,Suivi_SE!$A16,Report_Données!$S:$S,Suivi_SE!$D$1)</f>
        <v>0</v>
      </c>
      <c r="E16" s="56" t="str">
        <f t="shared" si="2"/>
        <v/>
      </c>
      <c r="F16" s="60" t="str">
        <f>IF(AND($C16=0,$D16=0),"",SUMIF(Report_Données!$A:$A,Suivi_SE!$A16,Report_Données!$T:$T))&amp;" soit "&amp;IF(AND($C16=0,$D16=0),"",FIXED(SUMIF(Report_Données!$A:$A,Suivi_SE!$A16,Report_Données!$T:$T)/($C16+$D16)*100,2)&amp;" %")</f>
        <v xml:space="preserve"> soit </v>
      </c>
      <c r="G16" s="51" t="str">
        <f>IF(AND($C16=0,$D16=0),"",SUMIF(Report_Données!$A:$A,Suivi_SE!$A16,Report_Données!$U:$U))&amp;" soit "&amp;IF(AND($C16=0,$D16=0),"",FIXED(SUMIF(Report_Données!$A:$A,Suivi_SE!$A16,Report_Données!$U:$U)/($C16+$D16)*100,2)&amp;" %")</f>
        <v xml:space="preserve"> soit </v>
      </c>
      <c r="H16" s="51" t="str">
        <f>IF(AND($C16=0,$D16=0),"",SUMIF(Report_Données!$A:$A,Suivi_SE!$A16,Report_Données!$V:$V))&amp;" soit "&amp;IF(AND($C16=0,$D16=0),"",FIXED(SUMIF(Report_Données!$A:$A,Suivi_SE!$A16,Report_Données!$V:$V)/($C16+$D16)*100,2)&amp;" %")</f>
        <v xml:space="preserve"> soit </v>
      </c>
      <c r="I16" s="61" t="str">
        <f>IF(AND($C16=0,$D16=0),"",SUMIF(Report_Données!$A:$A,Suivi_SE!$A16,Report_Données!$W:$W))&amp;" soit "&amp;IF(AND($C16=0,$D16=0),"",FIXED(SUMIF(Report_Données!$A:$A,Suivi_SE!$A16,Report_Données!$W:$W)/($C16+$D16)*100,2)&amp;" %")</f>
        <v xml:space="preserve"> soit </v>
      </c>
    </row>
    <row r="17" spans="1:9" ht="24.95" customHeight="1" x14ac:dyDescent="0.25">
      <c r="A17" s="25">
        <v>43435</v>
      </c>
      <c r="B17" s="21">
        <f>COUNTIF(Report[Date],Suivi_SE!$A17)</f>
        <v>0</v>
      </c>
      <c r="C17" s="21">
        <f>COUNTIFS(Report_Données!$A:$A,Suivi_SE!$A17,Report_Données!$S:$S,Suivi_SE!$C$1)</f>
        <v>0</v>
      </c>
      <c r="D17" s="21">
        <f>COUNTIFS(Report_Données!$A:$A,Suivi_SE!$A17,Report_Données!$S:$S,Suivi_SE!$D$1)</f>
        <v>0</v>
      </c>
      <c r="E17" s="56" t="str">
        <f t="shared" si="2"/>
        <v/>
      </c>
      <c r="F17" s="60" t="str">
        <f>IF(AND($C17=0,$D17=0),"",SUMIF(Report_Données!$A:$A,Suivi_SE!$A17,Report_Données!$T:$T))&amp;" soit "&amp;IF(AND($C17=0,$D17=0),"",FIXED(SUMIF(Report_Données!$A:$A,Suivi_SE!$A17,Report_Données!$T:$T)/($C17+$D17)*100,2)&amp;" %")</f>
        <v xml:space="preserve"> soit </v>
      </c>
      <c r="G17" s="51" t="str">
        <f>IF(AND($C17=0,$D17=0),"",SUMIF(Report_Données!$A:$A,Suivi_SE!$A17,Report_Données!$U:$U))&amp;" soit "&amp;IF(AND($C17=0,$D17=0),"",FIXED(SUMIF(Report_Données!$A:$A,Suivi_SE!$A17,Report_Données!$U:$U)/($C17+$D17)*100,2)&amp;" %")</f>
        <v xml:space="preserve"> soit </v>
      </c>
      <c r="H17" s="51" t="str">
        <f>IF(AND($C17=0,$D17=0),"",SUMIF(Report_Données!$A:$A,Suivi_SE!$A17,Report_Données!$V:$V))&amp;" soit "&amp;IF(AND($C17=0,$D17=0),"",FIXED(SUMIF(Report_Données!$A:$A,Suivi_SE!$A17,Report_Données!$V:$V)/($C17+$D17)*100,2)&amp;" %")</f>
        <v xml:space="preserve"> soit </v>
      </c>
      <c r="I17" s="61" t="str">
        <f>IF(AND($C17=0,$D17=0),"",SUMIF(Report_Données!$A:$A,Suivi_SE!$A17,Report_Données!$W:$W))&amp;" soit "&amp;IF(AND($C17=0,$D17=0),"",FIXED(SUMIF(Report_Données!$A:$A,Suivi_SE!$A17,Report_Données!$W:$W)/($C17+$D17)*100,2)&amp;" %")</f>
        <v xml:space="preserve"> soit </v>
      </c>
    </row>
    <row r="18" spans="1:9" ht="24.95" customHeight="1" x14ac:dyDescent="0.25">
      <c r="A18" s="25">
        <v>43436</v>
      </c>
      <c r="B18" s="21">
        <f>COUNTIF(Report[Date],Suivi_SE!$A18)</f>
        <v>0</v>
      </c>
      <c r="C18" s="21">
        <f>COUNTIFS(Report_Données!$A:$A,Suivi_SE!$A18,Report_Données!$S:$S,Suivi_SE!$C$1)</f>
        <v>0</v>
      </c>
      <c r="D18" s="21">
        <f>COUNTIFS(Report_Données!$A:$A,Suivi_SE!$A18,Report_Données!$S:$S,Suivi_SE!$D$1)</f>
        <v>0</v>
      </c>
      <c r="E18" s="56" t="str">
        <f t="shared" si="2"/>
        <v/>
      </c>
      <c r="F18" s="60" t="str">
        <f>IF(AND($C18=0,$D18=0),"",SUMIF(Report_Données!$A:$A,Suivi_SE!$A18,Report_Données!$T:$T))&amp;" soit "&amp;IF(AND($C18=0,$D18=0),"",FIXED(SUMIF(Report_Données!$A:$A,Suivi_SE!$A18,Report_Données!$T:$T)/($C18+$D18)*100,2)&amp;" %")</f>
        <v xml:space="preserve"> soit </v>
      </c>
      <c r="G18" s="51" t="str">
        <f>IF(AND($C18=0,$D18=0),"",SUMIF(Report_Données!$A:$A,Suivi_SE!$A18,Report_Données!$U:$U))&amp;" soit "&amp;IF(AND($C18=0,$D18=0),"",FIXED(SUMIF(Report_Données!$A:$A,Suivi_SE!$A18,Report_Données!$U:$U)/($C18+$D18)*100,2)&amp;" %")</f>
        <v xml:space="preserve"> soit </v>
      </c>
      <c r="H18" s="51" t="str">
        <f>IF(AND($C18=0,$D18=0),"",SUMIF(Report_Données!$A:$A,Suivi_SE!$A18,Report_Données!$V:$V))&amp;" soit "&amp;IF(AND($C18=0,$D18=0),"",FIXED(SUMIF(Report_Données!$A:$A,Suivi_SE!$A18,Report_Données!$V:$V)/($C18+$D18)*100,2)&amp;" %")</f>
        <v xml:space="preserve"> soit </v>
      </c>
      <c r="I18" s="61" t="str">
        <f>IF(AND($C18=0,$D18=0),"",SUMIF(Report_Données!$A:$A,Suivi_SE!$A18,Report_Données!$W:$W))&amp;" soit "&amp;IF(AND($C18=0,$D18=0),"",FIXED(SUMIF(Report_Données!$A:$A,Suivi_SE!$A18,Report_Données!$W:$W)/($C18+$D18)*100,2)&amp;" %")</f>
        <v xml:space="preserve"> soit </v>
      </c>
    </row>
    <row r="19" spans="1:9" ht="24.95" customHeight="1" x14ac:dyDescent="0.25">
      <c r="A19" s="25">
        <v>43437</v>
      </c>
      <c r="B19" s="21">
        <f>COUNTIF(Report[Date],Suivi_SE!$A19)</f>
        <v>0</v>
      </c>
      <c r="C19" s="21">
        <f>COUNTIFS(Report_Données!$A:$A,Suivi_SE!$A19,Report_Données!$S:$S,Suivi_SE!$C$1)</f>
        <v>0</v>
      </c>
      <c r="D19" s="21">
        <f>COUNTIFS(Report_Données!$A:$A,Suivi_SE!$A19,Report_Données!$S:$S,Suivi_SE!$D$1)</f>
        <v>0</v>
      </c>
      <c r="E19" s="56" t="str">
        <f t="shared" si="2"/>
        <v/>
      </c>
      <c r="F19" s="60" t="str">
        <f>IF(AND($C19=0,$D19=0),"",SUMIF(Report_Données!$A:$A,Suivi_SE!$A19,Report_Données!$T:$T))&amp;" soit "&amp;IF(AND($C19=0,$D19=0),"",FIXED(SUMIF(Report_Données!$A:$A,Suivi_SE!$A19,Report_Données!$T:$T)/($C19+$D19)*100,2)&amp;" %")</f>
        <v xml:space="preserve"> soit </v>
      </c>
      <c r="G19" s="51" t="str">
        <f>IF(AND($C19=0,$D19=0),"",SUMIF(Report_Données!$A:$A,Suivi_SE!$A19,Report_Données!$U:$U))&amp;" soit "&amp;IF(AND($C19=0,$D19=0),"",FIXED(SUMIF(Report_Données!$A:$A,Suivi_SE!$A19,Report_Données!$U:$U)/($C19+$D19)*100,2)&amp;" %")</f>
        <v xml:space="preserve"> soit </v>
      </c>
      <c r="H19" s="51" t="str">
        <f>IF(AND($C19=0,$D19=0),"",SUMIF(Report_Données!$A:$A,Suivi_SE!$A19,Report_Données!$V:$V))&amp;" soit "&amp;IF(AND($C19=0,$D19=0),"",FIXED(SUMIF(Report_Données!$A:$A,Suivi_SE!$A19,Report_Données!$V:$V)/($C19+$D19)*100,2)&amp;" %")</f>
        <v xml:space="preserve"> soit </v>
      </c>
      <c r="I19" s="61" t="str">
        <f>IF(AND($C19=0,$D19=0),"",SUMIF(Report_Données!$A:$A,Suivi_SE!$A19,Report_Données!$W:$W))&amp;" soit "&amp;IF(AND($C19=0,$D19=0),"",FIXED(SUMIF(Report_Données!$A:$A,Suivi_SE!$A19,Report_Données!$W:$W)/($C19+$D19)*100,2)&amp;" %")</f>
        <v xml:space="preserve"> soit </v>
      </c>
    </row>
    <row r="20" spans="1:9" ht="24.95" customHeight="1" x14ac:dyDescent="0.25">
      <c r="A20" s="25">
        <v>43438</v>
      </c>
      <c r="B20" s="21">
        <f>COUNTIF(Report[Date],Suivi_SE!$A20)</f>
        <v>0</v>
      </c>
      <c r="C20" s="21">
        <f>COUNTIFS(Report_Données!$A:$A,Suivi_SE!$A20,Report_Données!$S:$S,Suivi_SE!$C$1)</f>
        <v>0</v>
      </c>
      <c r="D20" s="21">
        <f>COUNTIFS(Report_Données!$A:$A,Suivi_SE!$A20,Report_Données!$S:$S,Suivi_SE!$D$1)</f>
        <v>0</v>
      </c>
      <c r="E20" s="56" t="str">
        <f t="shared" si="2"/>
        <v/>
      </c>
      <c r="F20" s="60" t="str">
        <f>IF(AND($C20=0,$D20=0),"",SUMIF(Report_Données!$A:$A,Suivi_SE!$A20,Report_Données!$T:$T))&amp;" soit "&amp;IF(AND($C20=0,$D20=0),"",FIXED(SUMIF(Report_Données!$A:$A,Suivi_SE!$A20,Report_Données!$T:$T)/($C20+$D20)*100,2)&amp;" %")</f>
        <v xml:space="preserve"> soit </v>
      </c>
      <c r="G20" s="51" t="str">
        <f>IF(AND($C20=0,$D20=0),"",SUMIF(Report_Données!$A:$A,Suivi_SE!$A20,Report_Données!$U:$U))&amp;" soit "&amp;IF(AND($C20=0,$D20=0),"",FIXED(SUMIF(Report_Données!$A:$A,Suivi_SE!$A20,Report_Données!$U:$U)/($C20+$D20)*100,2)&amp;" %")</f>
        <v xml:space="preserve"> soit </v>
      </c>
      <c r="H20" s="51" t="str">
        <f>IF(AND($C20=0,$D20=0),"",SUMIF(Report_Données!$A:$A,Suivi_SE!$A20,Report_Données!$V:$V))&amp;" soit "&amp;IF(AND($C20=0,$D20=0),"",FIXED(SUMIF(Report_Données!$A:$A,Suivi_SE!$A20,Report_Données!$V:$V)/($C20+$D20)*100,2)&amp;" %")</f>
        <v xml:space="preserve"> soit </v>
      </c>
      <c r="I20" s="61" t="str">
        <f>IF(AND($C20=0,$D20=0),"",SUMIF(Report_Données!$A:$A,Suivi_SE!$A20,Report_Données!$W:$W))&amp;" soit "&amp;IF(AND($C20=0,$D20=0),"",FIXED(SUMIF(Report_Données!$A:$A,Suivi_SE!$A20,Report_Données!$W:$W)/($C20+$D20)*100,2)&amp;" %")</f>
        <v xml:space="preserve"> soit </v>
      </c>
    </row>
    <row r="21" spans="1:9" ht="24.95" customHeight="1" x14ac:dyDescent="0.25">
      <c r="A21" s="25">
        <v>43439</v>
      </c>
      <c r="B21" s="21">
        <f>COUNTIF(Report[Date],Suivi_SE!$A21)</f>
        <v>0</v>
      </c>
      <c r="C21" s="21">
        <f>COUNTIFS(Report_Données!$A:$A,Suivi_SE!$A21,Report_Données!$S:$S,Suivi_SE!$C$1)</f>
        <v>0</v>
      </c>
      <c r="D21" s="21">
        <f>COUNTIFS(Report_Données!$A:$A,Suivi_SE!$A21,Report_Données!$S:$S,Suivi_SE!$D$1)</f>
        <v>0</v>
      </c>
      <c r="E21" s="56" t="str">
        <f t="shared" si="2"/>
        <v/>
      </c>
      <c r="F21" s="60" t="str">
        <f>IF(AND($C21=0,$D21=0),"",SUMIF(Report_Données!$A:$A,Suivi_SE!$A21,Report_Données!$T:$T))&amp;" soit "&amp;IF(AND($C21=0,$D21=0),"",FIXED(SUMIF(Report_Données!$A:$A,Suivi_SE!$A21,Report_Données!$T:$T)/($C21+$D21)*100,2)&amp;" %")</f>
        <v xml:space="preserve"> soit </v>
      </c>
      <c r="G21" s="51" t="str">
        <f>IF(AND($C21=0,$D21=0),"",SUMIF(Report_Données!$A:$A,Suivi_SE!$A21,Report_Données!$U:$U))&amp;" soit "&amp;IF(AND($C21=0,$D21=0),"",FIXED(SUMIF(Report_Données!$A:$A,Suivi_SE!$A21,Report_Données!$U:$U)/($C21+$D21)*100,2)&amp;" %")</f>
        <v xml:space="preserve"> soit </v>
      </c>
      <c r="H21" s="51" t="str">
        <f>IF(AND($C21=0,$D21=0),"",SUMIF(Report_Données!$A:$A,Suivi_SE!$A21,Report_Données!$V:$V))&amp;" soit "&amp;IF(AND($C21=0,$D21=0),"",FIXED(SUMIF(Report_Données!$A:$A,Suivi_SE!$A21,Report_Données!$V:$V)/($C21+$D21)*100,2)&amp;" %")</f>
        <v xml:space="preserve"> soit </v>
      </c>
      <c r="I21" s="61" t="str">
        <f>IF(AND($C21=0,$D21=0),"",SUMIF(Report_Données!$A:$A,Suivi_SE!$A21,Report_Données!$W:$W))&amp;" soit "&amp;IF(AND($C21=0,$D21=0),"",FIXED(SUMIF(Report_Données!$A:$A,Suivi_SE!$A21,Report_Données!$W:$W)/($C21+$D21)*100,2)&amp;" %")</f>
        <v xml:space="preserve"> soit </v>
      </c>
    </row>
    <row r="22" spans="1:9" ht="24.95" customHeight="1" x14ac:dyDescent="0.25">
      <c r="A22" s="25">
        <v>43440</v>
      </c>
      <c r="B22" s="21">
        <f>COUNTIF(Report[Date],Suivi_SE!$A22)</f>
        <v>0</v>
      </c>
      <c r="C22" s="21">
        <f>COUNTIFS(Report_Données!$A:$A,Suivi_SE!$A22,Report_Données!$S:$S,Suivi_SE!$C$1)</f>
        <v>0</v>
      </c>
      <c r="D22" s="21">
        <f>COUNTIFS(Report_Données!$A:$A,Suivi_SE!$A22,Report_Données!$S:$S,Suivi_SE!$D$1)</f>
        <v>0</v>
      </c>
      <c r="E22" s="56" t="str">
        <f t="shared" si="2"/>
        <v/>
      </c>
      <c r="F22" s="60" t="str">
        <f>IF(AND($C22=0,$D22=0),"",SUMIF(Report_Données!$A:$A,Suivi_SE!$A22,Report_Données!$T:$T))&amp;" soit "&amp;IF(AND($C22=0,$D22=0),"",FIXED(SUMIF(Report_Données!$A:$A,Suivi_SE!$A22,Report_Données!$T:$T)/($C22+$D22)*100,2)&amp;" %")</f>
        <v xml:space="preserve"> soit </v>
      </c>
      <c r="G22" s="51" t="str">
        <f>IF(AND($C22=0,$D22=0),"",SUMIF(Report_Données!$A:$A,Suivi_SE!$A22,Report_Données!$U:$U))&amp;" soit "&amp;IF(AND($C22=0,$D22=0),"",FIXED(SUMIF(Report_Données!$A:$A,Suivi_SE!$A22,Report_Données!$U:$U)/($C22+$D22)*100,2)&amp;" %")</f>
        <v xml:space="preserve"> soit </v>
      </c>
      <c r="H22" s="51" t="str">
        <f>IF(AND($C22=0,$D22=0),"",SUMIF(Report_Données!$A:$A,Suivi_SE!$A22,Report_Données!$V:$V))&amp;" soit "&amp;IF(AND($C22=0,$D22=0),"",FIXED(SUMIF(Report_Données!$A:$A,Suivi_SE!$A22,Report_Données!$V:$V)/($C22+$D22)*100,2)&amp;" %")</f>
        <v xml:space="preserve"> soit </v>
      </c>
      <c r="I22" s="61" t="str">
        <f>IF(AND($C22=0,$D22=0),"",SUMIF(Report_Données!$A:$A,Suivi_SE!$A22,Report_Données!$W:$W))&amp;" soit "&amp;IF(AND($C22=0,$D22=0),"",FIXED(SUMIF(Report_Données!$A:$A,Suivi_SE!$A22,Report_Données!$W:$W)/($C22+$D22)*100,2)&amp;" %")</f>
        <v xml:space="preserve"> soit </v>
      </c>
    </row>
    <row r="23" spans="1:9" ht="24.95" customHeight="1" x14ac:dyDescent="0.25">
      <c r="A23" s="25">
        <v>43441</v>
      </c>
      <c r="B23" s="21">
        <f>COUNTIF(Report[Date],Suivi_SE!$A23)</f>
        <v>0</v>
      </c>
      <c r="C23" s="21">
        <f>COUNTIFS(Report_Données!$A:$A,Suivi_SE!$A23,Report_Données!$S:$S,Suivi_SE!$C$1)</f>
        <v>0</v>
      </c>
      <c r="D23" s="21">
        <f>COUNTIFS(Report_Données!$A:$A,Suivi_SE!$A23,Report_Données!$S:$S,Suivi_SE!$D$1)</f>
        <v>0</v>
      </c>
      <c r="E23" s="56" t="str">
        <f t="shared" si="2"/>
        <v/>
      </c>
      <c r="F23" s="60" t="str">
        <f>IF(AND($C23=0,$D23=0),"",SUMIF(Report_Données!$A:$A,Suivi_SE!$A23,Report_Données!$T:$T))&amp;" soit "&amp;IF(AND($C23=0,$D23=0),"",FIXED(SUMIF(Report_Données!$A:$A,Suivi_SE!$A23,Report_Données!$T:$T)/($C23+$D23)*100,2)&amp;" %")</f>
        <v xml:space="preserve"> soit </v>
      </c>
      <c r="G23" s="51" t="str">
        <f>IF(AND($C23=0,$D23=0),"",SUMIF(Report_Données!$A:$A,Suivi_SE!$A23,Report_Données!$U:$U))&amp;" soit "&amp;IF(AND($C23=0,$D23=0),"",FIXED(SUMIF(Report_Données!$A:$A,Suivi_SE!$A23,Report_Données!$U:$U)/($C23+$D23)*100,2)&amp;" %")</f>
        <v xml:space="preserve"> soit </v>
      </c>
      <c r="H23" s="51" t="str">
        <f>IF(AND($C23=0,$D23=0),"",SUMIF(Report_Données!$A:$A,Suivi_SE!$A23,Report_Données!$V:$V))&amp;" soit "&amp;IF(AND($C23=0,$D23=0),"",FIXED(SUMIF(Report_Données!$A:$A,Suivi_SE!$A23,Report_Données!$V:$V)/($C23+$D23)*100,2)&amp;" %")</f>
        <v xml:space="preserve"> soit </v>
      </c>
      <c r="I23" s="61" t="str">
        <f>IF(AND($C23=0,$D23=0),"",SUMIF(Report_Données!$A:$A,Suivi_SE!$A23,Report_Données!$W:$W))&amp;" soit "&amp;IF(AND($C23=0,$D23=0),"",FIXED(SUMIF(Report_Données!$A:$A,Suivi_SE!$A23,Report_Données!$W:$W)/($C23+$D23)*100,2)&amp;" %")</f>
        <v xml:space="preserve"> soit </v>
      </c>
    </row>
    <row r="24" spans="1:9" ht="24.95" customHeight="1" x14ac:dyDescent="0.25">
      <c r="A24" s="25">
        <v>43442</v>
      </c>
      <c r="B24" s="21">
        <f>COUNTIF(Report[Date],Suivi_SE!$A24)</f>
        <v>0</v>
      </c>
      <c r="C24" s="21">
        <f>COUNTIFS(Report_Données!$A:$A,Suivi_SE!$A24,Report_Données!$S:$S,Suivi_SE!$C$1)</f>
        <v>0</v>
      </c>
      <c r="D24" s="21">
        <f>COUNTIFS(Report_Données!$A:$A,Suivi_SE!$A24,Report_Données!$S:$S,Suivi_SE!$D$1)</f>
        <v>0</v>
      </c>
      <c r="E24" s="56" t="str">
        <f t="shared" si="2"/>
        <v/>
      </c>
      <c r="F24" s="60" t="str">
        <f>IF(AND($C24=0,$D24=0),"",SUMIF(Report_Données!$A:$A,Suivi_SE!$A24,Report_Données!$T:$T))&amp;" soit "&amp;IF(AND($C24=0,$D24=0),"",FIXED(SUMIF(Report_Données!$A:$A,Suivi_SE!$A24,Report_Données!$T:$T)/($C24+$D24)*100,2)&amp;" %")</f>
        <v xml:space="preserve"> soit </v>
      </c>
      <c r="G24" s="51" t="str">
        <f>IF(AND($C24=0,$D24=0),"",SUMIF(Report_Données!$A:$A,Suivi_SE!$A24,Report_Données!$U:$U))&amp;" soit "&amp;IF(AND($C24=0,$D24=0),"",FIXED(SUMIF(Report_Données!$A:$A,Suivi_SE!$A24,Report_Données!$U:$U)/($C24+$D24)*100,2)&amp;" %")</f>
        <v xml:space="preserve"> soit </v>
      </c>
      <c r="H24" s="51" t="str">
        <f>IF(AND($C24=0,$D24=0),"",SUMIF(Report_Données!$A:$A,Suivi_SE!$A24,Report_Données!$V:$V))&amp;" soit "&amp;IF(AND($C24=0,$D24=0),"",FIXED(SUMIF(Report_Données!$A:$A,Suivi_SE!$A24,Report_Données!$V:$V)/($C24+$D24)*100,2)&amp;" %")</f>
        <v xml:space="preserve"> soit </v>
      </c>
      <c r="I24" s="61" t="str">
        <f>IF(AND($C24=0,$D24=0),"",SUMIF(Report_Données!$A:$A,Suivi_SE!$A24,Report_Données!$W:$W))&amp;" soit "&amp;IF(AND($C24=0,$D24=0),"",FIXED(SUMIF(Report_Données!$A:$A,Suivi_SE!$A24,Report_Données!$W:$W)/($C24+$D24)*100,2)&amp;" %")</f>
        <v xml:space="preserve"> soit </v>
      </c>
    </row>
    <row r="25" spans="1:9" ht="24.95" customHeight="1" x14ac:dyDescent="0.25">
      <c r="A25" s="25">
        <v>43443</v>
      </c>
      <c r="B25" s="21">
        <f>COUNTIF(Report[Date],Suivi_SE!$A25)</f>
        <v>0</v>
      </c>
      <c r="C25" s="21">
        <f>COUNTIFS(Report_Données!$A:$A,Suivi_SE!$A25,Report_Données!$S:$S,Suivi_SE!$C$1)</f>
        <v>0</v>
      </c>
      <c r="D25" s="21">
        <f>COUNTIFS(Report_Données!$A:$A,Suivi_SE!$A25,Report_Données!$S:$S,Suivi_SE!$D$1)</f>
        <v>0</v>
      </c>
      <c r="E25" s="56" t="str">
        <f t="shared" si="2"/>
        <v/>
      </c>
      <c r="F25" s="60" t="str">
        <f>IF(AND($C25=0,$D25=0),"",SUMIF(Report_Données!$A:$A,Suivi_SE!$A25,Report_Données!$T:$T))&amp;" soit "&amp;IF(AND($C25=0,$D25=0),"",FIXED(SUMIF(Report_Données!$A:$A,Suivi_SE!$A25,Report_Données!$T:$T)/($C25+$D25)*100,2)&amp;" %")</f>
        <v xml:space="preserve"> soit </v>
      </c>
      <c r="G25" s="51" t="str">
        <f>IF(AND($C25=0,$D25=0),"",SUMIF(Report_Données!$A:$A,Suivi_SE!$A25,Report_Données!$U:$U))&amp;" soit "&amp;IF(AND($C25=0,$D25=0),"",FIXED(SUMIF(Report_Données!$A:$A,Suivi_SE!$A25,Report_Données!$U:$U)/($C25+$D25)*100,2)&amp;" %")</f>
        <v xml:space="preserve"> soit </v>
      </c>
      <c r="H25" s="51" t="str">
        <f>IF(AND($C25=0,$D25=0),"",SUMIF(Report_Données!$A:$A,Suivi_SE!$A25,Report_Données!$V:$V))&amp;" soit "&amp;IF(AND($C25=0,$D25=0),"",FIXED(SUMIF(Report_Données!$A:$A,Suivi_SE!$A25,Report_Données!$V:$V)/($C25+$D25)*100,2)&amp;" %")</f>
        <v xml:space="preserve"> soit </v>
      </c>
      <c r="I25" s="61" t="str">
        <f>IF(AND($C25=0,$D25=0),"",SUMIF(Report_Données!$A:$A,Suivi_SE!$A25,Report_Données!$W:$W))&amp;" soit "&amp;IF(AND($C25=0,$D25=0),"",FIXED(SUMIF(Report_Données!$A:$A,Suivi_SE!$A25,Report_Données!$W:$W)/($C25+$D25)*100,2)&amp;" %")</f>
        <v xml:space="preserve"> soit </v>
      </c>
    </row>
    <row r="26" spans="1:9" ht="24.95" customHeight="1" x14ac:dyDescent="0.25">
      <c r="A26" s="25">
        <v>43444</v>
      </c>
      <c r="B26" s="21">
        <f>COUNTIF(Report[Date],Suivi_SE!$A26)</f>
        <v>0</v>
      </c>
      <c r="C26" s="21">
        <f>COUNTIFS(Report_Données!$A:$A,Suivi_SE!$A26,Report_Données!$S:$S,Suivi_SE!$C$1)</f>
        <v>0</v>
      </c>
      <c r="D26" s="21">
        <f>COUNTIFS(Report_Données!$A:$A,Suivi_SE!$A26,Report_Données!$S:$S,Suivi_SE!$D$1)</f>
        <v>0</v>
      </c>
      <c r="E26" s="56" t="str">
        <f t="shared" si="2"/>
        <v/>
      </c>
      <c r="F26" s="60" t="str">
        <f>IF(AND($C26=0,$D26=0),"",SUMIF(Report_Données!$A:$A,Suivi_SE!$A26,Report_Données!$T:$T))&amp;" soit "&amp;IF(AND($C26=0,$D26=0),"",FIXED(SUMIF(Report_Données!$A:$A,Suivi_SE!$A26,Report_Données!$T:$T)/($C26+$D26)*100,2)&amp;" %")</f>
        <v xml:space="preserve"> soit </v>
      </c>
      <c r="G26" s="51" t="str">
        <f>IF(AND($C26=0,$D26=0),"",SUMIF(Report_Données!$A:$A,Suivi_SE!$A26,Report_Données!$U:$U))&amp;" soit "&amp;IF(AND($C26=0,$D26=0),"",FIXED(SUMIF(Report_Données!$A:$A,Suivi_SE!$A26,Report_Données!$U:$U)/($C26+$D26)*100,2)&amp;" %")</f>
        <v xml:space="preserve"> soit </v>
      </c>
      <c r="H26" s="51" t="str">
        <f>IF(AND($C26=0,$D26=0),"",SUMIF(Report_Données!$A:$A,Suivi_SE!$A26,Report_Données!$V:$V))&amp;" soit "&amp;IF(AND($C26=0,$D26=0),"",FIXED(SUMIF(Report_Données!$A:$A,Suivi_SE!$A26,Report_Données!$V:$V)/($C26+$D26)*100,2)&amp;" %")</f>
        <v xml:space="preserve"> soit </v>
      </c>
      <c r="I26" s="61" t="str">
        <f>IF(AND($C26=0,$D26=0),"",SUMIF(Report_Données!$A:$A,Suivi_SE!$A26,Report_Données!$W:$W))&amp;" soit "&amp;IF(AND($C26=0,$D26=0),"",FIXED(SUMIF(Report_Données!$A:$A,Suivi_SE!$A26,Report_Données!$W:$W)/($C26+$D26)*100,2)&amp;" %")</f>
        <v xml:space="preserve"> soit </v>
      </c>
    </row>
    <row r="27" spans="1:9" ht="24.95" customHeight="1" x14ac:dyDescent="0.25">
      <c r="A27" s="25">
        <v>43445</v>
      </c>
      <c r="B27" s="21">
        <f>COUNTIF(Report[Date],Suivi_SE!$A27)</f>
        <v>0</v>
      </c>
      <c r="C27" s="21">
        <f>COUNTIFS(Report_Données!$A:$A,Suivi_SE!$A27,Report_Données!$S:$S,Suivi_SE!$C$1)</f>
        <v>0</v>
      </c>
      <c r="D27" s="21">
        <f>COUNTIFS(Report_Données!$A:$A,Suivi_SE!$A27,Report_Données!$S:$S,Suivi_SE!$D$1)</f>
        <v>0</v>
      </c>
      <c r="E27" s="56" t="str">
        <f t="shared" si="2"/>
        <v/>
      </c>
      <c r="F27" s="60" t="str">
        <f>IF(AND($C27=0,$D27=0),"",SUMIF(Report_Données!$A:$A,Suivi_SE!$A27,Report_Données!$T:$T))&amp;" soit "&amp;IF(AND($C27=0,$D27=0),"",FIXED(SUMIF(Report_Données!$A:$A,Suivi_SE!$A27,Report_Données!$T:$T)/($C27+$D27)*100,2)&amp;" %")</f>
        <v xml:space="preserve"> soit </v>
      </c>
      <c r="G27" s="51" t="str">
        <f>IF(AND($C27=0,$D27=0),"",SUMIF(Report_Données!$A:$A,Suivi_SE!$A27,Report_Données!$U:$U))&amp;" soit "&amp;IF(AND($C27=0,$D27=0),"",FIXED(SUMIF(Report_Données!$A:$A,Suivi_SE!$A27,Report_Données!$U:$U)/($C27+$D27)*100,2)&amp;" %")</f>
        <v xml:space="preserve"> soit </v>
      </c>
      <c r="H27" s="51" t="str">
        <f>IF(AND($C27=0,$D27=0),"",SUMIF(Report_Données!$A:$A,Suivi_SE!$A27,Report_Données!$V:$V))&amp;" soit "&amp;IF(AND($C27=0,$D27=0),"",FIXED(SUMIF(Report_Données!$A:$A,Suivi_SE!$A27,Report_Données!$V:$V)/($C27+$D27)*100,2)&amp;" %")</f>
        <v xml:space="preserve"> soit </v>
      </c>
      <c r="I27" s="61" t="str">
        <f>IF(AND($C27=0,$D27=0),"",SUMIF(Report_Données!$A:$A,Suivi_SE!$A27,Report_Données!$W:$W))&amp;" soit "&amp;IF(AND($C27=0,$D27=0),"",FIXED(SUMIF(Report_Données!$A:$A,Suivi_SE!$A27,Report_Données!$W:$W)/($C27+$D27)*100,2)&amp;" %")</f>
        <v xml:space="preserve"> soit </v>
      </c>
    </row>
    <row r="28" spans="1:9" ht="24.95" customHeight="1" x14ac:dyDescent="0.25">
      <c r="A28" s="25">
        <v>43446</v>
      </c>
      <c r="B28" s="21">
        <f>COUNTIF(Report[Date],Suivi_SE!$A28)</f>
        <v>0</v>
      </c>
      <c r="C28" s="21">
        <f>COUNTIFS(Report_Données!$A:$A,Suivi_SE!$A28,Report_Données!$S:$S,Suivi_SE!$C$1)</f>
        <v>0</v>
      </c>
      <c r="D28" s="21">
        <f>COUNTIFS(Report_Données!$A:$A,Suivi_SE!$A28,Report_Données!$S:$S,Suivi_SE!$D$1)</f>
        <v>0</v>
      </c>
      <c r="E28" s="56" t="str">
        <f t="shared" si="2"/>
        <v/>
      </c>
      <c r="F28" s="60" t="str">
        <f>IF(AND($C28=0,$D28=0),"",SUMIF(Report_Données!$A:$A,Suivi_SE!$A28,Report_Données!$T:$T))&amp;" soit "&amp;IF(AND($C28=0,$D28=0),"",FIXED(SUMIF(Report_Données!$A:$A,Suivi_SE!$A28,Report_Données!$T:$T)/($C28+$D28)*100,2)&amp;" %")</f>
        <v xml:space="preserve"> soit </v>
      </c>
      <c r="G28" s="51" t="str">
        <f>IF(AND($C28=0,$D28=0),"",SUMIF(Report_Données!$A:$A,Suivi_SE!$A28,Report_Données!$U:$U))&amp;" soit "&amp;IF(AND($C28=0,$D28=0),"",FIXED(SUMIF(Report_Données!$A:$A,Suivi_SE!$A28,Report_Données!$U:$U)/($C28+$D28)*100,2)&amp;" %")</f>
        <v xml:space="preserve"> soit </v>
      </c>
      <c r="H28" s="51" t="str">
        <f>IF(AND($C28=0,$D28=0),"",SUMIF(Report_Données!$A:$A,Suivi_SE!$A28,Report_Données!$V:$V))&amp;" soit "&amp;IF(AND($C28=0,$D28=0),"",FIXED(SUMIF(Report_Données!$A:$A,Suivi_SE!$A28,Report_Données!$V:$V)/($C28+$D28)*100,2)&amp;" %")</f>
        <v xml:space="preserve"> soit </v>
      </c>
      <c r="I28" s="61" t="str">
        <f>IF(AND($C28=0,$D28=0),"",SUMIF(Report_Données!$A:$A,Suivi_SE!$A28,Report_Données!$W:$W))&amp;" soit "&amp;IF(AND($C28=0,$D28=0),"",FIXED(SUMIF(Report_Données!$A:$A,Suivi_SE!$A28,Report_Données!$W:$W)/($C28+$D28)*100,2)&amp;" %")</f>
        <v xml:space="preserve"> soit </v>
      </c>
    </row>
    <row r="29" spans="1:9" ht="24.95" customHeight="1" x14ac:dyDescent="0.25">
      <c r="A29" s="25">
        <v>43447</v>
      </c>
      <c r="B29" s="21">
        <f>COUNTIF(Report[Date],Suivi_SE!$A29)</f>
        <v>0</v>
      </c>
      <c r="C29" s="21">
        <f>COUNTIFS(Report_Données!$A:$A,Suivi_SE!$A29,Report_Données!$S:$S,Suivi_SE!$C$1)</f>
        <v>0</v>
      </c>
      <c r="D29" s="21">
        <f>COUNTIFS(Report_Données!$A:$A,Suivi_SE!$A29,Report_Données!$S:$S,Suivi_SE!$D$1)</f>
        <v>0</v>
      </c>
      <c r="E29" s="56" t="str">
        <f t="shared" si="2"/>
        <v/>
      </c>
      <c r="F29" s="60" t="str">
        <f>IF(AND($C29=0,$D29=0),"",SUMIF(Report_Données!$A:$A,Suivi_SE!$A29,Report_Données!$T:$T))&amp;" soit "&amp;IF(AND($C29=0,$D29=0),"",FIXED(SUMIF(Report_Données!$A:$A,Suivi_SE!$A29,Report_Données!$T:$T)/($C29+$D29)*100,2)&amp;" %")</f>
        <v xml:space="preserve"> soit </v>
      </c>
      <c r="G29" s="51" t="str">
        <f>IF(AND($C29=0,$D29=0),"",SUMIF(Report_Données!$A:$A,Suivi_SE!$A29,Report_Données!$U:$U))&amp;" soit "&amp;IF(AND($C29=0,$D29=0),"",FIXED(SUMIF(Report_Données!$A:$A,Suivi_SE!$A29,Report_Données!$U:$U)/($C29+$D29)*100,2)&amp;" %")</f>
        <v xml:space="preserve"> soit </v>
      </c>
      <c r="H29" s="51" t="str">
        <f>IF(AND($C29=0,$D29=0),"",SUMIF(Report_Données!$A:$A,Suivi_SE!$A29,Report_Données!$V:$V))&amp;" soit "&amp;IF(AND($C29=0,$D29=0),"",FIXED(SUMIF(Report_Données!$A:$A,Suivi_SE!$A29,Report_Données!$V:$V)/($C29+$D29)*100,2)&amp;" %")</f>
        <v xml:space="preserve"> soit </v>
      </c>
      <c r="I29" s="61" t="str">
        <f>IF(AND($C29=0,$D29=0),"",SUMIF(Report_Données!$A:$A,Suivi_SE!$A29,Report_Données!$W:$W))&amp;" soit "&amp;IF(AND($C29=0,$D29=0),"",FIXED(SUMIF(Report_Données!$A:$A,Suivi_SE!$A29,Report_Données!$W:$W)/($C29+$D29)*100,2)&amp;" %")</f>
        <v xml:space="preserve"> soit </v>
      </c>
    </row>
    <row r="30" spans="1:9" ht="24.95" customHeight="1" x14ac:dyDescent="0.25">
      <c r="A30" s="25">
        <v>43448</v>
      </c>
      <c r="B30" s="21">
        <f>COUNTIF(Report[Date],Suivi_SE!$A30)</f>
        <v>0</v>
      </c>
      <c r="C30" s="21">
        <f>COUNTIFS(Report_Données!$A:$A,Suivi_SE!$A30,Report_Données!$S:$S,Suivi_SE!$C$1)</f>
        <v>0</v>
      </c>
      <c r="D30" s="21">
        <f>COUNTIFS(Report_Données!$A:$A,Suivi_SE!$A30,Report_Données!$S:$S,Suivi_SE!$D$1)</f>
        <v>0</v>
      </c>
      <c r="E30" s="56" t="str">
        <f t="shared" si="2"/>
        <v/>
      </c>
      <c r="F30" s="60" t="str">
        <f>IF(AND($C30=0,$D30=0),"",SUMIF(Report_Données!$A:$A,Suivi_SE!$A30,Report_Données!$T:$T))&amp;" soit "&amp;IF(AND($C30=0,$D30=0),"",FIXED(SUMIF(Report_Données!$A:$A,Suivi_SE!$A30,Report_Données!$T:$T)/($C30+$D30)*100,2)&amp;" %")</f>
        <v xml:space="preserve"> soit </v>
      </c>
      <c r="G30" s="51" t="str">
        <f>IF(AND($C30=0,$D30=0),"",SUMIF(Report_Données!$A:$A,Suivi_SE!$A30,Report_Données!$U:$U))&amp;" soit "&amp;IF(AND($C30=0,$D30=0),"",FIXED(SUMIF(Report_Données!$A:$A,Suivi_SE!$A30,Report_Données!$U:$U)/($C30+$D30)*100,2)&amp;" %")</f>
        <v xml:space="preserve"> soit </v>
      </c>
      <c r="H30" s="51" t="str">
        <f>IF(AND($C30=0,$D30=0),"",SUMIF(Report_Données!$A:$A,Suivi_SE!$A30,Report_Données!$V:$V))&amp;" soit "&amp;IF(AND($C30=0,$D30=0),"",FIXED(SUMIF(Report_Données!$A:$A,Suivi_SE!$A30,Report_Données!$V:$V)/($C30+$D30)*100,2)&amp;" %")</f>
        <v xml:space="preserve"> soit </v>
      </c>
      <c r="I30" s="61" t="str">
        <f>IF(AND($C30=0,$D30=0),"",SUMIF(Report_Données!$A:$A,Suivi_SE!$A30,Report_Données!$W:$W))&amp;" soit "&amp;IF(AND($C30=0,$D30=0),"",FIXED(SUMIF(Report_Données!$A:$A,Suivi_SE!$A30,Report_Données!$W:$W)/($C30+$D30)*100,2)&amp;" %")</f>
        <v xml:space="preserve"> soit </v>
      </c>
    </row>
    <row r="31" spans="1:9" ht="24.95" customHeight="1" x14ac:dyDescent="0.25">
      <c r="A31" s="25">
        <v>43449</v>
      </c>
      <c r="B31" s="21">
        <f>COUNTIF(Report[Date],Suivi_SE!$A31)</f>
        <v>0</v>
      </c>
      <c r="C31" s="21">
        <f>COUNTIFS(Report_Données!$A:$A,Suivi_SE!$A31,Report_Données!$S:$S,Suivi_SE!$C$1)</f>
        <v>0</v>
      </c>
      <c r="D31" s="21">
        <f>COUNTIFS(Report_Données!$A:$A,Suivi_SE!$A31,Report_Données!$S:$S,Suivi_SE!$D$1)</f>
        <v>0</v>
      </c>
      <c r="E31" s="56" t="str">
        <f t="shared" si="2"/>
        <v/>
      </c>
      <c r="F31" s="60" t="str">
        <f>IF(AND($C31=0,$D31=0),"",SUMIF(Report_Données!$A:$A,Suivi_SE!$A31,Report_Données!$T:$T))&amp;" soit "&amp;IF(AND($C31=0,$D31=0),"",FIXED(SUMIF(Report_Données!$A:$A,Suivi_SE!$A31,Report_Données!$T:$T)/($C31+$D31)*100,2)&amp;" %")</f>
        <v xml:space="preserve"> soit </v>
      </c>
      <c r="G31" s="51" t="str">
        <f>IF(AND($C31=0,$D31=0),"",SUMIF(Report_Données!$A:$A,Suivi_SE!$A31,Report_Données!$U:$U))&amp;" soit "&amp;IF(AND($C31=0,$D31=0),"",FIXED(SUMIF(Report_Données!$A:$A,Suivi_SE!$A31,Report_Données!$U:$U)/($C31+$D31)*100,2)&amp;" %")</f>
        <v xml:space="preserve"> soit </v>
      </c>
      <c r="H31" s="51" t="str">
        <f>IF(AND($C31=0,$D31=0),"",SUMIF(Report_Données!$A:$A,Suivi_SE!$A31,Report_Données!$V:$V))&amp;" soit "&amp;IF(AND($C31=0,$D31=0),"",FIXED(SUMIF(Report_Données!$A:$A,Suivi_SE!$A31,Report_Données!$V:$V)/($C31+$D31)*100,2)&amp;" %")</f>
        <v xml:space="preserve"> soit </v>
      </c>
      <c r="I31" s="61" t="str">
        <f>IF(AND($C31=0,$D31=0),"",SUMIF(Report_Données!$A:$A,Suivi_SE!$A31,Report_Données!$W:$W))&amp;" soit "&amp;IF(AND($C31=0,$D31=0),"",FIXED(SUMIF(Report_Données!$A:$A,Suivi_SE!$A31,Report_Données!$W:$W)/($C31+$D31)*100,2)&amp;" %")</f>
        <v xml:space="preserve"> soit </v>
      </c>
    </row>
    <row r="32" spans="1:9" ht="24.95" customHeight="1" x14ac:dyDescent="0.25">
      <c r="A32" s="25">
        <v>43450</v>
      </c>
      <c r="B32" s="21">
        <f>COUNTIF(Report[Date],Suivi_SE!$A32)</f>
        <v>0</v>
      </c>
      <c r="C32" s="21">
        <f>COUNTIFS(Report_Données!$A:$A,Suivi_SE!$A32,Report_Données!$S:$S,Suivi_SE!$C$1)</f>
        <v>0</v>
      </c>
      <c r="D32" s="21">
        <f>COUNTIFS(Report_Données!$A:$A,Suivi_SE!$A32,Report_Données!$S:$S,Suivi_SE!$D$1)</f>
        <v>0</v>
      </c>
      <c r="E32" s="56" t="str">
        <f t="shared" si="2"/>
        <v/>
      </c>
      <c r="F32" s="60" t="str">
        <f>IF(AND($C32=0,$D32=0),"",SUMIF(Report_Données!$A:$A,Suivi_SE!$A32,Report_Données!$T:$T))&amp;" soit "&amp;IF(AND($C32=0,$D32=0),"",FIXED(SUMIF(Report_Données!$A:$A,Suivi_SE!$A32,Report_Données!$T:$T)/($C32+$D32)*100,2)&amp;" %")</f>
        <v xml:space="preserve"> soit </v>
      </c>
      <c r="G32" s="51" t="str">
        <f>IF(AND($C32=0,$D32=0),"",SUMIF(Report_Données!$A:$A,Suivi_SE!$A32,Report_Données!$U:$U))&amp;" soit "&amp;IF(AND($C32=0,$D32=0),"",FIXED(SUMIF(Report_Données!$A:$A,Suivi_SE!$A32,Report_Données!$U:$U)/($C32+$D32)*100,2)&amp;" %")</f>
        <v xml:space="preserve"> soit </v>
      </c>
      <c r="H32" s="51" t="str">
        <f>IF(AND($C32=0,$D32=0),"",SUMIF(Report_Données!$A:$A,Suivi_SE!$A32,Report_Données!$V:$V))&amp;" soit "&amp;IF(AND($C32=0,$D32=0),"",FIXED(SUMIF(Report_Données!$A:$A,Suivi_SE!$A32,Report_Données!$V:$V)/($C32+$D32)*100,2)&amp;" %")</f>
        <v xml:space="preserve"> soit </v>
      </c>
      <c r="I32" s="61" t="str">
        <f>IF(AND($C32=0,$D32=0),"",SUMIF(Report_Données!$A:$A,Suivi_SE!$A32,Report_Données!$W:$W))&amp;" soit "&amp;IF(AND($C32=0,$D32=0),"",FIXED(SUMIF(Report_Données!$A:$A,Suivi_SE!$A32,Report_Données!$W:$W)/($C32+$D32)*100,2)&amp;" %")</f>
        <v xml:space="preserve"> soit </v>
      </c>
    </row>
    <row r="33" spans="1:9" ht="24.95" customHeight="1" x14ac:dyDescent="0.25">
      <c r="A33" s="25">
        <v>43451</v>
      </c>
      <c r="B33" s="21">
        <f>COUNTIF(Report[Date],Suivi_SE!$A33)</f>
        <v>0</v>
      </c>
      <c r="C33" s="21">
        <f>COUNTIFS(Report_Données!$A:$A,Suivi_SE!$A33,Report_Données!$S:$S,Suivi_SE!$C$1)</f>
        <v>0</v>
      </c>
      <c r="D33" s="21">
        <f>COUNTIFS(Report_Données!$A:$A,Suivi_SE!$A33,Report_Données!$S:$S,Suivi_SE!$D$1)</f>
        <v>0</v>
      </c>
      <c r="E33" s="56" t="str">
        <f t="shared" si="2"/>
        <v/>
      </c>
      <c r="F33" s="60" t="str">
        <f>IF(AND($C33=0,$D33=0),"",SUMIF(Report_Données!$A:$A,Suivi_SE!$A33,Report_Données!$T:$T))&amp;" soit "&amp;IF(AND($C33=0,$D33=0),"",FIXED(SUMIF(Report_Données!$A:$A,Suivi_SE!$A33,Report_Données!$T:$T)/($C33+$D33)*100,2)&amp;" %")</f>
        <v xml:space="preserve"> soit </v>
      </c>
      <c r="G33" s="51" t="str">
        <f>IF(AND($C33=0,$D33=0),"",SUMIF(Report_Données!$A:$A,Suivi_SE!$A33,Report_Données!$U:$U))&amp;" soit "&amp;IF(AND($C33=0,$D33=0),"",FIXED(SUMIF(Report_Données!$A:$A,Suivi_SE!$A33,Report_Données!$U:$U)/($C33+$D33)*100,2)&amp;" %")</f>
        <v xml:space="preserve"> soit </v>
      </c>
      <c r="H33" s="51" t="str">
        <f>IF(AND($C33=0,$D33=0),"",SUMIF(Report_Données!$A:$A,Suivi_SE!$A33,Report_Données!$V:$V))&amp;" soit "&amp;IF(AND($C33=0,$D33=0),"",FIXED(SUMIF(Report_Données!$A:$A,Suivi_SE!$A33,Report_Données!$V:$V)/($C33+$D33)*100,2)&amp;" %")</f>
        <v xml:space="preserve"> soit </v>
      </c>
      <c r="I33" s="61" t="str">
        <f>IF(AND($C33=0,$D33=0),"",SUMIF(Report_Données!$A:$A,Suivi_SE!$A33,Report_Données!$W:$W))&amp;" soit "&amp;IF(AND($C33=0,$D33=0),"",FIXED(SUMIF(Report_Données!$A:$A,Suivi_SE!$A33,Report_Données!$W:$W)/($C33+$D33)*100,2)&amp;" %")</f>
        <v xml:space="preserve"> soit </v>
      </c>
    </row>
    <row r="34" spans="1:9" ht="24.95" customHeight="1" x14ac:dyDescent="0.25">
      <c r="A34" s="25">
        <v>43452</v>
      </c>
      <c r="B34" s="21">
        <f>COUNTIF(Report[Date],Suivi_SE!$A34)</f>
        <v>0</v>
      </c>
      <c r="C34" s="21">
        <f>COUNTIFS(Report_Données!$A:$A,Suivi_SE!$A34,Report_Données!$S:$S,Suivi_SE!$C$1)</f>
        <v>0</v>
      </c>
      <c r="D34" s="21">
        <f>COUNTIFS(Report_Données!$A:$A,Suivi_SE!$A34,Report_Données!$S:$S,Suivi_SE!$D$1)</f>
        <v>0</v>
      </c>
      <c r="E34" s="56" t="str">
        <f t="shared" si="2"/>
        <v/>
      </c>
      <c r="F34" s="60" t="str">
        <f>IF(AND($C34=0,$D34=0),"",SUMIF(Report_Données!$A:$A,Suivi_SE!$A34,Report_Données!$T:$T))&amp;" soit "&amp;IF(AND($C34=0,$D34=0),"",FIXED(SUMIF(Report_Données!$A:$A,Suivi_SE!$A34,Report_Données!$T:$T)/($C34+$D34)*100,2)&amp;" %")</f>
        <v xml:space="preserve"> soit </v>
      </c>
      <c r="G34" s="51" t="str">
        <f>IF(AND($C34=0,$D34=0),"",SUMIF(Report_Données!$A:$A,Suivi_SE!$A34,Report_Données!$U:$U))&amp;" soit "&amp;IF(AND($C34=0,$D34=0),"",FIXED(SUMIF(Report_Données!$A:$A,Suivi_SE!$A34,Report_Données!$U:$U)/($C34+$D34)*100,2)&amp;" %")</f>
        <v xml:space="preserve"> soit </v>
      </c>
      <c r="H34" s="51" t="str">
        <f>IF(AND($C34=0,$D34=0),"",SUMIF(Report_Données!$A:$A,Suivi_SE!$A34,Report_Données!$V:$V))&amp;" soit "&amp;IF(AND($C34=0,$D34=0),"",FIXED(SUMIF(Report_Données!$A:$A,Suivi_SE!$A34,Report_Données!$V:$V)/($C34+$D34)*100,2)&amp;" %")</f>
        <v xml:space="preserve"> soit </v>
      </c>
      <c r="I34" s="61" t="str">
        <f>IF(AND($C34=0,$D34=0),"",SUMIF(Report_Données!$A:$A,Suivi_SE!$A34,Report_Données!$W:$W))&amp;" soit "&amp;IF(AND($C34=0,$D34=0),"",FIXED(SUMIF(Report_Données!$A:$A,Suivi_SE!$A34,Report_Données!$W:$W)/($C34+$D34)*100,2)&amp;" %")</f>
        <v xml:space="preserve"> soit </v>
      </c>
    </row>
    <row r="35" spans="1:9" ht="24.95" customHeight="1" x14ac:dyDescent="0.25">
      <c r="A35" s="25">
        <v>43453</v>
      </c>
      <c r="B35" s="21">
        <f>COUNTIF(Report[Date],Suivi_SE!$A35)</f>
        <v>0</v>
      </c>
      <c r="C35" s="21">
        <f>COUNTIFS(Report_Données!$A:$A,Suivi_SE!$A35,Report_Données!$S:$S,Suivi_SE!$C$1)</f>
        <v>0</v>
      </c>
      <c r="D35" s="21">
        <f>COUNTIFS(Report_Données!$A:$A,Suivi_SE!$A35,Report_Données!$S:$S,Suivi_SE!$D$1)</f>
        <v>0</v>
      </c>
      <c r="E35" s="56" t="str">
        <f t="shared" si="2"/>
        <v/>
      </c>
      <c r="F35" s="60" t="str">
        <f>IF(AND($C35=0,$D35=0),"",SUMIF(Report_Données!$A:$A,Suivi_SE!$A35,Report_Données!$T:$T))&amp;" soit "&amp;IF(AND($C35=0,$D35=0),"",FIXED(SUMIF(Report_Données!$A:$A,Suivi_SE!$A35,Report_Données!$T:$T)/($C35+$D35)*100,2)&amp;" %")</f>
        <v xml:space="preserve"> soit </v>
      </c>
      <c r="G35" s="51" t="str">
        <f>IF(AND($C35=0,$D35=0),"",SUMIF(Report_Données!$A:$A,Suivi_SE!$A35,Report_Données!$U:$U))&amp;" soit "&amp;IF(AND($C35=0,$D35=0),"",FIXED(SUMIF(Report_Données!$A:$A,Suivi_SE!$A35,Report_Données!$U:$U)/($C35+$D35)*100,2)&amp;" %")</f>
        <v xml:space="preserve"> soit </v>
      </c>
      <c r="H35" s="51" t="str">
        <f>IF(AND($C35=0,$D35=0),"",SUMIF(Report_Données!$A:$A,Suivi_SE!$A35,Report_Données!$V:$V))&amp;" soit "&amp;IF(AND($C35=0,$D35=0),"",FIXED(SUMIF(Report_Données!$A:$A,Suivi_SE!$A35,Report_Données!$V:$V)/($C35+$D35)*100,2)&amp;" %")</f>
        <v xml:space="preserve"> soit </v>
      </c>
      <c r="I35" s="61" t="str">
        <f>IF(AND($C35=0,$D35=0),"",SUMIF(Report_Données!$A:$A,Suivi_SE!$A35,Report_Données!$W:$W))&amp;" soit "&amp;IF(AND($C35=0,$D35=0),"",FIXED(SUMIF(Report_Données!$A:$A,Suivi_SE!$A35,Report_Données!$W:$W)/($C35+$D35)*100,2)&amp;" %")</f>
        <v xml:space="preserve"> soit </v>
      </c>
    </row>
    <row r="36" spans="1:9" ht="24.95" customHeight="1" x14ac:dyDescent="0.25">
      <c r="A36" s="25">
        <v>43454</v>
      </c>
      <c r="B36" s="21">
        <f>COUNTIF(Report[Date],Suivi_SE!$A36)</f>
        <v>0</v>
      </c>
      <c r="C36" s="21">
        <f>COUNTIFS(Report_Données!$A:$A,Suivi_SE!$A36,Report_Données!$S:$S,Suivi_SE!$C$1)</f>
        <v>0</v>
      </c>
      <c r="D36" s="21">
        <f>COUNTIFS(Report_Données!$A:$A,Suivi_SE!$A36,Report_Données!$S:$S,Suivi_SE!$D$1)</f>
        <v>0</v>
      </c>
      <c r="E36" s="56" t="str">
        <f t="shared" si="2"/>
        <v/>
      </c>
      <c r="F36" s="60" t="str">
        <f>IF(AND($C36=0,$D36=0),"",SUMIF(Report_Données!$A:$A,Suivi_SE!$A36,Report_Données!$T:$T))&amp;" soit "&amp;IF(AND($C36=0,$D36=0),"",FIXED(SUMIF(Report_Données!$A:$A,Suivi_SE!$A36,Report_Données!$T:$T)/($C36+$D36)*100,2)&amp;" %")</f>
        <v xml:space="preserve"> soit </v>
      </c>
      <c r="G36" s="51" t="str">
        <f>IF(AND($C36=0,$D36=0),"",SUMIF(Report_Données!$A:$A,Suivi_SE!$A36,Report_Données!$U:$U))&amp;" soit "&amp;IF(AND($C36=0,$D36=0),"",FIXED(SUMIF(Report_Données!$A:$A,Suivi_SE!$A36,Report_Données!$U:$U)/($C36+$D36)*100,2)&amp;" %")</f>
        <v xml:space="preserve"> soit </v>
      </c>
      <c r="H36" s="51" t="str">
        <f>IF(AND($C36=0,$D36=0),"",SUMIF(Report_Données!$A:$A,Suivi_SE!$A36,Report_Données!$V:$V))&amp;" soit "&amp;IF(AND($C36=0,$D36=0),"",FIXED(SUMIF(Report_Données!$A:$A,Suivi_SE!$A36,Report_Données!$V:$V)/($C36+$D36)*100,2)&amp;" %")</f>
        <v xml:space="preserve"> soit </v>
      </c>
      <c r="I36" s="61" t="str">
        <f>IF(AND($C36=0,$D36=0),"",SUMIF(Report_Données!$A:$A,Suivi_SE!$A36,Report_Données!$W:$W))&amp;" soit "&amp;IF(AND($C36=0,$D36=0),"",FIXED(SUMIF(Report_Données!$A:$A,Suivi_SE!$A36,Report_Données!$W:$W)/($C36+$D36)*100,2)&amp;" %")</f>
        <v xml:space="preserve"> soit </v>
      </c>
    </row>
    <row r="37" spans="1:9" ht="24.95" customHeight="1" x14ac:dyDescent="0.25">
      <c r="A37" s="25">
        <v>43455</v>
      </c>
      <c r="B37" s="21">
        <f>COUNTIF(Report[Date],Suivi_SE!$A37)</f>
        <v>0</v>
      </c>
      <c r="C37" s="21">
        <f>COUNTIFS(Report_Données!$A:$A,Suivi_SE!$A37,Report_Données!$S:$S,Suivi_SE!$C$1)</f>
        <v>0</v>
      </c>
      <c r="D37" s="21">
        <f>COUNTIFS(Report_Données!$A:$A,Suivi_SE!$A37,Report_Données!$S:$S,Suivi_SE!$D$1)</f>
        <v>0</v>
      </c>
      <c r="E37" s="56" t="str">
        <f t="shared" si="2"/>
        <v/>
      </c>
      <c r="F37" s="60" t="str">
        <f>IF(AND($C37=0,$D37=0),"",SUMIF(Report_Données!$A:$A,Suivi_SE!$A37,Report_Données!$T:$T))&amp;" soit "&amp;IF(AND($C37=0,$D37=0),"",FIXED(SUMIF(Report_Données!$A:$A,Suivi_SE!$A37,Report_Données!$T:$T)/($C37+$D37)*100,2)&amp;" %")</f>
        <v xml:space="preserve"> soit </v>
      </c>
      <c r="G37" s="51" t="str">
        <f>IF(AND($C37=0,$D37=0),"",SUMIF(Report_Données!$A:$A,Suivi_SE!$A37,Report_Données!$U:$U))&amp;" soit "&amp;IF(AND($C37=0,$D37=0),"",FIXED(SUMIF(Report_Données!$A:$A,Suivi_SE!$A37,Report_Données!$U:$U)/($C37+$D37)*100,2)&amp;" %")</f>
        <v xml:space="preserve"> soit </v>
      </c>
      <c r="H37" s="51" t="str">
        <f>IF(AND($C37=0,$D37=0),"",SUMIF(Report_Données!$A:$A,Suivi_SE!$A37,Report_Données!$V:$V))&amp;" soit "&amp;IF(AND($C37=0,$D37=0),"",FIXED(SUMIF(Report_Données!$A:$A,Suivi_SE!$A37,Report_Données!$V:$V)/($C37+$D37)*100,2)&amp;" %")</f>
        <v xml:space="preserve"> soit </v>
      </c>
      <c r="I37" s="61" t="str">
        <f>IF(AND($C37=0,$D37=0),"",SUMIF(Report_Données!$A:$A,Suivi_SE!$A37,Report_Données!$W:$W))&amp;" soit "&amp;IF(AND($C37=0,$D37=0),"",FIXED(SUMIF(Report_Données!$A:$A,Suivi_SE!$A37,Report_Données!$W:$W)/($C37+$D37)*100,2)&amp;" %")</f>
        <v xml:space="preserve"> soit </v>
      </c>
    </row>
    <row r="38" spans="1:9" ht="24.95" customHeight="1" x14ac:dyDescent="0.25">
      <c r="A38" s="25">
        <v>43456</v>
      </c>
      <c r="B38" s="21">
        <f>COUNTIF(Report[Date],Suivi_SE!$A38)</f>
        <v>0</v>
      </c>
      <c r="C38" s="21">
        <f>COUNTIFS(Report_Données!$A:$A,Suivi_SE!$A38,Report_Données!$S:$S,Suivi_SE!$C$1)</f>
        <v>0</v>
      </c>
      <c r="D38" s="21">
        <f>COUNTIFS(Report_Données!$A:$A,Suivi_SE!$A38,Report_Données!$S:$S,Suivi_SE!$D$1)</f>
        <v>0</v>
      </c>
      <c r="E38" s="56" t="str">
        <f t="shared" si="2"/>
        <v/>
      </c>
      <c r="F38" s="60" t="str">
        <f>IF(AND($C38=0,$D38=0),"",SUMIF(Report_Données!$A:$A,Suivi_SE!$A38,Report_Données!$T:$T))&amp;" soit "&amp;IF(AND($C38=0,$D38=0),"",FIXED(SUMIF(Report_Données!$A:$A,Suivi_SE!$A38,Report_Données!$T:$T)/($C38+$D38)*100,2)&amp;" %")</f>
        <v xml:space="preserve"> soit </v>
      </c>
      <c r="G38" s="51" t="str">
        <f>IF(AND($C38=0,$D38=0),"",SUMIF(Report_Données!$A:$A,Suivi_SE!$A38,Report_Données!$U:$U))&amp;" soit "&amp;IF(AND($C38=0,$D38=0),"",FIXED(SUMIF(Report_Données!$A:$A,Suivi_SE!$A38,Report_Données!$U:$U)/($C38+$D38)*100,2)&amp;" %")</f>
        <v xml:space="preserve"> soit </v>
      </c>
      <c r="H38" s="51" t="str">
        <f>IF(AND($C38=0,$D38=0),"",SUMIF(Report_Données!$A:$A,Suivi_SE!$A38,Report_Données!$V:$V))&amp;" soit "&amp;IF(AND($C38=0,$D38=0),"",FIXED(SUMIF(Report_Données!$A:$A,Suivi_SE!$A38,Report_Données!$V:$V)/($C38+$D38)*100,2)&amp;" %")</f>
        <v xml:space="preserve"> soit </v>
      </c>
      <c r="I38" s="61" t="str">
        <f>IF(AND($C38=0,$D38=0),"",SUMIF(Report_Données!$A:$A,Suivi_SE!$A38,Report_Données!$W:$W))&amp;" soit "&amp;IF(AND($C38=0,$D38=0),"",FIXED(SUMIF(Report_Données!$A:$A,Suivi_SE!$A38,Report_Données!$W:$W)/($C38+$D38)*100,2)&amp;" %")</f>
        <v xml:space="preserve"> soit </v>
      </c>
    </row>
    <row r="39" spans="1:9" ht="24.95" customHeight="1" x14ac:dyDescent="0.25">
      <c r="A39" s="25">
        <v>43457</v>
      </c>
      <c r="B39" s="21">
        <f>COUNTIF(Report[Date],Suivi_SE!$A39)</f>
        <v>0</v>
      </c>
      <c r="C39" s="21">
        <f>COUNTIFS(Report_Données!$A:$A,Suivi_SE!$A39,Report_Données!$S:$S,Suivi_SE!$C$1)</f>
        <v>0</v>
      </c>
      <c r="D39" s="21">
        <f>COUNTIFS(Report_Données!$A:$A,Suivi_SE!$A39,Report_Données!$S:$S,Suivi_SE!$D$1)</f>
        <v>0</v>
      </c>
      <c r="E39" s="56" t="str">
        <f t="shared" si="2"/>
        <v/>
      </c>
      <c r="F39" s="60" t="str">
        <f>IF(AND($C39=0,$D39=0),"",SUMIF(Report_Données!$A:$A,Suivi_SE!$A39,Report_Données!$T:$T))&amp;" soit "&amp;IF(AND($C39=0,$D39=0),"",FIXED(SUMIF(Report_Données!$A:$A,Suivi_SE!$A39,Report_Données!$T:$T)/($C39+$D39)*100,2)&amp;" %")</f>
        <v xml:space="preserve"> soit </v>
      </c>
      <c r="G39" s="51" t="str">
        <f>IF(AND($C39=0,$D39=0),"",SUMIF(Report_Données!$A:$A,Suivi_SE!$A39,Report_Données!$U:$U))&amp;" soit "&amp;IF(AND($C39=0,$D39=0),"",FIXED(SUMIF(Report_Données!$A:$A,Suivi_SE!$A39,Report_Données!$U:$U)/($C39+$D39)*100,2)&amp;" %")</f>
        <v xml:space="preserve"> soit </v>
      </c>
      <c r="H39" s="51" t="str">
        <f>IF(AND($C39=0,$D39=0),"",SUMIF(Report_Données!$A:$A,Suivi_SE!$A39,Report_Données!$V:$V))&amp;" soit "&amp;IF(AND($C39=0,$D39=0),"",FIXED(SUMIF(Report_Données!$A:$A,Suivi_SE!$A39,Report_Données!$V:$V)/($C39+$D39)*100,2)&amp;" %")</f>
        <v xml:space="preserve"> soit </v>
      </c>
      <c r="I39" s="61" t="str">
        <f>IF(AND($C39=0,$D39=0),"",SUMIF(Report_Données!$A:$A,Suivi_SE!$A39,Report_Données!$W:$W))&amp;" soit "&amp;IF(AND($C39=0,$D39=0),"",FIXED(SUMIF(Report_Données!$A:$A,Suivi_SE!$A39,Report_Données!$W:$W)/($C39+$D39)*100,2)&amp;" %")</f>
        <v xml:space="preserve"> soit </v>
      </c>
    </row>
    <row r="40" spans="1:9" ht="24.95" customHeight="1" x14ac:dyDescent="0.25">
      <c r="A40" s="25">
        <v>43458</v>
      </c>
      <c r="B40" s="21">
        <f>COUNTIF(Report[Date],Suivi_SE!$A40)</f>
        <v>0</v>
      </c>
      <c r="C40" s="21">
        <f>COUNTIFS(Report_Données!$A:$A,Suivi_SE!$A40,Report_Données!$S:$S,Suivi_SE!$C$1)</f>
        <v>0</v>
      </c>
      <c r="D40" s="21">
        <f>COUNTIFS(Report_Données!$A:$A,Suivi_SE!$A40,Report_Données!$S:$S,Suivi_SE!$D$1)</f>
        <v>0</v>
      </c>
      <c r="E40" s="56" t="str">
        <f t="shared" si="2"/>
        <v/>
      </c>
      <c r="F40" s="60" t="str">
        <f>IF(AND($C40=0,$D40=0),"",SUMIF(Report_Données!$A:$A,Suivi_SE!$A40,Report_Données!$T:$T))&amp;" soit "&amp;IF(AND($C40=0,$D40=0),"",FIXED(SUMIF(Report_Données!$A:$A,Suivi_SE!$A40,Report_Données!$T:$T)/($C40+$D40)*100,2)&amp;" %")</f>
        <v xml:space="preserve"> soit </v>
      </c>
      <c r="G40" s="51" t="str">
        <f>IF(AND($C40=0,$D40=0),"",SUMIF(Report_Données!$A:$A,Suivi_SE!$A40,Report_Données!$U:$U))&amp;" soit "&amp;IF(AND($C40=0,$D40=0),"",FIXED(SUMIF(Report_Données!$A:$A,Suivi_SE!$A40,Report_Données!$U:$U)/($C40+$D40)*100,2)&amp;" %")</f>
        <v xml:space="preserve"> soit </v>
      </c>
      <c r="H40" s="51" t="str">
        <f>IF(AND($C40=0,$D40=0),"",SUMIF(Report_Données!$A:$A,Suivi_SE!$A40,Report_Données!$V:$V))&amp;" soit "&amp;IF(AND($C40=0,$D40=0),"",FIXED(SUMIF(Report_Données!$A:$A,Suivi_SE!$A40,Report_Données!$V:$V)/($C40+$D40)*100,2)&amp;" %")</f>
        <v xml:space="preserve"> soit </v>
      </c>
      <c r="I40" s="61" t="str">
        <f>IF(AND($C40=0,$D40=0),"",SUMIF(Report_Données!$A:$A,Suivi_SE!$A40,Report_Données!$W:$W))&amp;" soit "&amp;IF(AND($C40=0,$D40=0),"",FIXED(SUMIF(Report_Données!$A:$A,Suivi_SE!$A40,Report_Données!$W:$W)/($C40+$D40)*100,2)&amp;" %")</f>
        <v xml:space="preserve"> soit </v>
      </c>
    </row>
    <row r="41" spans="1:9" ht="24.95" customHeight="1" x14ac:dyDescent="0.25">
      <c r="A41" s="25">
        <v>43459</v>
      </c>
      <c r="B41" s="21">
        <f>COUNTIF(Report[Date],Suivi_SE!$A41)</f>
        <v>0</v>
      </c>
      <c r="C41" s="21">
        <f>COUNTIFS(Report_Données!$A:$A,Suivi_SE!$A41,Report_Données!$S:$S,Suivi_SE!$C$1)</f>
        <v>0</v>
      </c>
      <c r="D41" s="21">
        <f>COUNTIFS(Report_Données!$A:$A,Suivi_SE!$A41,Report_Données!$S:$S,Suivi_SE!$D$1)</f>
        <v>0</v>
      </c>
      <c r="E41" s="56" t="str">
        <f t="shared" si="2"/>
        <v/>
      </c>
      <c r="F41" s="60" t="str">
        <f>IF(AND($C41=0,$D41=0),"",SUMIF(Report_Données!$A:$A,Suivi_SE!$A41,Report_Données!$T:$T))&amp;" soit "&amp;IF(AND($C41=0,$D41=0),"",FIXED(SUMIF(Report_Données!$A:$A,Suivi_SE!$A41,Report_Données!$T:$T)/($C41+$D41)*100,2)&amp;" %")</f>
        <v xml:space="preserve"> soit </v>
      </c>
      <c r="G41" s="51" t="str">
        <f>IF(AND($C41=0,$D41=0),"",SUMIF(Report_Données!$A:$A,Suivi_SE!$A41,Report_Données!$U:$U))&amp;" soit "&amp;IF(AND($C41=0,$D41=0),"",FIXED(SUMIF(Report_Données!$A:$A,Suivi_SE!$A41,Report_Données!$U:$U)/($C41+$D41)*100,2)&amp;" %")</f>
        <v xml:space="preserve"> soit </v>
      </c>
      <c r="H41" s="51" t="str">
        <f>IF(AND($C41=0,$D41=0),"",SUMIF(Report_Données!$A:$A,Suivi_SE!$A41,Report_Données!$V:$V))&amp;" soit "&amp;IF(AND($C41=0,$D41=0),"",FIXED(SUMIF(Report_Données!$A:$A,Suivi_SE!$A41,Report_Données!$V:$V)/($C41+$D41)*100,2)&amp;" %")</f>
        <v xml:space="preserve"> soit </v>
      </c>
      <c r="I41" s="61" t="str">
        <f>IF(AND($C41=0,$D41=0),"",SUMIF(Report_Données!$A:$A,Suivi_SE!$A41,Report_Données!$W:$W))&amp;" soit "&amp;IF(AND($C41=0,$D41=0),"",FIXED(SUMIF(Report_Données!$A:$A,Suivi_SE!$A41,Report_Données!$W:$W)/($C41+$D41)*100,2)&amp;" %")</f>
        <v xml:space="preserve"> soit </v>
      </c>
    </row>
    <row r="42" spans="1:9" ht="24.95" customHeight="1" x14ac:dyDescent="0.25">
      <c r="A42" s="25">
        <v>43460</v>
      </c>
      <c r="B42" s="21">
        <f>COUNTIF(Report[Date],Suivi_SE!$A42)</f>
        <v>0</v>
      </c>
      <c r="C42" s="21">
        <f>COUNTIFS(Report_Données!$A:$A,Suivi_SE!$A42,Report_Données!$S:$S,Suivi_SE!$C$1)</f>
        <v>0</v>
      </c>
      <c r="D42" s="21">
        <f>COUNTIFS(Report_Données!$A:$A,Suivi_SE!$A42,Report_Données!$S:$S,Suivi_SE!$D$1)</f>
        <v>0</v>
      </c>
      <c r="E42" s="56" t="str">
        <f t="shared" si="2"/>
        <v/>
      </c>
      <c r="F42" s="60" t="str">
        <f>IF(AND($C42=0,$D42=0),"",SUMIF(Report_Données!$A:$A,Suivi_SE!$A42,Report_Données!$T:$T))&amp;" soit "&amp;IF(AND($C42=0,$D42=0),"",FIXED(SUMIF(Report_Données!$A:$A,Suivi_SE!$A42,Report_Données!$T:$T)/($C42+$D42)*100,2)&amp;" %")</f>
        <v xml:space="preserve"> soit </v>
      </c>
      <c r="G42" s="51" t="str">
        <f>IF(AND($C42=0,$D42=0),"",SUMIF(Report_Données!$A:$A,Suivi_SE!$A42,Report_Données!$U:$U))&amp;" soit "&amp;IF(AND($C42=0,$D42=0),"",FIXED(SUMIF(Report_Données!$A:$A,Suivi_SE!$A42,Report_Données!$U:$U)/($C42+$D42)*100,2)&amp;" %")</f>
        <v xml:space="preserve"> soit </v>
      </c>
      <c r="H42" s="51" t="str">
        <f>IF(AND($C42=0,$D42=0),"",SUMIF(Report_Données!$A:$A,Suivi_SE!$A42,Report_Données!$V:$V))&amp;" soit "&amp;IF(AND($C42=0,$D42=0),"",FIXED(SUMIF(Report_Données!$A:$A,Suivi_SE!$A42,Report_Données!$V:$V)/($C42+$D42)*100,2)&amp;" %")</f>
        <v xml:space="preserve"> soit </v>
      </c>
      <c r="I42" s="61" t="str">
        <f>IF(AND($C42=0,$D42=0),"",SUMIF(Report_Données!$A:$A,Suivi_SE!$A42,Report_Données!$W:$W))&amp;" soit "&amp;IF(AND($C42=0,$D42=0),"",FIXED(SUMIF(Report_Données!$A:$A,Suivi_SE!$A42,Report_Données!$W:$W)/($C42+$D42)*100,2)&amp;" %")</f>
        <v xml:space="preserve"> soit </v>
      </c>
    </row>
    <row r="43" spans="1:9" ht="24.95" customHeight="1" x14ac:dyDescent="0.25">
      <c r="A43" s="25">
        <v>43461</v>
      </c>
      <c r="B43" s="21">
        <f>COUNTIF(Report[Date],Suivi_SE!$A43)</f>
        <v>0</v>
      </c>
      <c r="C43" s="21">
        <f>COUNTIFS(Report_Données!$A:$A,Suivi_SE!$A43,Report_Données!$S:$S,Suivi_SE!$C$1)</f>
        <v>0</v>
      </c>
      <c r="D43" s="21">
        <f>COUNTIFS(Report_Données!$A:$A,Suivi_SE!$A43,Report_Données!$S:$S,Suivi_SE!$D$1)</f>
        <v>0</v>
      </c>
      <c r="E43" s="56" t="str">
        <f t="shared" si="2"/>
        <v/>
      </c>
      <c r="F43" s="60" t="str">
        <f>IF(AND($C43=0,$D43=0),"",SUMIF(Report_Données!$A:$A,Suivi_SE!$A43,Report_Données!$T:$T))&amp;" soit "&amp;IF(AND($C43=0,$D43=0),"",FIXED(SUMIF(Report_Données!$A:$A,Suivi_SE!$A43,Report_Données!$T:$T)/($C43+$D43)*100,2)&amp;" %")</f>
        <v xml:space="preserve"> soit </v>
      </c>
      <c r="G43" s="51" t="str">
        <f>IF(AND($C43=0,$D43=0),"",SUMIF(Report_Données!$A:$A,Suivi_SE!$A43,Report_Données!$U:$U))&amp;" soit "&amp;IF(AND($C43=0,$D43=0),"",FIXED(SUMIF(Report_Données!$A:$A,Suivi_SE!$A43,Report_Données!$U:$U)/($C43+$D43)*100,2)&amp;" %")</f>
        <v xml:space="preserve"> soit </v>
      </c>
      <c r="H43" s="51" t="str">
        <f>IF(AND($C43=0,$D43=0),"",SUMIF(Report_Données!$A:$A,Suivi_SE!$A43,Report_Données!$V:$V))&amp;" soit "&amp;IF(AND($C43=0,$D43=0),"",FIXED(SUMIF(Report_Données!$A:$A,Suivi_SE!$A43,Report_Données!$V:$V)/($C43+$D43)*100,2)&amp;" %")</f>
        <v xml:space="preserve"> soit </v>
      </c>
      <c r="I43" s="61" t="str">
        <f>IF(AND($C43=0,$D43=0),"",SUMIF(Report_Données!$A:$A,Suivi_SE!$A43,Report_Données!$W:$W))&amp;" soit "&amp;IF(AND($C43=0,$D43=0),"",FIXED(SUMIF(Report_Données!$A:$A,Suivi_SE!$A43,Report_Données!$W:$W)/($C43+$D43)*100,2)&amp;" %")</f>
        <v xml:space="preserve"> soit </v>
      </c>
    </row>
    <row r="44" spans="1:9" ht="24.95" customHeight="1" x14ac:dyDescent="0.25">
      <c r="A44" s="25">
        <v>43462</v>
      </c>
      <c r="B44" s="21">
        <f>COUNTIF(Report[Date],Suivi_SE!$A44)</f>
        <v>0</v>
      </c>
      <c r="C44" s="21">
        <f>COUNTIFS(Report_Données!$A:$A,Suivi_SE!$A44,Report_Données!$S:$S,Suivi_SE!$C$1)</f>
        <v>0</v>
      </c>
      <c r="D44" s="21">
        <f>COUNTIFS(Report_Données!$A:$A,Suivi_SE!$A44,Report_Données!$S:$S,Suivi_SE!$D$1)</f>
        <v>0</v>
      </c>
      <c r="E44" s="56" t="str">
        <f t="shared" si="2"/>
        <v/>
      </c>
      <c r="F44" s="60" t="str">
        <f>IF(AND($C44=0,$D44=0),"",SUMIF(Report_Données!$A:$A,Suivi_SE!$A44,Report_Données!$T:$T))&amp;" soit "&amp;IF(AND($C44=0,$D44=0),"",FIXED(SUMIF(Report_Données!$A:$A,Suivi_SE!$A44,Report_Données!$T:$T)/($C44+$D44)*100,2)&amp;" %")</f>
        <v xml:space="preserve"> soit </v>
      </c>
      <c r="G44" s="51" t="str">
        <f>IF(AND($C44=0,$D44=0),"",SUMIF(Report_Données!$A:$A,Suivi_SE!$A44,Report_Données!$U:$U))&amp;" soit "&amp;IF(AND($C44=0,$D44=0),"",FIXED(SUMIF(Report_Données!$A:$A,Suivi_SE!$A44,Report_Données!$U:$U)/($C44+$D44)*100,2)&amp;" %")</f>
        <v xml:space="preserve"> soit </v>
      </c>
      <c r="H44" s="51" t="str">
        <f>IF(AND($C44=0,$D44=0),"",SUMIF(Report_Données!$A:$A,Suivi_SE!$A44,Report_Données!$V:$V))&amp;" soit "&amp;IF(AND($C44=0,$D44=0),"",FIXED(SUMIF(Report_Données!$A:$A,Suivi_SE!$A44,Report_Données!$V:$V)/($C44+$D44)*100,2)&amp;" %")</f>
        <v xml:space="preserve"> soit </v>
      </c>
      <c r="I44" s="61" t="str">
        <f>IF(AND($C44=0,$D44=0),"",SUMIF(Report_Données!$A:$A,Suivi_SE!$A44,Report_Données!$W:$W))&amp;" soit "&amp;IF(AND($C44=0,$D44=0),"",FIXED(SUMIF(Report_Données!$A:$A,Suivi_SE!$A44,Report_Données!$W:$W)/($C44+$D44)*100,2)&amp;" %")</f>
        <v xml:space="preserve"> soit </v>
      </c>
    </row>
    <row r="45" spans="1:9" ht="24.95" customHeight="1" x14ac:dyDescent="0.25">
      <c r="A45" s="25">
        <v>43463</v>
      </c>
      <c r="B45" s="21">
        <f>COUNTIF(Report[Date],Suivi_SE!$A45)</f>
        <v>0</v>
      </c>
      <c r="C45" s="21">
        <f>COUNTIFS(Report_Données!$A:$A,Suivi_SE!$A45,Report_Données!$S:$S,Suivi_SE!$C$1)</f>
        <v>0</v>
      </c>
      <c r="D45" s="21">
        <f>COUNTIFS(Report_Données!$A:$A,Suivi_SE!$A45,Report_Données!$S:$S,Suivi_SE!$D$1)</f>
        <v>0</v>
      </c>
      <c r="E45" s="56" t="str">
        <f t="shared" si="2"/>
        <v/>
      </c>
      <c r="F45" s="60" t="str">
        <f>IF(AND($C45=0,$D45=0),"",SUMIF(Report_Données!$A:$A,Suivi_SE!$A45,Report_Données!$T:$T))&amp;" soit "&amp;IF(AND($C45=0,$D45=0),"",FIXED(SUMIF(Report_Données!$A:$A,Suivi_SE!$A45,Report_Données!$T:$T)/($C45+$D45)*100,2)&amp;" %")</f>
        <v xml:space="preserve"> soit </v>
      </c>
      <c r="G45" s="51" t="str">
        <f>IF(AND($C45=0,$D45=0),"",SUMIF(Report_Données!$A:$A,Suivi_SE!$A45,Report_Données!$U:$U))&amp;" soit "&amp;IF(AND($C45=0,$D45=0),"",FIXED(SUMIF(Report_Données!$A:$A,Suivi_SE!$A45,Report_Données!$U:$U)/($C45+$D45)*100,2)&amp;" %")</f>
        <v xml:space="preserve"> soit </v>
      </c>
      <c r="H45" s="51" t="str">
        <f>IF(AND($C45=0,$D45=0),"",SUMIF(Report_Données!$A:$A,Suivi_SE!$A45,Report_Données!$V:$V))&amp;" soit "&amp;IF(AND($C45=0,$D45=0),"",FIXED(SUMIF(Report_Données!$A:$A,Suivi_SE!$A45,Report_Données!$V:$V)/($C45+$D45)*100,2)&amp;" %")</f>
        <v xml:space="preserve"> soit </v>
      </c>
      <c r="I45" s="61" t="str">
        <f>IF(AND($C45=0,$D45=0),"",SUMIF(Report_Données!$A:$A,Suivi_SE!$A45,Report_Données!$W:$W))&amp;" soit "&amp;IF(AND($C45=0,$D45=0),"",FIXED(SUMIF(Report_Données!$A:$A,Suivi_SE!$A45,Report_Données!$W:$W)/($C45+$D45)*100,2)&amp;" %")</f>
        <v xml:space="preserve"> soit </v>
      </c>
    </row>
    <row r="46" spans="1:9" ht="24.95" customHeight="1" x14ac:dyDescent="0.25">
      <c r="A46" s="25">
        <v>43464</v>
      </c>
      <c r="B46" s="21">
        <f>COUNTIF(Report[Date],Suivi_SE!$A46)</f>
        <v>0</v>
      </c>
      <c r="C46" s="21">
        <f>COUNTIFS(Report_Données!$A:$A,Suivi_SE!$A46,Report_Données!$S:$S,Suivi_SE!$C$1)</f>
        <v>0</v>
      </c>
      <c r="D46" s="21">
        <f>COUNTIFS(Report_Données!$A:$A,Suivi_SE!$A46,Report_Données!$S:$S,Suivi_SE!$D$1)</f>
        <v>0</v>
      </c>
      <c r="E46" s="56" t="str">
        <f t="shared" si="2"/>
        <v/>
      </c>
      <c r="F46" s="60" t="str">
        <f>IF(AND($C46=0,$D46=0),"",SUMIF(Report_Données!$A:$A,Suivi_SE!$A46,Report_Données!$T:$T))&amp;" soit "&amp;IF(AND($C46=0,$D46=0),"",FIXED(SUMIF(Report_Données!$A:$A,Suivi_SE!$A46,Report_Données!$T:$T)/($C46+$D46)*100,2)&amp;" %")</f>
        <v xml:space="preserve"> soit </v>
      </c>
      <c r="G46" s="51" t="str">
        <f>IF(AND($C46=0,$D46=0),"",SUMIF(Report_Données!$A:$A,Suivi_SE!$A46,Report_Données!$U:$U))&amp;" soit "&amp;IF(AND($C46=0,$D46=0),"",FIXED(SUMIF(Report_Données!$A:$A,Suivi_SE!$A46,Report_Données!$U:$U)/($C46+$D46)*100,2)&amp;" %")</f>
        <v xml:space="preserve"> soit </v>
      </c>
      <c r="H46" s="51" t="str">
        <f>IF(AND($C46=0,$D46=0),"",SUMIF(Report_Données!$A:$A,Suivi_SE!$A46,Report_Données!$V:$V))&amp;" soit "&amp;IF(AND($C46=0,$D46=0),"",FIXED(SUMIF(Report_Données!$A:$A,Suivi_SE!$A46,Report_Données!$V:$V)/($C46+$D46)*100,2)&amp;" %")</f>
        <v xml:space="preserve"> soit </v>
      </c>
      <c r="I46" s="61" t="str">
        <f>IF(AND($C46=0,$D46=0),"",SUMIF(Report_Données!$A:$A,Suivi_SE!$A46,Report_Données!$W:$W))&amp;" soit "&amp;IF(AND($C46=0,$D46=0),"",FIXED(SUMIF(Report_Données!$A:$A,Suivi_SE!$A46,Report_Données!$W:$W)/($C46+$D46)*100,2)&amp;" %")</f>
        <v xml:space="preserve"> soit </v>
      </c>
    </row>
    <row r="47" spans="1:9" ht="24.95" customHeight="1" x14ac:dyDescent="0.25">
      <c r="A47" s="25">
        <v>43465</v>
      </c>
      <c r="B47" s="21">
        <f>COUNTIF(Report[Date],Suivi_SE!$A47)</f>
        <v>0</v>
      </c>
      <c r="C47" s="21">
        <f>COUNTIFS(Report_Données!$A:$A,Suivi_SE!$A47,Report_Données!$S:$S,Suivi_SE!$C$1)</f>
        <v>0</v>
      </c>
      <c r="D47" s="21">
        <f>COUNTIFS(Report_Données!$A:$A,Suivi_SE!$A47,Report_Données!$S:$S,Suivi_SE!$D$1)</f>
        <v>0</v>
      </c>
      <c r="E47" s="56" t="str">
        <f t="shared" si="2"/>
        <v/>
      </c>
      <c r="F47" s="60" t="str">
        <f>IF(AND($C47=0,$D47=0),"",SUMIF(Report_Données!$A:$A,Suivi_SE!$A47,Report_Données!$T:$T))&amp;" soit "&amp;IF(AND($C47=0,$D47=0),"",FIXED(SUMIF(Report_Données!$A:$A,Suivi_SE!$A47,Report_Données!$T:$T)/($C47+$D47)*100,2)&amp;" %")</f>
        <v xml:space="preserve"> soit </v>
      </c>
      <c r="G47" s="51" t="str">
        <f>IF(AND($C47=0,$D47=0),"",SUMIF(Report_Données!$A:$A,Suivi_SE!$A47,Report_Données!$U:$U))&amp;" soit "&amp;IF(AND($C47=0,$D47=0),"",FIXED(SUMIF(Report_Données!$A:$A,Suivi_SE!$A47,Report_Données!$U:$U)/($C47+$D47)*100,2)&amp;" %")</f>
        <v xml:space="preserve"> soit </v>
      </c>
      <c r="H47" s="51" t="str">
        <f>IF(AND($C47=0,$D47=0),"",SUMIF(Report_Données!$A:$A,Suivi_SE!$A47,Report_Données!$V:$V))&amp;" soit "&amp;IF(AND($C47=0,$D47=0),"",FIXED(SUMIF(Report_Données!$A:$A,Suivi_SE!$A47,Report_Données!$V:$V)/($C47+$D47)*100,2)&amp;" %")</f>
        <v xml:space="preserve"> soit </v>
      </c>
      <c r="I47" s="61" t="str">
        <f>IF(AND($C47=0,$D47=0),"",SUMIF(Report_Données!$A:$A,Suivi_SE!$A47,Report_Données!$W:$W))&amp;" soit "&amp;IF(AND($C47=0,$D47=0),"",FIXED(SUMIF(Report_Données!$A:$A,Suivi_SE!$A47,Report_Données!$W:$W)/($C47+$D47)*100,2)&amp;" %")</f>
        <v xml:space="preserve"> soit </v>
      </c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50"/>
  </sheetPr>
  <dimension ref="A1:AA48"/>
  <sheetViews>
    <sheetView zoomScale="70" zoomScaleNormal="70" workbookViewId="0">
      <selection activeCell="Q6" sqref="Q6"/>
    </sheetView>
  </sheetViews>
  <sheetFormatPr baseColWidth="10" defaultColWidth="15.7109375" defaultRowHeight="24.95" customHeight="1" x14ac:dyDescent="0.25"/>
  <sheetData>
    <row r="1" spans="1:27" ht="24.95" customHeight="1" x14ac:dyDescent="0.25">
      <c r="A1" s="102"/>
      <c r="B1" s="81">
        <v>1</v>
      </c>
      <c r="C1" s="104" t="s">
        <v>31</v>
      </c>
      <c r="D1" s="104"/>
      <c r="E1" s="104"/>
      <c r="F1" s="105"/>
      <c r="G1" s="81">
        <v>1</v>
      </c>
      <c r="H1" s="104" t="s">
        <v>896</v>
      </c>
      <c r="I1" s="104"/>
      <c r="J1" s="104"/>
      <c r="M1" s="79" t="s">
        <v>250</v>
      </c>
      <c r="N1" s="79" t="s">
        <v>26</v>
      </c>
      <c r="O1" s="79" t="s">
        <v>27</v>
      </c>
      <c r="P1" s="79" t="s">
        <v>28</v>
      </c>
      <c r="Q1" s="79" t="s">
        <v>29</v>
      </c>
      <c r="R1" s="79" t="s">
        <v>916</v>
      </c>
    </row>
    <row r="2" spans="1:27" ht="24.95" customHeight="1" thickBot="1" x14ac:dyDescent="0.3">
      <c r="A2" s="103"/>
      <c r="B2" s="72" t="s">
        <v>228</v>
      </c>
      <c r="C2" s="73" t="s">
        <v>229</v>
      </c>
      <c r="D2" s="73" t="s">
        <v>230</v>
      </c>
      <c r="E2" s="73" t="s">
        <v>231</v>
      </c>
      <c r="F2" s="74" t="s">
        <v>902</v>
      </c>
      <c r="G2" s="72" t="s">
        <v>26</v>
      </c>
      <c r="H2" s="73" t="s">
        <v>27</v>
      </c>
      <c r="I2" s="73" t="s">
        <v>28</v>
      </c>
      <c r="J2" s="73" t="s">
        <v>29</v>
      </c>
      <c r="L2" s="25" t="s">
        <v>902</v>
      </c>
      <c r="M2" s="75">
        <f>SUM($F:$F)</f>
        <v>-79.149999999999991</v>
      </c>
      <c r="N2" s="75">
        <f>SUM($G:$G)-$G$1</f>
        <v>-72.650000000000006</v>
      </c>
      <c r="O2" s="75">
        <f>SUM($H:$H)</f>
        <v>-16.150000000000006</v>
      </c>
      <c r="P2" s="75">
        <f>SUM($I:$I)</f>
        <v>-86.45</v>
      </c>
      <c r="Q2" s="75">
        <f>SUM($J:$J)</f>
        <v>-148.1</v>
      </c>
      <c r="R2" s="75">
        <f>SUM(N2:Q2)</f>
        <v>-323.35000000000002</v>
      </c>
    </row>
    <row r="3" spans="1:27" ht="24.95" customHeight="1" x14ac:dyDescent="0.25">
      <c r="A3" s="69">
        <v>43420</v>
      </c>
      <c r="B3" s="62">
        <f>COUNTIF(Report[Date],Suivi_SE!$A2)</f>
        <v>2</v>
      </c>
      <c r="C3" s="62">
        <f>COUNTIFS(Report_Données!$A:$A,Suivi_SE!$A2,Report_Données!$S:$S,Suivi_SE!$C$1)</f>
        <v>0</v>
      </c>
      <c r="D3" s="62">
        <f>COUNTIFS(Report_Données!$A:$A,Suivi_SE!$A2,Report_Données!$S:$S,Suivi_SE!$D$1)</f>
        <v>2</v>
      </c>
      <c r="E3" s="70">
        <f>IF(AND($C3=0,$D3=0),"",$C3/($C3+$D3))</f>
        <v>0</v>
      </c>
      <c r="F3" s="93">
        <f>IF(AND($C3=0,$D3=0),"",SUMIF(Report_Données!$A:$A,Suivi_Gain!$A3,Report_Données!$X:$X))</f>
        <v>-2</v>
      </c>
      <c r="G3" s="71">
        <f>IF(AND($C3=0,$D3=0),"",SUMIF(Report_Données!$A:$A,Suivi_Gain!$A3,Report_Données!$Y:$Y))</f>
        <v>-2</v>
      </c>
      <c r="H3" s="71">
        <f>IF(AND($C3=0,$D3=0),"",SUMIF(Report_Données!$A:$A,Suivi_Gain!$A3,Report_Données!$Z:$Z))</f>
        <v>-2</v>
      </c>
      <c r="I3" s="71">
        <f>IF(AND($C3=0,$D3=0),"",SUMIF(Report_Données!$A:$A,Suivi_Gain!$A3,Report_Données!$AA:$AA))</f>
        <v>-2</v>
      </c>
      <c r="J3" s="71">
        <f>IF(AND($C3=0,$D3=0),"",SUMIF(Report_Données!$A:$A,Suivi_Gain!$A3,Report_Données!$AB:$AB))</f>
        <v>-2</v>
      </c>
      <c r="L3" s="25" t="s">
        <v>903</v>
      </c>
      <c r="M3" s="76">
        <f>M$2/(SUM($B:$B)-$B$1)</f>
        <v>-0.21744505494505492</v>
      </c>
      <c r="N3" s="76">
        <f>N$2/SUM($C:$D)</f>
        <v>-0.20876436781609198</v>
      </c>
      <c r="O3" s="76">
        <f t="shared" ref="O3:P3" si="0">O$2/SUM($C:$D)</f>
        <v>-4.6408045977011508E-2</v>
      </c>
      <c r="P3" s="76">
        <f t="shared" si="0"/>
        <v>-0.24841954022988508</v>
      </c>
      <c r="Q3" s="76">
        <f>Q$2/SUM($C:$D)</f>
        <v>-0.42557471264367813</v>
      </c>
      <c r="R3" s="76">
        <f>R$2/SUM($C:$D)</f>
        <v>-0.9291666666666667</v>
      </c>
    </row>
    <row r="4" spans="1:27" ht="24.95" customHeight="1" x14ac:dyDescent="0.25">
      <c r="A4" s="69">
        <v>43421</v>
      </c>
      <c r="B4" s="21">
        <f>COUNTIF(Report[Date],Suivi_SE!$A3)</f>
        <v>18</v>
      </c>
      <c r="C4" s="21">
        <f>COUNTIFS(Report_Données!$A:$A,Suivi_SE!$A3,Report_Données!$S:$S,Suivi_SE!$C$1)</f>
        <v>7</v>
      </c>
      <c r="D4" s="21">
        <f>COUNTIFS(Report_Données!$A:$A,Suivi_SE!$A3,Report_Données!$S:$S,Suivi_SE!$D$1)</f>
        <v>11</v>
      </c>
      <c r="E4" s="70">
        <f t="shared" ref="E4:E48" si="1">IF(AND($C4=0,$D4=0),"",$C4/($C4+$D4))</f>
        <v>0.3888888888888889</v>
      </c>
      <c r="F4" s="93">
        <f>IF(AND($C4=0,$D4=0),"",SUMIF(Report_Données!$A:$A,Suivi_Gain!$A4,Report_Données!$X:$X))</f>
        <v>-3.0700000000000003</v>
      </c>
      <c r="G4" s="71">
        <f>IF(AND($C4=0,$D4=0),"",SUMIF(Report_Données!$A:$A,Suivi_Gain!$A4,Report_Données!$Y:$Y))</f>
        <v>-0.40000000000000036</v>
      </c>
      <c r="H4" s="71">
        <f>IF(AND($C4=0,$D4=0),"",SUMIF(Report_Données!$A:$A,Suivi_Gain!$A4,Report_Données!$Z:$Z))</f>
        <v>-4.3000000000000007</v>
      </c>
      <c r="I4" s="71">
        <f>IF(AND($C4=0,$D4=0),"",SUMIF(Report_Données!$A:$A,Suivi_Gain!$A4,Report_Données!$AA:$AA))</f>
        <v>-6</v>
      </c>
      <c r="J4" s="71">
        <f>IF(AND($C4=0,$D4=0),"",SUMIF(Report_Données!$A:$A,Suivi_Gain!$A4,Report_Données!$AB:$AB))</f>
        <v>-18</v>
      </c>
    </row>
    <row r="5" spans="1:27" ht="24.95" customHeight="1" x14ac:dyDescent="0.25">
      <c r="A5" s="69">
        <v>43422</v>
      </c>
      <c r="B5" s="21">
        <f>COUNTIF(Report[Date],Suivi_SE!$A4)</f>
        <v>16</v>
      </c>
      <c r="C5" s="21">
        <f>COUNTIFS(Report_Données!$A:$A,Suivi_SE!$A4,Report_Données!$S:$S,Suivi_SE!$C$1)</f>
        <v>7</v>
      </c>
      <c r="D5" s="21">
        <f>COUNTIFS(Report_Données!$A:$A,Suivi_SE!$A4,Report_Données!$S:$S,Suivi_SE!$D$1)</f>
        <v>9</v>
      </c>
      <c r="E5" s="70">
        <f t="shared" si="1"/>
        <v>0.4375</v>
      </c>
      <c r="F5" s="93">
        <f>IF(AND($C5=0,$D5=0),"",SUMIF(Report_Données!$A:$A,Suivi_Gain!$A5,Report_Données!$X:$X))</f>
        <v>-3.0900000000000007</v>
      </c>
      <c r="G5" s="71">
        <f>IF(AND($C5=0,$D5=0),"",SUMIF(Report_Données!$A:$A,Suivi_Gain!$A5,Report_Données!$Y:$Y))</f>
        <v>5.4</v>
      </c>
      <c r="H5" s="71">
        <f>IF(AND($C5=0,$D5=0),"",SUMIF(Report_Données!$A:$A,Suivi_Gain!$A5,Report_Données!$Z:$Z))</f>
        <v>-9.1999999999999993</v>
      </c>
      <c r="I5" s="71">
        <f>IF(AND($C5=0,$D5=0),"",SUMIF(Report_Données!$A:$A,Suivi_Gain!$A5,Report_Données!$AA:$AA))</f>
        <v>-4.3999999999999995</v>
      </c>
      <c r="J5" s="71">
        <f>IF(AND($C5=0,$D5=0),"",SUMIF(Report_Données!$A:$A,Suivi_Gain!$A5,Report_Données!$AB:$AB))</f>
        <v>-16</v>
      </c>
      <c r="L5" s="26" t="s">
        <v>909</v>
      </c>
      <c r="M5" s="26" t="s">
        <v>229</v>
      </c>
      <c r="N5" s="26" t="s">
        <v>911</v>
      </c>
      <c r="O5" s="26" t="s">
        <v>231</v>
      </c>
      <c r="P5" s="99" t="s">
        <v>26</v>
      </c>
      <c r="Q5" s="100"/>
      <c r="R5" s="101"/>
      <c r="S5" s="99" t="s">
        <v>27</v>
      </c>
      <c r="T5" s="100"/>
      <c r="U5" s="101"/>
      <c r="V5" s="99" t="s">
        <v>28</v>
      </c>
      <c r="W5" s="100"/>
      <c r="X5" s="101"/>
      <c r="Y5" s="99" t="s">
        <v>29</v>
      </c>
      <c r="Z5" s="100"/>
      <c r="AA5" s="101"/>
    </row>
    <row r="6" spans="1:27" ht="24.95" customHeight="1" x14ac:dyDescent="0.25">
      <c r="A6" s="69">
        <v>43423</v>
      </c>
      <c r="B6" s="21">
        <f>COUNTIF(Report[Date],Suivi_SE!$A5)</f>
        <v>2</v>
      </c>
      <c r="C6" s="21">
        <f>COUNTIFS(Report_Données!$A:$A,Suivi_SE!$A5,Report_Données!$S:$S,Suivi_SE!$C$1)</f>
        <v>1</v>
      </c>
      <c r="D6" s="21">
        <f>COUNTIFS(Report_Données!$A:$A,Suivi_SE!$A5,Report_Données!$S:$S,Suivi_SE!$D$1)</f>
        <v>1</v>
      </c>
      <c r="E6" s="70">
        <f t="shared" si="1"/>
        <v>0.5</v>
      </c>
      <c r="F6" s="93">
        <f>IF(AND($C6=0,$D6=0),"",SUMIF(Report_Données!$A:$A,Suivi_Gain!$A6,Report_Données!$X:$X))</f>
        <v>0.87999999999999989</v>
      </c>
      <c r="G6" s="71">
        <f>IF(AND($C6=0,$D6=0),"",SUMIF(Report_Données!$A:$A,Suivi_Gain!$A6,Report_Données!$Y:$Y))</f>
        <v>4.2</v>
      </c>
      <c r="H6" s="71">
        <f>IF(AND($C6=0,$D6=0),"",SUMIF(Report_Données!$A:$A,Suivi_Gain!$A6,Report_Données!$Z:$Z))</f>
        <v>-2</v>
      </c>
      <c r="I6" s="71">
        <f>IF(AND($C6=0,$D6=0),"",SUMIF(Report_Données!$A:$A,Suivi_Gain!$A6,Report_Données!$AA:$AA))</f>
        <v>-2</v>
      </c>
      <c r="J6" s="71">
        <f>IF(AND($C6=0,$D6=0),"",SUMIF(Report_Données!$A:$A,Suivi_Gain!$A6,Report_Données!$AB:$AB))</f>
        <v>-2</v>
      </c>
      <c r="L6" s="77" t="s">
        <v>826</v>
      </c>
      <c r="M6" s="78">
        <f>COUNTIF(Report[SE Gain],Suivi_Gain!$L6)</f>
        <v>20</v>
      </c>
      <c r="N6" s="78">
        <f ca="1">$Q6+$T6+$W6+$Z6</f>
        <v>254</v>
      </c>
      <c r="O6" s="76">
        <f t="shared" ref="O6:O33" ca="1" si="2">IF($N6=0,"",$M6/$N6)</f>
        <v>7.874015748031496E-2</v>
      </c>
      <c r="P6" s="78">
        <f>COUNTIF(Report[SE 1 Gain],Suivi_Gain!$L6)</f>
        <v>1</v>
      </c>
      <c r="Q6" s="78">
        <f ca="1">COUNTIFS(Report[Score 1],Suivi_Gain!$L6,Report[Date],"&lt;"&amp;TODAY())</f>
        <v>18</v>
      </c>
      <c r="R6" s="76">
        <f ca="1">IF($Q6=0,"",$P6/$Q6)</f>
        <v>5.5555555555555552E-2</v>
      </c>
      <c r="S6" s="78">
        <f>COUNTIF(Report[SE 2 Gain],Suivi_Gain!$L6)</f>
        <v>12</v>
      </c>
      <c r="T6" s="78">
        <f ca="1">COUNTIFS(Report[Score 2],Suivi_Gain!$L6,Report[Date],"&lt;"&amp;TODAY())</f>
        <v>124</v>
      </c>
      <c r="U6" s="76">
        <f ca="1">IF($T6=0,"",$S6/$T6)</f>
        <v>9.6774193548387094E-2</v>
      </c>
      <c r="V6" s="78">
        <f>COUNTIF(Report[SE 3 Gain],Suivi_Gain!$L6)</f>
        <v>0</v>
      </c>
      <c r="W6" s="78">
        <f ca="1">COUNTIFS(Report[Score 3],Suivi_Gain!$L6,Report[Date],"&lt;"&amp;TODAY())</f>
        <v>0</v>
      </c>
      <c r="X6" s="76" t="str">
        <f ca="1">IF($W6=0,"",$V6/$W6)</f>
        <v/>
      </c>
      <c r="Y6" s="78">
        <f>COUNTIF(Report[SE 4 Gain],Suivi_Gain!$L6)</f>
        <v>7</v>
      </c>
      <c r="Z6" s="78">
        <f ca="1">COUNTIFS(Report[Score 4],Suivi_Gain!$L6,Report[Date],"&lt;"&amp;TODAY())</f>
        <v>112</v>
      </c>
      <c r="AA6" s="76">
        <f ca="1">IF($Z6=0,"",$Y6/$Z6)</f>
        <v>6.25E-2</v>
      </c>
    </row>
    <row r="7" spans="1:27" ht="24.95" customHeight="1" x14ac:dyDescent="0.25">
      <c r="A7" s="69">
        <v>43424</v>
      </c>
      <c r="B7" s="21">
        <f>COUNTIF(Report[Date],Suivi_SE!$A6)</f>
        <v>1</v>
      </c>
      <c r="C7" s="21">
        <f>COUNTIFS(Report_Données!$A:$A,Suivi_SE!$A6,Report_Données!$S:$S,Suivi_SE!$C$1)</f>
        <v>1</v>
      </c>
      <c r="D7" s="21">
        <f>COUNTIFS(Report_Données!$A:$A,Suivi_SE!$A6,Report_Données!$S:$S,Suivi_SE!$D$1)</f>
        <v>0</v>
      </c>
      <c r="E7" s="70">
        <f t="shared" si="1"/>
        <v>1</v>
      </c>
      <c r="F7" s="93">
        <f>IF(AND($C7=0,$D7=0),"",SUMIF(Report_Données!$A:$A,Suivi_Gain!$A7,Report_Données!$X:$X))</f>
        <v>0.41999999999999993</v>
      </c>
      <c r="G7" s="71">
        <f>IF(AND($C7=0,$D7=0),"",SUMIF(Report_Données!$A:$A,Suivi_Gain!$A7,Report_Données!$Y:$Y))</f>
        <v>5.4</v>
      </c>
      <c r="H7" s="71">
        <f>IF(AND($C7=0,$D7=0),"",SUMIF(Report_Données!$A:$A,Suivi_Gain!$A7,Report_Données!$Z:$Z))</f>
        <v>-1</v>
      </c>
      <c r="I7" s="71">
        <f>IF(AND($C7=0,$D7=0),"",SUMIF(Report_Données!$A:$A,Suivi_Gain!$A7,Report_Données!$AA:$AA))</f>
        <v>-1</v>
      </c>
      <c r="J7" s="71">
        <f>IF(AND($C7=0,$D7=0),"",SUMIF(Report_Données!$A:$A,Suivi_Gain!$A7,Report_Données!$AB:$AB))</f>
        <v>-1</v>
      </c>
      <c r="L7" s="77" t="s">
        <v>834</v>
      </c>
      <c r="M7" s="78">
        <f>COUNTIF(Report[SE Gain],Suivi_Gain!$L7)</f>
        <v>17</v>
      </c>
      <c r="N7" s="78">
        <f t="shared" ref="N7:N33" ca="1" si="3">$Q7+$T7+$W7+$Z7</f>
        <v>135</v>
      </c>
      <c r="O7" s="76">
        <f t="shared" ca="1" si="2"/>
        <v>0.12592592592592591</v>
      </c>
      <c r="P7" s="78">
        <f>COUNTIF(Report[SE 1 Gain],Suivi_Gain!$L7)</f>
        <v>10</v>
      </c>
      <c r="Q7" s="78">
        <f ca="1">COUNTIFS(Report[Score 1],Suivi_Gain!$L7,Report[Date],"&lt;"&amp;TODAY())</f>
        <v>76</v>
      </c>
      <c r="R7" s="76">
        <f t="shared" ref="R7:R33" ca="1" si="4">IF($Q7=0,"",$P7/$Q7)</f>
        <v>0.13157894736842105</v>
      </c>
      <c r="S7" s="78">
        <f>COUNTIF(Report[SE 2 Gain],Suivi_Gain!$L7)</f>
        <v>5</v>
      </c>
      <c r="T7" s="78">
        <f ca="1">COUNTIFS(Report[Score 2],Suivi_Gain!$L7,Report[Date],"&lt;"&amp;TODAY())</f>
        <v>35</v>
      </c>
      <c r="U7" s="76">
        <f t="shared" ref="U7:U33" ca="1" si="5">IF($T7=0,"",$S7/$T7)</f>
        <v>0.14285714285714285</v>
      </c>
      <c r="V7" s="78">
        <f>COUNTIF(Report[SE 3 Gain],Suivi_Gain!$L7)</f>
        <v>2</v>
      </c>
      <c r="W7" s="78">
        <f ca="1">COUNTIFS(Report[Score 3],Suivi_Gain!$L7,Report[Date],"&lt;"&amp;TODAY())</f>
        <v>20</v>
      </c>
      <c r="X7" s="76">
        <f t="shared" ref="X7:X33" ca="1" si="6">IF($W7=0,"",$V7/$W7)</f>
        <v>0.1</v>
      </c>
      <c r="Y7" s="78">
        <f>COUNTIF(Report[SE 4 Gain],Suivi_Gain!$L7)</f>
        <v>0</v>
      </c>
      <c r="Z7" s="78">
        <f ca="1">COUNTIFS(Report[Score 4],Suivi_Gain!$L7,Report[Date],"&lt;"&amp;TODAY())</f>
        <v>4</v>
      </c>
      <c r="AA7" s="76">
        <f t="shared" ref="AA7:AA33" ca="1" si="7">IF($Z7=0,"",$Y7/$Z7)</f>
        <v>0</v>
      </c>
    </row>
    <row r="8" spans="1:27" ht="24.95" customHeight="1" x14ac:dyDescent="0.25">
      <c r="A8" s="69">
        <v>43425</v>
      </c>
      <c r="B8" s="21">
        <f>COUNTIF(Report[Date],Suivi_SE!$A7)</f>
        <v>4</v>
      </c>
      <c r="C8" s="21">
        <f>COUNTIFS(Report_Données!$A:$A,Suivi_SE!$A7,Report_Données!$S:$S,Suivi_SE!$C$1)</f>
        <v>2</v>
      </c>
      <c r="D8" s="21">
        <f>COUNTIFS(Report_Données!$A:$A,Suivi_SE!$A7,Report_Données!$S:$S,Suivi_SE!$D$1)</f>
        <v>2</v>
      </c>
      <c r="E8" s="70">
        <f t="shared" si="1"/>
        <v>0.5</v>
      </c>
      <c r="F8" s="93">
        <f>IF(AND($C8=0,$D8=0),"",SUMIF(Report_Données!$A:$A,Suivi_Gain!$A8,Report_Données!$X:$X))</f>
        <v>-4</v>
      </c>
      <c r="G8" s="71">
        <f>IF(AND($C8=0,$D8=0),"",SUMIF(Report_Données!$A:$A,Suivi_Gain!$A8,Report_Données!$Y:$Y))</f>
        <v>-4</v>
      </c>
      <c r="H8" s="71">
        <f>IF(AND($C8=0,$D8=0),"",SUMIF(Report_Données!$A:$A,Suivi_Gain!$A8,Report_Données!$Z:$Z))</f>
        <v>10</v>
      </c>
      <c r="I8" s="71">
        <f>IF(AND($C8=0,$D8=0),"",SUMIF(Report_Données!$A:$A,Suivi_Gain!$A8,Report_Données!$AA:$AA))</f>
        <v>-4</v>
      </c>
      <c r="J8" s="71">
        <f>IF(AND($C8=0,$D8=0),"",SUMIF(Report_Données!$A:$A,Suivi_Gain!$A8,Report_Données!$AB:$AB))</f>
        <v>-4</v>
      </c>
      <c r="L8" s="77" t="s">
        <v>837</v>
      </c>
      <c r="M8" s="78">
        <f>COUNTIF(Report[SE Gain],Suivi_Gain!$L8)</f>
        <v>0</v>
      </c>
      <c r="N8" s="78">
        <f t="shared" ca="1" si="3"/>
        <v>8</v>
      </c>
      <c r="O8" s="76">
        <f t="shared" ca="1" si="2"/>
        <v>0</v>
      </c>
      <c r="P8" s="78">
        <f>COUNTIF(Report[SE 1 Gain],Suivi_Gain!$L8)</f>
        <v>0</v>
      </c>
      <c r="Q8" s="78">
        <f ca="1">COUNTIFS(Report[Score 1],Suivi_Gain!$L8,Report[Date],"&lt;"&amp;TODAY())</f>
        <v>4</v>
      </c>
      <c r="R8" s="76">
        <f t="shared" ca="1" si="4"/>
        <v>0</v>
      </c>
      <c r="S8" s="78">
        <f>COUNTIF(Report[SE 2 Gain],Suivi_Gain!$L8)</f>
        <v>0</v>
      </c>
      <c r="T8" s="78">
        <f ca="1">COUNTIFS(Report[Score 2],Suivi_Gain!$L8,Report[Date],"&lt;"&amp;TODAY())</f>
        <v>2</v>
      </c>
      <c r="U8" s="76">
        <f t="shared" ca="1" si="5"/>
        <v>0</v>
      </c>
      <c r="V8" s="78">
        <f>COUNTIF(Report[SE 3 Gain],Suivi_Gain!$L8)</f>
        <v>0</v>
      </c>
      <c r="W8" s="78">
        <f ca="1">COUNTIFS(Report[Score 3],Suivi_Gain!$L8,Report[Date],"&lt;"&amp;TODAY())</f>
        <v>0</v>
      </c>
      <c r="X8" s="76" t="str">
        <f t="shared" ca="1" si="6"/>
        <v/>
      </c>
      <c r="Y8" s="78">
        <f>COUNTIF(Report[SE 4 Gain],Suivi_Gain!$L8)</f>
        <v>0</v>
      </c>
      <c r="Z8" s="78">
        <f ca="1">COUNTIFS(Report[Score 4],Suivi_Gain!$L8,Report[Date],"&lt;"&amp;TODAY())</f>
        <v>2</v>
      </c>
      <c r="AA8" s="76">
        <f t="shared" ca="1" si="7"/>
        <v>0</v>
      </c>
    </row>
    <row r="9" spans="1:27" ht="24.95" customHeight="1" x14ac:dyDescent="0.25">
      <c r="A9" s="69">
        <v>43426</v>
      </c>
      <c r="B9" s="21">
        <f>COUNTIF(Report[Date],Suivi_SE!$A8)</f>
        <v>6</v>
      </c>
      <c r="C9" s="21">
        <f>COUNTIFS(Report_Données!$A:$A,Suivi_SE!$A8,Report_Données!$S:$S,Suivi_SE!$C$1)</f>
        <v>2</v>
      </c>
      <c r="D9" s="21">
        <f>COUNTIFS(Report_Données!$A:$A,Suivi_SE!$A8,Report_Données!$S:$S,Suivi_SE!$D$1)</f>
        <v>4</v>
      </c>
      <c r="E9" s="70">
        <f t="shared" si="1"/>
        <v>0.33333333333333331</v>
      </c>
      <c r="F9" s="93">
        <f>IF(AND($C9=0,$D9=0),"",SUMIF(Report_Données!$A:$A,Suivi_Gain!$A9,Report_Données!$X:$X))</f>
        <v>-1.77</v>
      </c>
      <c r="G9" s="71">
        <f>IF(AND($C9=0,$D9=0),"",SUMIF(Report_Données!$A:$A,Suivi_Gain!$A9,Report_Données!$Y:$Y))</f>
        <v>-1.9000000000000004</v>
      </c>
      <c r="H9" s="71">
        <f>IF(AND($C9=0,$D9=0),"",SUMIF(Report_Données!$A:$A,Suivi_Gain!$A9,Report_Données!$Z:$Z))</f>
        <v>-6</v>
      </c>
      <c r="I9" s="71">
        <f>IF(AND($C9=0,$D9=0),"",SUMIF(Report_Données!$A:$A,Suivi_Gain!$A9,Report_Données!$AA:$AA))</f>
        <v>-6</v>
      </c>
      <c r="J9" s="71">
        <f>IF(AND($C9=0,$D9=0),"",SUMIF(Report_Données!$A:$A,Suivi_Gain!$A9,Report_Données!$AB:$AB))</f>
        <v>5</v>
      </c>
      <c r="L9" s="77" t="s">
        <v>890</v>
      </c>
      <c r="M9" s="78">
        <f>COUNTIF(Report[SE Gain],Suivi_Gain!$L9)</f>
        <v>0</v>
      </c>
      <c r="N9" s="78">
        <f t="shared" ca="1" si="3"/>
        <v>2</v>
      </c>
      <c r="O9" s="76">
        <f t="shared" ca="1" si="2"/>
        <v>0</v>
      </c>
      <c r="P9" s="78">
        <f>COUNTIF(Report[SE 1 Gain],Suivi_Gain!$L9)</f>
        <v>0</v>
      </c>
      <c r="Q9" s="78">
        <f ca="1">COUNTIFS(Report[Score 1],Suivi_Gain!$L9,Report[Date],"&lt;"&amp;TODAY())</f>
        <v>2</v>
      </c>
      <c r="R9" s="76">
        <f t="shared" ca="1" si="4"/>
        <v>0</v>
      </c>
      <c r="S9" s="78">
        <f>COUNTIF(Report[SE 2 Gain],Suivi_Gain!$L9)</f>
        <v>0</v>
      </c>
      <c r="T9" s="78">
        <f ca="1">COUNTIFS(Report[Score 2],Suivi_Gain!$L9,Report[Date],"&lt;"&amp;TODAY())</f>
        <v>0</v>
      </c>
      <c r="U9" s="76" t="str">
        <f t="shared" ca="1" si="5"/>
        <v/>
      </c>
      <c r="V9" s="78">
        <f>COUNTIF(Report[SE 3 Gain],Suivi_Gain!$L9)</f>
        <v>0</v>
      </c>
      <c r="W9" s="78">
        <f ca="1">COUNTIFS(Report[Score 3],Suivi_Gain!$L9,Report[Date],"&lt;"&amp;TODAY())</f>
        <v>0</v>
      </c>
      <c r="X9" s="76" t="str">
        <f t="shared" ca="1" si="6"/>
        <v/>
      </c>
      <c r="Y9" s="78">
        <f>COUNTIF(Report[SE 4 Gain],Suivi_Gain!$L9)</f>
        <v>0</v>
      </c>
      <c r="Z9" s="78">
        <f ca="1">COUNTIFS(Report[Score 4],Suivi_Gain!$L9,Report[Date],"&lt;"&amp;TODAY())</f>
        <v>0</v>
      </c>
      <c r="AA9" s="76" t="str">
        <f t="shared" ca="1" si="7"/>
        <v/>
      </c>
    </row>
    <row r="10" spans="1:27" ht="24.95" customHeight="1" x14ac:dyDescent="0.25">
      <c r="A10" s="69">
        <v>43427</v>
      </c>
      <c r="B10" s="21">
        <f>COUNTIF(Report[Date],Suivi_SE!$A9)</f>
        <v>34</v>
      </c>
      <c r="C10" s="21">
        <f>COUNTIFS(Report_Données!$A:$A,Suivi_SE!$A9,Report_Données!$S:$S,Suivi_SE!$C$1)</f>
        <v>13</v>
      </c>
      <c r="D10" s="21">
        <f>COUNTIFS(Report_Données!$A:$A,Suivi_SE!$A9,Report_Données!$S:$S,Suivi_SE!$D$1)</f>
        <v>21</v>
      </c>
      <c r="E10" s="70">
        <f t="shared" si="1"/>
        <v>0.38235294117647056</v>
      </c>
      <c r="F10" s="93">
        <f>IF(AND($C10=0,$D10=0),"",SUMIF(Report_Données!$A:$A,Suivi_Gain!$A10,Report_Données!$X:$X))</f>
        <v>-16.380000000000003</v>
      </c>
      <c r="G10" s="71">
        <f>IF(AND($C10=0,$D10=0),"",SUMIF(Report_Données!$A:$A,Suivi_Gain!$A10,Report_Données!$Y:$Y))</f>
        <v>-19.8</v>
      </c>
      <c r="H10" s="71">
        <f>IF(AND($C10=0,$D10=0),"",SUMIF(Report_Données!$A:$A,Suivi_Gain!$A10,Report_Données!$Z:$Z))</f>
        <v>5.2999999999999972</v>
      </c>
      <c r="I10" s="71">
        <f>IF(AND($C10=0,$D10=0),"",SUMIF(Report_Données!$A:$A,Suivi_Gain!$A10,Report_Données!$AA:$AA))</f>
        <v>-10.399999999999999</v>
      </c>
      <c r="J10" s="71">
        <f>IF(AND($C10=0,$D10=0),"",SUMIF(Report_Données!$A:$A,Suivi_Gain!$A10,Report_Données!$AB:$AB))</f>
        <v>-6.8000000000000007</v>
      </c>
      <c r="L10" s="77" t="s">
        <v>830</v>
      </c>
      <c r="M10" s="78">
        <f>COUNTIF(Report[SE Gain],Suivi_Gain!$L10)</f>
        <v>21</v>
      </c>
      <c r="N10" s="78">
        <f t="shared" ca="1" si="3"/>
        <v>173</v>
      </c>
      <c r="O10" s="76">
        <f t="shared" ca="1" si="2"/>
        <v>0.12138728323699421</v>
      </c>
      <c r="P10" s="78">
        <f>COUNTIF(Report[SE 1 Gain],Suivi_Gain!$L10)</f>
        <v>12</v>
      </c>
      <c r="Q10" s="78">
        <f ca="1">COUNTIFS(Report[Score 1],Suivi_Gain!$L10,Report[Date],"&lt;"&amp;TODAY())</f>
        <v>57</v>
      </c>
      <c r="R10" s="76">
        <f t="shared" ca="1" si="4"/>
        <v>0.21052631578947367</v>
      </c>
      <c r="S10" s="78">
        <f>COUNTIF(Report[SE 2 Gain],Suivi_Gain!$L10)</f>
        <v>9</v>
      </c>
      <c r="T10" s="78">
        <f ca="1">COUNTIFS(Report[Score 2],Suivi_Gain!$L10,Report[Date],"&lt;"&amp;TODAY())</f>
        <v>91</v>
      </c>
      <c r="U10" s="76">
        <f t="shared" ca="1" si="5"/>
        <v>9.8901098901098897E-2</v>
      </c>
      <c r="V10" s="78">
        <f>COUNTIF(Report[SE 3 Gain],Suivi_Gain!$L10)</f>
        <v>0</v>
      </c>
      <c r="W10" s="78">
        <f ca="1">COUNTIFS(Report[Score 3],Suivi_Gain!$L10,Report[Date],"&lt;"&amp;TODAY())</f>
        <v>0</v>
      </c>
      <c r="X10" s="76" t="str">
        <f t="shared" ca="1" si="6"/>
        <v/>
      </c>
      <c r="Y10" s="78">
        <f>COUNTIF(Report[SE 4 Gain],Suivi_Gain!$L10)</f>
        <v>0</v>
      </c>
      <c r="Z10" s="78">
        <f ca="1">COUNTIFS(Report[Score 4],Suivi_Gain!$L10,Report[Date],"&lt;"&amp;TODAY())</f>
        <v>25</v>
      </c>
      <c r="AA10" s="76">
        <f t="shared" ca="1" si="7"/>
        <v>0</v>
      </c>
    </row>
    <row r="11" spans="1:27" ht="24.95" customHeight="1" x14ac:dyDescent="0.25">
      <c r="A11" s="69">
        <v>43428</v>
      </c>
      <c r="B11" s="21">
        <f>COUNTIF(Report[Date],Suivi_SE!$A10)</f>
        <v>151</v>
      </c>
      <c r="C11" s="21">
        <f>COUNTIFS(Report_Données!$A:$A,Suivi_SE!$A10,Report_Données!$S:$S,Suivi_SE!$C$1)</f>
        <v>54</v>
      </c>
      <c r="D11" s="21">
        <f>COUNTIFS(Report_Données!$A:$A,Suivi_SE!$A10,Report_Données!$S:$S,Suivi_SE!$D$1)</f>
        <v>97</v>
      </c>
      <c r="E11" s="70">
        <f t="shared" si="1"/>
        <v>0.35761589403973509</v>
      </c>
      <c r="F11" s="93">
        <f>IF(AND($C11=0,$D11=0),"",SUMIF(Report_Données!$A:$A,Suivi_Gain!$A11,Report_Données!$X:$X))</f>
        <v>-41.589999999999996</v>
      </c>
      <c r="G11" s="71">
        <f>IF(AND($C11=0,$D11=0),"",SUMIF(Report_Données!$A:$A,Suivi_Gain!$A11,Report_Données!$Y:$Y))</f>
        <v>-18.600000000000001</v>
      </c>
      <c r="H11" s="71">
        <f>IF(AND($C11=0,$D11=0),"",SUMIF(Report_Données!$A:$A,Suivi_Gain!$A11,Report_Données!$Z:$Z))</f>
        <v>5.7999999999999972</v>
      </c>
      <c r="I11" s="71">
        <f>IF(AND($C11=0,$D11=0),"",SUMIF(Report_Données!$A:$A,Suivi_Gain!$A11,Report_Données!$AA:$AA))</f>
        <v>-27.8</v>
      </c>
      <c r="J11" s="71">
        <f>IF(AND($C11=0,$D11=0),"",SUMIF(Report_Données!$A:$A,Suivi_Gain!$A11,Report_Données!$AB:$AB))</f>
        <v>-62.9</v>
      </c>
      <c r="L11" s="77" t="s">
        <v>831</v>
      </c>
      <c r="M11" s="78">
        <f>COUNTIF(Report[SE Gain],Suivi_Gain!$L11)</f>
        <v>15</v>
      </c>
      <c r="N11" s="78">
        <f t="shared" ca="1" si="3"/>
        <v>104</v>
      </c>
      <c r="O11" s="76">
        <f t="shared" ca="1" si="2"/>
        <v>0.14423076923076922</v>
      </c>
      <c r="P11" s="78">
        <f>COUNTIF(Report[SE 1 Gain],Suivi_Gain!$L11)</f>
        <v>1</v>
      </c>
      <c r="Q11" s="78">
        <f ca="1">COUNTIFS(Report[Score 1],Suivi_Gain!$L11,Report[Date],"&lt;"&amp;TODAY())</f>
        <v>15</v>
      </c>
      <c r="R11" s="76">
        <f t="shared" ca="1" si="4"/>
        <v>6.6666666666666666E-2</v>
      </c>
      <c r="S11" s="78">
        <f>COUNTIF(Report[SE 2 Gain],Suivi_Gain!$L11)</f>
        <v>5</v>
      </c>
      <c r="T11" s="78">
        <f ca="1">COUNTIFS(Report[Score 2],Suivi_Gain!$L11,Report[Date],"&lt;"&amp;TODAY())</f>
        <v>25</v>
      </c>
      <c r="U11" s="76">
        <f t="shared" ca="1" si="5"/>
        <v>0.2</v>
      </c>
      <c r="V11" s="78">
        <f>COUNTIF(Report[SE 3 Gain],Suivi_Gain!$L11)</f>
        <v>9</v>
      </c>
      <c r="W11" s="78">
        <f ca="1">COUNTIFS(Report[Score 3],Suivi_Gain!$L11,Report[Date],"&lt;"&amp;TODAY())</f>
        <v>57</v>
      </c>
      <c r="X11" s="76">
        <f t="shared" ca="1" si="6"/>
        <v>0.15789473684210525</v>
      </c>
      <c r="Y11" s="78">
        <f>COUNTIF(Report[SE 4 Gain],Suivi_Gain!$L11)</f>
        <v>0</v>
      </c>
      <c r="Z11" s="78">
        <f ca="1">COUNTIFS(Report[Score 4],Suivi_Gain!$L11,Report[Date],"&lt;"&amp;TODAY())</f>
        <v>7</v>
      </c>
      <c r="AA11" s="76">
        <f t="shared" ca="1" si="7"/>
        <v>0</v>
      </c>
    </row>
    <row r="12" spans="1:27" ht="24.95" customHeight="1" x14ac:dyDescent="0.25">
      <c r="A12" s="69">
        <v>43429</v>
      </c>
      <c r="B12" s="21">
        <f>COUNTIF(Report[Date],Suivi_SE!$A11)</f>
        <v>100</v>
      </c>
      <c r="C12" s="21">
        <f>COUNTIFS(Report_Données!$A:$A,Suivi_SE!$A11,Report_Données!$S:$S,Suivi_SE!$C$1)</f>
        <v>31</v>
      </c>
      <c r="D12" s="21">
        <f>COUNTIFS(Report_Données!$A:$A,Suivi_SE!$A11,Report_Données!$S:$S,Suivi_SE!$D$1)</f>
        <v>69</v>
      </c>
      <c r="E12" s="70">
        <f t="shared" si="1"/>
        <v>0.31</v>
      </c>
      <c r="F12" s="93">
        <f>IF(AND($C12=0,$D12=0),"",SUMIF(Report_Données!$A:$A,Suivi_Gain!$A12,Report_Données!$X:$X))</f>
        <v>-4.0599999999999969</v>
      </c>
      <c r="G12" s="71">
        <f>IF(AND($C12=0,$D12=0),"",SUMIF(Report_Données!$A:$A,Suivi_Gain!$A12,Report_Données!$Y:$Y))</f>
        <v>-31.25</v>
      </c>
      <c r="H12" s="71">
        <f>IF(AND($C12=0,$D12=0),"",SUMIF(Report_Données!$A:$A,Suivi_Gain!$A12,Report_Données!$Z:$Z))</f>
        <v>-14.75</v>
      </c>
      <c r="I12" s="71">
        <f>IF(AND($C12=0,$D12=0),"",SUMIF(Report_Données!$A:$A,Suivi_Gain!$A12,Report_Données!$AA:$AA))</f>
        <v>-28.65</v>
      </c>
      <c r="J12" s="71">
        <f>IF(AND($C12=0,$D12=0),"",SUMIF(Report_Données!$A:$A,Suivi_Gain!$A12,Report_Données!$AB:$AB))</f>
        <v>-36</v>
      </c>
      <c r="L12" s="77" t="s">
        <v>832</v>
      </c>
      <c r="M12" s="78">
        <f>COUNTIF(Report[SE Gain],Suivi_Gain!$L12)</f>
        <v>7</v>
      </c>
      <c r="N12" s="78">
        <f t="shared" ca="1" si="3"/>
        <v>85</v>
      </c>
      <c r="O12" s="76">
        <f t="shared" ca="1" si="2"/>
        <v>8.2352941176470587E-2</v>
      </c>
      <c r="P12" s="78">
        <f>COUNTIF(Report[SE 1 Gain],Suivi_Gain!$L12)</f>
        <v>2</v>
      </c>
      <c r="Q12" s="78">
        <f ca="1">COUNTIFS(Report[Score 1],Suivi_Gain!$L12,Report[Date],"&lt;"&amp;TODAY())</f>
        <v>5</v>
      </c>
      <c r="R12" s="76">
        <f t="shared" ca="1" si="4"/>
        <v>0.4</v>
      </c>
      <c r="S12" s="78">
        <f>COUNTIF(Report[SE 2 Gain],Suivi_Gain!$L12)</f>
        <v>0</v>
      </c>
      <c r="T12" s="78">
        <f ca="1">COUNTIFS(Report[Score 2],Suivi_Gain!$L12,Report[Date],"&lt;"&amp;TODAY())</f>
        <v>7</v>
      </c>
      <c r="U12" s="76">
        <f t="shared" ca="1" si="5"/>
        <v>0</v>
      </c>
      <c r="V12" s="78">
        <f>COUNTIF(Report[SE 3 Gain],Suivi_Gain!$L12)</f>
        <v>0</v>
      </c>
      <c r="W12" s="78">
        <f ca="1">COUNTIFS(Report[Score 3],Suivi_Gain!$L12,Report[Date],"&lt;"&amp;TODAY())</f>
        <v>15</v>
      </c>
      <c r="X12" s="76">
        <f t="shared" ca="1" si="6"/>
        <v>0</v>
      </c>
      <c r="Y12" s="78">
        <f>COUNTIF(Report[SE 4 Gain],Suivi_Gain!$L12)</f>
        <v>5</v>
      </c>
      <c r="Z12" s="78">
        <f ca="1">COUNTIFS(Report[Score 4],Suivi_Gain!$L12,Report[Date],"&lt;"&amp;TODAY())</f>
        <v>58</v>
      </c>
      <c r="AA12" s="76">
        <f t="shared" ca="1" si="7"/>
        <v>8.6206896551724144E-2</v>
      </c>
    </row>
    <row r="13" spans="1:27" ht="24.95" customHeight="1" x14ac:dyDescent="0.25">
      <c r="A13" s="69">
        <v>43430</v>
      </c>
      <c r="B13" s="21">
        <f>COUNTIF(Report[Date],Suivi_SE!$A12)</f>
        <v>14</v>
      </c>
      <c r="C13" s="21">
        <f>COUNTIFS(Report_Données!$A:$A,Suivi_SE!$A12,Report_Données!$S:$S,Suivi_SE!$C$1)</f>
        <v>6</v>
      </c>
      <c r="D13" s="21">
        <f>COUNTIFS(Report_Données!$A:$A,Suivi_SE!$A12,Report_Données!$S:$S,Suivi_SE!$D$1)</f>
        <v>8</v>
      </c>
      <c r="E13" s="70">
        <f t="shared" si="1"/>
        <v>0.42857142857142855</v>
      </c>
      <c r="F13" s="93">
        <f>IF(AND($C13=0,$D13=0),"",SUMIF(Report_Données!$A:$A,Suivi_Gain!$A13,Report_Données!$X:$X))</f>
        <v>-4.49</v>
      </c>
      <c r="G13" s="71">
        <f>IF(AND($C13=0,$D13=0),"",SUMIF(Report_Données!$A:$A,Suivi_Gain!$A13,Report_Données!$Y:$Y))</f>
        <v>-9.6999999999999993</v>
      </c>
      <c r="H13" s="71">
        <f>IF(AND($C13=0,$D13=0),"",SUMIF(Report_Données!$A:$A,Suivi_Gain!$A13,Report_Données!$Z:$Z))</f>
        <v>2.0000000000000009</v>
      </c>
      <c r="I13" s="71">
        <f>IF(AND($C13=0,$D13=0),"",SUMIF(Report_Données!$A:$A,Suivi_Gain!$A13,Report_Données!$AA:$AA))</f>
        <v>5.8000000000000007</v>
      </c>
      <c r="J13" s="71">
        <f>IF(AND($C13=0,$D13=0),"",SUMIF(Report_Données!$A:$A,Suivi_Gain!$A13,Report_Données!$AB:$AB))</f>
        <v>-4.4000000000000004</v>
      </c>
      <c r="L13" s="77" t="s">
        <v>859</v>
      </c>
      <c r="M13" s="78">
        <f>COUNTIF(Report[SE Gain],Suivi_Gain!$L13)</f>
        <v>0</v>
      </c>
      <c r="N13" s="78">
        <f t="shared" ca="1" si="3"/>
        <v>11</v>
      </c>
      <c r="O13" s="76">
        <f t="shared" ca="1" si="2"/>
        <v>0</v>
      </c>
      <c r="P13" s="78">
        <f>COUNTIF(Report[SE 1 Gain],Suivi_Gain!$L13)</f>
        <v>0</v>
      </c>
      <c r="Q13" s="78">
        <f ca="1">COUNTIFS(Report[Score 1],Suivi_Gain!$L13,Report[Date],"&lt;"&amp;TODAY())</f>
        <v>2</v>
      </c>
      <c r="R13" s="76">
        <f t="shared" ca="1" si="4"/>
        <v>0</v>
      </c>
      <c r="S13" s="78">
        <f>COUNTIF(Report[SE 2 Gain],Suivi_Gain!$L13)</f>
        <v>0</v>
      </c>
      <c r="T13" s="78">
        <f ca="1">COUNTIFS(Report[Score 2],Suivi_Gain!$L13,Report[Date],"&lt;"&amp;TODAY())</f>
        <v>1</v>
      </c>
      <c r="U13" s="76">
        <f t="shared" ca="1" si="5"/>
        <v>0</v>
      </c>
      <c r="V13" s="78">
        <f>COUNTIF(Report[SE 3 Gain],Suivi_Gain!$L13)</f>
        <v>0</v>
      </c>
      <c r="W13" s="78">
        <f ca="1">COUNTIFS(Report[Score 3],Suivi_Gain!$L13,Report[Date],"&lt;"&amp;TODAY())</f>
        <v>5</v>
      </c>
      <c r="X13" s="76">
        <f t="shared" ca="1" si="6"/>
        <v>0</v>
      </c>
      <c r="Y13" s="78">
        <f>COUNTIF(Report[SE 4 Gain],Suivi_Gain!$L13)</f>
        <v>0</v>
      </c>
      <c r="Z13" s="78">
        <f ca="1">COUNTIFS(Report[Score 4],Suivi_Gain!$L13,Report[Date],"&lt;"&amp;TODAY())</f>
        <v>3</v>
      </c>
      <c r="AA13" s="76">
        <f t="shared" ca="1" si="7"/>
        <v>0</v>
      </c>
    </row>
    <row r="14" spans="1:27" ht="24.95" customHeight="1" x14ac:dyDescent="0.25">
      <c r="A14" s="69">
        <v>43431</v>
      </c>
      <c r="B14" s="21">
        <f>COUNTIF(Report[Date],Suivi_SE!$A13)</f>
        <v>6</v>
      </c>
      <c r="C14" s="21">
        <f>COUNTIFS(Report_Données!$A:$A,Suivi_SE!$A13,Report_Données!$S:$S,Suivi_SE!$C$1)</f>
        <v>0</v>
      </c>
      <c r="D14" s="21">
        <f>COUNTIFS(Report_Données!$A:$A,Suivi_SE!$A13,Report_Données!$S:$S,Suivi_SE!$D$1)</f>
        <v>0</v>
      </c>
      <c r="E14" s="70" t="str">
        <f t="shared" si="1"/>
        <v/>
      </c>
      <c r="F14" s="93" t="str">
        <f>IF(AND($C14=0,$D14=0),"",SUMIF(Report_Données!$A:$A,Suivi_Gain!$A14,Report_Données!$X:$X))</f>
        <v/>
      </c>
      <c r="G14" s="71" t="str">
        <f>IF(AND($C14=0,$D14=0),"",SUMIF(Report_Données!$A:$A,Suivi_Gain!$A14,Report_Données!$Y:$Y))</f>
        <v/>
      </c>
      <c r="H14" s="71" t="str">
        <f>IF(AND($C14=0,$D14=0),"",SUMIF(Report_Données!$A:$A,Suivi_Gain!$A14,Report_Données!$Z:$Z))</f>
        <v/>
      </c>
      <c r="I14" s="71" t="str">
        <f>IF(AND($C14=0,$D14=0),"",SUMIF(Report_Données!$A:$A,Suivi_Gain!$A14,Report_Données!$AA:$AA))</f>
        <v/>
      </c>
      <c r="J14" s="71" t="str">
        <f>IF(AND($C14=0,$D14=0),"",SUMIF(Report_Données!$A:$A,Suivi_Gain!$A14,Report_Données!$AB:$AB))</f>
        <v/>
      </c>
      <c r="L14" s="77" t="s">
        <v>857</v>
      </c>
      <c r="M14" s="78">
        <f>COUNTIF(Report[SE Gain],Suivi_Gain!$L14)</f>
        <v>0</v>
      </c>
      <c r="N14" s="78">
        <f t="shared" ca="1" si="3"/>
        <v>6</v>
      </c>
      <c r="O14" s="76">
        <f t="shared" ca="1" si="2"/>
        <v>0</v>
      </c>
      <c r="P14" s="78">
        <f>COUNTIF(Report[SE 1 Gain],Suivi_Gain!$L14)</f>
        <v>0</v>
      </c>
      <c r="Q14" s="78">
        <f ca="1">COUNTIFS(Report[Score 1],Suivi_Gain!$L14,Report[Date],"&lt;"&amp;TODAY())</f>
        <v>1</v>
      </c>
      <c r="R14" s="76">
        <f t="shared" ca="1" si="4"/>
        <v>0</v>
      </c>
      <c r="S14" s="78">
        <f>COUNTIF(Report[SE 2 Gain],Suivi_Gain!$L14)</f>
        <v>0</v>
      </c>
      <c r="T14" s="78">
        <f ca="1">COUNTIFS(Report[Score 2],Suivi_Gain!$L14,Report[Date],"&lt;"&amp;TODAY())</f>
        <v>3</v>
      </c>
      <c r="U14" s="76">
        <f t="shared" ca="1" si="5"/>
        <v>0</v>
      </c>
      <c r="V14" s="78">
        <f>COUNTIF(Report[SE 3 Gain],Suivi_Gain!$L14)</f>
        <v>0</v>
      </c>
      <c r="W14" s="78">
        <f ca="1">COUNTIFS(Report[Score 3],Suivi_Gain!$L14,Report[Date],"&lt;"&amp;TODAY())</f>
        <v>2</v>
      </c>
      <c r="X14" s="76">
        <f t="shared" ca="1" si="6"/>
        <v>0</v>
      </c>
      <c r="Y14" s="78">
        <f>COUNTIF(Report[SE 4 Gain],Suivi_Gain!$L14)</f>
        <v>0</v>
      </c>
      <c r="Z14" s="78">
        <f ca="1">COUNTIFS(Report[Score 4],Suivi_Gain!$L14,Report[Date],"&lt;"&amp;TODAY())</f>
        <v>0</v>
      </c>
      <c r="AA14" s="76" t="str">
        <f t="shared" ca="1" si="7"/>
        <v/>
      </c>
    </row>
    <row r="15" spans="1:27" ht="24.95" customHeight="1" x14ac:dyDescent="0.25">
      <c r="A15" s="69">
        <v>43432</v>
      </c>
      <c r="B15" s="21">
        <f>COUNTIF(Report[Date],Suivi_SE!$A14)</f>
        <v>10</v>
      </c>
      <c r="C15" s="21">
        <f>COUNTIFS(Report_Données!$A:$A,Suivi_SE!$A14,Report_Données!$S:$S,Suivi_SE!$C$1)</f>
        <v>0</v>
      </c>
      <c r="D15" s="21">
        <f>COUNTIFS(Report_Données!$A:$A,Suivi_SE!$A14,Report_Données!$S:$S,Suivi_SE!$D$1)</f>
        <v>0</v>
      </c>
      <c r="E15" s="70" t="str">
        <f t="shared" si="1"/>
        <v/>
      </c>
      <c r="F15" s="93" t="str">
        <f>IF(AND($C15=0,$D15=0),"",SUMIF(Report_Données!$A:$A,Suivi_Gain!$A15,Report_Données!$X:$X))</f>
        <v/>
      </c>
      <c r="G15" s="71" t="str">
        <f>IF(AND($C15=0,$D15=0),"",SUMIF(Report_Données!$A:$A,Suivi_Gain!$A15,Report_Données!$Y:$Y))</f>
        <v/>
      </c>
      <c r="H15" s="71" t="str">
        <f>IF(AND($C15=0,$D15=0),"",SUMIF(Report_Données!$A:$A,Suivi_Gain!$A15,Report_Données!$Z:$Z))</f>
        <v/>
      </c>
      <c r="I15" s="71" t="str">
        <f>IF(AND($C15=0,$D15=0),"",SUMIF(Report_Données!$A:$A,Suivi_Gain!$A15,Report_Données!$AA:$AA))</f>
        <v/>
      </c>
      <c r="J15" s="71" t="str">
        <f>IF(AND($C15=0,$D15=0),"",SUMIF(Report_Données!$A:$A,Suivi_Gain!$A15,Report_Données!$AB:$AB))</f>
        <v/>
      </c>
      <c r="L15" s="77" t="s">
        <v>882</v>
      </c>
      <c r="M15" s="78">
        <f>COUNTIF(Report[SE Gain],Suivi_Gain!$L15)</f>
        <v>0</v>
      </c>
      <c r="N15" s="78">
        <f t="shared" ca="1" si="3"/>
        <v>2</v>
      </c>
      <c r="O15" s="76">
        <f t="shared" ca="1" si="2"/>
        <v>0</v>
      </c>
      <c r="P15" s="78">
        <f>COUNTIF(Report[SE 1 Gain],Suivi_Gain!$L15)</f>
        <v>0</v>
      </c>
      <c r="Q15" s="78">
        <f ca="1">COUNTIFS(Report[Score 1],Suivi_Gain!$L15,Report[Date],"&lt;"&amp;TODAY())</f>
        <v>1</v>
      </c>
      <c r="R15" s="76">
        <f t="shared" ca="1" si="4"/>
        <v>0</v>
      </c>
      <c r="S15" s="78">
        <f>COUNTIF(Report[SE 2 Gain],Suivi_Gain!$L15)</f>
        <v>0</v>
      </c>
      <c r="T15" s="78">
        <f ca="1">COUNTIFS(Report[Score 2],Suivi_Gain!$L15,Report[Date],"&lt;"&amp;TODAY())</f>
        <v>0</v>
      </c>
      <c r="U15" s="76" t="str">
        <f t="shared" ca="1" si="5"/>
        <v/>
      </c>
      <c r="V15" s="78">
        <f>COUNTIF(Report[SE 3 Gain],Suivi_Gain!$L15)</f>
        <v>0</v>
      </c>
      <c r="W15" s="78">
        <f ca="1">COUNTIFS(Report[Score 3],Suivi_Gain!$L15,Report[Date],"&lt;"&amp;TODAY())</f>
        <v>1</v>
      </c>
      <c r="X15" s="76">
        <f t="shared" ca="1" si="6"/>
        <v>0</v>
      </c>
      <c r="Y15" s="78">
        <f>COUNTIF(Report[SE 4 Gain],Suivi_Gain!$L15)</f>
        <v>0</v>
      </c>
      <c r="Z15" s="78">
        <f ca="1">COUNTIFS(Report[Score 4],Suivi_Gain!$L15,Report[Date],"&lt;"&amp;TODAY())</f>
        <v>0</v>
      </c>
      <c r="AA15" s="76" t="str">
        <f t="shared" ca="1" si="7"/>
        <v/>
      </c>
    </row>
    <row r="16" spans="1:27" ht="24.95" customHeight="1" x14ac:dyDescent="0.25">
      <c r="A16" s="69">
        <v>43433</v>
      </c>
      <c r="B16" s="21">
        <f>COUNTIF(Report[Date],Suivi_SE!$A15)</f>
        <v>0</v>
      </c>
      <c r="C16" s="21">
        <f>COUNTIFS(Report_Données!$A:$A,Suivi_SE!$A15,Report_Données!$S:$S,Suivi_SE!$C$1)</f>
        <v>0</v>
      </c>
      <c r="D16" s="21">
        <f>COUNTIFS(Report_Données!$A:$A,Suivi_SE!$A15,Report_Données!$S:$S,Suivi_SE!$D$1)</f>
        <v>0</v>
      </c>
      <c r="E16" s="70" t="str">
        <f t="shared" si="1"/>
        <v/>
      </c>
      <c r="F16" s="93" t="str">
        <f>IF(AND($C16=0,$D16=0),"",SUMIF(Report_Données!$A:$A,Suivi_Gain!$A16,Report_Données!$X:$X))</f>
        <v/>
      </c>
      <c r="G16" s="71" t="str">
        <f>IF(AND($C16=0,$D16=0),"",SUMIF(Report_Données!$A:$A,Suivi_Gain!$A16,Report_Données!$Y:$Y))</f>
        <v/>
      </c>
      <c r="H16" s="71" t="str">
        <f>IF(AND($C16=0,$D16=0),"",SUMIF(Report_Données!$A:$A,Suivi_Gain!$A16,Report_Données!$Z:$Z))</f>
        <v/>
      </c>
      <c r="I16" s="71" t="str">
        <f>IF(AND($C16=0,$D16=0),"",SUMIF(Report_Données!$A:$A,Suivi_Gain!$A16,Report_Données!$AA:$AA))</f>
        <v/>
      </c>
      <c r="J16" s="71" t="str">
        <f>IF(AND($C16=0,$D16=0),"",SUMIF(Report_Données!$A:$A,Suivi_Gain!$A16,Report_Données!$AB:$AB))</f>
        <v/>
      </c>
      <c r="L16" s="77" t="s">
        <v>838</v>
      </c>
      <c r="M16" s="78">
        <f>COUNTIF(Report[SE Gain],Suivi_Gain!$L16)</f>
        <v>4</v>
      </c>
      <c r="N16" s="78">
        <f t="shared" ca="1" si="3"/>
        <v>29</v>
      </c>
      <c r="O16" s="76">
        <f t="shared" ca="1" si="2"/>
        <v>0.13793103448275862</v>
      </c>
      <c r="P16" s="78">
        <f>COUNTIF(Report[SE 1 Gain],Suivi_Gain!$L16)</f>
        <v>2</v>
      </c>
      <c r="Q16" s="78">
        <f ca="1">COUNTIFS(Report[Score 1],Suivi_Gain!$L16,Report[Date],"&lt;"&amp;TODAY())</f>
        <v>20</v>
      </c>
      <c r="R16" s="76">
        <f t="shared" ca="1" si="4"/>
        <v>0.1</v>
      </c>
      <c r="S16" s="78">
        <f>COUNTIF(Report[SE 2 Gain],Suivi_Gain!$L16)</f>
        <v>2</v>
      </c>
      <c r="T16" s="78">
        <f ca="1">COUNTIFS(Report[Score 2],Suivi_Gain!$L16,Report[Date],"&lt;"&amp;TODAY())</f>
        <v>4</v>
      </c>
      <c r="U16" s="76">
        <f t="shared" ca="1" si="5"/>
        <v>0.5</v>
      </c>
      <c r="V16" s="78">
        <f>COUNTIF(Report[SE 3 Gain],Suivi_Gain!$L16)</f>
        <v>0</v>
      </c>
      <c r="W16" s="78">
        <f ca="1">COUNTIFS(Report[Score 3],Suivi_Gain!$L16,Report[Date],"&lt;"&amp;TODAY())</f>
        <v>5</v>
      </c>
      <c r="X16" s="76">
        <f t="shared" ca="1" si="6"/>
        <v>0</v>
      </c>
      <c r="Y16" s="78">
        <f>COUNTIF(Report[SE 4 Gain],Suivi_Gain!$L16)</f>
        <v>0</v>
      </c>
      <c r="Z16" s="78">
        <f ca="1">COUNTIFS(Report[Score 4],Suivi_Gain!$L16,Report[Date],"&lt;"&amp;TODAY())</f>
        <v>0</v>
      </c>
      <c r="AA16" s="76" t="str">
        <f t="shared" ca="1" si="7"/>
        <v/>
      </c>
    </row>
    <row r="17" spans="1:27" ht="24.95" customHeight="1" x14ac:dyDescent="0.25">
      <c r="A17" s="69">
        <v>43434</v>
      </c>
      <c r="B17" s="21">
        <f>COUNTIF(Report[Date],Suivi_SE!$A16)</f>
        <v>0</v>
      </c>
      <c r="C17" s="21">
        <f>COUNTIFS(Report_Données!$A:$A,Suivi_SE!$A16,Report_Données!$S:$S,Suivi_SE!$C$1)</f>
        <v>0</v>
      </c>
      <c r="D17" s="21">
        <f>COUNTIFS(Report_Données!$A:$A,Suivi_SE!$A16,Report_Données!$S:$S,Suivi_SE!$D$1)</f>
        <v>0</v>
      </c>
      <c r="E17" s="70" t="str">
        <f t="shared" si="1"/>
        <v/>
      </c>
      <c r="F17" s="93" t="str">
        <f>IF(AND($C17=0,$D17=0),"",SUMIF(Report_Données!$A:$A,Suivi_Gain!$A17,Report_Données!$X:$X))</f>
        <v/>
      </c>
      <c r="G17" s="71" t="str">
        <f>IF(AND($C17=0,$D17=0),"",SUMIF(Report_Données!$A:$A,Suivi_Gain!$A17,Report_Données!$Y:$Y))</f>
        <v/>
      </c>
      <c r="H17" s="71" t="str">
        <f>IF(AND($C17=0,$D17=0),"",SUMIF(Report_Données!$A:$A,Suivi_Gain!$A17,Report_Données!$Z:$Z))</f>
        <v/>
      </c>
      <c r="I17" s="71" t="str">
        <f>IF(AND($C17=0,$D17=0),"",SUMIF(Report_Données!$A:$A,Suivi_Gain!$A17,Report_Données!$AA:$AA))</f>
        <v/>
      </c>
      <c r="J17" s="71" t="str">
        <f>IF(AND($C17=0,$D17=0),"",SUMIF(Report_Données!$A:$A,Suivi_Gain!$A17,Report_Données!$AB:$AB))</f>
        <v/>
      </c>
      <c r="L17" s="77" t="s">
        <v>853</v>
      </c>
      <c r="M17" s="78">
        <f>COUNTIF(Report[SE Gain],Suivi_Gain!$L17)</f>
        <v>0</v>
      </c>
      <c r="N17" s="78">
        <f t="shared" ca="1" si="3"/>
        <v>5</v>
      </c>
      <c r="O17" s="76">
        <f t="shared" ca="1" si="2"/>
        <v>0</v>
      </c>
      <c r="P17" s="78">
        <f>COUNTIF(Report[SE 1 Gain],Suivi_Gain!$L17)</f>
        <v>0</v>
      </c>
      <c r="Q17" s="78">
        <f ca="1">COUNTIFS(Report[Score 1],Suivi_Gain!$L17,Report[Date],"&lt;"&amp;TODAY())</f>
        <v>5</v>
      </c>
      <c r="R17" s="76">
        <f t="shared" ca="1" si="4"/>
        <v>0</v>
      </c>
      <c r="S17" s="78">
        <f>COUNTIF(Report[SE 2 Gain],Suivi_Gain!$L17)</f>
        <v>0</v>
      </c>
      <c r="T17" s="78">
        <f ca="1">COUNTIFS(Report[Score 2],Suivi_Gain!$L17,Report[Date],"&lt;"&amp;TODAY())</f>
        <v>0</v>
      </c>
      <c r="U17" s="76" t="str">
        <f t="shared" ca="1" si="5"/>
        <v/>
      </c>
      <c r="V17" s="78">
        <f>COUNTIF(Report[SE 3 Gain],Suivi_Gain!$L17)</f>
        <v>0</v>
      </c>
      <c r="W17" s="78">
        <f ca="1">COUNTIFS(Report[Score 3],Suivi_Gain!$L17,Report[Date],"&lt;"&amp;TODAY())</f>
        <v>0</v>
      </c>
      <c r="X17" s="76" t="str">
        <f t="shared" ca="1" si="6"/>
        <v/>
      </c>
      <c r="Y17" s="78">
        <f>COUNTIF(Report[SE 4 Gain],Suivi_Gain!$L17)</f>
        <v>0</v>
      </c>
      <c r="Z17" s="78">
        <f ca="1">COUNTIFS(Report[Score 4],Suivi_Gain!$L17,Report[Date],"&lt;"&amp;TODAY())</f>
        <v>0</v>
      </c>
      <c r="AA17" s="76" t="str">
        <f t="shared" ca="1" si="7"/>
        <v/>
      </c>
    </row>
    <row r="18" spans="1:27" ht="24.95" customHeight="1" x14ac:dyDescent="0.25">
      <c r="A18" s="69">
        <v>43435</v>
      </c>
      <c r="B18" s="21">
        <f>COUNTIF(Report[Date],Suivi_SE!$A17)</f>
        <v>0</v>
      </c>
      <c r="C18" s="21">
        <f>COUNTIFS(Report_Données!$A:$A,Suivi_SE!$A17,Report_Données!$S:$S,Suivi_SE!$C$1)</f>
        <v>0</v>
      </c>
      <c r="D18" s="21">
        <f>COUNTIFS(Report_Données!$A:$A,Suivi_SE!$A17,Report_Données!$S:$S,Suivi_SE!$D$1)</f>
        <v>0</v>
      </c>
      <c r="E18" s="70" t="str">
        <f t="shared" si="1"/>
        <v/>
      </c>
      <c r="F18" s="93" t="str">
        <f>IF(AND($C18=0,$D18=0),"",SUMIF(Report_Données!$A:$A,Suivi_Gain!$A18,Report_Données!$X:$X))</f>
        <v/>
      </c>
      <c r="G18" s="71" t="str">
        <f>IF(AND($C18=0,$D18=0),"",SUMIF(Report_Données!$A:$A,Suivi_Gain!$A18,Report_Données!$Y:$Y))</f>
        <v/>
      </c>
      <c r="H18" s="71" t="str">
        <f>IF(AND($C18=0,$D18=0),"",SUMIF(Report_Données!$A:$A,Suivi_Gain!$A18,Report_Données!$Z:$Z))</f>
        <v/>
      </c>
      <c r="I18" s="71" t="str">
        <f>IF(AND($C18=0,$D18=0),"",SUMIF(Report_Données!$A:$A,Suivi_Gain!$A18,Report_Données!$AA:$AA))</f>
        <v/>
      </c>
      <c r="J18" s="71" t="str">
        <f>IF(AND($C18=0,$D18=0),"",SUMIF(Report_Données!$A:$A,Suivi_Gain!$A18,Report_Données!$AB:$AB))</f>
        <v/>
      </c>
      <c r="L18" s="77" t="s">
        <v>858</v>
      </c>
      <c r="M18" s="78">
        <f>COUNTIF(Report[SE Gain],Suivi_Gain!$L18)</f>
        <v>0</v>
      </c>
      <c r="N18" s="78">
        <f t="shared" ca="1" si="3"/>
        <v>2</v>
      </c>
      <c r="O18" s="76">
        <f t="shared" ca="1" si="2"/>
        <v>0</v>
      </c>
      <c r="P18" s="78">
        <f>COUNTIF(Report[SE 1 Gain],Suivi_Gain!$L18)</f>
        <v>0</v>
      </c>
      <c r="Q18" s="78">
        <f ca="1">COUNTIFS(Report[Score 1],Suivi_Gain!$L18,Report[Date],"&lt;"&amp;TODAY())</f>
        <v>0</v>
      </c>
      <c r="R18" s="76" t="str">
        <f t="shared" ca="1" si="4"/>
        <v/>
      </c>
      <c r="S18" s="78">
        <f>COUNTIF(Report[SE 2 Gain],Suivi_Gain!$L18)</f>
        <v>0</v>
      </c>
      <c r="T18" s="78">
        <f ca="1">COUNTIFS(Report[Score 2],Suivi_Gain!$L18,Report[Date],"&lt;"&amp;TODAY())</f>
        <v>0</v>
      </c>
      <c r="U18" s="76" t="str">
        <f t="shared" ca="1" si="5"/>
        <v/>
      </c>
      <c r="V18" s="78">
        <f>COUNTIF(Report[SE 3 Gain],Suivi_Gain!$L18)</f>
        <v>0</v>
      </c>
      <c r="W18" s="78">
        <f ca="1">COUNTIFS(Report[Score 3],Suivi_Gain!$L18,Report[Date],"&lt;"&amp;TODAY())</f>
        <v>2</v>
      </c>
      <c r="X18" s="76">
        <f t="shared" ca="1" si="6"/>
        <v>0</v>
      </c>
      <c r="Y18" s="78">
        <f>COUNTIF(Report[SE 4 Gain],Suivi_Gain!$L18)</f>
        <v>0</v>
      </c>
      <c r="Z18" s="78">
        <f ca="1">COUNTIFS(Report[Score 4],Suivi_Gain!$L18,Report[Date],"&lt;"&amp;TODAY())</f>
        <v>0</v>
      </c>
      <c r="AA18" s="76" t="str">
        <f t="shared" ca="1" si="7"/>
        <v/>
      </c>
    </row>
    <row r="19" spans="1:27" ht="24.95" customHeight="1" x14ac:dyDescent="0.25">
      <c r="A19" s="69">
        <v>43436</v>
      </c>
      <c r="B19" s="21">
        <f>COUNTIF(Report[Date],Suivi_SE!$A18)</f>
        <v>0</v>
      </c>
      <c r="C19" s="21">
        <f>COUNTIFS(Report_Données!$A:$A,Suivi_SE!$A18,Report_Données!$S:$S,Suivi_SE!$C$1)</f>
        <v>0</v>
      </c>
      <c r="D19" s="21">
        <f>COUNTIFS(Report_Données!$A:$A,Suivi_SE!$A18,Report_Données!$S:$S,Suivi_SE!$D$1)</f>
        <v>0</v>
      </c>
      <c r="E19" s="70" t="str">
        <f t="shared" si="1"/>
        <v/>
      </c>
      <c r="F19" s="93" t="str">
        <f>IF(AND($C19=0,$D19=0),"",SUMIF(Report_Données!$A:$A,Suivi_Gain!$A19,Report_Données!$X:$X))</f>
        <v/>
      </c>
      <c r="G19" s="71" t="str">
        <f>IF(AND($C19=0,$D19=0),"",SUMIF(Report_Données!$A:$A,Suivi_Gain!$A19,Report_Données!$Y:$Y))</f>
        <v/>
      </c>
      <c r="H19" s="71" t="str">
        <f>IF(AND($C19=0,$D19=0),"",SUMIF(Report_Données!$A:$A,Suivi_Gain!$A19,Report_Données!$Z:$Z))</f>
        <v/>
      </c>
      <c r="I19" s="71" t="str">
        <f>IF(AND($C19=0,$D19=0),"",SUMIF(Report_Données!$A:$A,Suivi_Gain!$A19,Report_Données!$AA:$AA))</f>
        <v/>
      </c>
      <c r="J19" s="71" t="str">
        <f>IF(AND($C19=0,$D19=0),"",SUMIF(Report_Données!$A:$A,Suivi_Gain!$A19,Report_Données!$AB:$AB))</f>
        <v/>
      </c>
      <c r="L19" s="77" t="s">
        <v>856</v>
      </c>
      <c r="M19" s="78">
        <f>COUNTIF(Report[SE Gain],Suivi_Gain!$L19)</f>
        <v>0</v>
      </c>
      <c r="N19" s="78">
        <f t="shared" ca="1" si="3"/>
        <v>2</v>
      </c>
      <c r="O19" s="76">
        <f t="shared" ca="1" si="2"/>
        <v>0</v>
      </c>
      <c r="P19" s="78">
        <f>COUNTIF(Report[SE 1 Gain],Suivi_Gain!$L19)</f>
        <v>0</v>
      </c>
      <c r="Q19" s="78">
        <f ca="1">COUNTIFS(Report[Score 1],Suivi_Gain!$L19,Report[Date],"&lt;"&amp;TODAY())</f>
        <v>2</v>
      </c>
      <c r="R19" s="76">
        <f t="shared" ca="1" si="4"/>
        <v>0</v>
      </c>
      <c r="S19" s="78">
        <f>COUNTIF(Report[SE 2 Gain],Suivi_Gain!$L19)</f>
        <v>0</v>
      </c>
      <c r="T19" s="78">
        <f ca="1">COUNTIFS(Report[Score 2],Suivi_Gain!$L19,Report[Date],"&lt;"&amp;TODAY())</f>
        <v>0</v>
      </c>
      <c r="U19" s="76" t="str">
        <f t="shared" ca="1" si="5"/>
        <v/>
      </c>
      <c r="V19" s="78">
        <f>COUNTIF(Report[SE 3 Gain],Suivi_Gain!$L19)</f>
        <v>0</v>
      </c>
      <c r="W19" s="78">
        <f ca="1">COUNTIFS(Report[Score 3],Suivi_Gain!$L19,Report[Date],"&lt;"&amp;TODAY())</f>
        <v>0</v>
      </c>
      <c r="X19" s="76" t="str">
        <f t="shared" ca="1" si="6"/>
        <v/>
      </c>
      <c r="Y19" s="78">
        <f>COUNTIF(Report[SE 4 Gain],Suivi_Gain!$L19)</f>
        <v>0</v>
      </c>
      <c r="Z19" s="78">
        <f ca="1">COUNTIFS(Report[Score 4],Suivi_Gain!$L19,Report[Date],"&lt;"&amp;TODAY())</f>
        <v>0</v>
      </c>
      <c r="AA19" s="76" t="str">
        <f t="shared" ca="1" si="7"/>
        <v/>
      </c>
    </row>
    <row r="20" spans="1:27" ht="24.95" customHeight="1" x14ac:dyDescent="0.25">
      <c r="A20" s="69">
        <v>43437</v>
      </c>
      <c r="B20" s="21">
        <f>COUNTIF(Report[Date],Suivi_SE!$A19)</f>
        <v>0</v>
      </c>
      <c r="C20" s="21">
        <f>COUNTIFS(Report_Données!$A:$A,Suivi_SE!$A19,Report_Données!$S:$S,Suivi_SE!$C$1)</f>
        <v>0</v>
      </c>
      <c r="D20" s="21">
        <f>COUNTIFS(Report_Données!$A:$A,Suivi_SE!$A19,Report_Données!$S:$S,Suivi_SE!$D$1)</f>
        <v>0</v>
      </c>
      <c r="E20" s="70" t="str">
        <f t="shared" si="1"/>
        <v/>
      </c>
      <c r="F20" s="93" t="str">
        <f>IF(AND($C20=0,$D20=0),"",SUMIF(Report_Données!$A:$A,Suivi_Gain!$A20,Report_Données!$X:$X))</f>
        <v/>
      </c>
      <c r="G20" s="71" t="str">
        <f>IF(AND($C20=0,$D20=0),"",SUMIF(Report_Données!$A:$A,Suivi_Gain!$A20,Report_Données!$Y:$Y))</f>
        <v/>
      </c>
      <c r="H20" s="71" t="str">
        <f>IF(AND($C20=0,$D20=0),"",SUMIF(Report_Données!$A:$A,Suivi_Gain!$A20,Report_Données!$Z:$Z))</f>
        <v/>
      </c>
      <c r="I20" s="71" t="str">
        <f>IF(AND($C20=0,$D20=0),"",SUMIF(Report_Données!$A:$A,Suivi_Gain!$A20,Report_Données!$AA:$AA))</f>
        <v/>
      </c>
      <c r="J20" s="71" t="str">
        <f>IF(AND($C20=0,$D20=0),"",SUMIF(Report_Données!$A:$A,Suivi_Gain!$A20,Report_Données!$AB:$AB))</f>
        <v/>
      </c>
      <c r="L20" s="77" t="s">
        <v>891</v>
      </c>
      <c r="M20" s="78">
        <f>COUNTIF(Report[SE Gain],Suivi_Gain!$L20)</f>
        <v>0</v>
      </c>
      <c r="N20" s="78">
        <f t="shared" ca="1" si="3"/>
        <v>2</v>
      </c>
      <c r="O20" s="76">
        <f t="shared" ca="1" si="2"/>
        <v>0</v>
      </c>
      <c r="P20" s="78">
        <f>COUNTIF(Report[SE 1 Gain],Suivi_Gain!$L20)</f>
        <v>0</v>
      </c>
      <c r="Q20" s="78">
        <f ca="1">COUNTIFS(Report[Score 1],Suivi_Gain!$L20,Report[Date],"&lt;"&amp;TODAY())</f>
        <v>0</v>
      </c>
      <c r="R20" s="76" t="str">
        <f t="shared" ca="1" si="4"/>
        <v/>
      </c>
      <c r="S20" s="78">
        <f>COUNTIF(Report[SE 2 Gain],Suivi_Gain!$L20)</f>
        <v>0</v>
      </c>
      <c r="T20" s="78">
        <f ca="1">COUNTIFS(Report[Score 2],Suivi_Gain!$L20,Report[Date],"&lt;"&amp;TODAY())</f>
        <v>2</v>
      </c>
      <c r="U20" s="76">
        <f t="shared" ca="1" si="5"/>
        <v>0</v>
      </c>
      <c r="V20" s="78">
        <f>COUNTIF(Report[SE 3 Gain],Suivi_Gain!$L20)</f>
        <v>0</v>
      </c>
      <c r="W20" s="78">
        <f ca="1">COUNTIFS(Report[Score 3],Suivi_Gain!$L20,Report[Date],"&lt;"&amp;TODAY())</f>
        <v>0</v>
      </c>
      <c r="X20" s="76" t="str">
        <f t="shared" ca="1" si="6"/>
        <v/>
      </c>
      <c r="Y20" s="78">
        <f>COUNTIF(Report[SE 4 Gain],Suivi_Gain!$L20)</f>
        <v>0</v>
      </c>
      <c r="Z20" s="78">
        <f ca="1">COUNTIFS(Report[Score 4],Suivi_Gain!$L20,Report[Date],"&lt;"&amp;TODAY())</f>
        <v>0</v>
      </c>
      <c r="AA20" s="76" t="str">
        <f t="shared" ca="1" si="7"/>
        <v/>
      </c>
    </row>
    <row r="21" spans="1:27" ht="24.95" customHeight="1" x14ac:dyDescent="0.25">
      <c r="A21" s="69">
        <v>43438</v>
      </c>
      <c r="B21" s="21">
        <f>COUNTIF(Report[Date],Suivi_SE!$A20)</f>
        <v>0</v>
      </c>
      <c r="C21" s="21">
        <f>COUNTIFS(Report_Données!$A:$A,Suivi_SE!$A20,Report_Données!$S:$S,Suivi_SE!$C$1)</f>
        <v>0</v>
      </c>
      <c r="D21" s="21">
        <f>COUNTIFS(Report_Données!$A:$A,Suivi_SE!$A20,Report_Données!$S:$S,Suivi_SE!$D$1)</f>
        <v>0</v>
      </c>
      <c r="E21" s="70" t="str">
        <f t="shared" si="1"/>
        <v/>
      </c>
      <c r="F21" s="93" t="str">
        <f>IF(AND($C21=0,$D21=0),"",SUMIF(Report_Données!$A:$A,Suivi_Gain!$A21,Report_Données!$X:$X))</f>
        <v/>
      </c>
      <c r="G21" s="71" t="str">
        <f>IF(AND($C21=0,$D21=0),"",SUMIF(Report_Données!$A:$A,Suivi_Gain!$A21,Report_Données!$Y:$Y))</f>
        <v/>
      </c>
      <c r="H21" s="71" t="str">
        <f>IF(AND($C21=0,$D21=0),"",SUMIF(Report_Données!$A:$A,Suivi_Gain!$A21,Report_Données!$Z:$Z))</f>
        <v/>
      </c>
      <c r="I21" s="71" t="str">
        <f>IF(AND($C21=0,$D21=0),"",SUMIF(Report_Données!$A:$A,Suivi_Gain!$A21,Report_Données!$AA:$AA))</f>
        <v/>
      </c>
      <c r="J21" s="71" t="str">
        <f>IF(AND($C21=0,$D21=0),"",SUMIF(Report_Données!$A:$A,Suivi_Gain!$A21,Report_Données!$AB:$AB))</f>
        <v/>
      </c>
      <c r="L21" s="77" t="s">
        <v>825</v>
      </c>
      <c r="M21" s="78">
        <f>COUNTIF(Report[SE Gain],Suivi_Gain!$L21)</f>
        <v>16</v>
      </c>
      <c r="N21" s="78">
        <f t="shared" ca="1" si="3"/>
        <v>202</v>
      </c>
      <c r="O21" s="76">
        <f t="shared" ca="1" si="2"/>
        <v>7.9207920792079209E-2</v>
      </c>
      <c r="P21" s="78">
        <f>COUNTIF(Report[SE 1 Gain],Suivi_Gain!$L21)</f>
        <v>4</v>
      </c>
      <c r="Q21" s="78">
        <f ca="1">COUNTIFS(Report[Score 1],Suivi_Gain!$L21,Report[Date],"&lt;"&amp;TODAY())</f>
        <v>67</v>
      </c>
      <c r="R21" s="76">
        <f t="shared" ca="1" si="4"/>
        <v>5.9701492537313432E-2</v>
      </c>
      <c r="S21" s="78">
        <f>COUNTIF(Report[SE 2 Gain],Suivi_Gain!$L21)</f>
        <v>2</v>
      </c>
      <c r="T21" s="78">
        <f ca="1">COUNTIFS(Report[Score 2],Suivi_Gain!$L21,Report[Date],"&lt;"&amp;TODAY())</f>
        <v>21</v>
      </c>
      <c r="U21" s="76">
        <f t="shared" ca="1" si="5"/>
        <v>9.5238095238095233E-2</v>
      </c>
      <c r="V21" s="78">
        <f>COUNTIF(Report[SE 3 Gain],Suivi_Gain!$L21)</f>
        <v>6</v>
      </c>
      <c r="W21" s="78">
        <f ca="1">COUNTIFS(Report[Score 3],Suivi_Gain!$L21,Report[Date],"&lt;"&amp;TODAY())</f>
        <v>76</v>
      </c>
      <c r="X21" s="76">
        <f t="shared" ca="1" si="6"/>
        <v>7.8947368421052627E-2</v>
      </c>
      <c r="Y21" s="78">
        <f>COUNTIF(Report[SE 4 Gain],Suivi_Gain!$L21)</f>
        <v>4</v>
      </c>
      <c r="Z21" s="78">
        <f ca="1">COUNTIFS(Report[Score 4],Suivi_Gain!$L21,Report[Date],"&lt;"&amp;TODAY())</f>
        <v>38</v>
      </c>
      <c r="AA21" s="76">
        <f t="shared" ca="1" si="7"/>
        <v>0.10526315789473684</v>
      </c>
    </row>
    <row r="22" spans="1:27" ht="24.95" customHeight="1" x14ac:dyDescent="0.25">
      <c r="A22" s="69">
        <v>43439</v>
      </c>
      <c r="B22" s="21">
        <f>COUNTIF(Report[Date],Suivi_SE!$A21)</f>
        <v>0</v>
      </c>
      <c r="C22" s="21">
        <f>COUNTIFS(Report_Données!$A:$A,Suivi_SE!$A21,Report_Données!$S:$S,Suivi_SE!$C$1)</f>
        <v>0</v>
      </c>
      <c r="D22" s="21">
        <f>COUNTIFS(Report_Données!$A:$A,Suivi_SE!$A21,Report_Données!$S:$S,Suivi_SE!$D$1)</f>
        <v>0</v>
      </c>
      <c r="E22" s="70" t="str">
        <f t="shared" si="1"/>
        <v/>
      </c>
      <c r="F22" s="93" t="str">
        <f>IF(AND($C22=0,$D22=0),"",SUMIF(Report_Données!$A:$A,Suivi_Gain!$A22,Report_Données!$X:$X))</f>
        <v/>
      </c>
      <c r="G22" s="71" t="str">
        <f>IF(AND($C22=0,$D22=0),"",SUMIF(Report_Données!$A:$A,Suivi_Gain!$A22,Report_Données!$Y:$Y))</f>
        <v/>
      </c>
      <c r="H22" s="71" t="str">
        <f>IF(AND($C22=0,$D22=0),"",SUMIF(Report_Données!$A:$A,Suivi_Gain!$A22,Report_Données!$Z:$Z))</f>
        <v/>
      </c>
      <c r="I22" s="71" t="str">
        <f>IF(AND($C22=0,$D22=0),"",SUMIF(Report_Données!$A:$A,Suivi_Gain!$A22,Report_Données!$AA:$AA))</f>
        <v/>
      </c>
      <c r="J22" s="71" t="str">
        <f>IF(AND($C22=0,$D22=0),"",SUMIF(Report_Données!$A:$A,Suivi_Gain!$A22,Report_Données!$AB:$AB))</f>
        <v/>
      </c>
      <c r="L22" s="77" t="s">
        <v>827</v>
      </c>
      <c r="M22" s="78">
        <f>COUNTIF(Report[SE Gain],Suivi_Gain!$L22)</f>
        <v>10</v>
      </c>
      <c r="N22" s="78">
        <f t="shared" ca="1" si="3"/>
        <v>136</v>
      </c>
      <c r="O22" s="76">
        <f t="shared" ca="1" si="2"/>
        <v>7.3529411764705885E-2</v>
      </c>
      <c r="P22" s="78">
        <f>COUNTIF(Report[SE 1 Gain],Suivi_Gain!$L22)</f>
        <v>1</v>
      </c>
      <c r="Q22" s="78">
        <f ca="1">COUNTIFS(Report[Score 1],Suivi_Gain!$L22,Report[Date],"&lt;"&amp;TODAY())</f>
        <v>21</v>
      </c>
      <c r="R22" s="76">
        <f t="shared" ca="1" si="4"/>
        <v>4.7619047619047616E-2</v>
      </c>
      <c r="S22" s="78">
        <f>COUNTIF(Report[SE 2 Gain],Suivi_Gain!$L22)</f>
        <v>1</v>
      </c>
      <c r="T22" s="78">
        <f ca="1">COUNTIFS(Report[Score 2],Suivi_Gain!$L22,Report[Date],"&lt;"&amp;TODAY())</f>
        <v>3</v>
      </c>
      <c r="U22" s="76">
        <f t="shared" ca="1" si="5"/>
        <v>0.33333333333333331</v>
      </c>
      <c r="V22" s="78">
        <f>COUNTIF(Report[SE 3 Gain],Suivi_Gain!$L22)</f>
        <v>8</v>
      </c>
      <c r="W22" s="78">
        <f ca="1">COUNTIFS(Report[Score 3],Suivi_Gain!$L22,Report[Date],"&lt;"&amp;TODAY())</f>
        <v>102</v>
      </c>
      <c r="X22" s="76">
        <f t="shared" ca="1" si="6"/>
        <v>7.8431372549019607E-2</v>
      </c>
      <c r="Y22" s="78">
        <f>COUNTIF(Report[SE 4 Gain],Suivi_Gain!$L22)</f>
        <v>0</v>
      </c>
      <c r="Z22" s="78">
        <f ca="1">COUNTIFS(Report[Score 4],Suivi_Gain!$L22,Report[Date],"&lt;"&amp;TODAY())</f>
        <v>10</v>
      </c>
      <c r="AA22" s="76">
        <f t="shared" ca="1" si="7"/>
        <v>0</v>
      </c>
    </row>
    <row r="23" spans="1:27" ht="24.95" customHeight="1" x14ac:dyDescent="0.25">
      <c r="A23" s="69">
        <v>43440</v>
      </c>
      <c r="B23" s="21">
        <f>COUNTIF(Report[Date],Suivi_SE!$A22)</f>
        <v>0</v>
      </c>
      <c r="C23" s="21">
        <f>COUNTIFS(Report_Données!$A:$A,Suivi_SE!$A22,Report_Données!$S:$S,Suivi_SE!$C$1)</f>
        <v>0</v>
      </c>
      <c r="D23" s="21">
        <f>COUNTIFS(Report_Données!$A:$A,Suivi_SE!$A22,Report_Données!$S:$S,Suivi_SE!$D$1)</f>
        <v>0</v>
      </c>
      <c r="E23" s="70" t="str">
        <f t="shared" si="1"/>
        <v/>
      </c>
      <c r="F23" s="93" t="str">
        <f>IF(AND($C23=0,$D23=0),"",SUMIF(Report_Données!$A:$A,Suivi_Gain!$A23,Report_Données!$X:$X))</f>
        <v/>
      </c>
      <c r="G23" s="71" t="str">
        <f>IF(AND($C23=0,$D23=0),"",SUMIF(Report_Données!$A:$A,Suivi_Gain!$A23,Report_Données!$Y:$Y))</f>
        <v/>
      </c>
      <c r="H23" s="71" t="str">
        <f>IF(AND($C23=0,$D23=0),"",SUMIF(Report_Données!$A:$A,Suivi_Gain!$A23,Report_Données!$Z:$Z))</f>
        <v/>
      </c>
      <c r="I23" s="71" t="str">
        <f>IF(AND($C23=0,$D23=0),"",SUMIF(Report_Données!$A:$A,Suivi_Gain!$A23,Report_Données!$AA:$AA))</f>
        <v/>
      </c>
      <c r="J23" s="71" t="str">
        <f>IF(AND($C23=0,$D23=0),"",SUMIF(Report_Données!$A:$A,Suivi_Gain!$A23,Report_Données!$AB:$AB))</f>
        <v/>
      </c>
      <c r="L23" s="77" t="s">
        <v>828</v>
      </c>
      <c r="M23" s="78">
        <f>COUNTIF(Report[SE Gain],Suivi_Gain!$L23)</f>
        <v>4</v>
      </c>
      <c r="N23" s="78">
        <f t="shared" ca="1" si="3"/>
        <v>102</v>
      </c>
      <c r="O23" s="76">
        <f t="shared" ca="1" si="2"/>
        <v>3.9215686274509803E-2</v>
      </c>
      <c r="P23" s="78">
        <f>COUNTIF(Report[SE 1 Gain],Suivi_Gain!$L23)</f>
        <v>0</v>
      </c>
      <c r="Q23" s="78">
        <f ca="1">COUNTIFS(Report[Score 1],Suivi_Gain!$L23,Report[Date],"&lt;"&amp;TODAY())</f>
        <v>3</v>
      </c>
      <c r="R23" s="76">
        <f t="shared" ca="1" si="4"/>
        <v>0</v>
      </c>
      <c r="S23" s="78">
        <f>COUNTIF(Report[SE 2 Gain],Suivi_Gain!$L23)</f>
        <v>1</v>
      </c>
      <c r="T23" s="78">
        <f ca="1">COUNTIFS(Report[Score 2],Suivi_Gain!$L23,Report[Date],"&lt;"&amp;TODAY())</f>
        <v>2</v>
      </c>
      <c r="U23" s="76">
        <f t="shared" ca="1" si="5"/>
        <v>0.5</v>
      </c>
      <c r="V23" s="78">
        <f>COUNTIF(Report[SE 3 Gain],Suivi_Gain!$L23)</f>
        <v>0</v>
      </c>
      <c r="W23" s="78">
        <f ca="1">COUNTIFS(Report[Score 3],Suivi_Gain!$L23,Report[Date],"&lt;"&amp;TODAY())</f>
        <v>29</v>
      </c>
      <c r="X23" s="76">
        <f t="shared" ca="1" si="6"/>
        <v>0</v>
      </c>
      <c r="Y23" s="78">
        <f>COUNTIF(Report[SE 4 Gain],Suivi_Gain!$L23)</f>
        <v>3</v>
      </c>
      <c r="Z23" s="78">
        <f ca="1">COUNTIFS(Report[Score 4],Suivi_Gain!$L23,Report[Date],"&lt;"&amp;TODAY())</f>
        <v>68</v>
      </c>
      <c r="AA23" s="76">
        <f t="shared" ca="1" si="7"/>
        <v>4.4117647058823532E-2</v>
      </c>
    </row>
    <row r="24" spans="1:27" ht="24.95" customHeight="1" x14ac:dyDescent="0.25">
      <c r="A24" s="69">
        <v>43441</v>
      </c>
      <c r="B24" s="21">
        <f>COUNTIF(Report[Date],Suivi_SE!$A23)</f>
        <v>0</v>
      </c>
      <c r="C24" s="21">
        <f>COUNTIFS(Report_Données!$A:$A,Suivi_SE!$A23,Report_Données!$S:$S,Suivi_SE!$C$1)</f>
        <v>0</v>
      </c>
      <c r="D24" s="21">
        <f>COUNTIFS(Report_Données!$A:$A,Suivi_SE!$A23,Report_Données!$S:$S,Suivi_SE!$D$1)</f>
        <v>0</v>
      </c>
      <c r="E24" s="70" t="str">
        <f t="shared" si="1"/>
        <v/>
      </c>
      <c r="F24" s="93" t="str">
        <f>IF(AND($C24=0,$D24=0),"",SUMIF(Report_Données!$A:$A,Suivi_Gain!$A24,Report_Données!$X:$X))</f>
        <v/>
      </c>
      <c r="G24" s="71" t="str">
        <f>IF(AND($C24=0,$D24=0),"",SUMIF(Report_Données!$A:$A,Suivi_Gain!$A24,Report_Données!$Y:$Y))</f>
        <v/>
      </c>
      <c r="H24" s="71" t="str">
        <f>IF(AND($C24=0,$D24=0),"",SUMIF(Report_Données!$A:$A,Suivi_Gain!$A24,Report_Données!$Z:$Z))</f>
        <v/>
      </c>
      <c r="I24" s="71" t="str">
        <f>IF(AND($C24=0,$D24=0),"",SUMIF(Report_Données!$A:$A,Suivi_Gain!$A24,Report_Données!$AA:$AA))</f>
        <v/>
      </c>
      <c r="J24" s="71" t="str">
        <f>IF(AND($C24=0,$D24=0),"",SUMIF(Report_Données!$A:$A,Suivi_Gain!$A24,Report_Données!$AB:$AB))</f>
        <v/>
      </c>
      <c r="L24" s="77" t="s">
        <v>878</v>
      </c>
      <c r="M24" s="78">
        <f>COUNTIF(Report[SE Gain],Suivi_Gain!$L24)</f>
        <v>1</v>
      </c>
      <c r="N24" s="78">
        <f t="shared" ca="1" si="3"/>
        <v>7</v>
      </c>
      <c r="O24" s="76">
        <f t="shared" ca="1" si="2"/>
        <v>0.14285714285714285</v>
      </c>
      <c r="P24" s="78">
        <f>COUNTIF(Report[SE 1 Gain],Suivi_Gain!$L24)</f>
        <v>0</v>
      </c>
      <c r="Q24" s="78">
        <f ca="1">COUNTIFS(Report[Score 1],Suivi_Gain!$L24,Report[Date],"&lt;"&amp;TODAY())</f>
        <v>2</v>
      </c>
      <c r="R24" s="76">
        <f t="shared" ca="1" si="4"/>
        <v>0</v>
      </c>
      <c r="S24" s="78">
        <f>COUNTIF(Report[SE 2 Gain],Suivi_Gain!$L24)</f>
        <v>0</v>
      </c>
      <c r="T24" s="78">
        <f ca="1">COUNTIFS(Report[Score 2],Suivi_Gain!$L24,Report[Date],"&lt;"&amp;TODAY())</f>
        <v>1</v>
      </c>
      <c r="U24" s="76">
        <f t="shared" ca="1" si="5"/>
        <v>0</v>
      </c>
      <c r="V24" s="78">
        <f>COUNTIF(Report[SE 3 Gain],Suivi_Gain!$L24)</f>
        <v>1</v>
      </c>
      <c r="W24" s="78">
        <f ca="1">COUNTIFS(Report[Score 3],Suivi_Gain!$L24,Report[Date],"&lt;"&amp;TODAY())</f>
        <v>3</v>
      </c>
      <c r="X24" s="76">
        <f t="shared" ca="1" si="6"/>
        <v>0.33333333333333331</v>
      </c>
      <c r="Y24" s="78">
        <f>COUNTIF(Report[SE 4 Gain],Suivi_Gain!$L24)</f>
        <v>0</v>
      </c>
      <c r="Z24" s="78">
        <f ca="1">COUNTIFS(Report[Score 4],Suivi_Gain!$L24,Report[Date],"&lt;"&amp;TODAY())</f>
        <v>1</v>
      </c>
      <c r="AA24" s="76">
        <f t="shared" ca="1" si="7"/>
        <v>0</v>
      </c>
    </row>
    <row r="25" spans="1:27" ht="24.95" customHeight="1" x14ac:dyDescent="0.25">
      <c r="A25" s="69">
        <v>43442</v>
      </c>
      <c r="B25" s="21">
        <f>COUNTIF(Report[Date],Suivi_SE!$A24)</f>
        <v>0</v>
      </c>
      <c r="C25" s="21">
        <f>COUNTIFS(Report_Données!$A:$A,Suivi_SE!$A24,Report_Données!$S:$S,Suivi_SE!$C$1)</f>
        <v>0</v>
      </c>
      <c r="D25" s="21">
        <f>COUNTIFS(Report_Données!$A:$A,Suivi_SE!$A24,Report_Données!$S:$S,Suivi_SE!$D$1)</f>
        <v>0</v>
      </c>
      <c r="E25" s="70" t="str">
        <f t="shared" si="1"/>
        <v/>
      </c>
      <c r="F25" s="93" t="str">
        <f>IF(AND($C25=0,$D25=0),"",SUMIF(Report_Données!$A:$A,Suivi_Gain!$A25,Report_Données!$X:$X))</f>
        <v/>
      </c>
      <c r="G25" s="71" t="str">
        <f>IF(AND($C25=0,$D25=0),"",SUMIF(Report_Données!$A:$A,Suivi_Gain!$A25,Report_Données!$Y:$Y))</f>
        <v/>
      </c>
      <c r="H25" s="71" t="str">
        <f>IF(AND($C25=0,$D25=0),"",SUMIF(Report_Données!$A:$A,Suivi_Gain!$A25,Report_Données!$Z:$Z))</f>
        <v/>
      </c>
      <c r="I25" s="71" t="str">
        <f>IF(AND($C25=0,$D25=0),"",SUMIF(Report_Données!$A:$A,Suivi_Gain!$A25,Report_Données!$AA:$AA))</f>
        <v/>
      </c>
      <c r="J25" s="71" t="str">
        <f>IF(AND($C25=0,$D25=0),"",SUMIF(Report_Données!$A:$A,Suivi_Gain!$A25,Report_Données!$AB:$AB))</f>
        <v/>
      </c>
      <c r="L25" s="77" t="s">
        <v>884</v>
      </c>
      <c r="M25" s="78">
        <f>COUNTIF(Report[SE Gain],Suivi_Gain!$L25)</f>
        <v>0</v>
      </c>
      <c r="N25" s="78">
        <f t="shared" ca="1" si="3"/>
        <v>4</v>
      </c>
      <c r="O25" s="76">
        <f t="shared" ca="1" si="2"/>
        <v>0</v>
      </c>
      <c r="P25" s="78">
        <f>COUNTIF(Report[SE 1 Gain],Suivi_Gain!$L25)</f>
        <v>0</v>
      </c>
      <c r="Q25" s="78">
        <f ca="1">COUNTIFS(Report[Score 1],Suivi_Gain!$L25,Report[Date],"&lt;"&amp;TODAY())</f>
        <v>1</v>
      </c>
      <c r="R25" s="76">
        <f t="shared" ca="1" si="4"/>
        <v>0</v>
      </c>
      <c r="S25" s="78">
        <f>COUNTIF(Report[SE 2 Gain],Suivi_Gain!$L25)</f>
        <v>0</v>
      </c>
      <c r="T25" s="78">
        <f ca="1">COUNTIFS(Report[Score 2],Suivi_Gain!$L25,Report[Date],"&lt;"&amp;TODAY())</f>
        <v>0</v>
      </c>
      <c r="U25" s="76" t="str">
        <f t="shared" ca="1" si="5"/>
        <v/>
      </c>
      <c r="V25" s="78">
        <f>COUNTIF(Report[SE 3 Gain],Suivi_Gain!$L25)</f>
        <v>0</v>
      </c>
      <c r="W25" s="78">
        <f ca="1">COUNTIFS(Report[Score 3],Suivi_Gain!$L25,Report[Date],"&lt;"&amp;TODAY())</f>
        <v>3</v>
      </c>
      <c r="X25" s="76">
        <f t="shared" ca="1" si="6"/>
        <v>0</v>
      </c>
      <c r="Y25" s="78">
        <f>COUNTIF(Report[SE 4 Gain],Suivi_Gain!$L25)</f>
        <v>0</v>
      </c>
      <c r="Z25" s="78">
        <f ca="1">COUNTIFS(Report[Score 4],Suivi_Gain!$L25,Report[Date],"&lt;"&amp;TODAY())</f>
        <v>0</v>
      </c>
      <c r="AA25" s="76" t="str">
        <f t="shared" ca="1" si="7"/>
        <v/>
      </c>
    </row>
    <row r="26" spans="1:27" ht="24.95" customHeight="1" x14ac:dyDescent="0.25">
      <c r="A26" s="69">
        <v>43443</v>
      </c>
      <c r="B26" s="21">
        <f>COUNTIF(Report[Date],Suivi_SE!$A25)</f>
        <v>0</v>
      </c>
      <c r="C26" s="21">
        <f>COUNTIFS(Report_Données!$A:$A,Suivi_SE!$A25,Report_Données!$S:$S,Suivi_SE!$C$1)</f>
        <v>0</v>
      </c>
      <c r="D26" s="21">
        <f>COUNTIFS(Report_Données!$A:$A,Suivi_SE!$A25,Report_Données!$S:$S,Suivi_SE!$D$1)</f>
        <v>0</v>
      </c>
      <c r="E26" s="70" t="str">
        <f t="shared" si="1"/>
        <v/>
      </c>
      <c r="F26" s="93" t="str">
        <f>IF(AND($C26=0,$D26=0),"",SUMIF(Report_Données!$A:$A,Suivi_Gain!$A26,Report_Données!$X:$X))</f>
        <v/>
      </c>
      <c r="G26" s="71" t="str">
        <f>IF(AND($C26=0,$D26=0),"",SUMIF(Report_Données!$A:$A,Suivi_Gain!$A26,Report_Données!$Y:$Y))</f>
        <v/>
      </c>
      <c r="H26" s="71" t="str">
        <f>IF(AND($C26=0,$D26=0),"",SUMIF(Report_Données!$A:$A,Suivi_Gain!$A26,Report_Données!$Z:$Z))</f>
        <v/>
      </c>
      <c r="I26" s="71" t="str">
        <f>IF(AND($C26=0,$D26=0),"",SUMIF(Report_Données!$A:$A,Suivi_Gain!$A26,Report_Données!$AA:$AA))</f>
        <v/>
      </c>
      <c r="J26" s="71" t="str">
        <f>IF(AND($C26=0,$D26=0),"",SUMIF(Report_Données!$A:$A,Suivi_Gain!$A26,Report_Données!$AB:$AB))</f>
        <v/>
      </c>
      <c r="L26" s="77" t="s">
        <v>886</v>
      </c>
      <c r="M26" s="78">
        <f>COUNTIF(Report[SE Gain],Suivi_Gain!$L26)</f>
        <v>0</v>
      </c>
      <c r="N26" s="78">
        <f t="shared" ca="1" si="3"/>
        <v>1</v>
      </c>
      <c r="O26" s="76">
        <f t="shared" ca="1" si="2"/>
        <v>0</v>
      </c>
      <c r="P26" s="78">
        <f>COUNTIF(Report[SE 1 Gain],Suivi_Gain!$L26)</f>
        <v>0</v>
      </c>
      <c r="Q26" s="78">
        <f ca="1">COUNTIFS(Report[Score 1],Suivi_Gain!$L26,Report[Date],"&lt;"&amp;TODAY())</f>
        <v>0</v>
      </c>
      <c r="R26" s="76" t="str">
        <f t="shared" ca="1" si="4"/>
        <v/>
      </c>
      <c r="S26" s="78">
        <f>COUNTIF(Report[SE 2 Gain],Suivi_Gain!$L26)</f>
        <v>0</v>
      </c>
      <c r="T26" s="78">
        <f ca="1">COUNTIFS(Report[Score 2],Suivi_Gain!$L26,Report[Date],"&lt;"&amp;TODAY())</f>
        <v>0</v>
      </c>
      <c r="U26" s="76" t="str">
        <f t="shared" ca="1" si="5"/>
        <v/>
      </c>
      <c r="V26" s="78">
        <f>COUNTIF(Report[SE 3 Gain],Suivi_Gain!$L26)</f>
        <v>0</v>
      </c>
      <c r="W26" s="78">
        <f ca="1">COUNTIFS(Report[Score 3],Suivi_Gain!$L26,Report[Date],"&lt;"&amp;TODAY())</f>
        <v>1</v>
      </c>
      <c r="X26" s="76">
        <f t="shared" ca="1" si="6"/>
        <v>0</v>
      </c>
      <c r="Y26" s="78">
        <f>COUNTIF(Report[SE 4 Gain],Suivi_Gain!$L26)</f>
        <v>0</v>
      </c>
      <c r="Z26" s="78">
        <f ca="1">COUNTIFS(Report[Score 4],Suivi_Gain!$L26,Report[Date],"&lt;"&amp;TODAY())</f>
        <v>0</v>
      </c>
      <c r="AA26" s="76" t="str">
        <f t="shared" ca="1" si="7"/>
        <v/>
      </c>
    </row>
    <row r="27" spans="1:27" ht="24.95" customHeight="1" x14ac:dyDescent="0.25">
      <c r="A27" s="69">
        <v>43444</v>
      </c>
      <c r="B27" s="21">
        <f>COUNTIF(Report[Date],Suivi_SE!$A26)</f>
        <v>0</v>
      </c>
      <c r="C27" s="21">
        <f>COUNTIFS(Report_Données!$A:$A,Suivi_SE!$A26,Report_Données!$S:$S,Suivi_SE!$C$1)</f>
        <v>0</v>
      </c>
      <c r="D27" s="21">
        <f>COUNTIFS(Report_Données!$A:$A,Suivi_SE!$A26,Report_Données!$S:$S,Suivi_SE!$D$1)</f>
        <v>0</v>
      </c>
      <c r="E27" s="70" t="str">
        <f t="shared" si="1"/>
        <v/>
      </c>
      <c r="F27" s="93" t="str">
        <f>IF(AND($C27=0,$D27=0),"",SUMIF(Report_Données!$A:$A,Suivi_Gain!$A27,Report_Données!$X:$X))</f>
        <v/>
      </c>
      <c r="G27" s="71" t="str">
        <f>IF(AND($C27=0,$D27=0),"",SUMIF(Report_Données!$A:$A,Suivi_Gain!$A27,Report_Données!$Y:$Y))</f>
        <v/>
      </c>
      <c r="H27" s="71" t="str">
        <f>IF(AND($C27=0,$D27=0),"",SUMIF(Report_Données!$A:$A,Suivi_Gain!$A27,Report_Données!$Z:$Z))</f>
        <v/>
      </c>
      <c r="I27" s="71" t="str">
        <f>IF(AND($C27=0,$D27=0),"",SUMIF(Report_Données!$A:$A,Suivi_Gain!$A27,Report_Données!$AA:$AA))</f>
        <v/>
      </c>
      <c r="J27" s="71" t="str">
        <f>IF(AND($C27=0,$D27=0),"",SUMIF(Report_Données!$A:$A,Suivi_Gain!$A27,Report_Données!$AB:$AB))</f>
        <v/>
      </c>
      <c r="L27" s="77" t="s">
        <v>839</v>
      </c>
      <c r="M27" s="78">
        <f>COUNTIF(Report[SE Gain],Suivi_Gain!$L27)</f>
        <v>7</v>
      </c>
      <c r="N27" s="78">
        <f t="shared" ca="1" si="3"/>
        <v>49</v>
      </c>
      <c r="O27" s="76">
        <f t="shared" ca="1" si="2"/>
        <v>0.14285714285714285</v>
      </c>
      <c r="P27" s="78">
        <f>COUNTIF(Report[SE 1 Gain],Suivi_Gain!$L27)</f>
        <v>5</v>
      </c>
      <c r="Q27" s="78">
        <f ca="1">COUNTIFS(Report[Score 1],Suivi_Gain!$L27,Report[Date],"&lt;"&amp;TODAY())</f>
        <v>35</v>
      </c>
      <c r="R27" s="76">
        <f t="shared" ca="1" si="4"/>
        <v>0.14285714285714285</v>
      </c>
      <c r="S27" s="78">
        <f>COUNTIF(Report[SE 2 Gain],Suivi_Gain!$L27)</f>
        <v>1</v>
      </c>
      <c r="T27" s="78">
        <f ca="1">COUNTIFS(Report[Score 2],Suivi_Gain!$L27,Report[Date],"&lt;"&amp;TODAY())</f>
        <v>8</v>
      </c>
      <c r="U27" s="76">
        <f t="shared" ca="1" si="5"/>
        <v>0.125</v>
      </c>
      <c r="V27" s="78">
        <f>COUNTIF(Report[SE 3 Gain],Suivi_Gain!$L27)</f>
        <v>1</v>
      </c>
      <c r="W27" s="78">
        <f ca="1">COUNTIFS(Report[Score 3],Suivi_Gain!$L27,Report[Date],"&lt;"&amp;TODAY())</f>
        <v>4</v>
      </c>
      <c r="X27" s="76">
        <f t="shared" ca="1" si="6"/>
        <v>0.25</v>
      </c>
      <c r="Y27" s="78">
        <f>COUNTIF(Report[SE 4 Gain],Suivi_Gain!$L27)</f>
        <v>0</v>
      </c>
      <c r="Z27" s="78">
        <f ca="1">COUNTIFS(Report[Score 4],Suivi_Gain!$L27,Report[Date],"&lt;"&amp;TODAY())</f>
        <v>2</v>
      </c>
      <c r="AA27" s="76">
        <f t="shared" ca="1" si="7"/>
        <v>0</v>
      </c>
    </row>
    <row r="28" spans="1:27" ht="24.95" customHeight="1" x14ac:dyDescent="0.25">
      <c r="A28" s="69">
        <v>43445</v>
      </c>
      <c r="B28" s="21">
        <f>COUNTIF(Report[Date],Suivi_SE!$A27)</f>
        <v>0</v>
      </c>
      <c r="C28" s="21">
        <f>COUNTIFS(Report_Données!$A:$A,Suivi_SE!$A27,Report_Données!$S:$S,Suivi_SE!$C$1)</f>
        <v>0</v>
      </c>
      <c r="D28" s="21">
        <f>COUNTIFS(Report_Données!$A:$A,Suivi_SE!$A27,Report_Données!$S:$S,Suivi_SE!$D$1)</f>
        <v>0</v>
      </c>
      <c r="E28" s="70" t="str">
        <f t="shared" si="1"/>
        <v/>
      </c>
      <c r="F28" s="93" t="str">
        <f>IF(AND($C28=0,$D28=0),"",SUMIF(Report_Données!$A:$A,Suivi_Gain!$A28,Report_Données!$X:$X))</f>
        <v/>
      </c>
      <c r="G28" s="71" t="str">
        <f>IF(AND($C28=0,$D28=0),"",SUMIF(Report_Données!$A:$A,Suivi_Gain!$A28,Report_Données!$Y:$Y))</f>
        <v/>
      </c>
      <c r="H28" s="71" t="str">
        <f>IF(AND($C28=0,$D28=0),"",SUMIF(Report_Données!$A:$A,Suivi_Gain!$A28,Report_Données!$Z:$Z))</f>
        <v/>
      </c>
      <c r="I28" s="71" t="str">
        <f>IF(AND($C28=0,$D28=0),"",SUMIF(Report_Données!$A:$A,Suivi_Gain!$A28,Report_Données!$AA:$AA))</f>
        <v/>
      </c>
      <c r="J28" s="71" t="str">
        <f>IF(AND($C28=0,$D28=0),"",SUMIF(Report_Données!$A:$A,Suivi_Gain!$A28,Report_Données!$AB:$AB))</f>
        <v/>
      </c>
      <c r="L28" s="77" t="s">
        <v>841</v>
      </c>
      <c r="M28" s="78">
        <f>COUNTIF(Report[SE Gain],Suivi_Gain!$L28)</f>
        <v>2</v>
      </c>
      <c r="N28" s="78">
        <f t="shared" ca="1" si="3"/>
        <v>10</v>
      </c>
      <c r="O28" s="76">
        <f t="shared" ca="1" si="2"/>
        <v>0.2</v>
      </c>
      <c r="P28" s="78">
        <f>COUNTIF(Report[SE 1 Gain],Suivi_Gain!$L28)</f>
        <v>2</v>
      </c>
      <c r="Q28" s="78">
        <f ca="1">COUNTIFS(Report[Score 1],Suivi_Gain!$L28,Report[Date],"&lt;"&amp;TODAY())</f>
        <v>8</v>
      </c>
      <c r="R28" s="76">
        <f t="shared" ca="1" si="4"/>
        <v>0.25</v>
      </c>
      <c r="S28" s="78">
        <f>COUNTIF(Report[SE 2 Gain],Suivi_Gain!$L28)</f>
        <v>0</v>
      </c>
      <c r="T28" s="78">
        <f ca="1">COUNTIFS(Report[Score 2],Suivi_Gain!$L28,Report[Date],"&lt;"&amp;TODAY())</f>
        <v>0</v>
      </c>
      <c r="U28" s="76" t="str">
        <f t="shared" ca="1" si="5"/>
        <v/>
      </c>
      <c r="V28" s="78">
        <f>COUNTIF(Report[SE 3 Gain],Suivi_Gain!$L28)</f>
        <v>0</v>
      </c>
      <c r="W28" s="78">
        <f ca="1">COUNTIFS(Report[Score 3],Suivi_Gain!$L28,Report[Date],"&lt;"&amp;TODAY())</f>
        <v>2</v>
      </c>
      <c r="X28" s="76">
        <f t="shared" ca="1" si="6"/>
        <v>0</v>
      </c>
      <c r="Y28" s="78">
        <f>COUNTIF(Report[SE 4 Gain],Suivi_Gain!$L28)</f>
        <v>0</v>
      </c>
      <c r="Z28" s="78">
        <f ca="1">COUNTIFS(Report[Score 4],Suivi_Gain!$L28,Report[Date],"&lt;"&amp;TODAY())</f>
        <v>0</v>
      </c>
      <c r="AA28" s="76" t="str">
        <f t="shared" ca="1" si="7"/>
        <v/>
      </c>
    </row>
    <row r="29" spans="1:27" ht="24.95" customHeight="1" x14ac:dyDescent="0.25">
      <c r="A29" s="69">
        <v>43446</v>
      </c>
      <c r="B29" s="21">
        <f>COUNTIF(Report[Date],Suivi_SE!$A28)</f>
        <v>0</v>
      </c>
      <c r="C29" s="21">
        <f>COUNTIFS(Report_Données!$A:$A,Suivi_SE!$A28,Report_Données!$S:$S,Suivi_SE!$C$1)</f>
        <v>0</v>
      </c>
      <c r="D29" s="21">
        <f>COUNTIFS(Report_Données!$A:$A,Suivi_SE!$A28,Report_Données!$S:$S,Suivi_SE!$D$1)</f>
        <v>0</v>
      </c>
      <c r="E29" s="70" t="str">
        <f t="shared" si="1"/>
        <v/>
      </c>
      <c r="F29" s="93" t="str">
        <f>IF(AND($C29=0,$D29=0),"",SUMIF(Report_Données!$A:$A,Suivi_Gain!$A29,Report_Données!$X:$X))</f>
        <v/>
      </c>
      <c r="G29" s="71" t="str">
        <f>IF(AND($C29=0,$D29=0),"",SUMIF(Report_Données!$A:$A,Suivi_Gain!$A29,Report_Données!$Y:$Y))</f>
        <v/>
      </c>
      <c r="H29" s="71" t="str">
        <f>IF(AND($C29=0,$D29=0),"",SUMIF(Report_Données!$A:$A,Suivi_Gain!$A29,Report_Données!$Z:$Z))</f>
        <v/>
      </c>
      <c r="I29" s="71" t="str">
        <f>IF(AND($C29=0,$D29=0),"",SUMIF(Report_Données!$A:$A,Suivi_Gain!$A29,Report_Données!$AA:$AA))</f>
        <v/>
      </c>
      <c r="J29" s="71" t="str">
        <f>IF(AND($C29=0,$D29=0),"",SUMIF(Report_Données!$A:$A,Suivi_Gain!$A29,Report_Données!$AB:$AB))</f>
        <v/>
      </c>
      <c r="L29" s="77" t="s">
        <v>852</v>
      </c>
      <c r="M29" s="78">
        <f>COUNTIF(Report[SE Gain],Suivi_Gain!$L29)</f>
        <v>0</v>
      </c>
      <c r="N29" s="78">
        <f t="shared" ca="1" si="3"/>
        <v>1</v>
      </c>
      <c r="O29" s="76">
        <f t="shared" ca="1" si="2"/>
        <v>0</v>
      </c>
      <c r="P29" s="78">
        <f>COUNTIF(Report[SE 1 Gain],Suivi_Gain!$L29)</f>
        <v>0</v>
      </c>
      <c r="Q29" s="78">
        <f ca="1">COUNTIFS(Report[Score 1],Suivi_Gain!$L29,Report[Date],"&lt;"&amp;TODAY())</f>
        <v>0</v>
      </c>
      <c r="R29" s="76" t="str">
        <f t="shared" ca="1" si="4"/>
        <v/>
      </c>
      <c r="S29" s="78">
        <f>COUNTIF(Report[SE 2 Gain],Suivi_Gain!$L29)</f>
        <v>0</v>
      </c>
      <c r="T29" s="78">
        <f ca="1">COUNTIFS(Report[Score 2],Suivi_Gain!$L29,Report[Date],"&lt;"&amp;TODAY())</f>
        <v>1</v>
      </c>
      <c r="U29" s="76">
        <f t="shared" ca="1" si="5"/>
        <v>0</v>
      </c>
      <c r="V29" s="78">
        <f>COUNTIF(Report[SE 3 Gain],Suivi_Gain!$L29)</f>
        <v>0</v>
      </c>
      <c r="W29" s="78">
        <f ca="1">COUNTIFS(Report[Score 3],Suivi_Gain!$L29,Report[Date],"&lt;"&amp;TODAY())</f>
        <v>0</v>
      </c>
      <c r="X29" s="76" t="str">
        <f t="shared" ca="1" si="6"/>
        <v/>
      </c>
      <c r="Y29" s="78">
        <f>COUNTIF(Report[SE 4 Gain],Suivi_Gain!$L29)</f>
        <v>0</v>
      </c>
      <c r="Z29" s="78">
        <f ca="1">COUNTIFS(Report[Score 4],Suivi_Gain!$L29,Report[Date],"&lt;"&amp;TODAY())</f>
        <v>0</v>
      </c>
      <c r="AA29" s="76" t="str">
        <f t="shared" ca="1" si="7"/>
        <v/>
      </c>
    </row>
    <row r="30" spans="1:27" ht="24.95" customHeight="1" x14ac:dyDescent="0.25">
      <c r="A30" s="69">
        <v>43447</v>
      </c>
      <c r="B30" s="21">
        <f>COUNTIF(Report[Date],Suivi_SE!$A29)</f>
        <v>0</v>
      </c>
      <c r="C30" s="21">
        <f>COUNTIFS(Report_Données!$A:$A,Suivi_SE!$A29,Report_Données!$S:$S,Suivi_SE!$C$1)</f>
        <v>0</v>
      </c>
      <c r="D30" s="21">
        <f>COUNTIFS(Report_Données!$A:$A,Suivi_SE!$A29,Report_Données!$S:$S,Suivi_SE!$D$1)</f>
        <v>0</v>
      </c>
      <c r="E30" s="70" t="str">
        <f t="shared" si="1"/>
        <v/>
      </c>
      <c r="F30" s="93" t="str">
        <f>IF(AND($C30=0,$D30=0),"",SUMIF(Report_Données!$A:$A,Suivi_Gain!$A30,Report_Données!$X:$X))</f>
        <v/>
      </c>
      <c r="G30" s="71" t="str">
        <f>IF(AND($C30=0,$D30=0),"",SUMIF(Report_Données!$A:$A,Suivi_Gain!$A30,Report_Données!$Y:$Y))</f>
        <v/>
      </c>
      <c r="H30" s="71" t="str">
        <f>IF(AND($C30=0,$D30=0),"",SUMIF(Report_Données!$A:$A,Suivi_Gain!$A30,Report_Données!$Z:$Z))</f>
        <v/>
      </c>
      <c r="I30" s="71" t="str">
        <f>IF(AND($C30=0,$D30=0),"",SUMIF(Report_Données!$A:$A,Suivi_Gain!$A30,Report_Données!$AA:$AA))</f>
        <v/>
      </c>
      <c r="J30" s="71" t="str">
        <f>IF(AND($C30=0,$D30=0),"",SUMIF(Report_Données!$A:$A,Suivi_Gain!$A30,Report_Données!$AB:$AB))</f>
        <v/>
      </c>
      <c r="L30" s="77" t="s">
        <v>904</v>
      </c>
      <c r="M30" s="78">
        <f>COUNTIF(Report[SE Gain],Suivi_Gain!$L30)</f>
        <v>0</v>
      </c>
      <c r="N30" s="78">
        <f t="shared" ca="1" si="3"/>
        <v>1</v>
      </c>
      <c r="O30" s="76">
        <f t="shared" ca="1" si="2"/>
        <v>0</v>
      </c>
      <c r="P30" s="78">
        <f>COUNTIF(Report[SE 1 Gain],Suivi_Gain!$L30)</f>
        <v>0</v>
      </c>
      <c r="Q30" s="78">
        <f ca="1">COUNTIFS(Report[Score 1],Suivi_Gain!$L30,Report[Date],"&lt;"&amp;TODAY())</f>
        <v>1</v>
      </c>
      <c r="R30" s="76">
        <f t="shared" ca="1" si="4"/>
        <v>0</v>
      </c>
      <c r="S30" s="78">
        <f>COUNTIF(Report[SE 2 Gain],Suivi_Gain!$L30)</f>
        <v>0</v>
      </c>
      <c r="T30" s="78">
        <f ca="1">COUNTIFS(Report[Score 2],Suivi_Gain!$L30,Report[Date],"&lt;"&amp;TODAY())</f>
        <v>0</v>
      </c>
      <c r="U30" s="76" t="str">
        <f t="shared" ca="1" si="5"/>
        <v/>
      </c>
      <c r="V30" s="78">
        <f>COUNTIF(Report[SE 3 Gain],Suivi_Gain!$L30)</f>
        <v>0</v>
      </c>
      <c r="W30" s="78">
        <f ca="1">COUNTIFS(Report[Score 3],Suivi_Gain!$L30,Report[Date],"&lt;"&amp;TODAY())</f>
        <v>0</v>
      </c>
      <c r="X30" s="76" t="str">
        <f t="shared" ca="1" si="6"/>
        <v/>
      </c>
      <c r="Y30" s="78">
        <f>COUNTIF(Report[SE 4 Gain],Suivi_Gain!$L30)</f>
        <v>0</v>
      </c>
      <c r="Z30" s="78">
        <f ca="1">COUNTIFS(Report[Score 4],Suivi_Gain!$L30,Report[Date],"&lt;"&amp;TODAY())</f>
        <v>0</v>
      </c>
      <c r="AA30" s="76" t="str">
        <f t="shared" ca="1" si="7"/>
        <v/>
      </c>
    </row>
    <row r="31" spans="1:27" ht="24.95" customHeight="1" x14ac:dyDescent="0.25">
      <c r="A31" s="69">
        <v>43448</v>
      </c>
      <c r="B31" s="21">
        <f>COUNTIF(Report[Date],Suivi_SE!$A30)</f>
        <v>0</v>
      </c>
      <c r="C31" s="21">
        <f>COUNTIFS(Report_Données!$A:$A,Suivi_SE!$A30,Report_Données!$S:$S,Suivi_SE!$C$1)</f>
        <v>0</v>
      </c>
      <c r="D31" s="21">
        <f>COUNTIFS(Report_Données!$A:$A,Suivi_SE!$A30,Report_Données!$S:$S,Suivi_SE!$D$1)</f>
        <v>0</v>
      </c>
      <c r="E31" s="70" t="str">
        <f t="shared" si="1"/>
        <v/>
      </c>
      <c r="F31" s="93" t="str">
        <f>IF(AND($C31=0,$D31=0),"",SUMIF(Report_Données!$A:$A,Suivi_Gain!$A31,Report_Données!$X:$X))</f>
        <v/>
      </c>
      <c r="G31" s="71" t="str">
        <f>IF(AND($C31=0,$D31=0),"",SUMIF(Report_Données!$A:$A,Suivi_Gain!$A31,Report_Données!$Y:$Y))</f>
        <v/>
      </c>
      <c r="H31" s="71" t="str">
        <f>IF(AND($C31=0,$D31=0),"",SUMIF(Report_Données!$A:$A,Suivi_Gain!$A31,Report_Données!$Z:$Z))</f>
        <v/>
      </c>
      <c r="I31" s="71" t="str">
        <f>IF(AND($C31=0,$D31=0),"",SUMIF(Report_Données!$A:$A,Suivi_Gain!$A31,Report_Données!$AA:$AA))</f>
        <v/>
      </c>
      <c r="J31" s="71" t="str">
        <f>IF(AND($C31=0,$D31=0),"",SUMIF(Report_Données!$A:$A,Suivi_Gain!$A31,Report_Données!$AB:$AB))</f>
        <v/>
      </c>
      <c r="L31" s="77" t="s">
        <v>851</v>
      </c>
      <c r="M31" s="78">
        <f>COUNTIF(Report[SE Gain],Suivi_Gain!$L31)</f>
        <v>0</v>
      </c>
      <c r="N31" s="78">
        <f t="shared" ca="1" si="3"/>
        <v>4</v>
      </c>
      <c r="O31" s="76">
        <f t="shared" ca="1" si="2"/>
        <v>0</v>
      </c>
      <c r="P31" s="78">
        <f>COUNTIF(Report[SE 1 Gain],Suivi_Gain!$L31)</f>
        <v>0</v>
      </c>
      <c r="Q31" s="78">
        <f ca="1">COUNTIFS(Report[Score 1],Suivi_Gain!$L31,Report[Date],"&lt;"&amp;TODAY())</f>
        <v>2</v>
      </c>
      <c r="R31" s="76">
        <f t="shared" ca="1" si="4"/>
        <v>0</v>
      </c>
      <c r="S31" s="78">
        <f>COUNTIF(Report[SE 2 Gain],Suivi_Gain!$L31)</f>
        <v>0</v>
      </c>
      <c r="T31" s="78">
        <f ca="1">COUNTIFS(Report[Score 2],Suivi_Gain!$L31,Report[Date],"&lt;"&amp;TODAY())</f>
        <v>0</v>
      </c>
      <c r="U31" s="76" t="str">
        <f t="shared" ca="1" si="5"/>
        <v/>
      </c>
      <c r="V31" s="78">
        <f>COUNTIF(Report[SE 3 Gain],Suivi_Gain!$L31)</f>
        <v>0</v>
      </c>
      <c r="W31" s="78">
        <f ca="1">COUNTIFS(Report[Score 3],Suivi_Gain!$L31,Report[Date],"&lt;"&amp;TODAY())</f>
        <v>2</v>
      </c>
      <c r="X31" s="76">
        <f t="shared" ca="1" si="6"/>
        <v>0</v>
      </c>
      <c r="Y31" s="78">
        <f>COUNTIF(Report[SE 4 Gain],Suivi_Gain!$L31)</f>
        <v>0</v>
      </c>
      <c r="Z31" s="78">
        <f ca="1">COUNTIFS(Report[Score 4],Suivi_Gain!$L31,Report[Date],"&lt;"&amp;TODAY())</f>
        <v>0</v>
      </c>
      <c r="AA31" s="76" t="str">
        <f t="shared" ca="1" si="7"/>
        <v/>
      </c>
    </row>
    <row r="32" spans="1:27" ht="24.95" customHeight="1" x14ac:dyDescent="0.25">
      <c r="A32" s="69">
        <v>43449</v>
      </c>
      <c r="B32" s="21">
        <f>COUNTIF(Report[Date],Suivi_SE!$A31)</f>
        <v>0</v>
      </c>
      <c r="C32" s="21">
        <f>COUNTIFS(Report_Données!$A:$A,Suivi_SE!$A31,Report_Données!$S:$S,Suivi_SE!$C$1)</f>
        <v>0</v>
      </c>
      <c r="D32" s="21">
        <f>COUNTIFS(Report_Données!$A:$A,Suivi_SE!$A31,Report_Données!$S:$S,Suivi_SE!$D$1)</f>
        <v>0</v>
      </c>
      <c r="E32" s="70" t="str">
        <f t="shared" si="1"/>
        <v/>
      </c>
      <c r="F32" s="93" t="str">
        <f>IF(AND($C32=0,$D32=0),"",SUMIF(Report_Données!$A:$A,Suivi_Gain!$A32,Report_Données!$X:$X))</f>
        <v/>
      </c>
      <c r="G32" s="71" t="str">
        <f>IF(AND($C32=0,$D32=0),"",SUMIF(Report_Données!$A:$A,Suivi_Gain!$A32,Report_Données!$Y:$Y))</f>
        <v/>
      </c>
      <c r="H32" s="71" t="str">
        <f>IF(AND($C32=0,$D32=0),"",SUMIF(Report_Données!$A:$A,Suivi_Gain!$A32,Report_Données!$Z:$Z))</f>
        <v/>
      </c>
      <c r="I32" s="71" t="str">
        <f>IF(AND($C32=0,$D32=0),"",SUMIF(Report_Données!$A:$A,Suivi_Gain!$A32,Report_Données!$AA:$AA))</f>
        <v/>
      </c>
      <c r="J32" s="71" t="str">
        <f>IF(AND($C32=0,$D32=0),"",SUMIF(Report_Données!$A:$A,Suivi_Gain!$A32,Report_Données!$AB:$AB))</f>
        <v/>
      </c>
      <c r="L32" s="77" t="s">
        <v>914</v>
      </c>
      <c r="M32" s="78">
        <f>COUNTIF(Report[SE Gain],Suivi_Gain!$L32)</f>
        <v>0</v>
      </c>
      <c r="N32" s="78">
        <f t="shared" ca="1" si="3"/>
        <v>0</v>
      </c>
      <c r="O32" s="76" t="str">
        <f t="shared" ca="1" si="2"/>
        <v/>
      </c>
      <c r="P32" s="78">
        <f>COUNTIF(Report[SE 1 Gain],Suivi_Gain!$L32)</f>
        <v>0</v>
      </c>
      <c r="Q32" s="78">
        <f ca="1">COUNTIFS(Report[Score 1],Suivi_Gain!$L32,Report[Date],"&lt;"&amp;TODAY())</f>
        <v>0</v>
      </c>
      <c r="R32" s="76" t="str">
        <f t="shared" ca="1" si="4"/>
        <v/>
      </c>
      <c r="S32" s="78">
        <f>COUNTIF(Report[SE 2 Gain],Suivi_Gain!$L32)</f>
        <v>0</v>
      </c>
      <c r="T32" s="78">
        <f ca="1">COUNTIFS(Report[Score 2],Suivi_Gain!$L32,Report[Date],"&lt;"&amp;TODAY())</f>
        <v>0</v>
      </c>
      <c r="U32" s="76" t="str">
        <f t="shared" ca="1" si="5"/>
        <v/>
      </c>
      <c r="V32" s="78">
        <f>COUNTIF(Report[SE 3 Gain],Suivi_Gain!$L32)</f>
        <v>0</v>
      </c>
      <c r="W32" s="78">
        <f ca="1">COUNTIFS(Report[Score 3],Suivi_Gain!$L32,Report[Date],"&lt;"&amp;TODAY())</f>
        <v>0</v>
      </c>
      <c r="X32" s="76" t="str">
        <f t="shared" ca="1" si="6"/>
        <v/>
      </c>
      <c r="Y32" s="78">
        <f>COUNTIF(Report[SE 4 Gain],Suivi_Gain!$L32)</f>
        <v>0</v>
      </c>
      <c r="Z32" s="78">
        <f ca="1">COUNTIFS(Report[Score 4],Suivi_Gain!$L32,Report[Date],"&lt;"&amp;TODAY())</f>
        <v>0</v>
      </c>
      <c r="AA32" s="76" t="str">
        <f t="shared" ca="1" si="7"/>
        <v/>
      </c>
    </row>
    <row r="33" spans="1:27" ht="24.95" customHeight="1" x14ac:dyDescent="0.25">
      <c r="A33" s="69">
        <v>43450</v>
      </c>
      <c r="B33" s="21">
        <f>COUNTIF(Report[Date],Suivi_SE!$A32)</f>
        <v>0</v>
      </c>
      <c r="C33" s="21">
        <f>COUNTIFS(Report_Données!$A:$A,Suivi_SE!$A32,Report_Données!$S:$S,Suivi_SE!$C$1)</f>
        <v>0</v>
      </c>
      <c r="D33" s="21">
        <f>COUNTIFS(Report_Données!$A:$A,Suivi_SE!$A32,Report_Données!$S:$S,Suivi_SE!$D$1)</f>
        <v>0</v>
      </c>
      <c r="E33" s="70" t="str">
        <f t="shared" si="1"/>
        <v/>
      </c>
      <c r="F33" s="93" t="str">
        <f>IF(AND($C33=0,$D33=0),"",SUMIF(Report_Données!$A:$A,Suivi_Gain!$A33,Report_Données!$X:$X))</f>
        <v/>
      </c>
      <c r="G33" s="71" t="str">
        <f>IF(AND($C33=0,$D33=0),"",SUMIF(Report_Données!$A:$A,Suivi_Gain!$A33,Report_Données!$Y:$Y))</f>
        <v/>
      </c>
      <c r="H33" s="71" t="str">
        <f>IF(AND($C33=0,$D33=0),"",SUMIF(Report_Données!$A:$A,Suivi_Gain!$A33,Report_Données!$Z:$Z))</f>
        <v/>
      </c>
      <c r="I33" s="71" t="str">
        <f>IF(AND($C33=0,$D33=0),"",SUMIF(Report_Données!$A:$A,Suivi_Gain!$A33,Report_Données!$AA:$AA))</f>
        <v/>
      </c>
      <c r="J33" s="71" t="str">
        <f>IF(AND($C33=0,$D33=0),"",SUMIF(Report_Données!$A:$A,Suivi_Gain!$A33,Report_Données!$AB:$AB))</f>
        <v/>
      </c>
      <c r="L33" s="77" t="s">
        <v>915</v>
      </c>
      <c r="M33" s="78">
        <f>COUNTIF(Report[SE Gain],Suivi_Gain!$L33)</f>
        <v>0</v>
      </c>
      <c r="N33" s="78">
        <f t="shared" ca="1" si="3"/>
        <v>0</v>
      </c>
      <c r="O33" s="76" t="str">
        <f t="shared" ca="1" si="2"/>
        <v/>
      </c>
      <c r="P33" s="78">
        <f>COUNTIF(Report[SE 1 Gain],Suivi_Gain!$L33)</f>
        <v>0</v>
      </c>
      <c r="Q33" s="78">
        <f ca="1">COUNTIFS(Report[Score 1],Suivi_Gain!$L33,Report[Date],"&lt;"&amp;TODAY())</f>
        <v>0</v>
      </c>
      <c r="R33" s="76" t="str">
        <f t="shared" ca="1" si="4"/>
        <v/>
      </c>
      <c r="S33" s="78">
        <f>COUNTIF(Report[SE 2 Gain],Suivi_Gain!$L33)</f>
        <v>0</v>
      </c>
      <c r="T33" s="78">
        <f ca="1">COUNTIFS(Report[Score 2],Suivi_Gain!$L33,Report[Date],"&lt;"&amp;TODAY())</f>
        <v>0</v>
      </c>
      <c r="U33" s="76" t="str">
        <f t="shared" ca="1" si="5"/>
        <v/>
      </c>
      <c r="V33" s="78">
        <f>COUNTIF(Report[SE 3 Gain],Suivi_Gain!$L33)</f>
        <v>0</v>
      </c>
      <c r="W33" s="78">
        <f ca="1">COUNTIFS(Report[Score 3],Suivi_Gain!$L33,Report[Date],"&lt;"&amp;TODAY())</f>
        <v>0</v>
      </c>
      <c r="X33" s="76" t="str">
        <f t="shared" ca="1" si="6"/>
        <v/>
      </c>
      <c r="Y33" s="78">
        <f>COUNTIF(Report[SE 4 Gain],Suivi_Gain!$L33)</f>
        <v>0</v>
      </c>
      <c r="Z33" s="78">
        <f ca="1">COUNTIFS(Report[Score 4],Suivi_Gain!$L33,Report[Date],"&lt;"&amp;TODAY())</f>
        <v>0</v>
      </c>
      <c r="AA33" s="76" t="str">
        <f t="shared" ca="1" si="7"/>
        <v/>
      </c>
    </row>
    <row r="34" spans="1:27" ht="24.95" customHeight="1" x14ac:dyDescent="0.25">
      <c r="A34" s="69">
        <v>43451</v>
      </c>
      <c r="B34" s="21">
        <f>COUNTIF(Report[Date],Suivi_SE!$A33)</f>
        <v>0</v>
      </c>
      <c r="C34" s="21">
        <f>COUNTIFS(Report_Données!$A:$A,Suivi_SE!$A33,Report_Données!$S:$S,Suivi_SE!$C$1)</f>
        <v>0</v>
      </c>
      <c r="D34" s="21">
        <f>COUNTIFS(Report_Données!$A:$A,Suivi_SE!$A33,Report_Données!$S:$S,Suivi_SE!$D$1)</f>
        <v>0</v>
      </c>
      <c r="E34" s="70" t="str">
        <f t="shared" si="1"/>
        <v/>
      </c>
      <c r="F34" s="93" t="str">
        <f>IF(AND($C34=0,$D34=0),"",SUMIF(Report_Données!$A:$A,Suivi_Gain!$A34,Report_Données!$X:$X))</f>
        <v/>
      </c>
      <c r="G34" s="71" t="str">
        <f>IF(AND($C34=0,$D34=0),"",SUMIF(Report_Données!$A:$A,Suivi_Gain!$A34,Report_Données!$Y:$Y))</f>
        <v/>
      </c>
      <c r="H34" s="71" t="str">
        <f>IF(AND($C34=0,$D34=0),"",SUMIF(Report_Données!$A:$A,Suivi_Gain!$A34,Report_Données!$Z:$Z))</f>
        <v/>
      </c>
      <c r="I34" s="71" t="str">
        <f>IF(AND($C34=0,$D34=0),"",SUMIF(Report_Données!$A:$A,Suivi_Gain!$A34,Report_Données!$AA:$AA))</f>
        <v/>
      </c>
      <c r="J34" s="71" t="str">
        <f>IF(AND($C34=0,$D34=0),"",SUMIF(Report_Données!$A:$A,Suivi_Gain!$A34,Report_Données!$AB:$AB))</f>
        <v/>
      </c>
    </row>
    <row r="35" spans="1:27" ht="24.95" customHeight="1" x14ac:dyDescent="0.25">
      <c r="A35" s="69">
        <v>43452</v>
      </c>
      <c r="B35" s="21">
        <f>COUNTIF(Report[Date],Suivi_SE!$A34)</f>
        <v>0</v>
      </c>
      <c r="C35" s="21">
        <f>COUNTIFS(Report_Données!$A:$A,Suivi_SE!$A34,Report_Données!$S:$S,Suivi_SE!$C$1)</f>
        <v>0</v>
      </c>
      <c r="D35" s="21">
        <f>COUNTIFS(Report_Données!$A:$A,Suivi_SE!$A34,Report_Données!$S:$S,Suivi_SE!$D$1)</f>
        <v>0</v>
      </c>
      <c r="E35" s="70" t="str">
        <f t="shared" si="1"/>
        <v/>
      </c>
      <c r="F35" s="93" t="str">
        <f>IF(AND($C35=0,$D35=0),"",SUMIF(Report_Données!$A:$A,Suivi_Gain!$A35,Report_Données!$X:$X))</f>
        <v/>
      </c>
      <c r="G35" s="71" t="str">
        <f>IF(AND($C35=0,$D35=0),"",SUMIF(Report_Données!$A:$A,Suivi_Gain!$A35,Report_Données!$Y:$Y))</f>
        <v/>
      </c>
      <c r="H35" s="71" t="str">
        <f>IF(AND($C35=0,$D35=0),"",SUMIF(Report_Données!$A:$A,Suivi_Gain!$A35,Report_Données!$Z:$Z))</f>
        <v/>
      </c>
      <c r="I35" s="71" t="str">
        <f>IF(AND($C35=0,$D35=0),"",SUMIF(Report_Données!$A:$A,Suivi_Gain!$A35,Report_Données!$AA:$AA))</f>
        <v/>
      </c>
      <c r="J35" s="71" t="str">
        <f>IF(AND($C35=0,$D35=0),"",SUMIF(Report_Données!$A:$A,Suivi_Gain!$A35,Report_Données!$AB:$AB))</f>
        <v/>
      </c>
    </row>
    <row r="36" spans="1:27" ht="24.95" customHeight="1" x14ac:dyDescent="0.25">
      <c r="A36" s="69">
        <v>43453</v>
      </c>
      <c r="B36" s="21">
        <f>COUNTIF(Report[Date],Suivi_SE!$A35)</f>
        <v>0</v>
      </c>
      <c r="C36" s="21">
        <f>COUNTIFS(Report_Données!$A:$A,Suivi_SE!$A35,Report_Données!$S:$S,Suivi_SE!$C$1)</f>
        <v>0</v>
      </c>
      <c r="D36" s="21">
        <f>COUNTIFS(Report_Données!$A:$A,Suivi_SE!$A35,Report_Données!$S:$S,Suivi_SE!$D$1)</f>
        <v>0</v>
      </c>
      <c r="E36" s="70" t="str">
        <f t="shared" si="1"/>
        <v/>
      </c>
      <c r="F36" s="93" t="str">
        <f>IF(AND($C36=0,$D36=0),"",SUMIF(Report_Données!$A:$A,Suivi_Gain!$A36,Report_Données!$X:$X))</f>
        <v/>
      </c>
      <c r="G36" s="71" t="str">
        <f>IF(AND($C36=0,$D36=0),"",SUMIF(Report_Données!$A:$A,Suivi_Gain!$A36,Report_Données!$Y:$Y))</f>
        <v/>
      </c>
      <c r="H36" s="71" t="str">
        <f>IF(AND($C36=0,$D36=0),"",SUMIF(Report_Données!$A:$A,Suivi_Gain!$A36,Report_Données!$Z:$Z))</f>
        <v/>
      </c>
      <c r="I36" s="71" t="str">
        <f>IF(AND($C36=0,$D36=0),"",SUMIF(Report_Données!$A:$A,Suivi_Gain!$A36,Report_Données!$AA:$AA))</f>
        <v/>
      </c>
      <c r="J36" s="71" t="str">
        <f>IF(AND($C36=0,$D36=0),"",SUMIF(Report_Données!$A:$A,Suivi_Gain!$A36,Report_Données!$AB:$AB))</f>
        <v/>
      </c>
    </row>
    <row r="37" spans="1:27" ht="24.95" customHeight="1" x14ac:dyDescent="0.25">
      <c r="A37" s="69">
        <v>43454</v>
      </c>
      <c r="B37" s="21">
        <f>COUNTIF(Report[Date],Suivi_SE!$A36)</f>
        <v>0</v>
      </c>
      <c r="C37" s="21">
        <f>COUNTIFS(Report_Données!$A:$A,Suivi_SE!$A36,Report_Données!$S:$S,Suivi_SE!$C$1)</f>
        <v>0</v>
      </c>
      <c r="D37" s="21">
        <f>COUNTIFS(Report_Données!$A:$A,Suivi_SE!$A36,Report_Données!$S:$S,Suivi_SE!$D$1)</f>
        <v>0</v>
      </c>
      <c r="E37" s="70" t="str">
        <f t="shared" si="1"/>
        <v/>
      </c>
      <c r="F37" s="93" t="str">
        <f>IF(AND($C37=0,$D37=0),"",SUMIF(Report_Données!$A:$A,Suivi_Gain!$A37,Report_Données!$X:$X))</f>
        <v/>
      </c>
      <c r="G37" s="71" t="str">
        <f>IF(AND($C37=0,$D37=0),"",SUMIF(Report_Données!$A:$A,Suivi_Gain!$A37,Report_Données!$Y:$Y))</f>
        <v/>
      </c>
      <c r="H37" s="71" t="str">
        <f>IF(AND($C37=0,$D37=0),"",SUMIF(Report_Données!$A:$A,Suivi_Gain!$A37,Report_Données!$Z:$Z))</f>
        <v/>
      </c>
      <c r="I37" s="71" t="str">
        <f>IF(AND($C37=0,$D37=0),"",SUMIF(Report_Données!$A:$A,Suivi_Gain!$A37,Report_Données!$AA:$AA))</f>
        <v/>
      </c>
      <c r="J37" s="71" t="str">
        <f>IF(AND($C37=0,$D37=0),"",SUMIF(Report_Données!$A:$A,Suivi_Gain!$A37,Report_Données!$AB:$AB))</f>
        <v/>
      </c>
    </row>
    <row r="38" spans="1:27" ht="24.95" customHeight="1" x14ac:dyDescent="0.25">
      <c r="A38" s="69">
        <v>43455</v>
      </c>
      <c r="B38" s="21">
        <f>COUNTIF(Report[Date],Suivi_SE!$A37)</f>
        <v>0</v>
      </c>
      <c r="C38" s="21">
        <f>COUNTIFS(Report_Données!$A:$A,Suivi_SE!$A37,Report_Données!$S:$S,Suivi_SE!$C$1)</f>
        <v>0</v>
      </c>
      <c r="D38" s="21">
        <f>COUNTIFS(Report_Données!$A:$A,Suivi_SE!$A37,Report_Données!$S:$S,Suivi_SE!$D$1)</f>
        <v>0</v>
      </c>
      <c r="E38" s="70" t="str">
        <f t="shared" si="1"/>
        <v/>
      </c>
      <c r="F38" s="93" t="str">
        <f>IF(AND($C38=0,$D38=0),"",SUMIF(Report_Données!$A:$A,Suivi_Gain!$A38,Report_Données!$X:$X))</f>
        <v/>
      </c>
      <c r="G38" s="71" t="str">
        <f>IF(AND($C38=0,$D38=0),"",SUMIF(Report_Données!$A:$A,Suivi_Gain!$A38,Report_Données!$Y:$Y))</f>
        <v/>
      </c>
      <c r="H38" s="71" t="str">
        <f>IF(AND($C38=0,$D38=0),"",SUMIF(Report_Données!$A:$A,Suivi_Gain!$A38,Report_Données!$Z:$Z))</f>
        <v/>
      </c>
      <c r="I38" s="71" t="str">
        <f>IF(AND($C38=0,$D38=0),"",SUMIF(Report_Données!$A:$A,Suivi_Gain!$A38,Report_Données!$AA:$AA))</f>
        <v/>
      </c>
      <c r="J38" s="71" t="str">
        <f>IF(AND($C38=0,$D38=0),"",SUMIF(Report_Données!$A:$A,Suivi_Gain!$A38,Report_Données!$AB:$AB))</f>
        <v/>
      </c>
    </row>
    <row r="39" spans="1:27" ht="24.95" customHeight="1" x14ac:dyDescent="0.25">
      <c r="A39" s="69">
        <v>43456</v>
      </c>
      <c r="B39" s="21">
        <f>COUNTIF(Report[Date],Suivi_SE!$A38)</f>
        <v>0</v>
      </c>
      <c r="C39" s="21">
        <f>COUNTIFS(Report_Données!$A:$A,Suivi_SE!$A38,Report_Données!$S:$S,Suivi_SE!$C$1)</f>
        <v>0</v>
      </c>
      <c r="D39" s="21">
        <f>COUNTIFS(Report_Données!$A:$A,Suivi_SE!$A38,Report_Données!$S:$S,Suivi_SE!$D$1)</f>
        <v>0</v>
      </c>
      <c r="E39" s="70" t="str">
        <f t="shared" si="1"/>
        <v/>
      </c>
      <c r="F39" s="93" t="str">
        <f>IF(AND($C39=0,$D39=0),"",SUMIF(Report_Données!$A:$A,Suivi_Gain!$A39,Report_Données!$X:$X))</f>
        <v/>
      </c>
      <c r="G39" s="71" t="str">
        <f>IF(AND($C39=0,$D39=0),"",SUMIF(Report_Données!$A:$A,Suivi_Gain!$A39,Report_Données!$Y:$Y))</f>
        <v/>
      </c>
      <c r="H39" s="71" t="str">
        <f>IF(AND($C39=0,$D39=0),"",SUMIF(Report_Données!$A:$A,Suivi_Gain!$A39,Report_Données!$Z:$Z))</f>
        <v/>
      </c>
      <c r="I39" s="71" t="str">
        <f>IF(AND($C39=0,$D39=0),"",SUMIF(Report_Données!$A:$A,Suivi_Gain!$A39,Report_Données!$AA:$AA))</f>
        <v/>
      </c>
      <c r="J39" s="71" t="str">
        <f>IF(AND($C39=0,$D39=0),"",SUMIF(Report_Données!$A:$A,Suivi_Gain!$A39,Report_Données!$AB:$AB))</f>
        <v/>
      </c>
    </row>
    <row r="40" spans="1:27" ht="24.95" customHeight="1" x14ac:dyDescent="0.25">
      <c r="A40" s="69">
        <v>43457</v>
      </c>
      <c r="B40" s="21">
        <f>COUNTIF(Report[Date],Suivi_SE!$A39)</f>
        <v>0</v>
      </c>
      <c r="C40" s="21">
        <f>COUNTIFS(Report_Données!$A:$A,Suivi_SE!$A39,Report_Données!$S:$S,Suivi_SE!$C$1)</f>
        <v>0</v>
      </c>
      <c r="D40" s="21">
        <f>COUNTIFS(Report_Données!$A:$A,Suivi_SE!$A39,Report_Données!$S:$S,Suivi_SE!$D$1)</f>
        <v>0</v>
      </c>
      <c r="E40" s="70" t="str">
        <f t="shared" si="1"/>
        <v/>
      </c>
      <c r="F40" s="93" t="str">
        <f>IF(AND($C40=0,$D40=0),"",SUMIF(Report_Données!$A:$A,Suivi_Gain!$A40,Report_Données!$X:$X))</f>
        <v/>
      </c>
      <c r="G40" s="71" t="str">
        <f>IF(AND($C40=0,$D40=0),"",SUMIF(Report_Données!$A:$A,Suivi_Gain!$A40,Report_Données!$Y:$Y))</f>
        <v/>
      </c>
      <c r="H40" s="71" t="str">
        <f>IF(AND($C40=0,$D40=0),"",SUMIF(Report_Données!$A:$A,Suivi_Gain!$A40,Report_Données!$Z:$Z))</f>
        <v/>
      </c>
      <c r="I40" s="71" t="str">
        <f>IF(AND($C40=0,$D40=0),"",SUMIF(Report_Données!$A:$A,Suivi_Gain!$A40,Report_Données!$AA:$AA))</f>
        <v/>
      </c>
      <c r="J40" s="71" t="str">
        <f>IF(AND($C40=0,$D40=0),"",SUMIF(Report_Données!$A:$A,Suivi_Gain!$A40,Report_Données!$AB:$AB))</f>
        <v/>
      </c>
    </row>
    <row r="41" spans="1:27" ht="24.95" customHeight="1" x14ac:dyDescent="0.25">
      <c r="A41" s="69">
        <v>43458</v>
      </c>
      <c r="B41" s="21">
        <f>COUNTIF(Report[Date],Suivi_SE!$A40)</f>
        <v>0</v>
      </c>
      <c r="C41" s="21">
        <f>COUNTIFS(Report_Données!$A:$A,Suivi_SE!$A40,Report_Données!$S:$S,Suivi_SE!$C$1)</f>
        <v>0</v>
      </c>
      <c r="D41" s="21">
        <f>COUNTIFS(Report_Données!$A:$A,Suivi_SE!$A40,Report_Données!$S:$S,Suivi_SE!$D$1)</f>
        <v>0</v>
      </c>
      <c r="E41" s="70" t="str">
        <f t="shared" si="1"/>
        <v/>
      </c>
      <c r="F41" s="93" t="str">
        <f>IF(AND($C41=0,$D41=0),"",SUMIF(Report_Données!$A:$A,Suivi_Gain!$A41,Report_Données!$X:$X))</f>
        <v/>
      </c>
      <c r="G41" s="71" t="str">
        <f>IF(AND($C41=0,$D41=0),"",SUMIF(Report_Données!$A:$A,Suivi_Gain!$A41,Report_Données!$Y:$Y))</f>
        <v/>
      </c>
      <c r="H41" s="71" t="str">
        <f>IF(AND($C41=0,$D41=0),"",SUMIF(Report_Données!$A:$A,Suivi_Gain!$A41,Report_Données!$Z:$Z))</f>
        <v/>
      </c>
      <c r="I41" s="71" t="str">
        <f>IF(AND($C41=0,$D41=0),"",SUMIF(Report_Données!$A:$A,Suivi_Gain!$A41,Report_Données!$AA:$AA))</f>
        <v/>
      </c>
      <c r="J41" s="71" t="str">
        <f>IF(AND($C41=0,$D41=0),"",SUMIF(Report_Données!$A:$A,Suivi_Gain!$A41,Report_Données!$AB:$AB))</f>
        <v/>
      </c>
    </row>
    <row r="42" spans="1:27" ht="24.95" customHeight="1" x14ac:dyDescent="0.25">
      <c r="A42" s="69">
        <v>43459</v>
      </c>
      <c r="B42" s="21">
        <f>COUNTIF(Report[Date],Suivi_SE!$A41)</f>
        <v>0</v>
      </c>
      <c r="C42" s="21">
        <f>COUNTIFS(Report_Données!$A:$A,Suivi_SE!$A41,Report_Données!$S:$S,Suivi_SE!$C$1)</f>
        <v>0</v>
      </c>
      <c r="D42" s="21">
        <f>COUNTIFS(Report_Données!$A:$A,Suivi_SE!$A41,Report_Données!$S:$S,Suivi_SE!$D$1)</f>
        <v>0</v>
      </c>
      <c r="E42" s="70" t="str">
        <f t="shared" si="1"/>
        <v/>
      </c>
      <c r="F42" s="93" t="str">
        <f>IF(AND($C42=0,$D42=0),"",SUMIF(Report_Données!$A:$A,Suivi_Gain!$A42,Report_Données!$X:$X))</f>
        <v/>
      </c>
      <c r="G42" s="71" t="str">
        <f>IF(AND($C42=0,$D42=0),"",SUMIF(Report_Données!$A:$A,Suivi_Gain!$A42,Report_Données!$Y:$Y))</f>
        <v/>
      </c>
      <c r="H42" s="71" t="str">
        <f>IF(AND($C42=0,$D42=0),"",SUMIF(Report_Données!$A:$A,Suivi_Gain!$A42,Report_Données!$Z:$Z))</f>
        <v/>
      </c>
      <c r="I42" s="71" t="str">
        <f>IF(AND($C42=0,$D42=0),"",SUMIF(Report_Données!$A:$A,Suivi_Gain!$A42,Report_Données!$AA:$AA))</f>
        <v/>
      </c>
      <c r="J42" s="71" t="str">
        <f>IF(AND($C42=0,$D42=0),"",SUMIF(Report_Données!$A:$A,Suivi_Gain!$A42,Report_Données!$AB:$AB))</f>
        <v/>
      </c>
    </row>
    <row r="43" spans="1:27" ht="24.95" customHeight="1" x14ac:dyDescent="0.25">
      <c r="A43" s="69">
        <v>43460</v>
      </c>
      <c r="B43" s="21">
        <f>COUNTIF(Report[Date],Suivi_SE!$A42)</f>
        <v>0</v>
      </c>
      <c r="C43" s="21">
        <f>COUNTIFS(Report_Données!$A:$A,Suivi_SE!$A42,Report_Données!$S:$S,Suivi_SE!$C$1)</f>
        <v>0</v>
      </c>
      <c r="D43" s="21">
        <f>COUNTIFS(Report_Données!$A:$A,Suivi_SE!$A42,Report_Données!$S:$S,Suivi_SE!$D$1)</f>
        <v>0</v>
      </c>
      <c r="E43" s="70" t="str">
        <f t="shared" si="1"/>
        <v/>
      </c>
      <c r="F43" s="93" t="str">
        <f>IF(AND($C43=0,$D43=0),"",SUMIF(Report_Données!$A:$A,Suivi_Gain!$A43,Report_Données!$X:$X))</f>
        <v/>
      </c>
      <c r="G43" s="71" t="str">
        <f>IF(AND($C43=0,$D43=0),"",SUMIF(Report_Données!$A:$A,Suivi_Gain!$A43,Report_Données!$Y:$Y))</f>
        <v/>
      </c>
      <c r="H43" s="71" t="str">
        <f>IF(AND($C43=0,$D43=0),"",SUMIF(Report_Données!$A:$A,Suivi_Gain!$A43,Report_Données!$Z:$Z))</f>
        <v/>
      </c>
      <c r="I43" s="71" t="str">
        <f>IF(AND($C43=0,$D43=0),"",SUMIF(Report_Données!$A:$A,Suivi_Gain!$A43,Report_Données!$AA:$AA))</f>
        <v/>
      </c>
      <c r="J43" s="71" t="str">
        <f>IF(AND($C43=0,$D43=0),"",SUMIF(Report_Données!$A:$A,Suivi_Gain!$A43,Report_Données!$AB:$AB))</f>
        <v/>
      </c>
    </row>
    <row r="44" spans="1:27" ht="24.95" customHeight="1" x14ac:dyDescent="0.25">
      <c r="A44" s="69">
        <v>43461</v>
      </c>
      <c r="B44" s="21">
        <f>COUNTIF(Report[Date],Suivi_SE!$A43)</f>
        <v>0</v>
      </c>
      <c r="C44" s="21">
        <f>COUNTIFS(Report_Données!$A:$A,Suivi_SE!$A43,Report_Données!$S:$S,Suivi_SE!$C$1)</f>
        <v>0</v>
      </c>
      <c r="D44" s="21">
        <f>COUNTIFS(Report_Données!$A:$A,Suivi_SE!$A43,Report_Données!$S:$S,Suivi_SE!$D$1)</f>
        <v>0</v>
      </c>
      <c r="E44" s="70" t="str">
        <f t="shared" si="1"/>
        <v/>
      </c>
      <c r="F44" s="93" t="str">
        <f>IF(AND($C44=0,$D44=0),"",SUMIF(Report_Données!$A:$A,Suivi_Gain!$A44,Report_Données!$X:$X))</f>
        <v/>
      </c>
      <c r="G44" s="71" t="str">
        <f>IF(AND($C44=0,$D44=0),"",SUMIF(Report_Données!$A:$A,Suivi_Gain!$A44,Report_Données!$Y:$Y))</f>
        <v/>
      </c>
      <c r="H44" s="71" t="str">
        <f>IF(AND($C44=0,$D44=0),"",SUMIF(Report_Données!$A:$A,Suivi_Gain!$A44,Report_Données!$Z:$Z))</f>
        <v/>
      </c>
      <c r="I44" s="71" t="str">
        <f>IF(AND($C44=0,$D44=0),"",SUMIF(Report_Données!$A:$A,Suivi_Gain!$A44,Report_Données!$AA:$AA))</f>
        <v/>
      </c>
      <c r="J44" s="71" t="str">
        <f>IF(AND($C44=0,$D44=0),"",SUMIF(Report_Données!$A:$A,Suivi_Gain!$A44,Report_Données!$AB:$AB))</f>
        <v/>
      </c>
    </row>
    <row r="45" spans="1:27" ht="24.95" customHeight="1" x14ac:dyDescent="0.25">
      <c r="A45" s="69">
        <v>43462</v>
      </c>
      <c r="B45" s="21">
        <f>COUNTIF(Report[Date],Suivi_SE!$A44)</f>
        <v>0</v>
      </c>
      <c r="C45" s="21">
        <f>COUNTIFS(Report_Données!$A:$A,Suivi_SE!$A44,Report_Données!$S:$S,Suivi_SE!$C$1)</f>
        <v>0</v>
      </c>
      <c r="D45" s="21">
        <f>COUNTIFS(Report_Données!$A:$A,Suivi_SE!$A44,Report_Données!$S:$S,Suivi_SE!$D$1)</f>
        <v>0</v>
      </c>
      <c r="E45" s="70" t="str">
        <f t="shared" si="1"/>
        <v/>
      </c>
      <c r="F45" s="93" t="str">
        <f>IF(AND($C45=0,$D45=0),"",SUMIF(Report_Données!$A:$A,Suivi_Gain!$A45,Report_Données!$X:$X))</f>
        <v/>
      </c>
      <c r="G45" s="71" t="str">
        <f>IF(AND($C45=0,$D45=0),"",SUMIF(Report_Données!$A:$A,Suivi_Gain!$A45,Report_Données!$Y:$Y))</f>
        <v/>
      </c>
      <c r="H45" s="71" t="str">
        <f>IF(AND($C45=0,$D45=0),"",SUMIF(Report_Données!$A:$A,Suivi_Gain!$A45,Report_Données!$Z:$Z))</f>
        <v/>
      </c>
      <c r="I45" s="71" t="str">
        <f>IF(AND($C45=0,$D45=0),"",SUMIF(Report_Données!$A:$A,Suivi_Gain!$A45,Report_Données!$AA:$AA))</f>
        <v/>
      </c>
      <c r="J45" s="71" t="str">
        <f>IF(AND($C45=0,$D45=0),"",SUMIF(Report_Données!$A:$A,Suivi_Gain!$A45,Report_Données!$AB:$AB))</f>
        <v/>
      </c>
    </row>
    <row r="46" spans="1:27" ht="24.95" customHeight="1" x14ac:dyDescent="0.25">
      <c r="A46" s="69">
        <v>43463</v>
      </c>
      <c r="B46" s="21">
        <f>COUNTIF(Report[Date],Suivi_SE!$A45)</f>
        <v>0</v>
      </c>
      <c r="C46" s="21">
        <f>COUNTIFS(Report_Données!$A:$A,Suivi_SE!$A45,Report_Données!$S:$S,Suivi_SE!$C$1)</f>
        <v>0</v>
      </c>
      <c r="D46" s="21">
        <f>COUNTIFS(Report_Données!$A:$A,Suivi_SE!$A45,Report_Données!$S:$S,Suivi_SE!$D$1)</f>
        <v>0</v>
      </c>
      <c r="E46" s="70" t="str">
        <f t="shared" si="1"/>
        <v/>
      </c>
      <c r="F46" s="93" t="str">
        <f>IF(AND($C46=0,$D46=0),"",SUMIF(Report_Données!$A:$A,Suivi_Gain!$A46,Report_Données!$X:$X))</f>
        <v/>
      </c>
      <c r="G46" s="71" t="str">
        <f>IF(AND($C46=0,$D46=0),"",SUMIF(Report_Données!$A:$A,Suivi_Gain!$A46,Report_Données!$Y:$Y))</f>
        <v/>
      </c>
      <c r="H46" s="71" t="str">
        <f>IF(AND($C46=0,$D46=0),"",SUMIF(Report_Données!$A:$A,Suivi_Gain!$A46,Report_Données!$Z:$Z))</f>
        <v/>
      </c>
      <c r="I46" s="71" t="str">
        <f>IF(AND($C46=0,$D46=0),"",SUMIF(Report_Données!$A:$A,Suivi_Gain!$A46,Report_Données!$AA:$AA))</f>
        <v/>
      </c>
      <c r="J46" s="71" t="str">
        <f>IF(AND($C46=0,$D46=0),"",SUMIF(Report_Données!$A:$A,Suivi_Gain!$A46,Report_Données!$AB:$AB))</f>
        <v/>
      </c>
    </row>
    <row r="47" spans="1:27" ht="24.95" customHeight="1" x14ac:dyDescent="0.25">
      <c r="A47" s="69">
        <v>43464</v>
      </c>
      <c r="B47" s="21">
        <f>COUNTIF(Report[Date],Suivi_SE!$A46)</f>
        <v>0</v>
      </c>
      <c r="C47" s="21">
        <f>COUNTIFS(Report_Données!$A:$A,Suivi_SE!$A46,Report_Données!$S:$S,Suivi_SE!$C$1)</f>
        <v>0</v>
      </c>
      <c r="D47" s="21">
        <f>COUNTIFS(Report_Données!$A:$A,Suivi_SE!$A46,Report_Données!$S:$S,Suivi_SE!$D$1)</f>
        <v>0</v>
      </c>
      <c r="E47" s="70" t="str">
        <f t="shared" si="1"/>
        <v/>
      </c>
      <c r="F47" s="93" t="str">
        <f>IF(AND($C47=0,$D47=0),"",SUMIF(Report_Données!$A:$A,Suivi_Gain!$A47,Report_Données!$X:$X))</f>
        <v/>
      </c>
      <c r="G47" s="71" t="str">
        <f>IF(AND($C47=0,$D47=0),"",SUMIF(Report_Données!$A:$A,Suivi_Gain!$A47,Report_Données!$Y:$Y))</f>
        <v/>
      </c>
      <c r="H47" s="71" t="str">
        <f>IF(AND($C47=0,$D47=0),"",SUMIF(Report_Données!$A:$A,Suivi_Gain!$A47,Report_Données!$Z:$Z))</f>
        <v/>
      </c>
      <c r="I47" s="71" t="str">
        <f>IF(AND($C47=0,$D47=0),"",SUMIF(Report_Données!$A:$A,Suivi_Gain!$A47,Report_Données!$AA:$AA))</f>
        <v/>
      </c>
      <c r="J47" s="71" t="str">
        <f>IF(AND($C47=0,$D47=0),"",SUMIF(Report_Données!$A:$A,Suivi_Gain!$A47,Report_Données!$AB:$AB))</f>
        <v/>
      </c>
    </row>
    <row r="48" spans="1:27" ht="24.95" customHeight="1" x14ac:dyDescent="0.25">
      <c r="A48" s="69">
        <v>43465</v>
      </c>
      <c r="B48" s="21">
        <f>COUNTIF(Report[Date],Suivi_SE!$A47)</f>
        <v>0</v>
      </c>
      <c r="C48" s="21">
        <f>COUNTIFS(Report_Données!$A:$A,Suivi_SE!$A47,Report_Données!$S:$S,Suivi_SE!$C$1)</f>
        <v>0</v>
      </c>
      <c r="D48" s="21">
        <f>COUNTIFS(Report_Données!$A:$A,Suivi_SE!$A47,Report_Données!$S:$S,Suivi_SE!$D$1)</f>
        <v>0</v>
      </c>
      <c r="E48" s="70" t="str">
        <f t="shared" si="1"/>
        <v/>
      </c>
      <c r="F48" s="93" t="str">
        <f>IF(AND($C48=0,$D48=0),"",SUMIF(Report_Données!$A:$A,Suivi_Gain!$A48,Report_Données!$X:$X))</f>
        <v/>
      </c>
      <c r="G48" s="71" t="str">
        <f>IF(AND($C48=0,$D48=0),"",SUMIF(Report_Données!$A:$A,Suivi_Gain!$A48,Report_Données!$Y:$Y))</f>
        <v/>
      </c>
      <c r="H48" s="71" t="str">
        <f>IF(AND($C48=0,$D48=0),"",SUMIF(Report_Données!$A:$A,Suivi_Gain!$A48,Report_Données!$Z:$Z))</f>
        <v/>
      </c>
      <c r="I48" s="71" t="str">
        <f>IF(AND($C48=0,$D48=0),"",SUMIF(Report_Données!$A:$A,Suivi_Gain!$A48,Report_Données!$AA:$AA))</f>
        <v/>
      </c>
      <c r="J48" s="71" t="str">
        <f>IF(AND($C48=0,$D48=0),"",SUMIF(Report_Données!$A:$A,Suivi_Gain!$A48,Report_Données!$AB:$AB))</f>
        <v/>
      </c>
    </row>
  </sheetData>
  <mergeCells count="7">
    <mergeCell ref="Y5:AA5"/>
    <mergeCell ref="A1:A2"/>
    <mergeCell ref="C1:F1"/>
    <mergeCell ref="H1:J1"/>
    <mergeCell ref="V5:X5"/>
    <mergeCell ref="S5:U5"/>
    <mergeCell ref="P5:R5"/>
  </mergeCells>
  <conditionalFormatting sqref="F3:J48">
    <cfRule type="cellIs" dxfId="15" priority="5" operator="lessThan">
      <formula>0</formula>
    </cfRule>
    <cfRule type="cellIs" dxfId="14" priority="6" operator="greaterThan">
      <formula>0</formula>
    </cfRule>
  </conditionalFormatting>
  <conditionalFormatting sqref="M2:R2">
    <cfRule type="cellIs" dxfId="13" priority="3" operator="lessThan">
      <formula>0</formula>
    </cfRule>
    <cfRule type="cellIs" dxfId="12" priority="4" operator="greaterThan">
      <formula>0</formula>
    </cfRule>
  </conditionalFormatting>
  <conditionalFormatting sqref="U6:U33 R6:R33 AA6:AA33 X6:X33 O6:O33">
    <cfRule type="cellIs" dxfId="11" priority="1" operator="lessThan">
      <formula>0.5</formula>
    </cfRule>
    <cfRule type="cellIs" dxfId="10" priority="2" operator="greaterThanOrEqual">
      <formula>0.5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50"/>
  </sheetPr>
  <dimension ref="A1:U48"/>
  <sheetViews>
    <sheetView zoomScale="80" zoomScaleNormal="80" workbookViewId="0">
      <selection activeCell="W24" sqref="W24"/>
    </sheetView>
  </sheetViews>
  <sheetFormatPr baseColWidth="10" defaultColWidth="25.7109375" defaultRowHeight="20.100000000000001" customHeight="1" x14ac:dyDescent="0.3"/>
  <cols>
    <col min="1" max="1" width="25.7109375" style="82"/>
    <col min="2" max="2" width="28.140625" style="82" bestFit="1" customWidth="1"/>
    <col min="3" max="6" width="13.7109375" style="82" customWidth="1"/>
    <col min="7" max="7" width="10.7109375" style="82" customWidth="1"/>
    <col min="8" max="19" width="11.7109375" style="82" customWidth="1"/>
    <col min="20" max="20" width="11.7109375" style="92" customWidth="1"/>
    <col min="21" max="21" width="11.7109375" style="82" customWidth="1"/>
    <col min="22" max="16384" width="25.7109375" style="82"/>
  </cols>
  <sheetData>
    <row r="1" spans="1:21" ht="20.100000000000001" customHeight="1" x14ac:dyDescent="0.3">
      <c r="A1" s="86" t="s">
        <v>34</v>
      </c>
      <c r="B1" s="87" t="s">
        <v>35</v>
      </c>
      <c r="C1" s="87" t="s">
        <v>228</v>
      </c>
      <c r="D1" s="87" t="s">
        <v>229</v>
      </c>
      <c r="E1" s="87" t="s">
        <v>230</v>
      </c>
      <c r="F1" s="87" t="s">
        <v>231</v>
      </c>
      <c r="H1" s="106" t="s">
        <v>26</v>
      </c>
      <c r="I1" s="108"/>
      <c r="J1" s="107"/>
      <c r="K1" s="106" t="s">
        <v>27</v>
      </c>
      <c r="L1" s="108"/>
      <c r="M1" s="107"/>
      <c r="N1" s="106" t="s">
        <v>28</v>
      </c>
      <c r="O1" s="108"/>
      <c r="P1" s="107"/>
      <c r="Q1" s="106" t="s">
        <v>29</v>
      </c>
      <c r="R1" s="108"/>
      <c r="S1" s="107"/>
      <c r="T1" s="90"/>
      <c r="U1" s="85" t="s">
        <v>917</v>
      </c>
    </row>
    <row r="2" spans="1:21" ht="20.100000000000001" customHeight="1" x14ac:dyDescent="0.3">
      <c r="A2" s="24" t="s">
        <v>65</v>
      </c>
      <c r="B2" s="88" t="s">
        <v>98</v>
      </c>
      <c r="C2" s="83">
        <f>COUNTIF(Report_Données!$C:$C,Suivi_Championnat!$B2)</f>
        <v>9</v>
      </c>
      <c r="D2" s="83">
        <f>COUNTIFS(Report_Données!$C:$C,Suivi_Championnat!$B2,Report_Données!$R:$R,D$1)</f>
        <v>4</v>
      </c>
      <c r="E2" s="83">
        <f>COUNTIFS(Report_Données!$C:$C,Suivi_Championnat!$B2,Report_Données!$R:$R,E$1)</f>
        <v>5</v>
      </c>
      <c r="F2" s="84">
        <f>IF(AND($D2=0,$E2=0),"",$D2/($D2+$E2))</f>
        <v>0.44444444444444442</v>
      </c>
      <c r="H2" s="109">
        <f>SUMIFS(Report_Données!T:T,Report_Données!$C:$C,Suivi_Championnat!$B2)</f>
        <v>1</v>
      </c>
      <c r="I2" s="109">
        <f>IF(AND($D2=0,$E2=0),"",COUNTIF(Report_Données!$C:$C,Suivi_Championnat!$B2))</f>
        <v>9</v>
      </c>
      <c r="J2" s="110">
        <f>IF(AND($D2=0,$E2=0),"",$H2/($D2+$E2))</f>
        <v>0.1111111111111111</v>
      </c>
      <c r="K2" s="109">
        <f>SUMIFS(Report_Données!U:U,Report_Données!$C:$C,Suivi_Championnat!$B2)</f>
        <v>2</v>
      </c>
      <c r="L2" s="109">
        <f>IF(AND($D2=0,$E2=0),"",COUNTIF(Report_Données!$C:$C,Suivi_Championnat!$B2))</f>
        <v>9</v>
      </c>
      <c r="M2" s="110">
        <f>IF(AND($D2=0,$E2=0),"",$K2/($D2+$E2))</f>
        <v>0.22222222222222221</v>
      </c>
      <c r="N2" s="109">
        <f>SUMIFS(Report_Données!V:V,Report_Données!$C:$C,Suivi_Championnat!$B2)</f>
        <v>0</v>
      </c>
      <c r="O2" s="109">
        <f>IF(AND($D2=0,$E2=0),"",COUNTIF(Report_Données!$C:$C,Suivi_Championnat!$B2))</f>
        <v>9</v>
      </c>
      <c r="P2" s="110">
        <f>IF(AND($D2=0,$E2=0),"",$N2/($D2+$E2))</f>
        <v>0</v>
      </c>
      <c r="Q2" s="109">
        <f>SUMIFS(Report_Données!W:W,Report_Données!$C:$C,Suivi_Championnat!$B2)</f>
        <v>0</v>
      </c>
      <c r="R2" s="109">
        <f>IF(AND($D2=0,$E2=0),"",COUNTIF(Report_Données!$C:$C,Suivi_Championnat!$B2))</f>
        <v>9</v>
      </c>
      <c r="S2" s="110">
        <f>IF(AND($D2=0,$E2=0),"",$Q2/($D2+$E2))</f>
        <v>0</v>
      </c>
      <c r="T2" s="91"/>
      <c r="U2" s="111">
        <f>IF(AND($D2=0,$E2=0),"",($H2+$K2+$N2+$Q2)/($I2+$L2+$O2+$R2))</f>
        <v>8.3333333333333329E-2</v>
      </c>
    </row>
    <row r="3" spans="1:21" ht="20.100000000000001" customHeight="1" x14ac:dyDescent="0.3">
      <c r="A3" s="24" t="s">
        <v>65</v>
      </c>
      <c r="B3" s="88" t="s">
        <v>99</v>
      </c>
      <c r="C3" s="83">
        <f>COUNTIF(Report_Données!$C:$C,Suivi_Championnat!$B3)</f>
        <v>9</v>
      </c>
      <c r="D3" s="83">
        <f>COUNTIFS(Report_Données!$C:$C,Suivi_Championnat!$B3,Report_Données!$R:$R,$D$1)</f>
        <v>4</v>
      </c>
      <c r="E3" s="83">
        <f>COUNTIFS(Report_Données!$C:$C,Suivi_Championnat!$B3,Report_Données!$R:$R,E$1)</f>
        <v>5</v>
      </c>
      <c r="F3" s="84">
        <f t="shared" ref="F3:F48" si="0">IF(AND($D3=0,$E3=0),"",$D3/($D3+$E3))</f>
        <v>0.44444444444444442</v>
      </c>
      <c r="H3" s="83">
        <f>SUMIFS(Report_Données!T:T,Report_Données!$C:$C,Suivi_Championnat!$B3)</f>
        <v>1</v>
      </c>
      <c r="I3" s="83">
        <f>IF(AND($D3=0,$E3=0),"",COUNTIF(Report_Données!$C:$C,Suivi_Championnat!$B3))</f>
        <v>9</v>
      </c>
      <c r="J3" s="84">
        <f t="shared" ref="J3:J48" si="1">IF(AND($D3=0,$E3=0),"",$H3/($D3+$E3))</f>
        <v>0.1111111111111111</v>
      </c>
      <c r="K3" s="83">
        <f>SUMIFS(Report_Données!U:U,Report_Données!$C:$C,Suivi_Championnat!$B3)</f>
        <v>1</v>
      </c>
      <c r="L3" s="83">
        <f>IF(AND($D3=0,$E3=0),"",COUNTIF(Report_Données!$C:$C,Suivi_Championnat!$B3))</f>
        <v>9</v>
      </c>
      <c r="M3" s="84">
        <f t="shared" ref="M3:M48" si="2">IF(AND($D3=0,$E3=0),"",$K3/($D3+$E3))</f>
        <v>0.1111111111111111</v>
      </c>
      <c r="N3" s="83">
        <f>SUMIFS(Report_Données!V:V,Report_Données!$C:$C,Suivi_Championnat!$B3)</f>
        <v>2</v>
      </c>
      <c r="O3" s="83">
        <f>IF(AND($D3=0,$E3=0),"",COUNTIF(Report_Données!$C:$C,Suivi_Championnat!$B3))</f>
        <v>9</v>
      </c>
      <c r="P3" s="84">
        <f t="shared" ref="P3:P48" si="3">IF(AND($D3=0,$E3=0),"",$N3/($D3+$E3))</f>
        <v>0.22222222222222221</v>
      </c>
      <c r="Q3" s="83">
        <f>SUMIFS(Report_Données!W:W,Report_Données!$C:$C,Suivi_Championnat!$B3)</f>
        <v>0</v>
      </c>
      <c r="R3" s="83">
        <f>IF(AND($D3=0,$E3=0),"",COUNTIF(Report_Données!$C:$C,Suivi_Championnat!$B3))</f>
        <v>9</v>
      </c>
      <c r="S3" s="84">
        <f t="shared" ref="S3:S48" si="4">IF(AND($D3=0,$E3=0),"",$Q3/($D3+$E3))</f>
        <v>0</v>
      </c>
      <c r="T3" s="91"/>
      <c r="U3" s="89">
        <f t="shared" ref="U3:U48" si="5">IF(AND($D3=0,$E3=0),"",($H3+$K3+$N3+$Q3)/($D3+$E3))</f>
        <v>0.44444444444444442</v>
      </c>
    </row>
    <row r="4" spans="1:21" ht="20.100000000000001" customHeight="1" x14ac:dyDescent="0.3">
      <c r="A4" s="24" t="s">
        <v>66</v>
      </c>
      <c r="B4" s="88" t="s">
        <v>100</v>
      </c>
      <c r="C4" s="83">
        <f>COUNTIF(Report_Données!$C:$C,Suivi_Championnat!$B4)</f>
        <v>10</v>
      </c>
      <c r="D4" s="83">
        <f>COUNTIFS(Report_Données!$C:$C,Suivi_Championnat!$B4,Report_Données!$R:$R,$D$1)</f>
        <v>5</v>
      </c>
      <c r="E4" s="83">
        <f>COUNTIFS(Report_Données!$C:$C,Suivi_Championnat!$B4,Report_Données!$R:$R,E$1)</f>
        <v>5</v>
      </c>
      <c r="F4" s="84">
        <f t="shared" si="0"/>
        <v>0.5</v>
      </c>
      <c r="H4" s="109">
        <f>SUMIFS(Report_Données!T:T,Report_Données!$C:$C,Suivi_Championnat!$B4)</f>
        <v>2</v>
      </c>
      <c r="I4" s="109">
        <f>IF(AND($D4=0,$E4=0),"",COUNTIF(Report_Données!$C:$C,Suivi_Championnat!$B4))</f>
        <v>10</v>
      </c>
      <c r="J4" s="110">
        <f t="shared" si="1"/>
        <v>0.2</v>
      </c>
      <c r="K4" s="109">
        <f>SUMIFS(Report_Données!U:U,Report_Données!$C:$C,Suivi_Championnat!$B4)</f>
        <v>1</v>
      </c>
      <c r="L4" s="109">
        <f>IF(AND($D4=0,$E4=0),"",COUNTIF(Report_Données!$C:$C,Suivi_Championnat!$B4))</f>
        <v>10</v>
      </c>
      <c r="M4" s="110">
        <f t="shared" si="2"/>
        <v>0.1</v>
      </c>
      <c r="N4" s="109">
        <f>SUMIFS(Report_Données!V:V,Report_Données!$C:$C,Suivi_Championnat!$B4)</f>
        <v>1</v>
      </c>
      <c r="O4" s="109">
        <f>IF(AND($D4=0,$E4=0),"",COUNTIF(Report_Données!$C:$C,Suivi_Championnat!$B4))</f>
        <v>10</v>
      </c>
      <c r="P4" s="110">
        <f t="shared" si="3"/>
        <v>0.1</v>
      </c>
      <c r="Q4" s="109">
        <f>SUMIFS(Report_Données!W:W,Report_Données!$C:$C,Suivi_Championnat!$B4)</f>
        <v>2</v>
      </c>
      <c r="R4" s="109">
        <f>IF(AND($D4=0,$E4=0),"",COUNTIF(Report_Données!$C:$C,Suivi_Championnat!$B4))</f>
        <v>10</v>
      </c>
      <c r="S4" s="110">
        <f t="shared" si="4"/>
        <v>0.2</v>
      </c>
      <c r="T4" s="91"/>
      <c r="U4" s="111">
        <f t="shared" si="5"/>
        <v>0.6</v>
      </c>
    </row>
    <row r="5" spans="1:21" ht="20.100000000000001" customHeight="1" x14ac:dyDescent="0.3">
      <c r="A5" s="24" t="s">
        <v>66</v>
      </c>
      <c r="B5" s="88" t="s">
        <v>101</v>
      </c>
      <c r="C5" s="83">
        <f>COUNTIF(Report_Données!$C:$C,Suivi_Championnat!$B5)</f>
        <v>24</v>
      </c>
      <c r="D5" s="83">
        <f>COUNTIFS(Report_Données!$C:$C,Suivi_Championnat!$B5,Report_Données!$R:$R,$D$1)</f>
        <v>6</v>
      </c>
      <c r="E5" s="83">
        <f>COUNTIFS(Report_Données!$C:$C,Suivi_Championnat!$B5,Report_Données!$R:$R,E$1)</f>
        <v>6</v>
      </c>
      <c r="F5" s="84">
        <f t="shared" si="0"/>
        <v>0.5</v>
      </c>
      <c r="H5" s="83">
        <f>SUMIFS(Report_Données!T:T,Report_Données!$C:$C,Suivi_Championnat!$B5)</f>
        <v>1</v>
      </c>
      <c r="I5" s="83">
        <f>IF(AND($D5=0,$E5=0),"",COUNTIF(Report_Données!$C:$C,Suivi_Championnat!$B5))</f>
        <v>24</v>
      </c>
      <c r="J5" s="84">
        <f t="shared" si="1"/>
        <v>8.3333333333333329E-2</v>
      </c>
      <c r="K5" s="83">
        <f>SUMIFS(Report_Données!U:U,Report_Données!$C:$C,Suivi_Championnat!$B5)</f>
        <v>1</v>
      </c>
      <c r="L5" s="83">
        <f>IF(AND($D5=0,$E5=0),"",COUNTIF(Report_Données!$C:$C,Suivi_Championnat!$B5))</f>
        <v>24</v>
      </c>
      <c r="M5" s="84">
        <f t="shared" si="2"/>
        <v>8.3333333333333329E-2</v>
      </c>
      <c r="N5" s="83">
        <f>SUMIFS(Report_Données!V:V,Report_Données!$C:$C,Suivi_Championnat!$B5)</f>
        <v>1</v>
      </c>
      <c r="O5" s="83">
        <f>IF(AND($D5=0,$E5=0),"",COUNTIF(Report_Données!$C:$C,Suivi_Championnat!$B5))</f>
        <v>24</v>
      </c>
      <c r="P5" s="84">
        <f t="shared" si="3"/>
        <v>8.3333333333333329E-2</v>
      </c>
      <c r="Q5" s="83">
        <f>SUMIFS(Report_Données!W:W,Report_Données!$C:$C,Suivi_Championnat!$B5)</f>
        <v>1</v>
      </c>
      <c r="R5" s="83">
        <f>IF(AND($D5=0,$E5=0),"",COUNTIF(Report_Données!$C:$C,Suivi_Championnat!$B5))</f>
        <v>24</v>
      </c>
      <c r="S5" s="84">
        <f t="shared" si="4"/>
        <v>8.3333333333333329E-2</v>
      </c>
      <c r="T5" s="91"/>
      <c r="U5" s="89">
        <f t="shared" si="5"/>
        <v>0.33333333333333331</v>
      </c>
    </row>
    <row r="6" spans="1:21" ht="20.100000000000001" customHeight="1" x14ac:dyDescent="0.3">
      <c r="A6" s="24" t="s">
        <v>223</v>
      </c>
      <c r="B6" s="88" t="s">
        <v>133</v>
      </c>
      <c r="C6" s="83">
        <f>COUNTIF(Report_Données!$C:$C,Suivi_Championnat!$B6)</f>
        <v>8</v>
      </c>
      <c r="D6" s="83">
        <f>COUNTIFS(Report_Données!$C:$C,Suivi_Championnat!$B6,Report_Données!$R:$R,$D$1)</f>
        <v>2</v>
      </c>
      <c r="E6" s="83">
        <f>COUNTIFS(Report_Données!$C:$C,Suivi_Championnat!$B6,Report_Données!$R:$R,E$1)</f>
        <v>2</v>
      </c>
      <c r="F6" s="84">
        <f t="shared" si="0"/>
        <v>0.5</v>
      </c>
      <c r="H6" s="109">
        <f>SUMIFS(Report_Données!T:T,Report_Données!$C:$C,Suivi_Championnat!$B6)</f>
        <v>1</v>
      </c>
      <c r="I6" s="109">
        <f>IF(AND($D6=0,$E6=0),"",COUNTIF(Report_Données!$C:$C,Suivi_Championnat!$B6))</f>
        <v>8</v>
      </c>
      <c r="J6" s="110">
        <f t="shared" si="1"/>
        <v>0.25</v>
      </c>
      <c r="K6" s="109">
        <f>SUMIFS(Report_Données!U:U,Report_Données!$C:$C,Suivi_Championnat!$B6)</f>
        <v>0</v>
      </c>
      <c r="L6" s="109">
        <f>IF(AND($D6=0,$E6=0),"",COUNTIF(Report_Données!$C:$C,Suivi_Championnat!$B6))</f>
        <v>8</v>
      </c>
      <c r="M6" s="110">
        <f t="shared" si="2"/>
        <v>0</v>
      </c>
      <c r="N6" s="109">
        <f>SUMIFS(Report_Données!V:V,Report_Données!$C:$C,Suivi_Championnat!$B6)</f>
        <v>0</v>
      </c>
      <c r="O6" s="109">
        <f>IF(AND($D6=0,$E6=0),"",COUNTIF(Report_Données!$C:$C,Suivi_Championnat!$B6))</f>
        <v>8</v>
      </c>
      <c r="P6" s="110">
        <f t="shared" si="3"/>
        <v>0</v>
      </c>
      <c r="Q6" s="109">
        <f>SUMIFS(Report_Données!W:W,Report_Données!$C:$C,Suivi_Championnat!$B6)</f>
        <v>0</v>
      </c>
      <c r="R6" s="109">
        <f>IF(AND($D6=0,$E6=0),"",COUNTIF(Report_Données!$C:$C,Suivi_Championnat!$B6))</f>
        <v>8</v>
      </c>
      <c r="S6" s="110">
        <f t="shared" si="4"/>
        <v>0</v>
      </c>
      <c r="T6" s="91"/>
      <c r="U6" s="111">
        <f t="shared" si="5"/>
        <v>0.25</v>
      </c>
    </row>
    <row r="7" spans="1:21" ht="20.100000000000001" customHeight="1" x14ac:dyDescent="0.3">
      <c r="A7" s="24" t="s">
        <v>70</v>
      </c>
      <c r="B7" s="88" t="s">
        <v>106</v>
      </c>
      <c r="C7" s="83">
        <f>COUNTIF(Report_Données!$C:$C,Suivi_Championnat!$B7)</f>
        <v>6</v>
      </c>
      <c r="D7" s="83">
        <f>COUNTIFS(Report_Données!$C:$C,Suivi_Championnat!$B7,Report_Données!$R:$R,$D$1)</f>
        <v>4</v>
      </c>
      <c r="E7" s="83">
        <f>COUNTIFS(Report_Données!$C:$C,Suivi_Championnat!$B7,Report_Données!$R:$R,E$1)</f>
        <v>2</v>
      </c>
      <c r="F7" s="84">
        <f t="shared" si="0"/>
        <v>0.66666666666666663</v>
      </c>
      <c r="H7" s="83">
        <f>SUMIFS(Report_Données!T:T,Report_Données!$C:$C,Suivi_Championnat!$B7)</f>
        <v>1</v>
      </c>
      <c r="I7" s="83">
        <f>IF(AND($D7=0,$E7=0),"",COUNTIF(Report_Données!$C:$C,Suivi_Championnat!$B7))</f>
        <v>6</v>
      </c>
      <c r="J7" s="84">
        <f t="shared" si="1"/>
        <v>0.16666666666666666</v>
      </c>
      <c r="K7" s="83">
        <f>SUMIFS(Report_Données!U:U,Report_Données!$C:$C,Suivi_Championnat!$B7)</f>
        <v>0</v>
      </c>
      <c r="L7" s="83">
        <f>IF(AND($D7=0,$E7=0),"",COUNTIF(Report_Données!$C:$C,Suivi_Championnat!$B7))</f>
        <v>6</v>
      </c>
      <c r="M7" s="84">
        <f t="shared" si="2"/>
        <v>0</v>
      </c>
      <c r="N7" s="83">
        <f>SUMIFS(Report_Données!V:V,Report_Données!$C:$C,Suivi_Championnat!$B7)</f>
        <v>1</v>
      </c>
      <c r="O7" s="83">
        <f>IF(AND($D7=0,$E7=0),"",COUNTIF(Report_Données!$C:$C,Suivi_Championnat!$B7))</f>
        <v>6</v>
      </c>
      <c r="P7" s="84">
        <f t="shared" si="3"/>
        <v>0.16666666666666666</v>
      </c>
      <c r="Q7" s="83">
        <f>SUMIFS(Report_Données!W:W,Report_Données!$C:$C,Suivi_Championnat!$B7)</f>
        <v>0</v>
      </c>
      <c r="R7" s="83">
        <f>IF(AND($D7=0,$E7=0),"",COUNTIF(Report_Données!$C:$C,Suivi_Championnat!$B7))</f>
        <v>6</v>
      </c>
      <c r="S7" s="84">
        <f t="shared" si="4"/>
        <v>0</v>
      </c>
      <c r="T7" s="91"/>
      <c r="U7" s="89">
        <f t="shared" si="5"/>
        <v>0.33333333333333331</v>
      </c>
    </row>
    <row r="8" spans="1:21" ht="20.100000000000001" customHeight="1" x14ac:dyDescent="0.3">
      <c r="A8" s="24" t="s">
        <v>72</v>
      </c>
      <c r="B8" s="88" t="s">
        <v>107</v>
      </c>
      <c r="C8" s="83">
        <f>COUNTIF(Report_Données!$C:$C,Suivi_Championnat!$B8)</f>
        <v>8</v>
      </c>
      <c r="D8" s="83">
        <f>COUNTIFS(Report_Données!$C:$C,Suivi_Championnat!$B8,Report_Données!$R:$R,$D$1)</f>
        <v>3</v>
      </c>
      <c r="E8" s="83">
        <f>COUNTIFS(Report_Données!$C:$C,Suivi_Championnat!$B8,Report_Données!$R:$R,E$1)</f>
        <v>5</v>
      </c>
      <c r="F8" s="84">
        <f t="shared" si="0"/>
        <v>0.375</v>
      </c>
      <c r="H8" s="109">
        <f>SUMIFS(Report_Données!T:T,Report_Données!$C:$C,Suivi_Championnat!$B8)</f>
        <v>1</v>
      </c>
      <c r="I8" s="109">
        <f>IF(AND($D8=0,$E8=0),"",COUNTIF(Report_Données!$C:$C,Suivi_Championnat!$B8))</f>
        <v>8</v>
      </c>
      <c r="J8" s="110">
        <f t="shared" si="1"/>
        <v>0.125</v>
      </c>
      <c r="K8" s="109">
        <f>SUMIFS(Report_Données!U:U,Report_Données!$C:$C,Suivi_Championnat!$B8)</f>
        <v>0</v>
      </c>
      <c r="L8" s="109">
        <f>IF(AND($D8=0,$E8=0),"",COUNTIF(Report_Données!$C:$C,Suivi_Championnat!$B8))</f>
        <v>8</v>
      </c>
      <c r="M8" s="110">
        <f t="shared" si="2"/>
        <v>0</v>
      </c>
      <c r="N8" s="109">
        <f>SUMIFS(Report_Données!V:V,Report_Données!$C:$C,Suivi_Championnat!$B8)</f>
        <v>0</v>
      </c>
      <c r="O8" s="109">
        <f>IF(AND($D8=0,$E8=0),"",COUNTIF(Report_Données!$C:$C,Suivi_Championnat!$B8))</f>
        <v>8</v>
      </c>
      <c r="P8" s="110">
        <f t="shared" si="3"/>
        <v>0</v>
      </c>
      <c r="Q8" s="109">
        <f>SUMIFS(Report_Données!W:W,Report_Données!$C:$C,Suivi_Championnat!$B8)</f>
        <v>0</v>
      </c>
      <c r="R8" s="109">
        <f>IF(AND($D8=0,$E8=0),"",COUNTIF(Report_Données!$C:$C,Suivi_Championnat!$B8))</f>
        <v>8</v>
      </c>
      <c r="S8" s="110">
        <f t="shared" si="4"/>
        <v>0</v>
      </c>
      <c r="T8" s="91"/>
      <c r="U8" s="111">
        <f t="shared" si="5"/>
        <v>0.125</v>
      </c>
    </row>
    <row r="9" spans="1:21" ht="20.100000000000001" customHeight="1" x14ac:dyDescent="0.3">
      <c r="A9" s="24" t="s">
        <v>220</v>
      </c>
      <c r="B9" s="88" t="s">
        <v>110</v>
      </c>
      <c r="C9" s="83">
        <f>COUNTIF(Report_Données!$C:$C,Suivi_Championnat!$B9)</f>
        <v>9</v>
      </c>
      <c r="D9" s="83">
        <f>COUNTIFS(Report_Données!$C:$C,Suivi_Championnat!$B9,Report_Données!$R:$R,$D$1)</f>
        <v>5</v>
      </c>
      <c r="E9" s="83">
        <f>COUNTIFS(Report_Données!$C:$C,Suivi_Championnat!$B9,Report_Données!$R:$R,E$1)</f>
        <v>4</v>
      </c>
      <c r="F9" s="84">
        <f t="shared" si="0"/>
        <v>0.55555555555555558</v>
      </c>
      <c r="H9" s="83">
        <f>SUMIFS(Report_Données!T:T,Report_Données!$C:$C,Suivi_Championnat!$B9)</f>
        <v>1</v>
      </c>
      <c r="I9" s="83">
        <f>IF(AND($D9=0,$E9=0),"",COUNTIF(Report_Données!$C:$C,Suivi_Championnat!$B9))</f>
        <v>9</v>
      </c>
      <c r="J9" s="84">
        <f t="shared" si="1"/>
        <v>0.1111111111111111</v>
      </c>
      <c r="K9" s="83">
        <f>SUMIFS(Report_Données!U:U,Report_Données!$C:$C,Suivi_Championnat!$B9)</f>
        <v>1</v>
      </c>
      <c r="L9" s="83">
        <f>IF(AND($D9=0,$E9=0),"",COUNTIF(Report_Données!$C:$C,Suivi_Championnat!$B9))</f>
        <v>9</v>
      </c>
      <c r="M9" s="84">
        <f t="shared" si="2"/>
        <v>0.1111111111111111</v>
      </c>
      <c r="N9" s="83">
        <f>SUMIFS(Report_Données!V:V,Report_Données!$C:$C,Suivi_Championnat!$B9)</f>
        <v>2</v>
      </c>
      <c r="O9" s="83">
        <f>IF(AND($D9=0,$E9=0),"",COUNTIF(Report_Données!$C:$C,Suivi_Championnat!$B9))</f>
        <v>9</v>
      </c>
      <c r="P9" s="84">
        <f t="shared" si="3"/>
        <v>0.22222222222222221</v>
      </c>
      <c r="Q9" s="83">
        <f>SUMIFS(Report_Données!W:W,Report_Données!$C:$C,Suivi_Championnat!$B9)</f>
        <v>1</v>
      </c>
      <c r="R9" s="83">
        <f>IF(AND($D9=0,$E9=0),"",COUNTIF(Report_Données!$C:$C,Suivi_Championnat!$B9))</f>
        <v>9</v>
      </c>
      <c r="S9" s="84">
        <f t="shared" si="4"/>
        <v>0.1111111111111111</v>
      </c>
      <c r="T9" s="91"/>
      <c r="U9" s="89">
        <f t="shared" si="5"/>
        <v>0.55555555555555558</v>
      </c>
    </row>
    <row r="10" spans="1:21" ht="20.100000000000001" customHeight="1" x14ac:dyDescent="0.3">
      <c r="A10" s="24" t="s">
        <v>73</v>
      </c>
      <c r="B10" s="88" t="s">
        <v>111</v>
      </c>
      <c r="C10" s="83">
        <f>COUNTIF(Report_Données!$C:$C,Suivi_Championnat!$B10)</f>
        <v>6</v>
      </c>
      <c r="D10" s="83">
        <f>COUNTIFS(Report_Données!$C:$C,Suivi_Championnat!$B10,Report_Données!$R:$R,$D$1)</f>
        <v>2</v>
      </c>
      <c r="E10" s="83">
        <f>COUNTIFS(Report_Données!$C:$C,Suivi_Championnat!$B10,Report_Données!$R:$R,E$1)</f>
        <v>4</v>
      </c>
      <c r="F10" s="84">
        <f t="shared" si="0"/>
        <v>0.33333333333333331</v>
      </c>
      <c r="H10" s="109">
        <f>SUMIFS(Report_Données!T:T,Report_Données!$C:$C,Suivi_Championnat!$B10)</f>
        <v>0</v>
      </c>
      <c r="I10" s="109">
        <f>IF(AND($D10=0,$E10=0),"",COUNTIF(Report_Données!$C:$C,Suivi_Championnat!$B10))</f>
        <v>6</v>
      </c>
      <c r="J10" s="110">
        <f t="shared" si="1"/>
        <v>0</v>
      </c>
      <c r="K10" s="109">
        <f>SUMIFS(Report_Données!U:U,Report_Données!$C:$C,Suivi_Championnat!$B10)</f>
        <v>0</v>
      </c>
      <c r="L10" s="109">
        <f>IF(AND($D10=0,$E10=0),"",COUNTIF(Report_Données!$C:$C,Suivi_Championnat!$B10))</f>
        <v>6</v>
      </c>
      <c r="M10" s="110">
        <f t="shared" si="2"/>
        <v>0</v>
      </c>
      <c r="N10" s="109">
        <f>SUMIFS(Report_Données!V:V,Report_Données!$C:$C,Suivi_Championnat!$B10)</f>
        <v>0</v>
      </c>
      <c r="O10" s="109">
        <f>IF(AND($D10=0,$E10=0),"",COUNTIF(Report_Données!$C:$C,Suivi_Championnat!$B10))</f>
        <v>6</v>
      </c>
      <c r="P10" s="110">
        <f t="shared" si="3"/>
        <v>0</v>
      </c>
      <c r="Q10" s="109">
        <f>SUMIFS(Report_Données!W:W,Report_Données!$C:$C,Suivi_Championnat!$B10)</f>
        <v>0</v>
      </c>
      <c r="R10" s="109">
        <f>IF(AND($D10=0,$E10=0),"",COUNTIF(Report_Données!$C:$C,Suivi_Championnat!$B10))</f>
        <v>6</v>
      </c>
      <c r="S10" s="110">
        <f t="shared" si="4"/>
        <v>0</v>
      </c>
      <c r="T10" s="91"/>
      <c r="U10" s="111">
        <f t="shared" si="5"/>
        <v>0</v>
      </c>
    </row>
    <row r="11" spans="1:21" ht="20.100000000000001" customHeight="1" x14ac:dyDescent="0.3">
      <c r="A11" s="24" t="s">
        <v>221</v>
      </c>
      <c r="B11" s="88" t="s">
        <v>104</v>
      </c>
      <c r="C11" s="83">
        <f>COUNTIF(Report_Données!$C:$C,Suivi_Championnat!$B11)</f>
        <v>31</v>
      </c>
      <c r="D11" s="83">
        <f>COUNTIFS(Report_Données!$C:$C,Suivi_Championnat!$B11,Report_Données!$R:$R,$D$1)</f>
        <v>14</v>
      </c>
      <c r="E11" s="83">
        <f>COUNTIFS(Report_Données!$C:$C,Suivi_Championnat!$B11,Report_Données!$R:$R,E$1)</f>
        <v>17</v>
      </c>
      <c r="F11" s="84">
        <f t="shared" si="0"/>
        <v>0.45161290322580644</v>
      </c>
      <c r="H11" s="83">
        <f>SUMIFS(Report_Données!T:T,Report_Données!$C:$C,Suivi_Championnat!$B11)</f>
        <v>4</v>
      </c>
      <c r="I11" s="83">
        <f>IF(AND($D11=0,$E11=0),"",COUNTIF(Report_Données!$C:$C,Suivi_Championnat!$B11))</f>
        <v>31</v>
      </c>
      <c r="J11" s="84">
        <f t="shared" si="1"/>
        <v>0.12903225806451613</v>
      </c>
      <c r="K11" s="83">
        <f>SUMIFS(Report_Données!U:U,Report_Données!$C:$C,Suivi_Championnat!$B11)</f>
        <v>5</v>
      </c>
      <c r="L11" s="83">
        <f>IF(AND($D11=0,$E11=0),"",COUNTIF(Report_Données!$C:$C,Suivi_Championnat!$B11))</f>
        <v>31</v>
      </c>
      <c r="M11" s="84">
        <f t="shared" si="2"/>
        <v>0.16129032258064516</v>
      </c>
      <c r="N11" s="83">
        <f>SUMIFS(Report_Données!V:V,Report_Données!$C:$C,Suivi_Championnat!$B11)</f>
        <v>4</v>
      </c>
      <c r="O11" s="83">
        <f>IF(AND($D11=0,$E11=0),"",COUNTIF(Report_Données!$C:$C,Suivi_Championnat!$B11))</f>
        <v>31</v>
      </c>
      <c r="P11" s="84">
        <f t="shared" si="3"/>
        <v>0.12903225806451613</v>
      </c>
      <c r="Q11" s="83">
        <f>SUMIFS(Report_Données!W:W,Report_Données!$C:$C,Suivi_Championnat!$B11)</f>
        <v>2</v>
      </c>
      <c r="R11" s="83">
        <f>IF(AND($D11=0,$E11=0),"",COUNTIF(Report_Données!$C:$C,Suivi_Championnat!$B11))</f>
        <v>31</v>
      </c>
      <c r="S11" s="84">
        <f t="shared" si="4"/>
        <v>6.4516129032258063E-2</v>
      </c>
      <c r="T11" s="91"/>
      <c r="U11" s="89">
        <f t="shared" si="5"/>
        <v>0.4838709677419355</v>
      </c>
    </row>
    <row r="12" spans="1:21" ht="20.100000000000001" customHeight="1" x14ac:dyDescent="0.3">
      <c r="A12" s="24" t="s">
        <v>75</v>
      </c>
      <c r="B12" s="88" t="s">
        <v>112</v>
      </c>
      <c r="C12" s="83">
        <f>COUNTIF(Report_Données!$C:$C,Suivi_Championnat!$B12)</f>
        <v>7</v>
      </c>
      <c r="D12" s="83">
        <f>COUNTIFS(Report_Données!$C:$C,Suivi_Championnat!$B12,Report_Données!$R:$R,$D$1)</f>
        <v>3</v>
      </c>
      <c r="E12" s="83">
        <f>COUNTIFS(Report_Données!$C:$C,Suivi_Championnat!$B12,Report_Données!$R:$R,E$1)</f>
        <v>4</v>
      </c>
      <c r="F12" s="84">
        <f t="shared" si="0"/>
        <v>0.42857142857142855</v>
      </c>
      <c r="H12" s="109">
        <f>SUMIFS(Report_Données!T:T,Report_Données!$C:$C,Suivi_Championnat!$B12)</f>
        <v>1</v>
      </c>
      <c r="I12" s="109">
        <f>IF(AND($D12=0,$E12=0),"",COUNTIF(Report_Données!$C:$C,Suivi_Championnat!$B12))</f>
        <v>7</v>
      </c>
      <c r="J12" s="110">
        <f t="shared" si="1"/>
        <v>0.14285714285714285</v>
      </c>
      <c r="K12" s="109">
        <f>SUMIFS(Report_Données!U:U,Report_Données!$C:$C,Suivi_Championnat!$B12)</f>
        <v>1</v>
      </c>
      <c r="L12" s="109">
        <f>IF(AND($D12=0,$E12=0),"",COUNTIF(Report_Données!$C:$C,Suivi_Championnat!$B12))</f>
        <v>7</v>
      </c>
      <c r="M12" s="110">
        <f t="shared" si="2"/>
        <v>0.14285714285714285</v>
      </c>
      <c r="N12" s="109">
        <f>SUMIFS(Report_Données!V:V,Report_Données!$C:$C,Suivi_Championnat!$B12)</f>
        <v>0</v>
      </c>
      <c r="O12" s="109">
        <f>IF(AND($D12=0,$E12=0),"",COUNTIF(Report_Données!$C:$C,Suivi_Championnat!$B12))</f>
        <v>7</v>
      </c>
      <c r="P12" s="110">
        <f t="shared" si="3"/>
        <v>0</v>
      </c>
      <c r="Q12" s="109">
        <f>SUMIFS(Report_Données!W:W,Report_Données!$C:$C,Suivi_Championnat!$B12)</f>
        <v>0</v>
      </c>
      <c r="R12" s="109">
        <f>IF(AND($D12=0,$E12=0),"",COUNTIF(Report_Données!$C:$C,Suivi_Championnat!$B12))</f>
        <v>7</v>
      </c>
      <c r="S12" s="110">
        <f t="shared" si="4"/>
        <v>0</v>
      </c>
      <c r="T12" s="91"/>
      <c r="U12" s="111">
        <f t="shared" si="5"/>
        <v>0.2857142857142857</v>
      </c>
    </row>
    <row r="13" spans="1:21" ht="20.100000000000001" customHeight="1" x14ac:dyDescent="0.3">
      <c r="A13" s="24" t="s">
        <v>76</v>
      </c>
      <c r="B13" s="88" t="s">
        <v>113</v>
      </c>
      <c r="C13" s="83">
        <f>COUNTIF(Report_Données!$C:$C,Suivi_Championnat!$B13)</f>
        <v>6</v>
      </c>
      <c r="D13" s="83">
        <f>COUNTIFS(Report_Données!$C:$C,Suivi_Championnat!$B13,Report_Données!$R:$R,$D$1)</f>
        <v>2</v>
      </c>
      <c r="E13" s="83">
        <f>COUNTIFS(Report_Données!$C:$C,Suivi_Championnat!$B13,Report_Données!$R:$R,E$1)</f>
        <v>4</v>
      </c>
      <c r="F13" s="84">
        <f t="shared" si="0"/>
        <v>0.33333333333333331</v>
      </c>
      <c r="H13" s="83">
        <f>SUMIFS(Report_Données!T:T,Report_Données!$C:$C,Suivi_Championnat!$B13)</f>
        <v>1</v>
      </c>
      <c r="I13" s="83">
        <f>IF(AND($D13=0,$E13=0),"",COUNTIF(Report_Données!$C:$C,Suivi_Championnat!$B13))</f>
        <v>6</v>
      </c>
      <c r="J13" s="84">
        <f t="shared" si="1"/>
        <v>0.16666666666666666</v>
      </c>
      <c r="K13" s="83">
        <f>SUMIFS(Report_Données!U:U,Report_Données!$C:$C,Suivi_Championnat!$B13)</f>
        <v>1</v>
      </c>
      <c r="L13" s="83">
        <f>IF(AND($D13=0,$E13=0),"",COUNTIF(Report_Données!$C:$C,Suivi_Championnat!$B13))</f>
        <v>6</v>
      </c>
      <c r="M13" s="84">
        <f t="shared" si="2"/>
        <v>0.16666666666666666</v>
      </c>
      <c r="N13" s="83">
        <f>SUMIFS(Report_Données!V:V,Report_Données!$C:$C,Suivi_Championnat!$B13)</f>
        <v>0</v>
      </c>
      <c r="O13" s="83">
        <f>IF(AND($D13=0,$E13=0),"",COUNTIF(Report_Données!$C:$C,Suivi_Championnat!$B13))</f>
        <v>6</v>
      </c>
      <c r="P13" s="84">
        <f t="shared" si="3"/>
        <v>0</v>
      </c>
      <c r="Q13" s="83">
        <f>SUMIFS(Report_Données!W:W,Report_Données!$C:$C,Suivi_Championnat!$B13)</f>
        <v>1</v>
      </c>
      <c r="R13" s="83">
        <f>IF(AND($D13=0,$E13=0),"",COUNTIF(Report_Données!$C:$C,Suivi_Championnat!$B13))</f>
        <v>6</v>
      </c>
      <c r="S13" s="84">
        <f t="shared" si="4"/>
        <v>0.16666666666666666</v>
      </c>
      <c r="T13" s="91"/>
      <c r="U13" s="89">
        <f t="shared" si="5"/>
        <v>0.5</v>
      </c>
    </row>
    <row r="14" spans="1:21" ht="20.100000000000001" customHeight="1" x14ac:dyDescent="0.3">
      <c r="A14" s="24" t="s">
        <v>77</v>
      </c>
      <c r="B14" s="88" t="s">
        <v>854</v>
      </c>
      <c r="C14" s="83">
        <f>COUNTIF(Report_Données!$C:$C,Suivi_Championnat!$B14)</f>
        <v>5</v>
      </c>
      <c r="D14" s="83">
        <f>COUNTIFS(Report_Données!$C:$C,Suivi_Championnat!$B14,Report_Données!$R:$R,$D$1)</f>
        <v>3</v>
      </c>
      <c r="E14" s="83">
        <f>COUNTIFS(Report_Données!$C:$C,Suivi_Championnat!$B14,Report_Données!$R:$R,E$1)</f>
        <v>2</v>
      </c>
      <c r="F14" s="84">
        <f t="shared" si="0"/>
        <v>0.6</v>
      </c>
      <c r="H14" s="109">
        <f>SUMIFS(Report_Données!T:T,Report_Données!$C:$C,Suivi_Championnat!$B14)</f>
        <v>0</v>
      </c>
      <c r="I14" s="109">
        <f>IF(AND($D14=0,$E14=0),"",COUNTIF(Report_Données!$C:$C,Suivi_Championnat!$B14))</f>
        <v>5</v>
      </c>
      <c r="J14" s="110">
        <f t="shared" si="1"/>
        <v>0</v>
      </c>
      <c r="K14" s="109">
        <f>SUMIFS(Report_Données!U:U,Report_Données!$C:$C,Suivi_Championnat!$B14)</f>
        <v>0</v>
      </c>
      <c r="L14" s="109">
        <f>IF(AND($D14=0,$E14=0),"",COUNTIF(Report_Données!$C:$C,Suivi_Championnat!$B14))</f>
        <v>5</v>
      </c>
      <c r="M14" s="110">
        <f t="shared" si="2"/>
        <v>0</v>
      </c>
      <c r="N14" s="109">
        <f>SUMIFS(Report_Données!V:V,Report_Données!$C:$C,Suivi_Championnat!$B14)</f>
        <v>0</v>
      </c>
      <c r="O14" s="109">
        <f>IF(AND($D14=0,$E14=0),"",COUNTIF(Report_Données!$C:$C,Suivi_Championnat!$B14))</f>
        <v>5</v>
      </c>
      <c r="P14" s="110">
        <f t="shared" si="3"/>
        <v>0</v>
      </c>
      <c r="Q14" s="109">
        <f>SUMIFS(Report_Données!W:W,Report_Données!$C:$C,Suivi_Championnat!$B14)</f>
        <v>1</v>
      </c>
      <c r="R14" s="109">
        <f>IF(AND($D14=0,$E14=0),"",COUNTIF(Report_Données!$C:$C,Suivi_Championnat!$B14))</f>
        <v>5</v>
      </c>
      <c r="S14" s="110">
        <f t="shared" si="4"/>
        <v>0.2</v>
      </c>
      <c r="T14" s="91"/>
      <c r="U14" s="111">
        <f t="shared" si="5"/>
        <v>0.2</v>
      </c>
    </row>
    <row r="15" spans="1:21" ht="20.100000000000001" customHeight="1" x14ac:dyDescent="0.3">
      <c r="A15" s="24" t="s">
        <v>78</v>
      </c>
      <c r="B15" s="88" t="s">
        <v>114</v>
      </c>
      <c r="C15" s="83">
        <f>COUNTIF(Report_Données!$C:$C,Suivi_Championnat!$B15)</f>
        <v>7</v>
      </c>
      <c r="D15" s="83">
        <f>COUNTIFS(Report_Données!$C:$C,Suivi_Championnat!$B15,Report_Données!$R:$R,$D$1)</f>
        <v>1</v>
      </c>
      <c r="E15" s="83">
        <f>COUNTIFS(Report_Données!$C:$C,Suivi_Championnat!$B15,Report_Données!$R:$R,E$1)</f>
        <v>6</v>
      </c>
      <c r="F15" s="84">
        <f t="shared" si="0"/>
        <v>0.14285714285714285</v>
      </c>
      <c r="H15" s="83">
        <f>SUMIFS(Report_Données!T:T,Report_Données!$C:$C,Suivi_Championnat!$B15)</f>
        <v>0</v>
      </c>
      <c r="I15" s="83">
        <f>IF(AND($D15=0,$E15=0),"",COUNTIF(Report_Données!$C:$C,Suivi_Championnat!$B15))</f>
        <v>7</v>
      </c>
      <c r="J15" s="84">
        <f t="shared" si="1"/>
        <v>0</v>
      </c>
      <c r="K15" s="83">
        <f>SUMIFS(Report_Données!U:U,Report_Données!$C:$C,Suivi_Championnat!$B15)</f>
        <v>0</v>
      </c>
      <c r="L15" s="83">
        <f>IF(AND($D15=0,$E15=0),"",COUNTIF(Report_Données!$C:$C,Suivi_Championnat!$B15))</f>
        <v>7</v>
      </c>
      <c r="M15" s="84">
        <f t="shared" si="2"/>
        <v>0</v>
      </c>
      <c r="N15" s="83">
        <f>SUMIFS(Report_Données!V:V,Report_Données!$C:$C,Suivi_Championnat!$B15)</f>
        <v>0</v>
      </c>
      <c r="O15" s="83">
        <f>IF(AND($D15=0,$E15=0),"",COUNTIF(Report_Données!$C:$C,Suivi_Championnat!$B15))</f>
        <v>7</v>
      </c>
      <c r="P15" s="84">
        <f t="shared" si="3"/>
        <v>0</v>
      </c>
      <c r="Q15" s="83">
        <f>SUMIFS(Report_Données!W:W,Report_Données!$C:$C,Suivi_Championnat!$B15)</f>
        <v>1</v>
      </c>
      <c r="R15" s="83">
        <f>IF(AND($D15=0,$E15=0),"",COUNTIF(Report_Données!$C:$C,Suivi_Championnat!$B15))</f>
        <v>7</v>
      </c>
      <c r="S15" s="84">
        <f t="shared" si="4"/>
        <v>0.14285714285714285</v>
      </c>
      <c r="T15" s="91"/>
      <c r="U15" s="89">
        <f t="shared" si="5"/>
        <v>0.14285714285714285</v>
      </c>
    </row>
    <row r="16" spans="1:21" ht="20.100000000000001" customHeight="1" x14ac:dyDescent="0.3">
      <c r="A16" s="24" t="s">
        <v>79</v>
      </c>
      <c r="B16" s="88" t="s">
        <v>109</v>
      </c>
      <c r="C16" s="83">
        <f>COUNTIF(Report_Données!$C:$C,Suivi_Championnat!$B16)</f>
        <v>6</v>
      </c>
      <c r="D16" s="83">
        <f>COUNTIFS(Report_Données!$C:$C,Suivi_Championnat!$B16,Report_Données!$R:$R,$D$1)</f>
        <v>2</v>
      </c>
      <c r="E16" s="83">
        <f>COUNTIFS(Report_Données!$C:$C,Suivi_Championnat!$B16,Report_Données!$R:$R,E$1)</f>
        <v>4</v>
      </c>
      <c r="F16" s="84">
        <f t="shared" si="0"/>
        <v>0.33333333333333331</v>
      </c>
      <c r="H16" s="109">
        <f>SUMIFS(Report_Données!T:T,Report_Données!$C:$C,Suivi_Championnat!$B16)</f>
        <v>0</v>
      </c>
      <c r="I16" s="109">
        <f>IF(AND($D16=0,$E16=0),"",COUNTIF(Report_Données!$C:$C,Suivi_Championnat!$B16))</f>
        <v>6</v>
      </c>
      <c r="J16" s="110">
        <f t="shared" si="1"/>
        <v>0</v>
      </c>
      <c r="K16" s="109">
        <f>SUMIFS(Report_Données!U:U,Report_Données!$C:$C,Suivi_Championnat!$B16)</f>
        <v>2</v>
      </c>
      <c r="L16" s="109">
        <f>IF(AND($D16=0,$E16=0),"",COUNTIF(Report_Données!$C:$C,Suivi_Championnat!$B16))</f>
        <v>6</v>
      </c>
      <c r="M16" s="110">
        <f t="shared" si="2"/>
        <v>0.33333333333333331</v>
      </c>
      <c r="N16" s="109">
        <f>SUMIFS(Report_Données!V:V,Report_Données!$C:$C,Suivi_Championnat!$B16)</f>
        <v>0</v>
      </c>
      <c r="O16" s="109">
        <f>IF(AND($D16=0,$E16=0),"",COUNTIF(Report_Données!$C:$C,Suivi_Championnat!$B16))</f>
        <v>6</v>
      </c>
      <c r="P16" s="110">
        <f t="shared" si="3"/>
        <v>0</v>
      </c>
      <c r="Q16" s="109">
        <f>SUMIFS(Report_Données!W:W,Report_Données!$C:$C,Suivi_Championnat!$B16)</f>
        <v>1</v>
      </c>
      <c r="R16" s="109">
        <f>IF(AND($D16=0,$E16=0),"",COUNTIF(Report_Données!$C:$C,Suivi_Championnat!$B16))</f>
        <v>6</v>
      </c>
      <c r="S16" s="110">
        <f t="shared" si="4"/>
        <v>0.16666666666666666</v>
      </c>
      <c r="T16" s="91"/>
      <c r="U16" s="111">
        <f t="shared" si="5"/>
        <v>0.5</v>
      </c>
    </row>
    <row r="17" spans="1:21" ht="20.100000000000001" customHeight="1" x14ac:dyDescent="0.3">
      <c r="A17" s="24" t="s">
        <v>67</v>
      </c>
      <c r="B17" s="88" t="s">
        <v>102</v>
      </c>
      <c r="C17" s="83">
        <f>COUNTIF(Report_Données!$C:$C,Suivi_Championnat!$B17)</f>
        <v>10</v>
      </c>
      <c r="D17" s="83">
        <f>COUNTIFS(Report_Données!$C:$C,Suivi_Championnat!$B17,Report_Données!$R:$R,$D$1)</f>
        <v>3</v>
      </c>
      <c r="E17" s="83">
        <f>COUNTIFS(Report_Données!$C:$C,Suivi_Championnat!$B17,Report_Données!$R:$R,E$1)</f>
        <v>7</v>
      </c>
      <c r="F17" s="84">
        <f t="shared" si="0"/>
        <v>0.3</v>
      </c>
      <c r="H17" s="83">
        <f>SUMIFS(Report_Données!T:T,Report_Données!$C:$C,Suivi_Championnat!$B17)</f>
        <v>2</v>
      </c>
      <c r="I17" s="83">
        <f>IF(AND($D17=0,$E17=0),"",COUNTIF(Report_Données!$C:$C,Suivi_Championnat!$B17))</f>
        <v>10</v>
      </c>
      <c r="J17" s="84">
        <f t="shared" si="1"/>
        <v>0.2</v>
      </c>
      <c r="K17" s="83">
        <f>SUMIFS(Report_Données!U:U,Report_Données!$C:$C,Suivi_Championnat!$B17)</f>
        <v>0</v>
      </c>
      <c r="L17" s="83">
        <f>IF(AND($D17=0,$E17=0),"",COUNTIF(Report_Données!$C:$C,Suivi_Championnat!$B17))</f>
        <v>10</v>
      </c>
      <c r="M17" s="84">
        <f t="shared" si="2"/>
        <v>0</v>
      </c>
      <c r="N17" s="83">
        <f>SUMIFS(Report_Données!V:V,Report_Données!$C:$C,Suivi_Championnat!$B17)</f>
        <v>0</v>
      </c>
      <c r="O17" s="83">
        <f>IF(AND($D17=0,$E17=0),"",COUNTIF(Report_Données!$C:$C,Suivi_Championnat!$B17))</f>
        <v>10</v>
      </c>
      <c r="P17" s="84">
        <f t="shared" si="3"/>
        <v>0</v>
      </c>
      <c r="Q17" s="83">
        <f>SUMIFS(Report_Données!W:W,Report_Données!$C:$C,Suivi_Championnat!$B17)</f>
        <v>1</v>
      </c>
      <c r="R17" s="83">
        <f>IF(AND($D17=0,$E17=0),"",COUNTIF(Report_Données!$C:$C,Suivi_Championnat!$B17))</f>
        <v>10</v>
      </c>
      <c r="S17" s="84">
        <f t="shared" si="4"/>
        <v>0.1</v>
      </c>
      <c r="T17" s="91"/>
      <c r="U17" s="89">
        <f t="shared" si="5"/>
        <v>0.3</v>
      </c>
    </row>
    <row r="18" spans="1:21" ht="20.100000000000001" customHeight="1" x14ac:dyDescent="0.3">
      <c r="A18" s="24" t="s">
        <v>67</v>
      </c>
      <c r="B18" s="88" t="s">
        <v>103</v>
      </c>
      <c r="C18" s="83">
        <f>COUNTIF(Report_Données!$C:$C,Suivi_Championnat!$B18)</f>
        <v>22</v>
      </c>
      <c r="D18" s="83">
        <f>COUNTIFS(Report_Données!$C:$C,Suivi_Championnat!$B18,Report_Données!$R:$R,$D$1)</f>
        <v>10</v>
      </c>
      <c r="E18" s="83">
        <f>COUNTIFS(Report_Données!$C:$C,Suivi_Championnat!$B18,Report_Données!$R:$R,E$1)</f>
        <v>12</v>
      </c>
      <c r="F18" s="84">
        <f t="shared" si="0"/>
        <v>0.45454545454545453</v>
      </c>
      <c r="H18" s="109">
        <f>SUMIFS(Report_Données!T:T,Report_Données!$C:$C,Suivi_Championnat!$B18)</f>
        <v>4</v>
      </c>
      <c r="I18" s="109">
        <f>IF(AND($D18=0,$E18=0),"",COUNTIF(Report_Données!$C:$C,Suivi_Championnat!$B18))</f>
        <v>22</v>
      </c>
      <c r="J18" s="110">
        <f t="shared" si="1"/>
        <v>0.18181818181818182</v>
      </c>
      <c r="K18" s="109">
        <f>SUMIFS(Report_Données!U:U,Report_Données!$C:$C,Suivi_Championnat!$B18)</f>
        <v>0</v>
      </c>
      <c r="L18" s="109">
        <f>IF(AND($D18=0,$E18=0),"",COUNTIF(Report_Données!$C:$C,Suivi_Championnat!$B18))</f>
        <v>22</v>
      </c>
      <c r="M18" s="110">
        <f t="shared" si="2"/>
        <v>0</v>
      </c>
      <c r="N18" s="109">
        <f>SUMIFS(Report_Données!V:V,Report_Données!$C:$C,Suivi_Championnat!$B18)</f>
        <v>4</v>
      </c>
      <c r="O18" s="109">
        <f>IF(AND($D18=0,$E18=0),"",COUNTIF(Report_Données!$C:$C,Suivi_Championnat!$B18))</f>
        <v>22</v>
      </c>
      <c r="P18" s="110">
        <f t="shared" si="3"/>
        <v>0.18181818181818182</v>
      </c>
      <c r="Q18" s="109">
        <f>SUMIFS(Report_Données!W:W,Report_Données!$C:$C,Suivi_Championnat!$B18)</f>
        <v>1</v>
      </c>
      <c r="R18" s="109">
        <f>IF(AND($D18=0,$E18=0),"",COUNTIF(Report_Données!$C:$C,Suivi_Championnat!$B18))</f>
        <v>22</v>
      </c>
      <c r="S18" s="110">
        <f t="shared" si="4"/>
        <v>4.5454545454545456E-2</v>
      </c>
      <c r="T18" s="91"/>
      <c r="U18" s="111">
        <f t="shared" si="5"/>
        <v>0.40909090909090912</v>
      </c>
    </row>
    <row r="19" spans="1:21" ht="20.100000000000001" customHeight="1" x14ac:dyDescent="0.3">
      <c r="A19" s="24" t="s">
        <v>80</v>
      </c>
      <c r="B19" s="88" t="s">
        <v>115</v>
      </c>
      <c r="C19" s="83">
        <f>COUNTIF(Report_Données!$C:$C,Suivi_Championnat!$B19)</f>
        <v>0</v>
      </c>
      <c r="D19" s="83">
        <f>COUNTIFS(Report_Données!$C:$C,Suivi_Championnat!$B19,Report_Données!$R:$R,$D$1)</f>
        <v>0</v>
      </c>
      <c r="E19" s="83">
        <f>COUNTIFS(Report_Données!$C:$C,Suivi_Championnat!$B19,Report_Données!$R:$R,E$1)</f>
        <v>0</v>
      </c>
      <c r="F19" s="84" t="str">
        <f t="shared" si="0"/>
        <v/>
      </c>
      <c r="H19" s="83">
        <f>SUMIFS(Report_Données!T:T,Report_Données!$C:$C,Suivi_Championnat!$B19)</f>
        <v>0</v>
      </c>
      <c r="I19" s="83" t="str">
        <f>IF(AND($D19=0,$E19=0),"",COUNTIF(Report_Données!$C:$C,Suivi_Championnat!$B19))</f>
        <v/>
      </c>
      <c r="J19" s="84" t="str">
        <f t="shared" si="1"/>
        <v/>
      </c>
      <c r="K19" s="83">
        <f>SUMIFS(Report_Données!U:U,Report_Données!$C:$C,Suivi_Championnat!$B19)</f>
        <v>0</v>
      </c>
      <c r="L19" s="83" t="str">
        <f>IF(AND($D19=0,$E19=0),"",COUNTIF(Report_Données!$C:$C,Suivi_Championnat!$B19))</f>
        <v/>
      </c>
      <c r="M19" s="84" t="str">
        <f t="shared" si="2"/>
        <v/>
      </c>
      <c r="N19" s="83">
        <f>SUMIFS(Report_Données!V:V,Report_Données!$C:$C,Suivi_Championnat!$B19)</f>
        <v>0</v>
      </c>
      <c r="O19" s="83" t="str">
        <f>IF(AND($D19=0,$E19=0),"",COUNTIF(Report_Données!$C:$C,Suivi_Championnat!$B19))</f>
        <v/>
      </c>
      <c r="P19" s="84" t="str">
        <f t="shared" si="3"/>
        <v/>
      </c>
      <c r="Q19" s="83">
        <f>SUMIFS(Report_Données!W:W,Report_Données!$C:$C,Suivi_Championnat!$B19)</f>
        <v>0</v>
      </c>
      <c r="R19" s="83" t="str">
        <f>IF(AND($D19=0,$E19=0),"",COUNTIF(Report_Données!$C:$C,Suivi_Championnat!$B19))</f>
        <v/>
      </c>
      <c r="S19" s="84" t="str">
        <f t="shared" si="4"/>
        <v/>
      </c>
      <c r="T19" s="91"/>
      <c r="U19" s="89" t="str">
        <f t="shared" si="5"/>
        <v/>
      </c>
    </row>
    <row r="20" spans="1:21" ht="20.100000000000001" customHeight="1" x14ac:dyDescent="0.3">
      <c r="A20" s="24" t="s">
        <v>95</v>
      </c>
      <c r="B20" s="88" t="s">
        <v>137</v>
      </c>
      <c r="C20" s="83">
        <f>COUNTIF(Report_Données!$C:$C,Suivi_Championnat!$B20)</f>
        <v>0</v>
      </c>
      <c r="D20" s="83">
        <f>COUNTIFS(Report_Données!$C:$C,Suivi_Championnat!$B20,Report_Données!$R:$R,$D$1)</f>
        <v>0</v>
      </c>
      <c r="E20" s="83">
        <f>COUNTIFS(Report_Données!$C:$C,Suivi_Championnat!$B20,Report_Données!$R:$R,E$1)</f>
        <v>0</v>
      </c>
      <c r="F20" s="84" t="str">
        <f t="shared" si="0"/>
        <v/>
      </c>
      <c r="H20" s="109">
        <f>SUMIFS(Report_Données!T:T,Report_Données!$C:$C,Suivi_Championnat!$B20)</f>
        <v>0</v>
      </c>
      <c r="I20" s="109" t="str">
        <f>IF(AND($D20=0,$E20=0),"",COUNTIF(Report_Données!$C:$C,Suivi_Championnat!$B20))</f>
        <v/>
      </c>
      <c r="J20" s="110" t="str">
        <f t="shared" si="1"/>
        <v/>
      </c>
      <c r="K20" s="109">
        <f>SUMIFS(Report_Données!U:U,Report_Données!$C:$C,Suivi_Championnat!$B20)</f>
        <v>0</v>
      </c>
      <c r="L20" s="109" t="str">
        <f>IF(AND($D20=0,$E20=0),"",COUNTIF(Report_Données!$C:$C,Suivi_Championnat!$B20))</f>
        <v/>
      </c>
      <c r="M20" s="110" t="str">
        <f t="shared" si="2"/>
        <v/>
      </c>
      <c r="N20" s="109">
        <f>SUMIFS(Report_Données!V:V,Report_Données!$C:$C,Suivi_Championnat!$B20)</f>
        <v>0</v>
      </c>
      <c r="O20" s="109" t="str">
        <f>IF(AND($D20=0,$E20=0),"",COUNTIF(Report_Données!$C:$C,Suivi_Championnat!$B20))</f>
        <v/>
      </c>
      <c r="P20" s="110" t="str">
        <f t="shared" si="3"/>
        <v/>
      </c>
      <c r="Q20" s="109">
        <f>SUMIFS(Report_Données!W:W,Report_Données!$C:$C,Suivi_Championnat!$B20)</f>
        <v>0</v>
      </c>
      <c r="R20" s="109" t="str">
        <f>IF(AND($D20=0,$E20=0),"",COUNTIF(Report_Données!$C:$C,Suivi_Championnat!$B20))</f>
        <v/>
      </c>
      <c r="S20" s="110" t="str">
        <f t="shared" si="4"/>
        <v/>
      </c>
      <c r="T20" s="91"/>
      <c r="U20" s="111" t="str">
        <f t="shared" si="5"/>
        <v/>
      </c>
    </row>
    <row r="21" spans="1:21" ht="20.100000000000001" customHeight="1" x14ac:dyDescent="0.3">
      <c r="A21" s="24" t="s">
        <v>36</v>
      </c>
      <c r="B21" s="88" t="s">
        <v>37</v>
      </c>
      <c r="C21" s="83">
        <f>COUNTIF(Report_Données!$C:$C,Suivi_Championnat!$B21)</f>
        <v>10</v>
      </c>
      <c r="D21" s="83">
        <f>COUNTIFS(Report_Données!$C:$C,Suivi_Championnat!$B21,Report_Données!$R:$R,$D$1)</f>
        <v>3</v>
      </c>
      <c r="E21" s="83">
        <f>COUNTIFS(Report_Données!$C:$C,Suivi_Championnat!$B21,Report_Données!$R:$R,E$1)</f>
        <v>7</v>
      </c>
      <c r="F21" s="84">
        <f t="shared" si="0"/>
        <v>0.3</v>
      </c>
      <c r="H21" s="83">
        <f>SUMIFS(Report_Données!T:T,Report_Données!$C:$C,Suivi_Championnat!$B21)</f>
        <v>1</v>
      </c>
      <c r="I21" s="83">
        <f>IF(AND($D21=0,$E21=0),"",COUNTIF(Report_Données!$C:$C,Suivi_Championnat!$B21))</f>
        <v>10</v>
      </c>
      <c r="J21" s="84">
        <f t="shared" si="1"/>
        <v>0.1</v>
      </c>
      <c r="K21" s="83">
        <f>SUMIFS(Report_Données!U:U,Report_Données!$C:$C,Suivi_Championnat!$B21)</f>
        <v>2</v>
      </c>
      <c r="L21" s="83">
        <f>IF(AND($D21=0,$E21=0),"",COUNTIF(Report_Données!$C:$C,Suivi_Championnat!$B21))</f>
        <v>10</v>
      </c>
      <c r="M21" s="84">
        <f t="shared" si="2"/>
        <v>0.2</v>
      </c>
      <c r="N21" s="83">
        <f>SUMIFS(Report_Données!V:V,Report_Données!$C:$C,Suivi_Championnat!$B21)</f>
        <v>1</v>
      </c>
      <c r="O21" s="83">
        <f>IF(AND($D21=0,$E21=0),"",COUNTIF(Report_Données!$C:$C,Suivi_Championnat!$B21))</f>
        <v>10</v>
      </c>
      <c r="P21" s="84">
        <f t="shared" si="3"/>
        <v>0.1</v>
      </c>
      <c r="Q21" s="83">
        <f>SUMIFS(Report_Données!W:W,Report_Données!$C:$C,Suivi_Championnat!$B21)</f>
        <v>0</v>
      </c>
      <c r="R21" s="83">
        <f>IF(AND($D21=0,$E21=0),"",COUNTIF(Report_Données!$C:$C,Suivi_Championnat!$B21))</f>
        <v>10</v>
      </c>
      <c r="S21" s="84">
        <f t="shared" si="4"/>
        <v>0</v>
      </c>
      <c r="T21" s="91"/>
      <c r="U21" s="89">
        <f>IF(AND($D21=0,$E21=0),"",($H21+$K21+$N21+$Q21)/($D21+$E21))</f>
        <v>0.4</v>
      </c>
    </row>
    <row r="22" spans="1:21" ht="20.100000000000001" customHeight="1" x14ac:dyDescent="0.3">
      <c r="A22" s="24" t="s">
        <v>36</v>
      </c>
      <c r="B22" s="88" t="s">
        <v>38</v>
      </c>
      <c r="C22" s="83">
        <f>COUNTIF(Report_Données!$C:$C,Suivi_Championnat!$B22)</f>
        <v>10</v>
      </c>
      <c r="D22" s="83">
        <f>COUNTIFS(Report_Données!$C:$C,Suivi_Championnat!$B22,Report_Données!$R:$R,$D$1)</f>
        <v>2</v>
      </c>
      <c r="E22" s="83">
        <f>COUNTIFS(Report_Données!$C:$C,Suivi_Championnat!$B22,Report_Données!$R:$R,E$1)</f>
        <v>8</v>
      </c>
      <c r="F22" s="84">
        <f t="shared" si="0"/>
        <v>0.2</v>
      </c>
      <c r="H22" s="109">
        <f>SUMIFS(Report_Données!T:T,Report_Données!$C:$C,Suivi_Championnat!$B22)</f>
        <v>1</v>
      </c>
      <c r="I22" s="109">
        <f>IF(AND($D22=0,$E22=0),"",COUNTIF(Report_Données!$C:$C,Suivi_Championnat!$B22))</f>
        <v>10</v>
      </c>
      <c r="J22" s="110">
        <f t="shared" si="1"/>
        <v>0.1</v>
      </c>
      <c r="K22" s="109">
        <f>SUMIFS(Report_Données!U:U,Report_Données!$C:$C,Suivi_Championnat!$B22)</f>
        <v>3</v>
      </c>
      <c r="L22" s="109">
        <f>IF(AND($D22=0,$E22=0),"",COUNTIF(Report_Données!$C:$C,Suivi_Championnat!$B22))</f>
        <v>10</v>
      </c>
      <c r="M22" s="110">
        <f t="shared" si="2"/>
        <v>0.3</v>
      </c>
      <c r="N22" s="109">
        <f>SUMIFS(Report_Données!V:V,Report_Données!$C:$C,Suivi_Championnat!$B22)</f>
        <v>0</v>
      </c>
      <c r="O22" s="109">
        <f>IF(AND($D22=0,$E22=0),"",COUNTIF(Report_Données!$C:$C,Suivi_Championnat!$B22))</f>
        <v>10</v>
      </c>
      <c r="P22" s="110">
        <f t="shared" si="3"/>
        <v>0</v>
      </c>
      <c r="Q22" s="109">
        <f>SUMIFS(Report_Données!W:W,Report_Données!$C:$C,Suivi_Championnat!$B22)</f>
        <v>0</v>
      </c>
      <c r="R22" s="109">
        <f>IF(AND($D22=0,$E22=0),"",COUNTIF(Report_Données!$C:$C,Suivi_Championnat!$B22))</f>
        <v>10</v>
      </c>
      <c r="S22" s="110">
        <f t="shared" si="4"/>
        <v>0</v>
      </c>
      <c r="T22" s="91"/>
      <c r="U22" s="111">
        <f t="shared" si="5"/>
        <v>0.4</v>
      </c>
    </row>
    <row r="23" spans="1:21" ht="20.100000000000001" customHeight="1" x14ac:dyDescent="0.3">
      <c r="A23" s="24" t="s">
        <v>222</v>
      </c>
      <c r="B23" s="88" t="s">
        <v>116</v>
      </c>
      <c r="C23" s="83">
        <f>COUNTIF(Report_Données!$C:$C,Suivi_Championnat!$B23)</f>
        <v>8</v>
      </c>
      <c r="D23" s="83">
        <f>COUNTIFS(Report_Données!$C:$C,Suivi_Championnat!$B23,Report_Données!$R:$R,$D$1)</f>
        <v>3</v>
      </c>
      <c r="E23" s="83">
        <f>COUNTIFS(Report_Données!$C:$C,Suivi_Championnat!$B23,Report_Données!$R:$R,E$1)</f>
        <v>5</v>
      </c>
      <c r="F23" s="84">
        <f t="shared" si="0"/>
        <v>0.375</v>
      </c>
      <c r="H23" s="83">
        <f>SUMIFS(Report_Données!T:T,Report_Données!$C:$C,Suivi_Championnat!$B23)</f>
        <v>1</v>
      </c>
      <c r="I23" s="83">
        <f>IF(AND($D23=0,$E23=0),"",COUNTIF(Report_Données!$C:$C,Suivi_Championnat!$B23))</f>
        <v>8</v>
      </c>
      <c r="J23" s="84">
        <f t="shared" si="1"/>
        <v>0.125</v>
      </c>
      <c r="K23" s="83">
        <f>SUMIFS(Report_Données!U:U,Report_Données!$C:$C,Suivi_Championnat!$B23)</f>
        <v>0</v>
      </c>
      <c r="L23" s="83">
        <f>IF(AND($D23=0,$E23=0),"",COUNTIF(Report_Données!$C:$C,Suivi_Championnat!$B23))</f>
        <v>8</v>
      </c>
      <c r="M23" s="84">
        <f t="shared" si="2"/>
        <v>0</v>
      </c>
      <c r="N23" s="83">
        <f>SUMIFS(Report_Données!V:V,Report_Données!$C:$C,Suivi_Championnat!$B23)</f>
        <v>0</v>
      </c>
      <c r="O23" s="83">
        <f>IF(AND($D23=0,$E23=0),"",COUNTIF(Report_Données!$C:$C,Suivi_Championnat!$B23))</f>
        <v>8</v>
      </c>
      <c r="P23" s="84">
        <f t="shared" si="3"/>
        <v>0</v>
      </c>
      <c r="Q23" s="83">
        <f>SUMIFS(Report_Données!W:W,Report_Données!$C:$C,Suivi_Championnat!$B23)</f>
        <v>0</v>
      </c>
      <c r="R23" s="83">
        <f>IF(AND($D23=0,$E23=0),"",COUNTIF(Report_Données!$C:$C,Suivi_Championnat!$B23))</f>
        <v>8</v>
      </c>
      <c r="S23" s="84">
        <f t="shared" si="4"/>
        <v>0</v>
      </c>
      <c r="T23" s="91"/>
      <c r="U23" s="89">
        <f t="shared" si="5"/>
        <v>0.125</v>
      </c>
    </row>
    <row r="24" spans="1:21" ht="20.100000000000001" customHeight="1" x14ac:dyDescent="0.3">
      <c r="A24" s="24" t="s">
        <v>863</v>
      </c>
      <c r="B24" s="88" t="s">
        <v>862</v>
      </c>
      <c r="C24" s="83">
        <f>COUNTIF(Report_Données!$C:$C,Suivi_Championnat!$B24)</f>
        <v>7</v>
      </c>
      <c r="D24" s="83">
        <f>COUNTIFS(Report_Données!$C:$C,Suivi_Championnat!$B24,Report_Données!$R:$R,$D$1)</f>
        <v>2</v>
      </c>
      <c r="E24" s="83">
        <f>COUNTIFS(Report_Données!$C:$C,Suivi_Championnat!$B24,Report_Données!$R:$R,E$1)</f>
        <v>5</v>
      </c>
      <c r="F24" s="84">
        <f t="shared" si="0"/>
        <v>0.2857142857142857</v>
      </c>
      <c r="H24" s="109">
        <f>SUMIFS(Report_Données!T:T,Report_Données!$C:$C,Suivi_Championnat!$B24)</f>
        <v>0</v>
      </c>
      <c r="I24" s="109">
        <f>IF(AND($D24=0,$E24=0),"",COUNTIF(Report_Données!$C:$C,Suivi_Championnat!$B24))</f>
        <v>7</v>
      </c>
      <c r="J24" s="110">
        <f t="shared" si="1"/>
        <v>0</v>
      </c>
      <c r="K24" s="109">
        <f>SUMIFS(Report_Données!U:U,Report_Données!$C:$C,Suivi_Championnat!$B24)</f>
        <v>2</v>
      </c>
      <c r="L24" s="109">
        <f>IF(AND($D24=0,$E24=0),"",COUNTIF(Report_Données!$C:$C,Suivi_Championnat!$B24))</f>
        <v>7</v>
      </c>
      <c r="M24" s="110">
        <f t="shared" si="2"/>
        <v>0.2857142857142857</v>
      </c>
      <c r="N24" s="109">
        <f>SUMIFS(Report_Données!V:V,Report_Données!$C:$C,Suivi_Championnat!$B24)</f>
        <v>0</v>
      </c>
      <c r="O24" s="109">
        <f>IF(AND($D24=0,$E24=0),"",COUNTIF(Report_Données!$C:$C,Suivi_Championnat!$B24))</f>
        <v>7</v>
      </c>
      <c r="P24" s="110">
        <f t="shared" si="3"/>
        <v>0</v>
      </c>
      <c r="Q24" s="109">
        <f>SUMIFS(Report_Données!W:W,Report_Données!$C:$C,Suivi_Championnat!$B24)</f>
        <v>1</v>
      </c>
      <c r="R24" s="109">
        <f>IF(AND($D24=0,$E24=0),"",COUNTIF(Report_Données!$C:$C,Suivi_Championnat!$B24))</f>
        <v>7</v>
      </c>
      <c r="S24" s="110">
        <f t="shared" si="4"/>
        <v>0.14285714285714285</v>
      </c>
      <c r="T24" s="91"/>
      <c r="U24" s="111">
        <f t="shared" si="5"/>
        <v>0.42857142857142855</v>
      </c>
    </row>
    <row r="25" spans="1:21" ht="20.100000000000001" customHeight="1" x14ac:dyDescent="0.3">
      <c r="A25" s="24" t="s">
        <v>82</v>
      </c>
      <c r="B25" s="88" t="s">
        <v>138</v>
      </c>
      <c r="C25" s="83">
        <f>COUNTIF(Report_Données!$C:$C,Suivi_Championnat!$B25)</f>
        <v>0</v>
      </c>
      <c r="D25" s="83">
        <f>COUNTIFS(Report_Données!$C:$C,Suivi_Championnat!$B25,Report_Données!$R:$R,$D$1)</f>
        <v>0</v>
      </c>
      <c r="E25" s="83">
        <f>COUNTIFS(Report_Données!$C:$C,Suivi_Championnat!$B25,Report_Données!$R:$R,E$1)</f>
        <v>0</v>
      </c>
      <c r="F25" s="84" t="str">
        <f t="shared" si="0"/>
        <v/>
      </c>
      <c r="H25" s="83">
        <f>SUMIFS(Report_Données!T:T,Report_Données!$C:$C,Suivi_Championnat!$B25)</f>
        <v>0</v>
      </c>
      <c r="I25" s="83" t="str">
        <f>IF(AND($D25=0,$E25=0),"",COUNTIF(Report_Données!$C:$C,Suivi_Championnat!$B25))</f>
        <v/>
      </c>
      <c r="J25" s="84" t="str">
        <f t="shared" si="1"/>
        <v/>
      </c>
      <c r="K25" s="83">
        <f>SUMIFS(Report_Données!U:U,Report_Données!$C:$C,Suivi_Championnat!$B25)</f>
        <v>0</v>
      </c>
      <c r="L25" s="83" t="str">
        <f>IF(AND($D25=0,$E25=0),"",COUNTIF(Report_Données!$C:$C,Suivi_Championnat!$B25))</f>
        <v/>
      </c>
      <c r="M25" s="84" t="str">
        <f t="shared" si="2"/>
        <v/>
      </c>
      <c r="N25" s="83">
        <f>SUMIFS(Report_Données!V:V,Report_Données!$C:$C,Suivi_Championnat!$B25)</f>
        <v>0</v>
      </c>
      <c r="O25" s="83" t="str">
        <f>IF(AND($D25=0,$E25=0),"",COUNTIF(Report_Données!$C:$C,Suivi_Championnat!$B25))</f>
        <v/>
      </c>
      <c r="P25" s="84" t="str">
        <f t="shared" si="3"/>
        <v/>
      </c>
      <c r="Q25" s="83">
        <f>SUMIFS(Report_Données!W:W,Report_Données!$C:$C,Suivi_Championnat!$B25)</f>
        <v>0</v>
      </c>
      <c r="R25" s="83" t="str">
        <f>IF(AND($D25=0,$E25=0),"",COUNTIF(Report_Données!$C:$C,Suivi_Championnat!$B25))</f>
        <v/>
      </c>
      <c r="S25" s="84" t="str">
        <f t="shared" si="4"/>
        <v/>
      </c>
      <c r="T25" s="91"/>
      <c r="U25" s="89" t="str">
        <f t="shared" si="5"/>
        <v/>
      </c>
    </row>
    <row r="26" spans="1:21" ht="20.100000000000001" customHeight="1" x14ac:dyDescent="0.3">
      <c r="A26" s="24" t="s">
        <v>81</v>
      </c>
      <c r="B26" s="88" t="s">
        <v>108</v>
      </c>
      <c r="C26" s="83">
        <f>COUNTIF(Report_Données!$C:$C,Suivi_Championnat!$B26)</f>
        <v>13</v>
      </c>
      <c r="D26" s="83">
        <f>COUNTIFS(Report_Données!$C:$C,Suivi_Championnat!$B26,Report_Données!$R:$R,$D$1)</f>
        <v>8</v>
      </c>
      <c r="E26" s="83">
        <f>COUNTIFS(Report_Données!$C:$C,Suivi_Championnat!$B26,Report_Données!$R:$R,E$1)</f>
        <v>5</v>
      </c>
      <c r="F26" s="84">
        <f t="shared" si="0"/>
        <v>0.61538461538461542</v>
      </c>
      <c r="H26" s="109">
        <f>SUMIFS(Report_Données!T:T,Report_Données!$C:$C,Suivi_Championnat!$B26)</f>
        <v>3</v>
      </c>
      <c r="I26" s="109">
        <f>IF(AND($D26=0,$E26=0),"",COUNTIF(Report_Données!$C:$C,Suivi_Championnat!$B26))</f>
        <v>13</v>
      </c>
      <c r="J26" s="110">
        <f t="shared" si="1"/>
        <v>0.23076923076923078</v>
      </c>
      <c r="K26" s="109">
        <f>SUMIFS(Report_Données!U:U,Report_Données!$C:$C,Suivi_Championnat!$B26)</f>
        <v>1</v>
      </c>
      <c r="L26" s="109">
        <f>IF(AND($D26=0,$E26=0),"",COUNTIF(Report_Données!$C:$C,Suivi_Championnat!$B26))</f>
        <v>13</v>
      </c>
      <c r="M26" s="110">
        <f t="shared" si="2"/>
        <v>7.6923076923076927E-2</v>
      </c>
      <c r="N26" s="109">
        <f>SUMIFS(Report_Données!V:V,Report_Données!$C:$C,Suivi_Championnat!$B26)</f>
        <v>0</v>
      </c>
      <c r="O26" s="109">
        <f>IF(AND($D26=0,$E26=0),"",COUNTIF(Report_Données!$C:$C,Suivi_Championnat!$B26))</f>
        <v>13</v>
      </c>
      <c r="P26" s="110">
        <f t="shared" si="3"/>
        <v>0</v>
      </c>
      <c r="Q26" s="109">
        <f>SUMIFS(Report_Données!W:W,Report_Données!$C:$C,Suivi_Championnat!$B26)</f>
        <v>0</v>
      </c>
      <c r="R26" s="109">
        <f>IF(AND($D26=0,$E26=0),"",COUNTIF(Report_Données!$C:$C,Suivi_Championnat!$B26))</f>
        <v>13</v>
      </c>
      <c r="S26" s="110">
        <f t="shared" si="4"/>
        <v>0</v>
      </c>
      <c r="T26" s="91"/>
      <c r="U26" s="111">
        <f t="shared" si="5"/>
        <v>0.30769230769230771</v>
      </c>
    </row>
    <row r="27" spans="1:21" ht="20.100000000000001" customHeight="1" x14ac:dyDescent="0.3">
      <c r="A27" s="24" t="s">
        <v>69</v>
      </c>
      <c r="B27" s="88" t="s">
        <v>105</v>
      </c>
      <c r="C27" s="83">
        <f>COUNTIF(Report_Données!$C:$C,Suivi_Championnat!$B27)</f>
        <v>10</v>
      </c>
      <c r="D27" s="83">
        <f>COUNTIFS(Report_Données!$C:$C,Suivi_Championnat!$B27,Report_Données!$R:$R,$D$1)</f>
        <v>4</v>
      </c>
      <c r="E27" s="83">
        <f>COUNTIFS(Report_Données!$C:$C,Suivi_Championnat!$B27,Report_Données!$R:$R,E$1)</f>
        <v>6</v>
      </c>
      <c r="F27" s="84">
        <f t="shared" si="0"/>
        <v>0.4</v>
      </c>
      <c r="H27" s="83">
        <f>SUMIFS(Report_Données!T:T,Report_Données!$C:$C,Suivi_Championnat!$B27)</f>
        <v>3</v>
      </c>
      <c r="I27" s="83">
        <f>IF(AND($D27=0,$E27=0),"",COUNTIF(Report_Données!$C:$C,Suivi_Championnat!$B27))</f>
        <v>10</v>
      </c>
      <c r="J27" s="84">
        <f t="shared" si="1"/>
        <v>0.3</v>
      </c>
      <c r="K27" s="83">
        <f>SUMIFS(Report_Données!U:U,Report_Données!$C:$C,Suivi_Championnat!$B27)</f>
        <v>2</v>
      </c>
      <c r="L27" s="83">
        <f>IF(AND($D27=0,$E27=0),"",COUNTIF(Report_Données!$C:$C,Suivi_Championnat!$B27))</f>
        <v>10</v>
      </c>
      <c r="M27" s="84">
        <f t="shared" si="2"/>
        <v>0.2</v>
      </c>
      <c r="N27" s="83">
        <f>SUMIFS(Report_Données!V:V,Report_Données!$C:$C,Suivi_Championnat!$B27)</f>
        <v>0</v>
      </c>
      <c r="O27" s="83">
        <f>IF(AND($D27=0,$E27=0),"",COUNTIF(Report_Données!$C:$C,Suivi_Championnat!$B27))</f>
        <v>10</v>
      </c>
      <c r="P27" s="84">
        <f t="shared" si="3"/>
        <v>0</v>
      </c>
      <c r="Q27" s="83">
        <f>SUMIFS(Report_Données!W:W,Report_Données!$C:$C,Suivi_Championnat!$B27)</f>
        <v>1</v>
      </c>
      <c r="R27" s="83">
        <f>IF(AND($D27=0,$E27=0),"",COUNTIF(Report_Données!$C:$C,Suivi_Championnat!$B27))</f>
        <v>10</v>
      </c>
      <c r="S27" s="84">
        <f t="shared" si="4"/>
        <v>0.1</v>
      </c>
      <c r="T27" s="91"/>
      <c r="U27" s="89">
        <f t="shared" si="5"/>
        <v>0.6</v>
      </c>
    </row>
    <row r="28" spans="1:21" ht="20.100000000000001" customHeight="1" x14ac:dyDescent="0.3">
      <c r="A28" s="24" t="s">
        <v>69</v>
      </c>
      <c r="B28" s="88" t="s">
        <v>494</v>
      </c>
      <c r="C28" s="83">
        <f>COUNTIF(Report_Données!$C:$C,Suivi_Championnat!$B28)</f>
        <v>10</v>
      </c>
      <c r="D28" s="83">
        <f>COUNTIFS(Report_Données!$C:$C,Suivi_Championnat!$B28,Report_Données!$R:$R,$D$1)</f>
        <v>2</v>
      </c>
      <c r="E28" s="83">
        <f>COUNTIFS(Report_Données!$C:$C,Suivi_Championnat!$B28,Report_Données!$R:$R,E$1)</f>
        <v>8</v>
      </c>
      <c r="F28" s="84">
        <f t="shared" si="0"/>
        <v>0.2</v>
      </c>
      <c r="H28" s="109">
        <f>SUMIFS(Report_Données!T:T,Report_Données!$C:$C,Suivi_Championnat!$B28)</f>
        <v>1</v>
      </c>
      <c r="I28" s="109">
        <f>IF(AND($D28=0,$E28=0),"",COUNTIF(Report_Données!$C:$C,Suivi_Championnat!$B28))</f>
        <v>10</v>
      </c>
      <c r="J28" s="110">
        <f t="shared" si="1"/>
        <v>0.1</v>
      </c>
      <c r="K28" s="109">
        <f>SUMIFS(Report_Données!U:U,Report_Données!$C:$C,Suivi_Championnat!$B28)</f>
        <v>3</v>
      </c>
      <c r="L28" s="109">
        <f>IF(AND($D28=0,$E28=0),"",COUNTIF(Report_Données!$C:$C,Suivi_Championnat!$B28))</f>
        <v>10</v>
      </c>
      <c r="M28" s="110">
        <f t="shared" si="2"/>
        <v>0.3</v>
      </c>
      <c r="N28" s="109">
        <f>SUMIFS(Report_Données!V:V,Report_Données!$C:$C,Suivi_Championnat!$B28)</f>
        <v>2</v>
      </c>
      <c r="O28" s="109">
        <f>IF(AND($D28=0,$E28=0),"",COUNTIF(Report_Données!$C:$C,Suivi_Championnat!$B28))</f>
        <v>10</v>
      </c>
      <c r="P28" s="110">
        <f t="shared" si="3"/>
        <v>0.2</v>
      </c>
      <c r="Q28" s="109">
        <f>SUMIFS(Report_Données!W:W,Report_Données!$C:$C,Suivi_Championnat!$B28)</f>
        <v>1</v>
      </c>
      <c r="R28" s="109">
        <f>IF(AND($D28=0,$E28=0),"",COUNTIF(Report_Données!$C:$C,Suivi_Championnat!$B28))</f>
        <v>10</v>
      </c>
      <c r="S28" s="110">
        <f t="shared" si="4"/>
        <v>0.1</v>
      </c>
      <c r="T28" s="91"/>
      <c r="U28" s="111">
        <f>IF(AND($D28=0,$E28=0),"",($H28+$K28+$N28+$Q28)/($D28+$E28))</f>
        <v>0.7</v>
      </c>
    </row>
    <row r="29" spans="1:21" ht="20.100000000000001" customHeight="1" x14ac:dyDescent="0.3">
      <c r="A29" s="24" t="s">
        <v>71</v>
      </c>
      <c r="B29" s="88" t="s">
        <v>117</v>
      </c>
      <c r="C29" s="83">
        <f>COUNTIF(Report_Données!$C:$C,Suivi_Championnat!$B29)</f>
        <v>9</v>
      </c>
      <c r="D29" s="83">
        <f>COUNTIFS(Report_Données!$C:$C,Suivi_Championnat!$B29,Report_Données!$R:$R,$D$1)</f>
        <v>2</v>
      </c>
      <c r="E29" s="83">
        <f>COUNTIFS(Report_Données!$C:$C,Suivi_Championnat!$B29,Report_Données!$R:$R,E$1)</f>
        <v>7</v>
      </c>
      <c r="F29" s="84">
        <f t="shared" si="0"/>
        <v>0.22222222222222221</v>
      </c>
      <c r="H29" s="83">
        <f>SUMIFS(Report_Données!T:T,Report_Données!$C:$C,Suivi_Championnat!$B29)</f>
        <v>0</v>
      </c>
      <c r="I29" s="83">
        <f>IF(AND($D29=0,$E29=0),"",COUNTIF(Report_Données!$C:$C,Suivi_Championnat!$B29))</f>
        <v>9</v>
      </c>
      <c r="J29" s="84">
        <f t="shared" si="1"/>
        <v>0</v>
      </c>
      <c r="K29" s="83">
        <f>SUMIFS(Report_Données!U:U,Report_Données!$C:$C,Suivi_Championnat!$B29)</f>
        <v>0</v>
      </c>
      <c r="L29" s="83">
        <f>IF(AND($D29=0,$E29=0),"",COUNTIF(Report_Données!$C:$C,Suivi_Championnat!$B29))</f>
        <v>9</v>
      </c>
      <c r="M29" s="84">
        <f t="shared" si="2"/>
        <v>0</v>
      </c>
      <c r="N29" s="83">
        <f>SUMIFS(Report_Données!V:V,Report_Données!$C:$C,Suivi_Championnat!$B29)</f>
        <v>1</v>
      </c>
      <c r="O29" s="83">
        <f>IF(AND($D29=0,$E29=0),"",COUNTIF(Report_Données!$C:$C,Suivi_Championnat!$B29))</f>
        <v>9</v>
      </c>
      <c r="P29" s="84">
        <f t="shared" si="3"/>
        <v>0.1111111111111111</v>
      </c>
      <c r="Q29" s="83">
        <f>SUMIFS(Report_Données!W:W,Report_Données!$C:$C,Suivi_Championnat!$B29)</f>
        <v>0</v>
      </c>
      <c r="R29" s="83">
        <f>IF(AND($D29=0,$E29=0),"",COUNTIF(Report_Données!$C:$C,Suivi_Championnat!$B29))</f>
        <v>9</v>
      </c>
      <c r="S29" s="84">
        <f t="shared" si="4"/>
        <v>0</v>
      </c>
      <c r="T29" s="91"/>
      <c r="U29" s="89">
        <f t="shared" si="5"/>
        <v>0.1111111111111111</v>
      </c>
    </row>
    <row r="30" spans="1:21" ht="20.100000000000001" customHeight="1" x14ac:dyDescent="0.3">
      <c r="A30" s="24" t="s">
        <v>83</v>
      </c>
      <c r="B30" s="88" t="s">
        <v>118</v>
      </c>
      <c r="C30" s="83">
        <f>COUNTIF(Report_Données!$C:$C,Suivi_Championnat!$B30)</f>
        <v>0</v>
      </c>
      <c r="D30" s="83">
        <f>COUNTIFS(Report_Données!$C:$C,Suivi_Championnat!$B30,Report_Données!$R:$R,$D$1)</f>
        <v>0</v>
      </c>
      <c r="E30" s="83">
        <f>COUNTIFS(Report_Données!$C:$C,Suivi_Championnat!$B30,Report_Données!$R:$R,E$1)</f>
        <v>0</v>
      </c>
      <c r="F30" s="84" t="str">
        <f t="shared" si="0"/>
        <v/>
      </c>
      <c r="H30" s="109">
        <f>SUMIFS(Report_Données!T:T,Report_Données!$C:$C,Suivi_Championnat!$B30)</f>
        <v>0</v>
      </c>
      <c r="I30" s="109" t="str">
        <f>IF(AND($D30=0,$E30=0),"",COUNTIF(Report_Données!$C:$C,Suivi_Championnat!$B30))</f>
        <v/>
      </c>
      <c r="J30" s="110" t="str">
        <f t="shared" si="1"/>
        <v/>
      </c>
      <c r="K30" s="109">
        <f>SUMIFS(Report_Données!U:U,Report_Données!$C:$C,Suivi_Championnat!$B30)</f>
        <v>0</v>
      </c>
      <c r="L30" s="109" t="str">
        <f>IF(AND($D30=0,$E30=0),"",COUNTIF(Report_Données!$C:$C,Suivi_Championnat!$B30))</f>
        <v/>
      </c>
      <c r="M30" s="110" t="str">
        <f t="shared" si="2"/>
        <v/>
      </c>
      <c r="N30" s="109">
        <f>SUMIFS(Report_Données!V:V,Report_Données!$C:$C,Suivi_Championnat!$B30)</f>
        <v>0</v>
      </c>
      <c r="O30" s="109" t="str">
        <f>IF(AND($D30=0,$E30=0),"",COUNTIF(Report_Données!$C:$C,Suivi_Championnat!$B30))</f>
        <v/>
      </c>
      <c r="P30" s="110" t="str">
        <f t="shared" si="3"/>
        <v/>
      </c>
      <c r="Q30" s="109">
        <f>SUMIFS(Report_Données!W:W,Report_Données!$C:$C,Suivi_Championnat!$B30)</f>
        <v>0</v>
      </c>
      <c r="R30" s="109" t="str">
        <f>IF(AND($D30=0,$E30=0),"",COUNTIF(Report_Données!$C:$C,Suivi_Championnat!$B30))</f>
        <v/>
      </c>
      <c r="S30" s="110" t="str">
        <f t="shared" si="4"/>
        <v/>
      </c>
      <c r="T30" s="91"/>
      <c r="U30" s="111" t="str">
        <f t="shared" si="5"/>
        <v/>
      </c>
    </row>
    <row r="31" spans="1:21" ht="20.100000000000001" customHeight="1" x14ac:dyDescent="0.3">
      <c r="A31" s="24" t="s">
        <v>85</v>
      </c>
      <c r="B31" s="88" t="s">
        <v>134</v>
      </c>
      <c r="C31" s="83">
        <f>COUNTIF(Report_Données!$C:$C,Suivi_Championnat!$B31)</f>
        <v>0</v>
      </c>
      <c r="D31" s="83">
        <f>COUNTIFS(Report_Données!$C:$C,Suivi_Championnat!$B31,Report_Données!$R:$R,$D$1)</f>
        <v>0</v>
      </c>
      <c r="E31" s="83">
        <f>COUNTIFS(Report_Données!$C:$C,Suivi_Championnat!$B31,Report_Données!$R:$R,E$1)</f>
        <v>0</v>
      </c>
      <c r="F31" s="84" t="str">
        <f t="shared" si="0"/>
        <v/>
      </c>
      <c r="H31" s="83">
        <f>SUMIFS(Report_Données!T:T,Report_Données!$C:$C,Suivi_Championnat!$B31)</f>
        <v>0</v>
      </c>
      <c r="I31" s="83" t="str">
        <f>IF(AND($D31=0,$E31=0),"",COUNTIF(Report_Données!$C:$C,Suivi_Championnat!$B31))</f>
        <v/>
      </c>
      <c r="J31" s="84" t="str">
        <f t="shared" si="1"/>
        <v/>
      </c>
      <c r="K31" s="83">
        <f>SUMIFS(Report_Données!U:U,Report_Données!$C:$C,Suivi_Championnat!$B31)</f>
        <v>0</v>
      </c>
      <c r="L31" s="83" t="str">
        <f>IF(AND($D31=0,$E31=0),"",COUNTIF(Report_Données!$C:$C,Suivi_Championnat!$B31))</f>
        <v/>
      </c>
      <c r="M31" s="84" t="str">
        <f t="shared" si="2"/>
        <v/>
      </c>
      <c r="N31" s="83">
        <f>SUMIFS(Report_Données!V:V,Report_Données!$C:$C,Suivi_Championnat!$B31)</f>
        <v>0</v>
      </c>
      <c r="O31" s="83" t="str">
        <f>IF(AND($D31=0,$E31=0),"",COUNTIF(Report_Données!$C:$C,Suivi_Championnat!$B31))</f>
        <v/>
      </c>
      <c r="P31" s="84" t="str">
        <f t="shared" si="3"/>
        <v/>
      </c>
      <c r="Q31" s="83">
        <f>SUMIFS(Report_Données!W:W,Report_Données!$C:$C,Suivi_Championnat!$B31)</f>
        <v>0</v>
      </c>
      <c r="R31" s="83" t="str">
        <f>IF(AND($D31=0,$E31=0),"",COUNTIF(Report_Données!$C:$C,Suivi_Championnat!$B31))</f>
        <v/>
      </c>
      <c r="S31" s="84" t="str">
        <f t="shared" si="4"/>
        <v/>
      </c>
      <c r="T31" s="91"/>
      <c r="U31" s="89" t="str">
        <f t="shared" si="5"/>
        <v/>
      </c>
    </row>
    <row r="32" spans="1:21" ht="20.100000000000001" customHeight="1" x14ac:dyDescent="0.3">
      <c r="A32" s="24" t="s">
        <v>84</v>
      </c>
      <c r="B32" s="88" t="s">
        <v>130</v>
      </c>
      <c r="C32" s="83">
        <f>COUNTIF(Report_Données!$C:$C,Suivi_Championnat!$B32)</f>
        <v>7</v>
      </c>
      <c r="D32" s="83">
        <f>COUNTIFS(Report_Données!$C:$C,Suivi_Championnat!$B32,Report_Données!$R:$R,$D$1)</f>
        <v>2</v>
      </c>
      <c r="E32" s="83">
        <f>COUNTIFS(Report_Données!$C:$C,Suivi_Championnat!$B32,Report_Données!$R:$R,E$1)</f>
        <v>5</v>
      </c>
      <c r="F32" s="84">
        <f t="shared" si="0"/>
        <v>0.2857142857142857</v>
      </c>
      <c r="H32" s="109">
        <f>SUMIFS(Report_Données!T:T,Report_Données!$C:$C,Suivi_Championnat!$B32)</f>
        <v>1</v>
      </c>
      <c r="I32" s="109">
        <f>IF(AND($D32=0,$E32=0),"",COUNTIF(Report_Données!$C:$C,Suivi_Championnat!$B32))</f>
        <v>7</v>
      </c>
      <c r="J32" s="110">
        <f t="shared" si="1"/>
        <v>0.14285714285714285</v>
      </c>
      <c r="K32" s="109">
        <f>SUMIFS(Report_Données!U:U,Report_Données!$C:$C,Suivi_Championnat!$B32)</f>
        <v>1</v>
      </c>
      <c r="L32" s="109">
        <f>IF(AND($D32=0,$E32=0),"",COUNTIF(Report_Données!$C:$C,Suivi_Championnat!$B32))</f>
        <v>7</v>
      </c>
      <c r="M32" s="110">
        <f t="shared" si="2"/>
        <v>0.14285714285714285</v>
      </c>
      <c r="N32" s="109">
        <f>SUMIFS(Report_Données!V:V,Report_Données!$C:$C,Suivi_Championnat!$B32)</f>
        <v>0</v>
      </c>
      <c r="O32" s="109">
        <f>IF(AND($D32=0,$E32=0),"",COUNTIF(Report_Données!$C:$C,Suivi_Championnat!$B32))</f>
        <v>7</v>
      </c>
      <c r="P32" s="110">
        <f t="shared" si="3"/>
        <v>0</v>
      </c>
      <c r="Q32" s="109">
        <f>SUMIFS(Report_Données!W:W,Report_Données!$C:$C,Suivi_Championnat!$B32)</f>
        <v>0</v>
      </c>
      <c r="R32" s="109">
        <f>IF(AND($D32=0,$E32=0),"",COUNTIF(Report_Données!$C:$C,Suivi_Championnat!$B32))</f>
        <v>7</v>
      </c>
      <c r="S32" s="110">
        <f t="shared" si="4"/>
        <v>0</v>
      </c>
      <c r="T32" s="91"/>
      <c r="U32" s="111">
        <f t="shared" si="5"/>
        <v>0.2857142857142857</v>
      </c>
    </row>
    <row r="33" spans="1:21" ht="20.100000000000001" customHeight="1" x14ac:dyDescent="0.3">
      <c r="A33" s="24" t="s">
        <v>225</v>
      </c>
      <c r="B33" s="88" t="s">
        <v>135</v>
      </c>
      <c r="C33" s="83">
        <f>COUNTIF(Report_Données!$C:$C,Suivi_Championnat!$B33)</f>
        <v>8</v>
      </c>
      <c r="D33" s="83">
        <f>COUNTIFS(Report_Données!$C:$C,Suivi_Championnat!$B33,Report_Données!$R:$R,$D$1)</f>
        <v>3</v>
      </c>
      <c r="E33" s="83">
        <f>COUNTIFS(Report_Données!$C:$C,Suivi_Championnat!$B33,Report_Données!$R:$R,E$1)</f>
        <v>5</v>
      </c>
      <c r="F33" s="84">
        <f t="shared" si="0"/>
        <v>0.375</v>
      </c>
      <c r="H33" s="83">
        <f>SUMIFS(Report_Données!T:T,Report_Données!$C:$C,Suivi_Championnat!$B33)</f>
        <v>1</v>
      </c>
      <c r="I33" s="83">
        <f>IF(AND($D33=0,$E33=0),"",COUNTIF(Report_Données!$C:$C,Suivi_Championnat!$B33))</f>
        <v>8</v>
      </c>
      <c r="J33" s="84">
        <f t="shared" si="1"/>
        <v>0.125</v>
      </c>
      <c r="K33" s="83">
        <f>SUMIFS(Report_Données!U:U,Report_Données!$C:$C,Suivi_Championnat!$B33)</f>
        <v>1</v>
      </c>
      <c r="L33" s="83">
        <f>IF(AND($D33=0,$E33=0),"",COUNTIF(Report_Données!$C:$C,Suivi_Championnat!$B33))</f>
        <v>8</v>
      </c>
      <c r="M33" s="84">
        <f t="shared" si="2"/>
        <v>0.125</v>
      </c>
      <c r="N33" s="83">
        <f>SUMIFS(Report_Données!V:V,Report_Données!$C:$C,Suivi_Championnat!$B33)</f>
        <v>1</v>
      </c>
      <c r="O33" s="83">
        <f>IF(AND($D33=0,$E33=0),"",COUNTIF(Report_Données!$C:$C,Suivi_Championnat!$B33))</f>
        <v>8</v>
      </c>
      <c r="P33" s="84">
        <f t="shared" si="3"/>
        <v>0.125</v>
      </c>
      <c r="Q33" s="83">
        <f>SUMIFS(Report_Données!W:W,Report_Données!$C:$C,Suivi_Championnat!$B33)</f>
        <v>0</v>
      </c>
      <c r="R33" s="83">
        <f>IF(AND($D33=0,$E33=0),"",COUNTIF(Report_Données!$C:$C,Suivi_Championnat!$B33))</f>
        <v>8</v>
      </c>
      <c r="S33" s="84">
        <f t="shared" si="4"/>
        <v>0</v>
      </c>
      <c r="T33" s="91"/>
      <c r="U33" s="89">
        <f t="shared" si="5"/>
        <v>0.375</v>
      </c>
    </row>
    <row r="34" spans="1:21" ht="20.100000000000001" customHeight="1" x14ac:dyDescent="0.3">
      <c r="A34" s="24" t="s">
        <v>87</v>
      </c>
      <c r="B34" s="88" t="s">
        <v>120</v>
      </c>
      <c r="C34" s="83">
        <f>COUNTIF(Report_Données!$C:$C,Suivi_Championnat!$B34)</f>
        <v>9</v>
      </c>
      <c r="D34" s="83">
        <f>COUNTIFS(Report_Données!$C:$C,Suivi_Championnat!$B34,Report_Données!$R:$R,$D$1)</f>
        <v>6</v>
      </c>
      <c r="E34" s="83">
        <f>COUNTIFS(Report_Données!$C:$C,Suivi_Championnat!$B34,Report_Données!$R:$R,E$1)</f>
        <v>3</v>
      </c>
      <c r="F34" s="84">
        <f t="shared" si="0"/>
        <v>0.66666666666666663</v>
      </c>
      <c r="H34" s="109">
        <f>SUMIFS(Report_Données!T:T,Report_Données!$C:$C,Suivi_Championnat!$B34)</f>
        <v>0</v>
      </c>
      <c r="I34" s="109">
        <f>IF(AND($D34=0,$E34=0),"",COUNTIF(Report_Données!$C:$C,Suivi_Championnat!$B34))</f>
        <v>9</v>
      </c>
      <c r="J34" s="110">
        <f t="shared" si="1"/>
        <v>0</v>
      </c>
      <c r="K34" s="109">
        <f>SUMIFS(Report_Données!U:U,Report_Données!$C:$C,Suivi_Championnat!$B34)</f>
        <v>0</v>
      </c>
      <c r="L34" s="109">
        <f>IF(AND($D34=0,$E34=0),"",COUNTIF(Report_Données!$C:$C,Suivi_Championnat!$B34))</f>
        <v>9</v>
      </c>
      <c r="M34" s="110">
        <f t="shared" si="2"/>
        <v>0</v>
      </c>
      <c r="N34" s="109">
        <f>SUMIFS(Report_Données!V:V,Report_Données!$C:$C,Suivi_Championnat!$B34)</f>
        <v>1</v>
      </c>
      <c r="O34" s="109">
        <f>IF(AND($D34=0,$E34=0),"",COUNTIF(Report_Données!$C:$C,Suivi_Championnat!$B34))</f>
        <v>9</v>
      </c>
      <c r="P34" s="110">
        <f t="shared" si="3"/>
        <v>0.1111111111111111</v>
      </c>
      <c r="Q34" s="109">
        <f>SUMIFS(Report_Données!W:W,Report_Données!$C:$C,Suivi_Championnat!$B34)</f>
        <v>1</v>
      </c>
      <c r="R34" s="109">
        <f>IF(AND($D34=0,$E34=0),"",COUNTIF(Report_Données!$C:$C,Suivi_Championnat!$B34))</f>
        <v>9</v>
      </c>
      <c r="S34" s="110">
        <f t="shared" si="4"/>
        <v>0.1111111111111111</v>
      </c>
      <c r="T34" s="91"/>
      <c r="U34" s="111">
        <f t="shared" si="5"/>
        <v>0.22222222222222221</v>
      </c>
    </row>
    <row r="35" spans="1:21" ht="20.100000000000001" customHeight="1" x14ac:dyDescent="0.3">
      <c r="A35" s="24" t="s">
        <v>86</v>
      </c>
      <c r="B35" s="88" t="s">
        <v>119</v>
      </c>
      <c r="C35" s="83">
        <f>COUNTIF(Report_Données!$C:$C,Suivi_Championnat!$B35)</f>
        <v>6</v>
      </c>
      <c r="D35" s="83">
        <f>COUNTIFS(Report_Données!$C:$C,Suivi_Championnat!$B35,Report_Données!$R:$R,$D$1)</f>
        <v>1</v>
      </c>
      <c r="E35" s="83">
        <f>COUNTIFS(Report_Données!$C:$C,Suivi_Championnat!$B35,Report_Données!$R:$R,E$1)</f>
        <v>5</v>
      </c>
      <c r="F35" s="84">
        <f t="shared" si="0"/>
        <v>0.16666666666666666</v>
      </c>
      <c r="H35" s="83">
        <f>SUMIFS(Report_Données!T:T,Report_Données!$C:$C,Suivi_Championnat!$B35)</f>
        <v>1</v>
      </c>
      <c r="I35" s="83">
        <f>IF(AND($D35=0,$E35=0),"",COUNTIF(Report_Données!$C:$C,Suivi_Championnat!$B35))</f>
        <v>6</v>
      </c>
      <c r="J35" s="84">
        <f t="shared" si="1"/>
        <v>0.16666666666666666</v>
      </c>
      <c r="K35" s="83">
        <f>SUMIFS(Report_Données!U:U,Report_Données!$C:$C,Suivi_Championnat!$B35)</f>
        <v>1</v>
      </c>
      <c r="L35" s="83">
        <f>IF(AND($D35=0,$E35=0),"",COUNTIF(Report_Données!$C:$C,Suivi_Championnat!$B35))</f>
        <v>6</v>
      </c>
      <c r="M35" s="84">
        <f t="shared" si="2"/>
        <v>0.16666666666666666</v>
      </c>
      <c r="N35" s="83">
        <f>SUMIFS(Report_Données!V:V,Report_Données!$C:$C,Suivi_Championnat!$B35)</f>
        <v>0</v>
      </c>
      <c r="O35" s="83">
        <f>IF(AND($D35=0,$E35=0),"",COUNTIF(Report_Données!$C:$C,Suivi_Championnat!$B35))</f>
        <v>6</v>
      </c>
      <c r="P35" s="84">
        <f t="shared" si="3"/>
        <v>0</v>
      </c>
      <c r="Q35" s="83">
        <f>SUMIFS(Report_Données!W:W,Report_Données!$C:$C,Suivi_Championnat!$B35)</f>
        <v>0</v>
      </c>
      <c r="R35" s="83">
        <f>IF(AND($D35=0,$E35=0),"",COUNTIF(Report_Données!$C:$C,Suivi_Championnat!$B35))</f>
        <v>6</v>
      </c>
      <c r="S35" s="84">
        <f t="shared" si="4"/>
        <v>0</v>
      </c>
      <c r="T35" s="91"/>
      <c r="U35" s="89">
        <f t="shared" si="5"/>
        <v>0.33333333333333331</v>
      </c>
    </row>
    <row r="36" spans="1:21" ht="20.100000000000001" customHeight="1" x14ac:dyDescent="0.3">
      <c r="A36" s="24" t="s">
        <v>88</v>
      </c>
      <c r="B36" s="88" t="s">
        <v>121</v>
      </c>
      <c r="C36" s="83">
        <f>COUNTIF(Report_Données!$C:$C,Suivi_Championnat!$B36)</f>
        <v>8</v>
      </c>
      <c r="D36" s="83">
        <f>COUNTIFS(Report_Données!$C:$C,Suivi_Championnat!$B36,Report_Données!$R:$R,$D$1)</f>
        <v>3</v>
      </c>
      <c r="E36" s="83">
        <f>COUNTIFS(Report_Données!$C:$C,Suivi_Championnat!$B36,Report_Données!$R:$R,E$1)</f>
        <v>5</v>
      </c>
      <c r="F36" s="84">
        <f t="shared" si="0"/>
        <v>0.375</v>
      </c>
      <c r="H36" s="109">
        <f>SUMIFS(Report_Données!T:T,Report_Données!$C:$C,Suivi_Championnat!$B36)</f>
        <v>0</v>
      </c>
      <c r="I36" s="109">
        <f>IF(AND($D36=0,$E36=0),"",COUNTIF(Report_Données!$C:$C,Suivi_Championnat!$B36))</f>
        <v>8</v>
      </c>
      <c r="J36" s="110">
        <f t="shared" si="1"/>
        <v>0</v>
      </c>
      <c r="K36" s="109">
        <f>SUMIFS(Report_Données!U:U,Report_Données!$C:$C,Suivi_Championnat!$B36)</f>
        <v>1</v>
      </c>
      <c r="L36" s="109">
        <f>IF(AND($D36=0,$E36=0),"",COUNTIF(Report_Données!$C:$C,Suivi_Championnat!$B36))</f>
        <v>8</v>
      </c>
      <c r="M36" s="110">
        <f t="shared" si="2"/>
        <v>0.125</v>
      </c>
      <c r="N36" s="109">
        <f>SUMIFS(Report_Données!V:V,Report_Données!$C:$C,Suivi_Championnat!$B36)</f>
        <v>0</v>
      </c>
      <c r="O36" s="109">
        <f>IF(AND($D36=0,$E36=0),"",COUNTIF(Report_Données!$C:$C,Suivi_Championnat!$B36))</f>
        <v>8</v>
      </c>
      <c r="P36" s="110">
        <f t="shared" si="3"/>
        <v>0</v>
      </c>
      <c r="Q36" s="109">
        <f>SUMIFS(Report_Données!W:W,Report_Données!$C:$C,Suivi_Championnat!$B36)</f>
        <v>1</v>
      </c>
      <c r="R36" s="109">
        <f>IF(AND($D36=0,$E36=0),"",COUNTIF(Report_Données!$C:$C,Suivi_Championnat!$B36))</f>
        <v>8</v>
      </c>
      <c r="S36" s="110">
        <f t="shared" si="4"/>
        <v>0.125</v>
      </c>
      <c r="T36" s="91"/>
      <c r="U36" s="111">
        <f t="shared" si="5"/>
        <v>0.25</v>
      </c>
    </row>
    <row r="37" spans="1:21" ht="20.100000000000001" customHeight="1" x14ac:dyDescent="0.3">
      <c r="A37" s="24" t="s">
        <v>68</v>
      </c>
      <c r="B37" s="88" t="s">
        <v>131</v>
      </c>
      <c r="C37" s="83">
        <f>COUNTIF(Report_Données!$C:$C,Suivi_Championnat!$B37)</f>
        <v>0</v>
      </c>
      <c r="D37" s="83">
        <f>COUNTIFS(Report_Données!$C:$C,Suivi_Championnat!$B37,Report_Données!$R:$R,$D$1)</f>
        <v>0</v>
      </c>
      <c r="E37" s="83">
        <f>COUNTIFS(Report_Données!$C:$C,Suivi_Championnat!$B37,Report_Données!$R:$R,E$1)</f>
        <v>0</v>
      </c>
      <c r="F37" s="84" t="str">
        <f t="shared" si="0"/>
        <v/>
      </c>
      <c r="H37" s="83">
        <f>SUMIFS(Report_Données!T:T,Report_Données!$C:$C,Suivi_Championnat!$B37)</f>
        <v>0</v>
      </c>
      <c r="I37" s="83" t="str">
        <f>IF(AND($D37=0,$E37=0),"",COUNTIF(Report_Données!$C:$C,Suivi_Championnat!$B37))</f>
        <v/>
      </c>
      <c r="J37" s="84" t="str">
        <f t="shared" si="1"/>
        <v/>
      </c>
      <c r="K37" s="83">
        <f>SUMIFS(Report_Données!U:U,Report_Données!$C:$C,Suivi_Championnat!$B37)</f>
        <v>0</v>
      </c>
      <c r="L37" s="83" t="str">
        <f>IF(AND($D37=0,$E37=0),"",COUNTIF(Report_Données!$C:$C,Suivi_Championnat!$B37))</f>
        <v/>
      </c>
      <c r="M37" s="84" t="str">
        <f t="shared" si="2"/>
        <v/>
      </c>
      <c r="N37" s="83">
        <f>SUMIFS(Report_Données!V:V,Report_Données!$C:$C,Suivi_Championnat!$B37)</f>
        <v>0</v>
      </c>
      <c r="O37" s="83" t="str">
        <f>IF(AND($D37=0,$E37=0),"",COUNTIF(Report_Données!$C:$C,Suivi_Championnat!$B37))</f>
        <v/>
      </c>
      <c r="P37" s="84" t="str">
        <f t="shared" si="3"/>
        <v/>
      </c>
      <c r="Q37" s="83">
        <f>SUMIFS(Report_Données!W:W,Report_Données!$C:$C,Suivi_Championnat!$B37)</f>
        <v>0</v>
      </c>
      <c r="R37" s="83" t="str">
        <f>IF(AND($D37=0,$E37=0),"",COUNTIF(Report_Données!$C:$C,Suivi_Championnat!$B37))</f>
        <v/>
      </c>
      <c r="S37" s="84" t="str">
        <f t="shared" si="4"/>
        <v/>
      </c>
      <c r="T37" s="91"/>
      <c r="U37" s="89" t="str">
        <f t="shared" si="5"/>
        <v/>
      </c>
    </row>
    <row r="38" spans="1:21" ht="20.100000000000001" customHeight="1" x14ac:dyDescent="0.3">
      <c r="A38" s="24" t="s">
        <v>68</v>
      </c>
      <c r="B38" s="88" t="s">
        <v>132</v>
      </c>
      <c r="C38" s="83">
        <f>COUNTIF(Report_Données!$C:$C,Suivi_Championnat!$B38)</f>
        <v>4</v>
      </c>
      <c r="D38" s="83">
        <f>COUNTIFS(Report_Données!$C:$C,Suivi_Championnat!$B38,Report_Données!$R:$R,$D$1)</f>
        <v>1</v>
      </c>
      <c r="E38" s="83">
        <f>COUNTIFS(Report_Données!$C:$C,Suivi_Championnat!$B38,Report_Données!$R:$R,E$1)</f>
        <v>3</v>
      </c>
      <c r="F38" s="84">
        <f t="shared" si="0"/>
        <v>0.25</v>
      </c>
      <c r="H38" s="109">
        <f>SUMIFS(Report_Données!T:T,Report_Données!$C:$C,Suivi_Championnat!$B38)</f>
        <v>1</v>
      </c>
      <c r="I38" s="109">
        <f>IF(AND($D38=0,$E38=0),"",COUNTIF(Report_Données!$C:$C,Suivi_Championnat!$B38))</f>
        <v>4</v>
      </c>
      <c r="J38" s="110">
        <f t="shared" si="1"/>
        <v>0.25</v>
      </c>
      <c r="K38" s="109">
        <f>SUMIFS(Report_Données!U:U,Report_Données!$C:$C,Suivi_Championnat!$B38)</f>
        <v>0</v>
      </c>
      <c r="L38" s="109">
        <f>IF(AND($D38=0,$E38=0),"",COUNTIF(Report_Données!$C:$C,Suivi_Championnat!$B38))</f>
        <v>4</v>
      </c>
      <c r="M38" s="110">
        <f t="shared" si="2"/>
        <v>0</v>
      </c>
      <c r="N38" s="109">
        <f>SUMIFS(Report_Données!V:V,Report_Données!$C:$C,Suivi_Championnat!$B38)</f>
        <v>1</v>
      </c>
      <c r="O38" s="109">
        <f>IF(AND($D38=0,$E38=0),"",COUNTIF(Report_Données!$C:$C,Suivi_Championnat!$B38))</f>
        <v>4</v>
      </c>
      <c r="P38" s="110">
        <f t="shared" si="3"/>
        <v>0.25</v>
      </c>
      <c r="Q38" s="109">
        <f>SUMIFS(Report_Données!W:W,Report_Données!$C:$C,Suivi_Championnat!$B38)</f>
        <v>0</v>
      </c>
      <c r="R38" s="109">
        <f>IF(AND($D38=0,$E38=0),"",COUNTIF(Report_Données!$C:$C,Suivi_Championnat!$B38))</f>
        <v>4</v>
      </c>
      <c r="S38" s="110">
        <f t="shared" si="4"/>
        <v>0</v>
      </c>
      <c r="T38" s="91"/>
      <c r="U38" s="111">
        <f t="shared" si="5"/>
        <v>0.5</v>
      </c>
    </row>
    <row r="39" spans="1:21" ht="20.100000000000001" customHeight="1" x14ac:dyDescent="0.3">
      <c r="A39" s="24" t="s">
        <v>89</v>
      </c>
      <c r="B39" s="88" t="s">
        <v>860</v>
      </c>
      <c r="C39" s="83">
        <f>COUNTIF(Report_Données!$C:$C,Suivi_Championnat!$B39)</f>
        <v>8</v>
      </c>
      <c r="D39" s="83">
        <f>COUNTIFS(Report_Données!$C:$C,Suivi_Championnat!$B39,Report_Données!$R:$R,$D$1)</f>
        <v>3</v>
      </c>
      <c r="E39" s="83">
        <f>COUNTIFS(Report_Données!$C:$C,Suivi_Championnat!$B39,Report_Données!$R:$R,E$1)</f>
        <v>5</v>
      </c>
      <c r="F39" s="84">
        <f t="shared" si="0"/>
        <v>0.375</v>
      </c>
      <c r="H39" s="83">
        <f>SUMIFS(Report_Données!T:T,Report_Données!$C:$C,Suivi_Championnat!$B39)</f>
        <v>0</v>
      </c>
      <c r="I39" s="83">
        <f>IF(AND($D39=0,$E39=0),"",COUNTIF(Report_Données!$C:$C,Suivi_Championnat!$B39))</f>
        <v>8</v>
      </c>
      <c r="J39" s="84">
        <f t="shared" si="1"/>
        <v>0</v>
      </c>
      <c r="K39" s="83">
        <f>SUMIFS(Report_Données!U:U,Report_Données!$C:$C,Suivi_Championnat!$B39)</f>
        <v>0</v>
      </c>
      <c r="L39" s="83">
        <f>IF(AND($D39=0,$E39=0),"",COUNTIF(Report_Données!$C:$C,Suivi_Championnat!$B39))</f>
        <v>8</v>
      </c>
      <c r="M39" s="84">
        <f t="shared" si="2"/>
        <v>0</v>
      </c>
      <c r="N39" s="83">
        <f>SUMIFS(Report_Données!V:V,Report_Données!$C:$C,Suivi_Championnat!$B39)</f>
        <v>0</v>
      </c>
      <c r="O39" s="83">
        <f>IF(AND($D39=0,$E39=0),"",COUNTIF(Report_Données!$C:$C,Suivi_Championnat!$B39))</f>
        <v>8</v>
      </c>
      <c r="P39" s="84">
        <f t="shared" si="3"/>
        <v>0</v>
      </c>
      <c r="Q39" s="83">
        <f>SUMIFS(Report_Données!W:W,Report_Données!$C:$C,Suivi_Championnat!$B39)</f>
        <v>1</v>
      </c>
      <c r="R39" s="83">
        <f>IF(AND($D39=0,$E39=0),"",COUNTIF(Report_Données!$C:$C,Suivi_Championnat!$B39))</f>
        <v>8</v>
      </c>
      <c r="S39" s="84">
        <f t="shared" si="4"/>
        <v>0.125</v>
      </c>
      <c r="T39" s="91"/>
      <c r="U39" s="89">
        <f t="shared" si="5"/>
        <v>0.125</v>
      </c>
    </row>
    <row r="40" spans="1:21" ht="20.100000000000001" customHeight="1" x14ac:dyDescent="0.3">
      <c r="A40" s="24" t="s">
        <v>90</v>
      </c>
      <c r="B40" s="88" t="s">
        <v>122</v>
      </c>
      <c r="C40" s="83">
        <f>COUNTIF(Report_Données!$C:$C,Suivi_Championnat!$B40)</f>
        <v>7</v>
      </c>
      <c r="D40" s="83">
        <f>COUNTIFS(Report_Données!$C:$C,Suivi_Championnat!$B40,Report_Données!$R:$R,$D$1)</f>
        <v>3</v>
      </c>
      <c r="E40" s="83">
        <f>COUNTIFS(Report_Données!$C:$C,Suivi_Championnat!$B40,Report_Données!$R:$R,E$1)</f>
        <v>4</v>
      </c>
      <c r="F40" s="84">
        <f t="shared" si="0"/>
        <v>0.42857142857142855</v>
      </c>
      <c r="H40" s="109">
        <f>SUMIFS(Report_Données!T:T,Report_Données!$C:$C,Suivi_Championnat!$B40)</f>
        <v>1</v>
      </c>
      <c r="I40" s="109">
        <f>IF(AND($D40=0,$E40=0),"",COUNTIF(Report_Données!$C:$C,Suivi_Championnat!$B40))</f>
        <v>7</v>
      </c>
      <c r="J40" s="110">
        <f t="shared" si="1"/>
        <v>0.14285714285714285</v>
      </c>
      <c r="K40" s="109">
        <f>SUMIFS(Report_Données!U:U,Report_Données!$C:$C,Suivi_Championnat!$B40)</f>
        <v>0</v>
      </c>
      <c r="L40" s="109">
        <f>IF(AND($D40=0,$E40=0),"",COUNTIF(Report_Données!$C:$C,Suivi_Championnat!$B40))</f>
        <v>7</v>
      </c>
      <c r="M40" s="110">
        <f t="shared" si="2"/>
        <v>0</v>
      </c>
      <c r="N40" s="109">
        <f>SUMIFS(Report_Données!V:V,Report_Données!$C:$C,Suivi_Championnat!$B40)</f>
        <v>0</v>
      </c>
      <c r="O40" s="109">
        <f>IF(AND($D40=0,$E40=0),"",COUNTIF(Report_Données!$C:$C,Suivi_Championnat!$B40))</f>
        <v>7</v>
      </c>
      <c r="P40" s="110">
        <f t="shared" si="3"/>
        <v>0</v>
      </c>
      <c r="Q40" s="109">
        <f>SUMIFS(Report_Données!W:W,Report_Données!$C:$C,Suivi_Championnat!$B40)</f>
        <v>0</v>
      </c>
      <c r="R40" s="109">
        <f>IF(AND($D40=0,$E40=0),"",COUNTIF(Report_Données!$C:$C,Suivi_Championnat!$B40))</f>
        <v>7</v>
      </c>
      <c r="S40" s="110">
        <f t="shared" si="4"/>
        <v>0</v>
      </c>
      <c r="T40" s="91"/>
      <c r="U40" s="111">
        <f t="shared" si="5"/>
        <v>0.14285714285714285</v>
      </c>
    </row>
    <row r="41" spans="1:21" ht="20.100000000000001" customHeight="1" x14ac:dyDescent="0.3">
      <c r="A41" s="24" t="s">
        <v>94</v>
      </c>
      <c r="B41" s="88" t="s">
        <v>123</v>
      </c>
      <c r="C41" s="83">
        <f>COUNTIF(Report_Données!$C:$C,Suivi_Championnat!$B41)</f>
        <v>8</v>
      </c>
      <c r="D41" s="83">
        <f>COUNTIFS(Report_Données!$C:$C,Suivi_Championnat!$B41,Report_Données!$R:$R,$D$1)</f>
        <v>4</v>
      </c>
      <c r="E41" s="83">
        <f>COUNTIFS(Report_Données!$C:$C,Suivi_Championnat!$B41,Report_Données!$R:$R,E$1)</f>
        <v>4</v>
      </c>
      <c r="F41" s="84">
        <f t="shared" si="0"/>
        <v>0.5</v>
      </c>
      <c r="H41" s="83">
        <f>SUMIFS(Report_Données!T:T,Report_Données!$C:$C,Suivi_Championnat!$B41)</f>
        <v>1</v>
      </c>
      <c r="I41" s="83">
        <f>IF(AND($D41=0,$E41=0),"",COUNTIF(Report_Données!$C:$C,Suivi_Championnat!$B41))</f>
        <v>8</v>
      </c>
      <c r="J41" s="84">
        <f t="shared" si="1"/>
        <v>0.125</v>
      </c>
      <c r="K41" s="83">
        <f>SUMIFS(Report_Données!U:U,Report_Données!$C:$C,Suivi_Championnat!$B41)</f>
        <v>0</v>
      </c>
      <c r="L41" s="83">
        <f>IF(AND($D41=0,$E41=0),"",COUNTIF(Report_Données!$C:$C,Suivi_Championnat!$B41))</f>
        <v>8</v>
      </c>
      <c r="M41" s="84">
        <f t="shared" si="2"/>
        <v>0</v>
      </c>
      <c r="N41" s="83">
        <f>SUMIFS(Report_Données!V:V,Report_Données!$C:$C,Suivi_Championnat!$B41)</f>
        <v>1</v>
      </c>
      <c r="O41" s="83">
        <f>IF(AND($D41=0,$E41=0),"",COUNTIF(Report_Données!$C:$C,Suivi_Championnat!$B41))</f>
        <v>8</v>
      </c>
      <c r="P41" s="84">
        <f t="shared" si="3"/>
        <v>0.125</v>
      </c>
      <c r="Q41" s="83">
        <f>SUMIFS(Report_Données!W:W,Report_Données!$C:$C,Suivi_Championnat!$B41)</f>
        <v>0</v>
      </c>
      <c r="R41" s="83">
        <f>IF(AND($D41=0,$E41=0),"",COUNTIF(Report_Données!$C:$C,Suivi_Championnat!$B41))</f>
        <v>8</v>
      </c>
      <c r="S41" s="84">
        <f t="shared" si="4"/>
        <v>0</v>
      </c>
      <c r="T41" s="91"/>
      <c r="U41" s="89">
        <f t="shared" si="5"/>
        <v>0.25</v>
      </c>
    </row>
    <row r="42" spans="1:21" ht="20.100000000000001" customHeight="1" x14ac:dyDescent="0.3">
      <c r="A42" s="24" t="s">
        <v>91</v>
      </c>
      <c r="B42" s="88" t="s">
        <v>124</v>
      </c>
      <c r="C42" s="83">
        <f>COUNTIF(Report_Données!$C:$C,Suivi_Championnat!$B42)</f>
        <v>8</v>
      </c>
      <c r="D42" s="83">
        <f>COUNTIFS(Report_Données!$C:$C,Suivi_Championnat!$B42,Report_Données!$R:$R,$D$1)</f>
        <v>3</v>
      </c>
      <c r="E42" s="83">
        <f>COUNTIFS(Report_Données!$C:$C,Suivi_Championnat!$B42,Report_Données!$R:$R,E$1)</f>
        <v>5</v>
      </c>
      <c r="F42" s="84">
        <f t="shared" si="0"/>
        <v>0.375</v>
      </c>
      <c r="H42" s="109">
        <f>SUMIFS(Report_Données!T:T,Report_Données!$C:$C,Suivi_Championnat!$B42)</f>
        <v>0</v>
      </c>
      <c r="I42" s="109">
        <f>IF(AND($D42=0,$E42=0),"",COUNTIF(Report_Données!$C:$C,Suivi_Championnat!$B42))</f>
        <v>8</v>
      </c>
      <c r="J42" s="110">
        <f t="shared" si="1"/>
        <v>0</v>
      </c>
      <c r="K42" s="109">
        <f>SUMIFS(Report_Données!U:U,Report_Données!$C:$C,Suivi_Championnat!$B42)</f>
        <v>2</v>
      </c>
      <c r="L42" s="109">
        <f>IF(AND($D42=0,$E42=0),"",COUNTIF(Report_Données!$C:$C,Suivi_Championnat!$B42))</f>
        <v>8</v>
      </c>
      <c r="M42" s="110">
        <f t="shared" si="2"/>
        <v>0.25</v>
      </c>
      <c r="N42" s="109">
        <f>SUMIFS(Report_Données!V:V,Report_Données!$C:$C,Suivi_Championnat!$B42)</f>
        <v>1</v>
      </c>
      <c r="O42" s="109">
        <f>IF(AND($D42=0,$E42=0),"",COUNTIF(Report_Données!$C:$C,Suivi_Championnat!$B42))</f>
        <v>8</v>
      </c>
      <c r="P42" s="110">
        <f t="shared" si="3"/>
        <v>0.125</v>
      </c>
      <c r="Q42" s="109">
        <f>SUMIFS(Report_Données!W:W,Report_Données!$C:$C,Suivi_Championnat!$B42)</f>
        <v>0</v>
      </c>
      <c r="R42" s="109">
        <f>IF(AND($D42=0,$E42=0),"",COUNTIF(Report_Données!$C:$C,Suivi_Championnat!$B42))</f>
        <v>8</v>
      </c>
      <c r="S42" s="110">
        <f t="shared" si="4"/>
        <v>0</v>
      </c>
      <c r="T42" s="91"/>
      <c r="U42" s="111">
        <f t="shared" si="5"/>
        <v>0.375</v>
      </c>
    </row>
    <row r="43" spans="1:21" ht="20.100000000000001" customHeight="1" x14ac:dyDescent="0.3">
      <c r="A43" s="24" t="s">
        <v>93</v>
      </c>
      <c r="B43" s="88" t="s">
        <v>125</v>
      </c>
      <c r="C43" s="83">
        <f>COUNTIF(Report_Données!$C:$C,Suivi_Championnat!$B43)</f>
        <v>6</v>
      </c>
      <c r="D43" s="83">
        <f>COUNTIFS(Report_Données!$C:$C,Suivi_Championnat!$B43,Report_Données!$R:$R,$D$1)</f>
        <v>0</v>
      </c>
      <c r="E43" s="83">
        <f>COUNTIFS(Report_Données!$C:$C,Suivi_Championnat!$B43,Report_Données!$R:$R,E$1)</f>
        <v>6</v>
      </c>
      <c r="F43" s="84">
        <f t="shared" si="0"/>
        <v>0</v>
      </c>
      <c r="H43" s="83">
        <f>SUMIFS(Report_Données!T:T,Report_Données!$C:$C,Suivi_Championnat!$B43)</f>
        <v>0</v>
      </c>
      <c r="I43" s="83">
        <f>IF(AND($D43=0,$E43=0),"",COUNTIF(Report_Données!$C:$C,Suivi_Championnat!$B43))</f>
        <v>6</v>
      </c>
      <c r="J43" s="84">
        <f t="shared" si="1"/>
        <v>0</v>
      </c>
      <c r="K43" s="83">
        <f>SUMIFS(Report_Données!U:U,Report_Données!$C:$C,Suivi_Championnat!$B43)</f>
        <v>2</v>
      </c>
      <c r="L43" s="83">
        <f>IF(AND($D43=0,$E43=0),"",COUNTIF(Report_Données!$C:$C,Suivi_Championnat!$B43))</f>
        <v>6</v>
      </c>
      <c r="M43" s="84">
        <f t="shared" si="2"/>
        <v>0.33333333333333331</v>
      </c>
      <c r="N43" s="83">
        <f>SUMIFS(Report_Données!V:V,Report_Données!$C:$C,Suivi_Championnat!$B43)</f>
        <v>1</v>
      </c>
      <c r="O43" s="83">
        <f>IF(AND($D43=0,$E43=0),"",COUNTIF(Report_Données!$C:$C,Suivi_Championnat!$B43))</f>
        <v>6</v>
      </c>
      <c r="P43" s="84">
        <f t="shared" si="3"/>
        <v>0.16666666666666666</v>
      </c>
      <c r="Q43" s="83">
        <f>SUMIFS(Report_Données!W:W,Report_Données!$C:$C,Suivi_Championnat!$B43)</f>
        <v>0</v>
      </c>
      <c r="R43" s="83">
        <f>IF(AND($D43=0,$E43=0),"",COUNTIF(Report_Données!$C:$C,Suivi_Championnat!$B43))</f>
        <v>6</v>
      </c>
      <c r="S43" s="84">
        <f t="shared" si="4"/>
        <v>0</v>
      </c>
      <c r="T43" s="91"/>
      <c r="U43" s="89">
        <f t="shared" si="5"/>
        <v>0.5</v>
      </c>
    </row>
    <row r="44" spans="1:21" ht="20.100000000000001" customHeight="1" x14ac:dyDescent="0.3">
      <c r="A44" s="24" t="s">
        <v>92</v>
      </c>
      <c r="B44" s="88" t="s">
        <v>126</v>
      </c>
      <c r="C44" s="83">
        <f>COUNTIF(Report_Données!$C:$C,Suivi_Championnat!$B44)</f>
        <v>5</v>
      </c>
      <c r="D44" s="83">
        <f>COUNTIFS(Report_Données!$C:$C,Suivi_Championnat!$B44,Report_Données!$R:$R,$D$1)</f>
        <v>3</v>
      </c>
      <c r="E44" s="83">
        <f>COUNTIFS(Report_Données!$C:$C,Suivi_Championnat!$B44,Report_Données!$R:$R,E$1)</f>
        <v>2</v>
      </c>
      <c r="F44" s="84">
        <f t="shared" si="0"/>
        <v>0.6</v>
      </c>
      <c r="H44" s="109">
        <f>SUMIFS(Report_Données!T:T,Report_Données!$C:$C,Suivi_Championnat!$B44)</f>
        <v>1</v>
      </c>
      <c r="I44" s="109">
        <f>IF(AND($D44=0,$E44=0),"",COUNTIF(Report_Données!$C:$C,Suivi_Championnat!$B44))</f>
        <v>5</v>
      </c>
      <c r="J44" s="110">
        <f t="shared" si="1"/>
        <v>0.2</v>
      </c>
      <c r="K44" s="109">
        <f>SUMIFS(Report_Données!U:U,Report_Données!$C:$C,Suivi_Championnat!$B44)</f>
        <v>1</v>
      </c>
      <c r="L44" s="109">
        <f>IF(AND($D44=0,$E44=0),"",COUNTIF(Report_Données!$C:$C,Suivi_Championnat!$B44))</f>
        <v>5</v>
      </c>
      <c r="M44" s="110">
        <f t="shared" si="2"/>
        <v>0.2</v>
      </c>
      <c r="N44" s="109">
        <f>SUMIFS(Report_Données!V:V,Report_Données!$C:$C,Suivi_Championnat!$B44)</f>
        <v>1</v>
      </c>
      <c r="O44" s="109">
        <f>IF(AND($D44=0,$E44=0),"",COUNTIF(Report_Données!$C:$C,Suivi_Championnat!$B44))</f>
        <v>5</v>
      </c>
      <c r="P44" s="110">
        <f t="shared" si="3"/>
        <v>0.2</v>
      </c>
      <c r="Q44" s="109">
        <f>SUMIFS(Report_Données!W:W,Report_Données!$C:$C,Suivi_Championnat!$B44)</f>
        <v>0</v>
      </c>
      <c r="R44" s="109">
        <f>IF(AND($D44=0,$E44=0),"",COUNTIF(Report_Données!$C:$C,Suivi_Championnat!$B44))</f>
        <v>5</v>
      </c>
      <c r="S44" s="110">
        <f t="shared" si="4"/>
        <v>0</v>
      </c>
      <c r="T44" s="91"/>
      <c r="U44" s="111">
        <f t="shared" si="5"/>
        <v>0.6</v>
      </c>
    </row>
    <row r="45" spans="1:21" ht="20.100000000000001" customHeight="1" x14ac:dyDescent="0.3">
      <c r="A45" s="24" t="s">
        <v>224</v>
      </c>
      <c r="B45" s="88" t="s">
        <v>136</v>
      </c>
      <c r="C45" s="83">
        <f>COUNTIF(Report_Données!$C:$C,Suivi_Championnat!$B45)</f>
        <v>0</v>
      </c>
      <c r="D45" s="83">
        <f>COUNTIFS(Report_Données!$C:$C,Suivi_Championnat!$B45,Report_Données!$R:$R,$D$1)</f>
        <v>0</v>
      </c>
      <c r="E45" s="83">
        <f>COUNTIFS(Report_Données!$C:$C,Suivi_Championnat!$B45,Report_Données!$R:$R,E$1)</f>
        <v>0</v>
      </c>
      <c r="F45" s="84" t="str">
        <f t="shared" si="0"/>
        <v/>
      </c>
      <c r="H45" s="83">
        <f>SUMIFS(Report_Données!T:T,Report_Données!$C:$C,Suivi_Championnat!$B45)</f>
        <v>0</v>
      </c>
      <c r="I45" s="83" t="str">
        <f>IF(AND($D45=0,$E45=0),"",COUNTIF(Report_Données!$C:$C,Suivi_Championnat!$B45))</f>
        <v/>
      </c>
      <c r="J45" s="84" t="str">
        <f t="shared" si="1"/>
        <v/>
      </c>
      <c r="K45" s="83">
        <f>SUMIFS(Report_Données!U:U,Report_Données!$C:$C,Suivi_Championnat!$B45)</f>
        <v>0</v>
      </c>
      <c r="L45" s="83" t="str">
        <f>IF(AND($D45=0,$E45=0),"",COUNTIF(Report_Données!$C:$C,Suivi_Championnat!$B45))</f>
        <v/>
      </c>
      <c r="M45" s="84" t="str">
        <f t="shared" si="2"/>
        <v/>
      </c>
      <c r="N45" s="83">
        <f>SUMIFS(Report_Données!V:V,Report_Données!$C:$C,Suivi_Championnat!$B45)</f>
        <v>0</v>
      </c>
      <c r="O45" s="83" t="str">
        <f>IF(AND($D45=0,$E45=0),"",COUNTIF(Report_Données!$C:$C,Suivi_Championnat!$B45))</f>
        <v/>
      </c>
      <c r="P45" s="84" t="str">
        <f t="shared" si="3"/>
        <v/>
      </c>
      <c r="Q45" s="83">
        <f>SUMIFS(Report_Données!W:W,Report_Données!$C:$C,Suivi_Championnat!$B45)</f>
        <v>0</v>
      </c>
      <c r="R45" s="83" t="str">
        <f>IF(AND($D45=0,$E45=0),"",COUNTIF(Report_Données!$C:$C,Suivi_Championnat!$B45))</f>
        <v/>
      </c>
      <c r="S45" s="84" t="str">
        <f t="shared" si="4"/>
        <v/>
      </c>
      <c r="T45" s="91"/>
      <c r="U45" s="89" t="str">
        <f t="shared" si="5"/>
        <v/>
      </c>
    </row>
    <row r="46" spans="1:21" ht="20.100000000000001" customHeight="1" x14ac:dyDescent="0.3">
      <c r="A46" s="24" t="s">
        <v>96</v>
      </c>
      <c r="B46" s="88" t="s">
        <v>127</v>
      </c>
      <c r="C46" s="83">
        <f>COUNTIF(Report_Données!$C:$C,Suivi_Championnat!$B46)</f>
        <v>5</v>
      </c>
      <c r="D46" s="83">
        <f>COUNTIFS(Report_Données!$C:$C,Suivi_Championnat!$B46,Report_Données!$R:$R,$D$1)</f>
        <v>1</v>
      </c>
      <c r="E46" s="83">
        <f>COUNTIFS(Report_Données!$C:$C,Suivi_Championnat!$B46,Report_Données!$R:$R,E$1)</f>
        <v>4</v>
      </c>
      <c r="F46" s="84">
        <f t="shared" si="0"/>
        <v>0.2</v>
      </c>
      <c r="H46" s="109">
        <f>SUMIFS(Report_Données!T:T,Report_Données!$C:$C,Suivi_Championnat!$B46)</f>
        <v>0</v>
      </c>
      <c r="I46" s="109">
        <f>IF(AND($D46=0,$E46=0),"",COUNTIF(Report_Données!$C:$C,Suivi_Championnat!$B46))</f>
        <v>5</v>
      </c>
      <c r="J46" s="110">
        <f t="shared" si="1"/>
        <v>0</v>
      </c>
      <c r="K46" s="109">
        <f>SUMIFS(Report_Données!U:U,Report_Données!$C:$C,Suivi_Championnat!$B46)</f>
        <v>0</v>
      </c>
      <c r="L46" s="109">
        <f>IF(AND($D46=0,$E46=0),"",COUNTIF(Report_Données!$C:$C,Suivi_Championnat!$B46))</f>
        <v>5</v>
      </c>
      <c r="M46" s="110">
        <f t="shared" si="2"/>
        <v>0</v>
      </c>
      <c r="N46" s="109">
        <f>SUMIFS(Report_Données!V:V,Report_Données!$C:$C,Suivi_Championnat!$B46)</f>
        <v>0</v>
      </c>
      <c r="O46" s="109">
        <f>IF(AND($D46=0,$E46=0),"",COUNTIF(Report_Données!$C:$C,Suivi_Championnat!$B46))</f>
        <v>5</v>
      </c>
      <c r="P46" s="110">
        <f t="shared" si="3"/>
        <v>0</v>
      </c>
      <c r="Q46" s="109">
        <f>SUMIFS(Report_Données!W:W,Report_Données!$C:$C,Suivi_Championnat!$B46)</f>
        <v>0</v>
      </c>
      <c r="R46" s="109">
        <f>IF(AND($D46=0,$E46=0),"",COUNTIF(Report_Données!$C:$C,Suivi_Championnat!$B46))</f>
        <v>5</v>
      </c>
      <c r="S46" s="110">
        <f t="shared" si="4"/>
        <v>0</v>
      </c>
      <c r="T46" s="91"/>
      <c r="U46" s="111">
        <f t="shared" si="5"/>
        <v>0</v>
      </c>
    </row>
    <row r="47" spans="1:21" ht="20.100000000000001" customHeight="1" x14ac:dyDescent="0.3">
      <c r="A47" s="24" t="s">
        <v>74</v>
      </c>
      <c r="B47" s="88" t="s">
        <v>128</v>
      </c>
      <c r="C47" s="83">
        <f>COUNTIF(Report_Données!$C:$C,Suivi_Championnat!$B47)</f>
        <v>9</v>
      </c>
      <c r="D47" s="83">
        <f>COUNTIFS(Report_Données!$C:$C,Suivi_Championnat!$B47,Report_Données!$R:$R,$D$1)</f>
        <v>4</v>
      </c>
      <c r="E47" s="83">
        <f>COUNTIFS(Report_Données!$C:$C,Suivi_Championnat!$B47,Report_Données!$R:$R,E$1)</f>
        <v>5</v>
      </c>
      <c r="F47" s="84">
        <f t="shared" si="0"/>
        <v>0.44444444444444442</v>
      </c>
      <c r="H47" s="83">
        <f>SUMIFS(Report_Données!T:T,Report_Données!$C:$C,Suivi_Championnat!$B47)</f>
        <v>2</v>
      </c>
      <c r="I47" s="83">
        <f>IF(AND($D47=0,$E47=0),"",COUNTIF(Report_Données!$C:$C,Suivi_Championnat!$B47))</f>
        <v>9</v>
      </c>
      <c r="J47" s="84">
        <f t="shared" si="1"/>
        <v>0.22222222222222221</v>
      </c>
      <c r="K47" s="83">
        <f>SUMIFS(Report_Données!U:U,Report_Données!$C:$C,Suivi_Championnat!$B47)</f>
        <v>0</v>
      </c>
      <c r="L47" s="83">
        <f>IF(AND($D47=0,$E47=0),"",COUNTIF(Report_Données!$C:$C,Suivi_Championnat!$B47))</f>
        <v>9</v>
      </c>
      <c r="M47" s="84">
        <f t="shared" si="2"/>
        <v>0</v>
      </c>
      <c r="N47" s="83">
        <f>SUMIFS(Report_Données!V:V,Report_Données!$C:$C,Suivi_Championnat!$B47)</f>
        <v>1</v>
      </c>
      <c r="O47" s="83">
        <f>IF(AND($D47=0,$E47=0),"",COUNTIF(Report_Données!$C:$C,Suivi_Championnat!$B47))</f>
        <v>9</v>
      </c>
      <c r="P47" s="84">
        <f t="shared" si="3"/>
        <v>0.1111111111111111</v>
      </c>
      <c r="Q47" s="83">
        <f>SUMIFS(Report_Données!W:W,Report_Données!$C:$C,Suivi_Championnat!$B47)</f>
        <v>0</v>
      </c>
      <c r="R47" s="83">
        <f>IF(AND($D47=0,$E47=0),"",COUNTIF(Report_Données!$C:$C,Suivi_Championnat!$B47))</f>
        <v>9</v>
      </c>
      <c r="S47" s="84">
        <f t="shared" si="4"/>
        <v>0</v>
      </c>
      <c r="T47" s="91"/>
      <c r="U47" s="89">
        <f t="shared" si="5"/>
        <v>0.33333333333333331</v>
      </c>
    </row>
    <row r="48" spans="1:21" ht="20.100000000000001" customHeight="1" x14ac:dyDescent="0.3">
      <c r="A48" s="24" t="s">
        <v>97</v>
      </c>
      <c r="B48" s="88" t="s">
        <v>129</v>
      </c>
      <c r="C48" s="83">
        <f>COUNTIF(Report_Données!$C:$C,Suivi_Championnat!$B48)</f>
        <v>6</v>
      </c>
      <c r="D48" s="83">
        <f>COUNTIFS(Report_Données!$C:$C,Suivi_Championnat!$B48,Report_Données!$R:$R,$D$1)</f>
        <v>0</v>
      </c>
      <c r="E48" s="83">
        <f>COUNTIFS(Report_Données!$C:$C,Suivi_Championnat!$B48,Report_Données!$R:$R,E$1)</f>
        <v>6</v>
      </c>
      <c r="F48" s="84">
        <f t="shared" si="0"/>
        <v>0</v>
      </c>
      <c r="H48" s="109">
        <f>SUMIFS(Report_Données!T:T,Report_Données!$C:$C,Suivi_Championnat!$B48)</f>
        <v>0</v>
      </c>
      <c r="I48" s="109">
        <f>IF(AND($D48=0,$E48=0),"",COUNTIF(Report_Données!$C:$C,Suivi_Championnat!$B48))</f>
        <v>6</v>
      </c>
      <c r="J48" s="110">
        <f t="shared" si="1"/>
        <v>0</v>
      </c>
      <c r="K48" s="109">
        <f>SUMIFS(Report_Données!U:U,Report_Données!$C:$C,Suivi_Championnat!$B48)</f>
        <v>1</v>
      </c>
      <c r="L48" s="109">
        <f>IF(AND($D48=0,$E48=0),"",COUNTIF(Report_Données!$C:$C,Suivi_Championnat!$B48))</f>
        <v>6</v>
      </c>
      <c r="M48" s="110">
        <f t="shared" si="2"/>
        <v>0.16666666666666666</v>
      </c>
      <c r="N48" s="109">
        <f>SUMIFS(Report_Données!V:V,Report_Données!$C:$C,Suivi_Championnat!$B48)</f>
        <v>0</v>
      </c>
      <c r="O48" s="109">
        <f>IF(AND($D48=0,$E48=0),"",COUNTIF(Report_Données!$C:$C,Suivi_Championnat!$B48))</f>
        <v>6</v>
      </c>
      <c r="P48" s="110">
        <f t="shared" si="3"/>
        <v>0</v>
      </c>
      <c r="Q48" s="109">
        <f>SUMIFS(Report_Données!W:W,Report_Données!$C:$C,Suivi_Championnat!$B48)</f>
        <v>1</v>
      </c>
      <c r="R48" s="109">
        <f>IF(AND($D48=0,$E48=0),"",COUNTIF(Report_Données!$C:$C,Suivi_Championnat!$B48))</f>
        <v>6</v>
      </c>
      <c r="S48" s="110">
        <f t="shared" si="4"/>
        <v>0.16666666666666666</v>
      </c>
      <c r="T48" s="91"/>
      <c r="U48" s="111">
        <f t="shared" si="5"/>
        <v>0.33333333333333331</v>
      </c>
    </row>
  </sheetData>
  <mergeCells count="4">
    <mergeCell ref="N1:P1"/>
    <mergeCell ref="K1:M1"/>
    <mergeCell ref="H1:J1"/>
    <mergeCell ref="Q1:S1"/>
  </mergeCells>
  <conditionalFormatting sqref="F2:F48">
    <cfRule type="containsBlanks" priority="1" stopIfTrue="1">
      <formula>LEN(TRIM(F2))=0</formula>
    </cfRule>
    <cfRule type="cellIs" dxfId="9" priority="5" operator="lessThan">
      <formula>0.5</formula>
    </cfRule>
    <cfRule type="cellIs" dxfId="8" priority="8" operator="greaterThanOrEqual">
      <formula>0.5</formula>
    </cfRule>
  </conditionalFormatting>
  <conditionalFormatting sqref="U2:U48">
    <cfRule type="containsBlanks" dxfId="7" priority="3">
      <formula>LEN(TRIM(U2))=0</formula>
    </cfRule>
    <cfRule type="cellIs" dxfId="6" priority="4" operator="lessThan">
      <formula>0.5</formula>
    </cfRule>
    <cfRule type="cellIs" dxfId="5" priority="9" operator="greaterThanOrEqual">
      <formula>0.5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89</vt:i4>
      </vt:variant>
    </vt:vector>
  </HeadingPairs>
  <TitlesOfParts>
    <vt:vector size="96" baseType="lpstr">
      <vt:lpstr>Données</vt:lpstr>
      <vt:lpstr>Report_Données</vt:lpstr>
      <vt:lpstr>Classement</vt:lpstr>
      <vt:lpstr>Suivi_FT</vt:lpstr>
      <vt:lpstr>Suivi_SE</vt:lpstr>
      <vt:lpstr>Suivi_Gain</vt:lpstr>
      <vt:lpstr>Suivi_Championnat</vt:lpstr>
      <vt:lpstr>A_Lyga</vt:lpstr>
      <vt:lpstr>Allemagne</vt:lpstr>
      <vt:lpstr>Allsvenskan</vt:lpstr>
      <vt:lpstr>Angleterre</vt:lpstr>
      <vt:lpstr>Armenie</vt:lpstr>
      <vt:lpstr>Autriche</vt:lpstr>
      <vt:lpstr>Belgique</vt:lpstr>
      <vt:lpstr>Bielorussie</vt:lpstr>
      <vt:lpstr>Bosnie</vt:lpstr>
      <vt:lpstr>Bresil</vt:lpstr>
      <vt:lpstr>Bulgarie</vt:lpstr>
      <vt:lpstr>Bundesliga</vt:lpstr>
      <vt:lpstr>Bundesliga_2</vt:lpstr>
      <vt:lpstr>Championship</vt:lpstr>
      <vt:lpstr>Chypre</vt:lpstr>
      <vt:lpstr>Croatie</vt:lpstr>
      <vt:lpstr>Danemark</vt:lpstr>
      <vt:lpstr>Ecosse</vt:lpstr>
      <vt:lpstr>Ekstraklasa</vt:lpstr>
      <vt:lpstr>Eliteserien</vt:lpstr>
      <vt:lpstr>Eredivisie</vt:lpstr>
      <vt:lpstr>Espagne</vt:lpstr>
      <vt:lpstr>Estonie</vt:lpstr>
      <vt:lpstr>Finlande</vt:lpstr>
      <vt:lpstr>Fortuna_Liga</vt:lpstr>
      <vt:lpstr>France</vt:lpstr>
      <vt:lpstr>Grece</vt:lpstr>
      <vt:lpstr>HNL_1</vt:lpstr>
      <vt:lpstr>Hongrie</vt:lpstr>
      <vt:lpstr>Irlande</vt:lpstr>
      <vt:lpstr>Irlande_Nord</vt:lpstr>
      <vt:lpstr>Italie</vt:lpstr>
      <vt:lpstr>J_League</vt:lpstr>
      <vt:lpstr>Japon</vt:lpstr>
      <vt:lpstr>Jupiler_League</vt:lpstr>
      <vt:lpstr>LaLiga</vt:lpstr>
      <vt:lpstr>LaLiga_2</vt:lpstr>
      <vt:lpstr>Lettonie</vt:lpstr>
      <vt:lpstr>Liga_1</vt:lpstr>
      <vt:lpstr>Liga_1_RepTcheque</vt:lpstr>
      <vt:lpstr>Liga_2_Cabovisao</vt:lpstr>
      <vt:lpstr>Liga_NOS</vt:lpstr>
      <vt:lpstr>Ligue_1</vt:lpstr>
      <vt:lpstr>Ligue_2</vt:lpstr>
      <vt:lpstr>Lituanie</vt:lpstr>
      <vt:lpstr>Luxembourg</vt:lpstr>
      <vt:lpstr>Meistriliiga</vt:lpstr>
      <vt:lpstr>National_Division</vt:lpstr>
      <vt:lpstr>NIFL</vt:lpstr>
      <vt:lpstr>Norvege</vt:lpstr>
      <vt:lpstr>OTP_Bank_Liga</vt:lpstr>
      <vt:lpstr>Parva_Liga</vt:lpstr>
      <vt:lpstr>Pays_Bas</vt:lpstr>
      <vt:lpstr>Pays_Galles</vt:lpstr>
      <vt:lpstr>Pologne</vt:lpstr>
      <vt:lpstr>Portugal</vt:lpstr>
      <vt:lpstr>Premier_Division_Irl</vt:lpstr>
      <vt:lpstr>Premier_League_Ang</vt:lpstr>
      <vt:lpstr>Premier_League_Arm</vt:lpstr>
      <vt:lpstr>Premier_League_Bos</vt:lpstr>
      <vt:lpstr>Premier_League_Gal</vt:lpstr>
      <vt:lpstr>Premier_League_Rus</vt:lpstr>
      <vt:lpstr>Premier_League_Ukr</vt:lpstr>
      <vt:lpstr>Premiere_Division_Chy</vt:lpstr>
      <vt:lpstr>Premiership</vt:lpstr>
      <vt:lpstr>Prva_Liga</vt:lpstr>
      <vt:lpstr>Raiffeisen_League</vt:lpstr>
      <vt:lpstr>Rep_Tcheque</vt:lpstr>
      <vt:lpstr>Roumanie</vt:lpstr>
      <vt:lpstr>Russie</vt:lpstr>
      <vt:lpstr>Serbie</vt:lpstr>
      <vt:lpstr>Serie_A_Bre</vt:lpstr>
      <vt:lpstr>Serie_A_Ita</vt:lpstr>
      <vt:lpstr>Serie_B_Ita</vt:lpstr>
      <vt:lpstr>Slovaquie</vt:lpstr>
      <vt:lpstr>Slovenie</vt:lpstr>
      <vt:lpstr>Suede</vt:lpstr>
      <vt:lpstr>Suisse</vt:lpstr>
      <vt:lpstr>Super_League_Gre</vt:lpstr>
      <vt:lpstr>Super_Lig</vt:lpstr>
      <vt:lpstr>Super_Liga</vt:lpstr>
      <vt:lpstr>Superliga</vt:lpstr>
      <vt:lpstr>SynotTip</vt:lpstr>
      <vt:lpstr>Tipico</vt:lpstr>
      <vt:lpstr>Turquie</vt:lpstr>
      <vt:lpstr>Ukraine</vt:lpstr>
      <vt:lpstr>Veikkausliga</vt:lpstr>
      <vt:lpstr>Vysshaya_Liga</vt:lpstr>
      <vt:lpstr>Report_Données!Zone_d_impression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HENER TSEF2</cp:lastModifiedBy>
  <cp:lastPrinted>2018-11-22T12:07:15Z</cp:lastPrinted>
  <dcterms:created xsi:type="dcterms:W3CDTF">2018-11-11T12:23:16Z</dcterms:created>
  <dcterms:modified xsi:type="dcterms:W3CDTF">2018-11-27T09:01:11Z</dcterms:modified>
</cp:coreProperties>
</file>