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worksheets/sheet14.xml" ContentType="application/vnd.openxmlformats-officedocument.spreadsheetml.work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chartsheets/sheet20.xml" ContentType="application/vnd.openxmlformats-officedocument.spreadsheetml.chartsheet+xml"/>
  <Override PartName="/xl/chartsheets/sheet21.xml" ContentType="application/vnd.openxmlformats-officedocument.spreadsheetml.chart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28.xml" ContentType="application/vnd.openxmlformats-officedocument.spreadsheetml.chartsheet+xml"/>
  <Override PartName="/xl/chartsheets/sheet29.xml" ContentType="application/vnd.openxmlformats-officedocument.spreadsheetml.chartsheet+xml"/>
  <Override PartName="/xl/chartsheets/sheet30.xml" ContentType="application/vnd.openxmlformats-officedocument.spreadsheetml.chart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chartsheets/sheet31.xml" ContentType="application/vnd.openxmlformats-officedocument.spreadsheetml.chart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chartsheets/sheet38.xml" ContentType="application/vnd.openxmlformats-officedocument.spreadsheetml.chart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chartsheets/sheet39.xml" ContentType="application/vnd.openxmlformats-officedocument.spreadsheetml.chart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chartsheets/sheet54.xml" ContentType="application/vnd.openxmlformats-officedocument.spreadsheetml.chart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chartsheets/sheet55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drawings/drawing19.xml" ContentType="application/vnd.openxmlformats-officedocument.drawing+xml"/>
  <Override PartName="/xl/charts/chart18.xml" ContentType="application/vnd.openxmlformats-officedocument.drawingml.chart+xml"/>
  <Override PartName="/xl/drawings/drawing20.xml" ContentType="application/vnd.openxmlformats-officedocument.drawing+xml"/>
  <Override PartName="/xl/charts/chart19.xml" ContentType="application/vnd.openxmlformats-officedocument.drawingml.chart+xml"/>
  <Override PartName="/xl/drawings/drawing21.xml" ContentType="application/vnd.openxmlformats-officedocument.drawing+xml"/>
  <Override PartName="/xl/charts/chart20.xml" ContentType="application/vnd.openxmlformats-officedocument.drawingml.chart+xml"/>
  <Override PartName="/xl/drawings/drawing22.xml" ContentType="application/vnd.openxmlformats-officedocument.drawing+xml"/>
  <Override PartName="/xl/charts/chart21.xml" ContentType="application/vnd.openxmlformats-officedocument.drawingml.chart+xml"/>
  <Override PartName="/xl/drawings/drawing23.xml" ContentType="application/vnd.openxmlformats-officedocument.drawing+xml"/>
  <Override PartName="/xl/charts/chart22.xml" ContentType="application/vnd.openxmlformats-officedocument.drawingml.chart+xml"/>
  <Override PartName="/xl/drawings/drawing24.xml" ContentType="application/vnd.openxmlformats-officedocument.drawing+xml"/>
  <Override PartName="/xl/charts/chart23.xml" ContentType="application/vnd.openxmlformats-officedocument.drawingml.chart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drawings/drawing25.xml" ContentType="application/vnd.openxmlformats-officedocument.drawing+xml"/>
  <Override PartName="/xl/charts/chart24.xml" ContentType="application/vnd.openxmlformats-officedocument.drawingml.chart+xml"/>
  <Override PartName="/xl/drawings/drawing26.xml" ContentType="application/vnd.openxmlformats-officedocument.drawing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26.xml" ContentType="application/vnd.openxmlformats-officedocument.drawingml.chart+xml"/>
  <Override PartName="/xl/drawings/drawing29.xml" ContentType="application/vnd.openxmlformats-officedocument.drawing+xml"/>
  <Override PartName="/xl/charts/chart27.xml" ContentType="application/vnd.openxmlformats-officedocument.drawingml.chart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28.xml" ContentType="application/vnd.openxmlformats-officedocument.drawingml.chart+xml"/>
  <Override PartName="/xl/drawings/drawing32.xml" ContentType="application/vnd.openxmlformats-officedocument.drawing+xml"/>
  <Override PartName="/xl/charts/chart29.xml" ContentType="application/vnd.openxmlformats-officedocument.drawingml.chart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drawings/drawing33.xml" ContentType="application/vnd.openxmlformats-officedocument.drawing+xml"/>
  <Override PartName="/xl/charts/chart30.xml" ContentType="application/vnd.openxmlformats-officedocument.drawingml.chart+xml"/>
  <Override PartName="/xl/drawings/drawing34.xml" ContentType="application/vnd.openxmlformats-officedocument.drawing+xml"/>
  <Override PartName="/xl/charts/chart31.xml" ContentType="application/vnd.openxmlformats-officedocument.drawingml.chart+xml"/>
  <Override PartName="/xl/drawings/drawing35.xml" ContentType="application/vnd.openxmlformats-officedocument.drawing+xml"/>
  <Override PartName="/xl/charts/chart32.xml" ContentType="application/vnd.openxmlformats-officedocument.drawingml.chart+xml"/>
  <Override PartName="/xl/drawings/drawing36.xml" ContentType="application/vnd.openxmlformats-officedocument.drawing+xml"/>
  <Override PartName="/xl/charts/chart33.xml" ContentType="application/vnd.openxmlformats-officedocument.drawingml.chart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pivotTables/pivotTable37.xml" ContentType="application/vnd.openxmlformats-officedocument.spreadsheetml.pivotTable+xml"/>
  <Override PartName="/xl/drawings/drawing37.xml" ContentType="application/vnd.openxmlformats-officedocument.drawing+xml"/>
  <Override PartName="/xl/charts/chart34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35.xml" ContentType="application/vnd.openxmlformats-officedocument.drawingml.chart+xml"/>
  <Override PartName="/xl/drawings/drawing40.xml" ContentType="application/vnd.openxmlformats-officedocument.drawing+xml"/>
  <Override PartName="/xl/charts/chart36.xml" ContentType="application/vnd.openxmlformats-officedocument.drawingml.chart+xml"/>
  <Override PartName="/xl/drawings/drawing41.xml" ContentType="application/vnd.openxmlformats-officedocument.drawingml.chartshapes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drawings/drawing42.xml" ContentType="application/vnd.openxmlformats-officedocument.drawing+xml"/>
  <Override PartName="/xl/charts/chart37.xml" ContentType="application/vnd.openxmlformats-officedocument.drawingml.chart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drawings/drawing43.xml" ContentType="application/vnd.openxmlformats-officedocument.drawing+xml"/>
  <Override PartName="/xl/charts/chart38.xml" ContentType="application/vnd.openxmlformats-officedocument.drawingml.chart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39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40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41.xml" ContentType="application/vnd.openxmlformats-officedocument.drawingml.chart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drawings/drawing50.xml" ContentType="application/vnd.openxmlformats-officedocument.drawing+xml"/>
  <Override PartName="/xl/charts/chart42.xml" ContentType="application/vnd.openxmlformats-officedocument.drawingml.chart+xml"/>
  <Override PartName="/xl/drawings/drawing51.xml" ContentType="application/vnd.openxmlformats-officedocument.drawing+xml"/>
  <Override PartName="/xl/charts/chart43.xml" ContentType="application/vnd.openxmlformats-officedocument.drawingml.chart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drawings/drawing52.xml" ContentType="application/vnd.openxmlformats-officedocument.drawing+xml"/>
  <Override PartName="/xl/charts/chart44.xml" ContentType="application/vnd.openxmlformats-officedocument.drawingml.chart+xml"/>
  <Override PartName="/xl/drawings/drawing53.xml" ContentType="application/vnd.openxmlformats-officedocument.drawing+xml"/>
  <Override PartName="/xl/charts/chart45.xml" ContentType="application/vnd.openxmlformats-officedocument.drawingml.chart+xml"/>
  <Override PartName="/xl/pivotTables/pivotTable47.xml" ContentType="application/vnd.openxmlformats-officedocument.spreadsheetml.pivotTable+xml"/>
  <Override PartName="/xl/pivotTables/pivotTable48.xml" ContentType="application/vnd.openxmlformats-officedocument.spreadsheetml.pivotTable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pivotTables/pivotTable53.xml" ContentType="application/vnd.openxmlformats-officedocument.spreadsheetml.pivotTable+xml"/>
  <Override PartName="/xl/pivotTables/pivotTable54.xml" ContentType="application/vnd.openxmlformats-officedocument.spreadsheetml.pivotTable+xml"/>
  <Override PartName="/xl/pivotTables/pivotTable55.xml" ContentType="application/vnd.openxmlformats-officedocument.spreadsheetml.pivotTable+xml"/>
  <Override PartName="/xl/pivotTables/pivotTable56.xml" ContentType="application/vnd.openxmlformats-officedocument.spreadsheetml.pivotTable+xml"/>
  <Override PartName="/xl/pivotTables/pivotTable57.xml" ContentType="application/vnd.openxmlformats-officedocument.spreadsheetml.pivotTable+xml"/>
  <Override PartName="/xl/pivotTables/pivotTable58.xml" ContentType="application/vnd.openxmlformats-officedocument.spreadsheetml.pivotTable+xml"/>
  <Override PartName="/xl/pivotTables/pivotTable59.xml" ContentType="application/vnd.openxmlformats-officedocument.spreadsheetml.pivotTable+xml"/>
  <Override PartName="/xl/pivotTables/pivotTable60.xml" ContentType="application/vnd.openxmlformats-officedocument.spreadsheetml.pivotTable+xml"/>
  <Override PartName="/xl/pivotTables/pivotTable61.xml" ContentType="application/vnd.openxmlformats-officedocument.spreadsheetml.pivotTable+xml"/>
  <Override PartName="/xl/pivotTables/pivotTable62.xml" ContentType="application/vnd.openxmlformats-officedocument.spreadsheetml.pivotTable+xml"/>
  <Override PartName="/xl/drawings/drawing54.xml" ContentType="application/vnd.openxmlformats-officedocument.drawing+xml"/>
  <Override PartName="/xl/charts/chart46.xml" ContentType="application/vnd.openxmlformats-officedocument.drawingml.chart+xml"/>
  <Override PartName="/xl/drawings/drawing55.xml" ContentType="application/vnd.openxmlformats-officedocument.drawing+xml"/>
  <Override PartName="/xl/charts/chart47.xml" ContentType="application/vnd.openxmlformats-officedocument.drawingml.chart+xml"/>
  <Override PartName="/xl/drawings/drawing56.xml" ContentType="application/vnd.openxmlformats-officedocument.drawing+xml"/>
  <Override PartName="/xl/charts/chart48.xml" ContentType="application/vnd.openxmlformats-officedocument.drawingml.chart+xml"/>
  <Override PartName="/xl/drawings/drawing57.xml" ContentType="application/vnd.openxmlformats-officedocument.drawing+xml"/>
  <Override PartName="/xl/charts/chart49.xml" ContentType="application/vnd.openxmlformats-officedocument.drawingml.chart+xml"/>
  <Override PartName="/xl/drawings/drawing58.xml" ContentType="application/vnd.openxmlformats-officedocument.drawing+xml"/>
  <Override PartName="/xl/charts/chart50.xml" ContentType="application/vnd.openxmlformats-officedocument.drawingml.chart+xml"/>
  <Override PartName="/xl/drawings/drawing59.xml" ContentType="application/vnd.openxmlformats-officedocument.drawingml.chartshapes+xml"/>
  <Override PartName="/xl/drawings/drawing60.xml" ContentType="application/vnd.openxmlformats-officedocument.drawing+xml"/>
  <Override PartName="/xl/charts/chart51.xml" ContentType="application/vnd.openxmlformats-officedocument.drawingml.chart+xml"/>
  <Override PartName="/xl/pivotTables/pivotTable63.xml" ContentType="application/vnd.openxmlformats-officedocument.spreadsheetml.pivotTable+xml"/>
  <Override PartName="/xl/pivotTables/pivotTable64.xml" ContentType="application/vnd.openxmlformats-officedocument.spreadsheetml.pivotTable+xml"/>
  <Override PartName="/xl/pivotTables/pivotTable65.xml" ContentType="application/vnd.openxmlformats-officedocument.spreadsheetml.pivotTable+xml"/>
  <Override PartName="/xl/pivotTables/pivotTable66.xml" ContentType="application/vnd.openxmlformats-officedocument.spreadsheetml.pivotTable+xml"/>
  <Override PartName="/xl/pivotTables/pivotTable67.xml" ContentType="application/vnd.openxmlformats-officedocument.spreadsheetml.pivotTable+xml"/>
  <Override PartName="/xl/pivotTables/pivotTable68.xml" ContentType="application/vnd.openxmlformats-officedocument.spreadsheetml.pivotTable+xml"/>
  <Override PartName="/xl/pivotTables/pivotTable69.xml" ContentType="application/vnd.openxmlformats-officedocument.spreadsheetml.pivotTable+xml"/>
  <Override PartName="/xl/pivotTables/pivotTable70.xml" ContentType="application/vnd.openxmlformats-officedocument.spreadsheetml.pivotTable+xml"/>
  <Override PartName="/xl/pivotTables/pivotTable71.xml" ContentType="application/vnd.openxmlformats-officedocument.spreadsheetml.pivotTable+xml"/>
  <Override PartName="/xl/drawings/drawing61.xml" ContentType="application/vnd.openxmlformats-officedocument.drawing+xml"/>
  <Override PartName="/xl/charts/chart52.xml" ContentType="application/vnd.openxmlformats-officedocument.drawingml.chart+xml"/>
  <Override PartName="/xl/drawings/drawing62.xml" ContentType="application/vnd.openxmlformats-officedocument.drawing+xml"/>
  <Override PartName="/xl/charts/chart53.xml" ContentType="application/vnd.openxmlformats-officedocument.drawingml.chart+xml"/>
  <Override PartName="/xl/drawings/drawing63.xml" ContentType="application/vnd.openxmlformats-officedocument.drawing+xml"/>
  <Override PartName="/xl/charts/chart54.xml" ContentType="application/vnd.openxmlformats-officedocument.drawingml.chart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55.xml" ContentType="application/vnd.openxmlformats-officedocument.drawingml.chart+xml"/>
  <Override PartName="/xl/drawings/drawing66.xml" ContentType="application/vnd.openxmlformats-officedocument.drawing+xml"/>
  <Override PartName="/xl/charts/chart56.xml" ContentType="application/vnd.openxmlformats-officedocument.drawingml.chart+xml"/>
  <Override PartName="/xl/pivotTables/pivotTable72.xml" ContentType="application/vnd.openxmlformats-officedocument.spreadsheetml.pivotTable+xml"/>
  <Override PartName="/xl/pivotTables/pivotTable73.xml" ContentType="application/vnd.openxmlformats-officedocument.spreadsheetml.pivotTable+xml"/>
  <Override PartName="/xl/pivotTables/pivotTable74.xml" ContentType="application/vnd.openxmlformats-officedocument.spreadsheetml.pivotTable+xml"/>
  <Override PartName="/xl/pivotTables/pivotTable75.xml" ContentType="application/vnd.openxmlformats-officedocument.spreadsheetml.pivotTable+xml"/>
  <Override PartName="/xl/pivotTables/pivotTable76.xml" ContentType="application/vnd.openxmlformats-officedocument.spreadsheetml.pivotTable+xml"/>
  <Override PartName="/xl/pivotTables/pivotTable77.xml" ContentType="application/vnd.openxmlformats-officedocument.spreadsheetml.pivotTable+xml"/>
  <Override PartName="/xl/pivotTables/pivotTable78.xml" ContentType="application/vnd.openxmlformats-officedocument.spreadsheetml.pivotTable+xml"/>
  <Override PartName="/xl/pivotTables/pivotTable79.xml" ContentType="application/vnd.openxmlformats-officedocument.spreadsheetml.pivotTable+xml"/>
  <Override PartName="/xl/pivotTables/pivotTable80.xml" ContentType="application/vnd.openxmlformats-officedocument.spreadsheetml.pivotTable+xml"/>
  <Override PartName="/xl/pivotTables/pivotTable81.xml" ContentType="application/vnd.openxmlformats-officedocument.spreadsheetml.pivotTable+xml"/>
  <Override PartName="/xl/pivotTables/pivotTable82.xml" ContentType="application/vnd.openxmlformats-officedocument.spreadsheetml.pivotTable+xml"/>
  <Override PartName="/xl/pivotTables/pivotTable83.xml" ContentType="application/vnd.openxmlformats-officedocument.spreadsheetml.pivotTable+xml"/>
  <Override PartName="/xl/drawings/drawing67.xml" ContentType="application/vnd.openxmlformats-officedocument.drawing+xml"/>
  <Override PartName="/xl/charts/chart57.xml" ContentType="application/vnd.openxmlformats-officedocument.drawingml.chart+xml"/>
  <Override PartName="/xl/drawings/drawing68.xml" ContentType="application/vnd.openxmlformats-officedocument.drawing+xml"/>
  <Override PartName="/xl/charts/chart58.xml" ContentType="application/vnd.openxmlformats-officedocument.drawingml.chart+xml"/>
  <Override PartName="/xl/drawings/drawing69.xml" ContentType="application/vnd.openxmlformats-officedocument.drawing+xml"/>
  <Override PartName="/xl/charts/chart59.xml" ContentType="application/vnd.openxmlformats-officedocument.drawingml.chart+xml"/>
  <Override PartName="/xl/drawings/drawing70.xml" ContentType="application/vnd.openxmlformats-officedocument.drawing+xml"/>
  <Override PartName="/xl/charts/chart60.xml" ContentType="application/vnd.openxmlformats-officedocument.drawingml.chart+xml"/>
  <Override PartName="/xl/drawings/drawing71.xml" ContentType="application/vnd.openxmlformats-officedocument.drawing+xml"/>
  <Override PartName="/xl/charts/chart61.xml" ContentType="application/vnd.openxmlformats-officedocument.drawingml.chart+xml"/>
  <Override PartName="/xl/pivotTables/pivotTable84.xml" ContentType="application/vnd.openxmlformats-officedocument.spreadsheetml.pivotTable+xml"/>
  <Override PartName="/xl/pivotTables/pivotTable85.xml" ContentType="application/vnd.openxmlformats-officedocument.spreadsheetml.pivotTable+xml"/>
  <Override PartName="/xl/drawings/drawing72.xml" ContentType="application/vnd.openxmlformats-officedocument.drawing+xml"/>
  <Override PartName="/xl/charts/chart62.xml" ContentType="application/vnd.openxmlformats-officedocument.drawingml.chart+xml"/>
  <Override PartName="/xl/pivotTables/pivotTable86.xml" ContentType="application/vnd.openxmlformats-officedocument.spreadsheetml.pivotTable+xml"/>
  <Override PartName="/xl/pivotTables/pivotTable87.xml" ContentType="application/vnd.openxmlformats-officedocument.spreadsheetml.pivotTable+xml"/>
  <Override PartName="/xl/drawings/drawing73.xml" ContentType="application/vnd.openxmlformats-officedocument.drawing+xml"/>
  <Override PartName="/xl/charts/chart6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hidePivotFieldList="1" defaultThemeVersion="124226"/>
  <bookViews>
    <workbookView xWindow="-15" yWindow="1665" windowWidth="14400" windowHeight="10080" tabRatio="955" activeTab="18"/>
  </bookViews>
  <sheets>
    <sheet name="Données " sheetId="5" r:id="rId1"/>
    <sheet name="TAVI" sheetId="16" r:id="rId2"/>
    <sheet name="PM-AICD" sheetId="14" r:id="rId3"/>
    <sheet name="Divers" sheetId="15" r:id="rId4"/>
    <sheet name=" mensuel" sheetId="141" r:id="rId5"/>
    <sheet name="annuel" sheetId="133" r:id="rId6"/>
    <sheet name="Références" sheetId="142" r:id="rId7"/>
    <sheet name="Lieu_Activité" sheetId="108" r:id="rId8"/>
    <sheet name="Pivot-Prov" sheetId="33" r:id="rId9"/>
    <sheet name="Pivot-cardiologue" sheetId="148" r:id="rId10"/>
    <sheet name="Gr_Prov-Global" sheetId="87" r:id="rId11"/>
    <sheet name="Gr_Prov_Mens" sheetId="42" state="hidden" r:id="rId12"/>
    <sheet name="Pivotr-Type Int" sheetId="154" r:id="rId13"/>
    <sheet name="Gr_Type Int Intranet" sheetId="158" r:id="rId14"/>
    <sheet name="Gr Type int Stat" sheetId="156" r:id="rId15"/>
    <sheet name="Gr_Type_Int_Gl (2" sheetId="89" state="hidden" r:id="rId16"/>
    <sheet name="Gr_Type_Int_Mens" sheetId="36" state="hidden" r:id="rId17"/>
    <sheet name="Gr_ Comp année" sheetId="159" r:id="rId18"/>
    <sheet name="Pivot_Valves" sheetId="32" r:id="rId19"/>
    <sheet name="Gr_Valves_Global" sheetId="40" r:id="rId20"/>
    <sheet name="Gr_Valves_Mens" sheetId="44" state="hidden" r:id="rId21"/>
    <sheet name="Pivot délai intervention" sheetId="157" r:id="rId22"/>
    <sheet name="GR Statut selon délai " sheetId="164" r:id="rId23"/>
    <sheet name="Gr_délai intervention global" sheetId="165" r:id="rId24"/>
    <sheet name="Gr_délai_intervention_DCD" sheetId="162" r:id="rId25"/>
    <sheet name="Pivot_Survie" sheetId="34" r:id="rId26"/>
    <sheet name="Gr_Survie_Global" sheetId="46" r:id="rId27"/>
    <sheet name="Gr_Survie_Global (2)" sheetId="90" state="hidden" r:id="rId28"/>
    <sheet name="Gr_Survie_Mens" sheetId="45" state="hidden" r:id="rId29"/>
    <sheet name="Pivot_USI" sheetId="47" r:id="rId30"/>
    <sheet name="CALCULS_USI" sheetId="128" r:id="rId31"/>
    <sheet name="Gr USI_Toutes_Mens_Médiane" sheetId="129" state="hidden" r:id="rId32"/>
    <sheet name="Gr USI_Toutes_Mens_ET" sheetId="91" state="hidden" r:id="rId33"/>
    <sheet name="Gr_USI_Hors_ Mens_Médiane" sheetId="130" r:id="rId34"/>
    <sheet name="Gr_USI_Hors_ Mens_ET" sheetId="92" state="hidden" r:id="rId35"/>
    <sheet name="Gr_USI_LVAD-TX_ Mens_Médiane" sheetId="131" state="hidden" r:id="rId36"/>
    <sheet name="Gr_USI_LVAD-TX_ Mens_ET" sheetId="93" state="hidden" r:id="rId37"/>
    <sheet name="Pivot_Hospi" sheetId="51" r:id="rId38"/>
    <sheet name="CALCULS_Hospi" sheetId="120" r:id="rId39"/>
    <sheet name="Gr_Hospi_Toutes_Mens_Médiane" sheetId="122" state="hidden" r:id="rId40"/>
    <sheet name="Gr_Hospi_Toutes_Mens_ET" sheetId="94" state="hidden" r:id="rId41"/>
    <sheet name="Gr_Hospi hors_ Mens_Médiane" sheetId="125" r:id="rId42"/>
    <sheet name="Gr_Hospi hors_ Mens_ET" sheetId="52" state="hidden" r:id="rId43"/>
    <sheet name="Gr_Hopsi_LVAD-TX Mens_Médiane" sheetId="126" state="hidden" r:id="rId44"/>
    <sheet name="Gr_Hopsi_LVAD-TX Mens_ET" sheetId="53" state="hidden" r:id="rId45"/>
    <sheet name="Pivot-Rév&lt;24h" sheetId="54" r:id="rId46"/>
    <sheet name="Gr_Rév&lt;24h_ Gl" sheetId="63" r:id="rId47"/>
    <sheet name="Gr_Rév&lt;24h Global" sheetId="96" state="hidden" r:id="rId48"/>
    <sheet name="Gr_Rév&lt;24h_Mens" sheetId="64" state="hidden" r:id="rId49"/>
    <sheet name="Pivot-Réhospi&lt;30j" sheetId="58" r:id="rId50"/>
    <sheet name="Pivot-Réhospi&lt;30j (2)" sheetId="74" r:id="rId51"/>
    <sheet name="Gr_Réhospi&lt;30j_Global" sheetId="65" r:id="rId52"/>
    <sheet name="Gr_Réhospi&lt;30j_Global (2)" sheetId="98" state="hidden" r:id="rId53"/>
    <sheet name="Gr_Réhospi&lt;30j_Mens" sheetId="66" state="hidden" r:id="rId54"/>
    <sheet name="Pivot-Inf" sheetId="60" r:id="rId55"/>
    <sheet name="Pivot-Inf (2)" sheetId="73" r:id="rId56"/>
    <sheet name="Gr_Inf_Gobal% (2)" sheetId="106" r:id="rId57"/>
    <sheet name="Gr_inf_Mens%" sheetId="107" state="hidden" r:id="rId58"/>
    <sheet name="Gr_Inf_Mens_NB" sheetId="62" state="hidden" r:id="rId59"/>
    <sheet name="Gr_Nb moy par pat inf" sheetId="105" state="hidden" r:id="rId60"/>
    <sheet name="Pivot-AVC" sheetId="151" r:id="rId61"/>
    <sheet name="Gr_AVC" sheetId="149" r:id="rId62"/>
    <sheet name="Pivot_IM" sheetId="152" r:id="rId63"/>
    <sheet name="Gr_IM" sheetId="153" r:id="rId64"/>
    <sheet name="Pivot-Transf&gt;48H" sheetId="67" r:id="rId65"/>
    <sheet name="Pivot-Transf&gt;48H (2)" sheetId="79" r:id="rId66"/>
    <sheet name="Gr_Transf&gt;48H_Global" sheetId="135" r:id="rId67"/>
    <sheet name="Gr_Transf&gt;48H_HORS" sheetId="137" r:id="rId68"/>
    <sheet name="Gr_Transf&gt;24h_Global-" sheetId="101" state="hidden" r:id="rId69"/>
    <sheet name="Gr-Transf&gt;24H_Mens_NB" sheetId="72" state="hidden" r:id="rId70"/>
    <sheet name="Gr-Transf&gt;24H_Mens_%" sheetId="102" state="hidden" r:id="rId71"/>
    <sheet name="Gr_ Nb moy tranf &gt;24h_Mens" sheetId="103" state="hidden" r:id="rId72"/>
    <sheet name="Pivot-Transf&lt;48H" sheetId="68" r:id="rId73"/>
    <sheet name="Pivot-Transf&lt;48H (2)" sheetId="80" r:id="rId74"/>
    <sheet name="Gr_Transf&lt;24H_Global (2)" sheetId="99" state="hidden" r:id="rId75"/>
    <sheet name="Gr_Transf&lt;24_Mens_Nb" sheetId="70" state="hidden" r:id="rId76"/>
    <sheet name="Gr_Transf&lt;24h_Mens_%" sheetId="100" state="hidden" r:id="rId77"/>
    <sheet name="Gr_moy tranf&lt;24h_Mens" sheetId="104" state="hidden" r:id="rId78"/>
    <sheet name="Gr_Transf&lt;48h Hors" sheetId="166" r:id="rId79"/>
    <sheet name="Pivot-Transf_Tout" sheetId="112" r:id="rId80"/>
    <sheet name="Pivot-Transf_Tout (2)" sheetId="113" r:id="rId81"/>
    <sheet name="Gr_Transf_Tout_GLOBAL" sheetId="115" r:id="rId82"/>
    <sheet name="Gr_Transf_Tout_Global (2)" sheetId="116" state="hidden" r:id="rId83"/>
    <sheet name="Gr_Transf_Tout_Mens_Nb" sheetId="117" state="hidden" r:id="rId84"/>
    <sheet name="Gr_Transf_Tout_Mens_%" sheetId="118" state="hidden" r:id="rId85"/>
    <sheet name="Gr_moy tranf_Tout_Mens" sheetId="119" state="hidden" r:id="rId86"/>
    <sheet name="Test_Hide" sheetId="134" state="hidden" r:id="rId87"/>
    <sheet name="Pivot_HT" sheetId="143" r:id="rId88"/>
    <sheet name="Gr_HT" sheetId="144" r:id="rId89"/>
    <sheet name="Pivot &gt;80 ans" sheetId="145" r:id="rId90"/>
    <sheet name="Gr-&gt;80 ans" sheetId="167" r:id="rId91"/>
  </sheets>
  <definedNames>
    <definedName name="_xlnm._FilterDatabase" localSheetId="3" hidden="1">Divers!$A$1:$F$1</definedName>
    <definedName name="_xlnm._FilterDatabase" localSheetId="0" hidden="1">'Données '!$A$1:$BX$333</definedName>
    <definedName name="_xlnm._FilterDatabase" localSheetId="7" hidden="1">Lieu_Activité!$A$1:$B$27</definedName>
    <definedName name="_xlnm._FilterDatabase" localSheetId="2" hidden="1">'PM-AICD'!$A$1:$H$146</definedName>
    <definedName name="_xlnm.Print_Titles" localSheetId="4">' mensuel'!#REF!</definedName>
    <definedName name="_xlnm.Print_Titles" localSheetId="5">annuel!$1:$3</definedName>
    <definedName name="Segment_Chirurgien">#N/A</definedName>
    <definedName name="stats">'Données '!$1:$1048576</definedName>
    <definedName name="_xlnm.Print_Area" localSheetId="4">' mensuel'!#REF!</definedName>
    <definedName name="_xlnm.Print_Area" localSheetId="0">'Données '!$B$228:$I$259</definedName>
  </definedNames>
  <calcPr calcId="145621" concurrentCalc="0"/>
  <pivotCaches>
    <pivotCache cacheId="0" r:id="rId92"/>
    <pivotCache cacheId="1" r:id="rId93"/>
    <pivotCache cacheId="2" r:id="rId94"/>
    <pivotCache cacheId="3" r:id="rId95"/>
    <pivotCache cacheId="4" r:id="rId96"/>
    <pivotCache cacheId="5" r:id="rId97"/>
    <pivotCache cacheId="6" r:id="rId98"/>
    <pivotCache cacheId="7" r:id="rId99"/>
    <pivotCache cacheId="8" r:id="rId100"/>
    <pivotCache cacheId="30" r:id="rId101"/>
  </pivotCaches>
  <extLst>
    <ext xmlns:x14="http://schemas.microsoft.com/office/spreadsheetml/2009/9/main" uri="{BBE1A952-AA13-448e-AADC-164F8A28A991}">
      <x14:slicerCaches>
        <x14:slicerCache r:id="rId102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23" i="5" l="1"/>
  <c r="E24" i="5"/>
  <c r="AM222" i="5"/>
  <c r="P3" i="5"/>
  <c r="Q3" i="5"/>
  <c r="R3" i="5"/>
  <c r="P4" i="5"/>
  <c r="Q4" i="5"/>
  <c r="R4" i="5"/>
  <c r="P5" i="5"/>
  <c r="Q5" i="5"/>
  <c r="R5" i="5"/>
  <c r="P6" i="5"/>
  <c r="Q6" i="5"/>
  <c r="R6" i="5"/>
  <c r="P7" i="5"/>
  <c r="Q7" i="5"/>
  <c r="R7" i="5"/>
  <c r="P8" i="5"/>
  <c r="Q8" i="5"/>
  <c r="R8" i="5"/>
  <c r="P9" i="5"/>
  <c r="Q9" i="5"/>
  <c r="R9" i="5"/>
  <c r="P10" i="5"/>
  <c r="Q10" i="5"/>
  <c r="R10" i="5"/>
  <c r="P11" i="5"/>
  <c r="Q11" i="5"/>
  <c r="R11" i="5"/>
  <c r="P12" i="5"/>
  <c r="Q12" i="5"/>
  <c r="R12" i="5"/>
  <c r="P13" i="5"/>
  <c r="Q13" i="5"/>
  <c r="R13" i="5"/>
  <c r="P14" i="5"/>
  <c r="Q14" i="5"/>
  <c r="R14" i="5"/>
  <c r="P15" i="5"/>
  <c r="Q15" i="5"/>
  <c r="R15" i="5"/>
  <c r="P16" i="5"/>
  <c r="Q16" i="5"/>
  <c r="R16" i="5"/>
  <c r="P17" i="5"/>
  <c r="Q17" i="5"/>
  <c r="R17" i="5"/>
  <c r="P18" i="5"/>
  <c r="Q18" i="5"/>
  <c r="R18" i="5"/>
  <c r="P19" i="5"/>
  <c r="Q19" i="5"/>
  <c r="R19" i="5"/>
  <c r="P20" i="5"/>
  <c r="Q20" i="5"/>
  <c r="R20" i="5"/>
  <c r="P21" i="5"/>
  <c r="Q21" i="5"/>
  <c r="R21" i="5"/>
  <c r="P22" i="5"/>
  <c r="Q22" i="5"/>
  <c r="R22" i="5"/>
  <c r="P23" i="5"/>
  <c r="Q23" i="5"/>
  <c r="R23" i="5"/>
  <c r="P24" i="5"/>
  <c r="Q24" i="5"/>
  <c r="R24" i="5"/>
  <c r="P25" i="5"/>
  <c r="Q25" i="5"/>
  <c r="R25" i="5"/>
  <c r="P26" i="5"/>
  <c r="Q26" i="5"/>
  <c r="R26" i="5"/>
  <c r="P27" i="5"/>
  <c r="Q27" i="5"/>
  <c r="R27" i="5"/>
  <c r="P28" i="5"/>
  <c r="Q28" i="5"/>
  <c r="R28" i="5"/>
  <c r="P29" i="5"/>
  <c r="Q29" i="5"/>
  <c r="R29" i="5"/>
  <c r="P30" i="5"/>
  <c r="Q30" i="5"/>
  <c r="R30" i="5"/>
  <c r="P31" i="5"/>
  <c r="Q31" i="5"/>
  <c r="R31" i="5"/>
  <c r="P32" i="5"/>
  <c r="Q32" i="5"/>
  <c r="R32" i="5"/>
  <c r="P33" i="5"/>
  <c r="Q33" i="5"/>
  <c r="R33" i="5"/>
  <c r="P34" i="5"/>
  <c r="Q34" i="5"/>
  <c r="R34" i="5"/>
  <c r="P35" i="5"/>
  <c r="Q35" i="5"/>
  <c r="R35" i="5"/>
  <c r="P36" i="5"/>
  <c r="Q36" i="5"/>
  <c r="R36" i="5"/>
  <c r="P37" i="5"/>
  <c r="Q37" i="5"/>
  <c r="R37" i="5"/>
  <c r="P38" i="5"/>
  <c r="Q38" i="5"/>
  <c r="R38" i="5"/>
  <c r="P39" i="5"/>
  <c r="Q39" i="5"/>
  <c r="R39" i="5"/>
  <c r="P40" i="5"/>
  <c r="Q40" i="5"/>
  <c r="R40" i="5"/>
  <c r="P41" i="5"/>
  <c r="Q41" i="5"/>
  <c r="R41" i="5"/>
  <c r="P42" i="5"/>
  <c r="Q42" i="5"/>
  <c r="R42" i="5"/>
  <c r="P43" i="5"/>
  <c r="Q43" i="5"/>
  <c r="R43" i="5"/>
  <c r="P44" i="5"/>
  <c r="Q44" i="5"/>
  <c r="R44" i="5"/>
  <c r="P45" i="5"/>
  <c r="Q45" i="5"/>
  <c r="R45" i="5"/>
  <c r="P46" i="5"/>
  <c r="Q46" i="5"/>
  <c r="R46" i="5"/>
  <c r="P47" i="5"/>
  <c r="Q47" i="5"/>
  <c r="R47" i="5"/>
  <c r="P48" i="5"/>
  <c r="Q48" i="5"/>
  <c r="R48" i="5"/>
  <c r="P49" i="5"/>
  <c r="Q49" i="5"/>
  <c r="R49" i="5"/>
  <c r="P50" i="5"/>
  <c r="Q50" i="5"/>
  <c r="R50" i="5"/>
  <c r="P51" i="5"/>
  <c r="Q51" i="5"/>
  <c r="R51" i="5"/>
  <c r="P52" i="5"/>
  <c r="Q52" i="5"/>
  <c r="R52" i="5"/>
  <c r="P53" i="5"/>
  <c r="Q53" i="5"/>
  <c r="R53" i="5"/>
  <c r="P54" i="5"/>
  <c r="Q54" i="5"/>
  <c r="R54" i="5"/>
  <c r="P55" i="5"/>
  <c r="Q55" i="5"/>
  <c r="R55" i="5"/>
  <c r="P56" i="5"/>
  <c r="Q56" i="5"/>
  <c r="R56" i="5"/>
  <c r="P57" i="5"/>
  <c r="Q57" i="5"/>
  <c r="R57" i="5"/>
  <c r="P58" i="5"/>
  <c r="Q58" i="5"/>
  <c r="R58" i="5"/>
  <c r="P59" i="5"/>
  <c r="Q59" i="5"/>
  <c r="R59" i="5"/>
  <c r="P60" i="5"/>
  <c r="Q60" i="5"/>
  <c r="R60" i="5"/>
  <c r="P61" i="5"/>
  <c r="Q61" i="5"/>
  <c r="R61" i="5"/>
  <c r="P62" i="5"/>
  <c r="Q62" i="5"/>
  <c r="R62" i="5"/>
  <c r="P63" i="5"/>
  <c r="Q63" i="5"/>
  <c r="R63" i="5"/>
  <c r="P64" i="5"/>
  <c r="Q64" i="5"/>
  <c r="R64" i="5"/>
  <c r="P65" i="5"/>
  <c r="Q65" i="5"/>
  <c r="R65" i="5"/>
  <c r="P66" i="5"/>
  <c r="Q66" i="5"/>
  <c r="R66" i="5"/>
  <c r="P67" i="5"/>
  <c r="Q67" i="5"/>
  <c r="R67" i="5"/>
  <c r="P68" i="5"/>
  <c r="Q68" i="5"/>
  <c r="R68" i="5"/>
  <c r="P69" i="5"/>
  <c r="Q69" i="5"/>
  <c r="R69" i="5"/>
  <c r="P70" i="5"/>
  <c r="Q70" i="5"/>
  <c r="R70" i="5"/>
  <c r="P71" i="5"/>
  <c r="Q71" i="5"/>
  <c r="R71" i="5"/>
  <c r="P72" i="5"/>
  <c r="Q72" i="5"/>
  <c r="R72" i="5"/>
  <c r="P73" i="5"/>
  <c r="Q73" i="5"/>
  <c r="R73" i="5"/>
  <c r="P74" i="5"/>
  <c r="Q74" i="5"/>
  <c r="R74" i="5"/>
  <c r="P75" i="5"/>
  <c r="Q75" i="5"/>
  <c r="R75" i="5"/>
  <c r="P76" i="5"/>
  <c r="Q76" i="5"/>
  <c r="R76" i="5"/>
  <c r="P77" i="5"/>
  <c r="Q77" i="5"/>
  <c r="R77" i="5"/>
  <c r="P78" i="5"/>
  <c r="Q78" i="5"/>
  <c r="R78" i="5"/>
  <c r="P79" i="5"/>
  <c r="Q79" i="5"/>
  <c r="R79" i="5"/>
  <c r="P80" i="5"/>
  <c r="Q80" i="5"/>
  <c r="R80" i="5"/>
  <c r="P81" i="5"/>
  <c r="Q81" i="5"/>
  <c r="R81" i="5"/>
  <c r="P82" i="5"/>
  <c r="Q82" i="5"/>
  <c r="R82" i="5"/>
  <c r="P83" i="5"/>
  <c r="Q83" i="5"/>
  <c r="R83" i="5"/>
  <c r="P84" i="5"/>
  <c r="Q84" i="5"/>
  <c r="R84" i="5"/>
  <c r="P85" i="5"/>
  <c r="Q85" i="5"/>
  <c r="R85" i="5"/>
  <c r="P86" i="5"/>
  <c r="Q86" i="5"/>
  <c r="R86" i="5"/>
  <c r="P87" i="5"/>
  <c r="Q87" i="5"/>
  <c r="R87" i="5"/>
  <c r="P88" i="5"/>
  <c r="Q88" i="5"/>
  <c r="R88" i="5"/>
  <c r="P89" i="5"/>
  <c r="Q89" i="5"/>
  <c r="R89" i="5"/>
  <c r="P90" i="5"/>
  <c r="Q90" i="5"/>
  <c r="R90" i="5"/>
  <c r="P91" i="5"/>
  <c r="Q91" i="5"/>
  <c r="R91" i="5"/>
  <c r="P92" i="5"/>
  <c r="Q92" i="5"/>
  <c r="R92" i="5"/>
  <c r="P93" i="5"/>
  <c r="Q93" i="5"/>
  <c r="R93" i="5"/>
  <c r="P94" i="5"/>
  <c r="Q94" i="5"/>
  <c r="R94" i="5"/>
  <c r="P95" i="5"/>
  <c r="Q95" i="5"/>
  <c r="R95" i="5"/>
  <c r="P96" i="5"/>
  <c r="Q96" i="5"/>
  <c r="R96" i="5"/>
  <c r="P97" i="5"/>
  <c r="Q97" i="5"/>
  <c r="R97" i="5"/>
  <c r="P98" i="5"/>
  <c r="Q98" i="5"/>
  <c r="R98" i="5"/>
  <c r="P99" i="5"/>
  <c r="Q99" i="5"/>
  <c r="R99" i="5"/>
  <c r="P100" i="5"/>
  <c r="Q100" i="5"/>
  <c r="R100" i="5"/>
  <c r="P101" i="5"/>
  <c r="Q101" i="5"/>
  <c r="R101" i="5"/>
  <c r="P102" i="5"/>
  <c r="Q102" i="5"/>
  <c r="R102" i="5"/>
  <c r="P103" i="5"/>
  <c r="Q103" i="5"/>
  <c r="R103" i="5"/>
  <c r="P104" i="5"/>
  <c r="Q104" i="5"/>
  <c r="R104" i="5"/>
  <c r="P105" i="5"/>
  <c r="Q105" i="5"/>
  <c r="R105" i="5"/>
  <c r="P106" i="5"/>
  <c r="Q106" i="5"/>
  <c r="R106" i="5"/>
  <c r="P107" i="5"/>
  <c r="Q107" i="5"/>
  <c r="R107" i="5"/>
  <c r="P108" i="5"/>
  <c r="Q108" i="5"/>
  <c r="R108" i="5"/>
  <c r="P109" i="5"/>
  <c r="Q109" i="5"/>
  <c r="R109" i="5"/>
  <c r="P110" i="5"/>
  <c r="Q110" i="5"/>
  <c r="R110" i="5"/>
  <c r="P111" i="5"/>
  <c r="Q111" i="5"/>
  <c r="R111" i="5"/>
  <c r="P112" i="5"/>
  <c r="Q112" i="5"/>
  <c r="R112" i="5"/>
  <c r="P113" i="5"/>
  <c r="Q113" i="5"/>
  <c r="R113" i="5"/>
  <c r="P114" i="5"/>
  <c r="Q114" i="5"/>
  <c r="R114" i="5"/>
  <c r="P115" i="5"/>
  <c r="Q115" i="5"/>
  <c r="R115" i="5"/>
  <c r="P116" i="5"/>
  <c r="Q116" i="5"/>
  <c r="R116" i="5"/>
  <c r="P117" i="5"/>
  <c r="Q117" i="5"/>
  <c r="R117" i="5"/>
  <c r="P118" i="5"/>
  <c r="Q118" i="5"/>
  <c r="R118" i="5"/>
  <c r="P119" i="5"/>
  <c r="Q119" i="5"/>
  <c r="R119" i="5"/>
  <c r="P120" i="5"/>
  <c r="Q120" i="5"/>
  <c r="R120" i="5"/>
  <c r="P121" i="5"/>
  <c r="Q121" i="5"/>
  <c r="R121" i="5"/>
  <c r="P122" i="5"/>
  <c r="Q122" i="5"/>
  <c r="R122" i="5"/>
  <c r="P123" i="5"/>
  <c r="Q123" i="5"/>
  <c r="R123" i="5"/>
  <c r="P124" i="5"/>
  <c r="Q124" i="5"/>
  <c r="R124" i="5"/>
  <c r="P125" i="5"/>
  <c r="Q125" i="5"/>
  <c r="R125" i="5"/>
  <c r="P126" i="5"/>
  <c r="Q126" i="5"/>
  <c r="R126" i="5"/>
  <c r="P127" i="5"/>
  <c r="Q127" i="5"/>
  <c r="R127" i="5"/>
  <c r="P128" i="5"/>
  <c r="Q128" i="5"/>
  <c r="R128" i="5"/>
  <c r="P129" i="5"/>
  <c r="Q129" i="5"/>
  <c r="R129" i="5"/>
  <c r="P130" i="5"/>
  <c r="Q130" i="5"/>
  <c r="R130" i="5"/>
  <c r="P131" i="5"/>
  <c r="Q131" i="5"/>
  <c r="R131" i="5"/>
  <c r="P132" i="5"/>
  <c r="Q132" i="5"/>
  <c r="R132" i="5"/>
  <c r="P133" i="5"/>
  <c r="Q133" i="5"/>
  <c r="R133" i="5"/>
  <c r="P134" i="5"/>
  <c r="Q134" i="5"/>
  <c r="R134" i="5"/>
  <c r="P135" i="5"/>
  <c r="Q135" i="5"/>
  <c r="R135" i="5"/>
  <c r="P136" i="5"/>
  <c r="Q136" i="5"/>
  <c r="R136" i="5"/>
  <c r="P137" i="5"/>
  <c r="Q137" i="5"/>
  <c r="R137" i="5"/>
  <c r="P138" i="5"/>
  <c r="Q138" i="5"/>
  <c r="R138" i="5"/>
  <c r="P139" i="5"/>
  <c r="Q139" i="5"/>
  <c r="R139" i="5"/>
  <c r="P140" i="5"/>
  <c r="Q140" i="5"/>
  <c r="R140" i="5"/>
  <c r="P141" i="5"/>
  <c r="Q141" i="5"/>
  <c r="R141" i="5"/>
  <c r="P142" i="5"/>
  <c r="Q142" i="5"/>
  <c r="R142" i="5"/>
  <c r="P143" i="5"/>
  <c r="Q143" i="5"/>
  <c r="R143" i="5"/>
  <c r="P144" i="5"/>
  <c r="Q144" i="5"/>
  <c r="R144" i="5"/>
  <c r="P145" i="5"/>
  <c r="Q145" i="5"/>
  <c r="R145" i="5"/>
  <c r="P146" i="5"/>
  <c r="Q146" i="5"/>
  <c r="R146" i="5"/>
  <c r="P147" i="5"/>
  <c r="Q147" i="5"/>
  <c r="R147" i="5"/>
  <c r="P148" i="5"/>
  <c r="Q148" i="5"/>
  <c r="R148" i="5"/>
  <c r="P149" i="5"/>
  <c r="Q149" i="5"/>
  <c r="R149" i="5"/>
  <c r="P150" i="5"/>
  <c r="Q150" i="5"/>
  <c r="R150" i="5"/>
  <c r="P151" i="5"/>
  <c r="Q151" i="5"/>
  <c r="R151" i="5"/>
  <c r="P152" i="5"/>
  <c r="Q152" i="5"/>
  <c r="R152" i="5"/>
  <c r="P153" i="5"/>
  <c r="Q153" i="5"/>
  <c r="R153" i="5"/>
  <c r="P154" i="5"/>
  <c r="Q154" i="5"/>
  <c r="R154" i="5"/>
  <c r="P155" i="5"/>
  <c r="Q155" i="5"/>
  <c r="R155" i="5"/>
  <c r="P156" i="5"/>
  <c r="Q156" i="5"/>
  <c r="R156" i="5"/>
  <c r="P157" i="5"/>
  <c r="Q157" i="5"/>
  <c r="R157" i="5"/>
  <c r="P158" i="5"/>
  <c r="Q158" i="5"/>
  <c r="R158" i="5"/>
  <c r="P159" i="5"/>
  <c r="Q159" i="5"/>
  <c r="R159" i="5"/>
  <c r="P160" i="5"/>
  <c r="Q160" i="5"/>
  <c r="R160" i="5"/>
  <c r="P161" i="5"/>
  <c r="Q161" i="5"/>
  <c r="R161" i="5"/>
  <c r="P162" i="5"/>
  <c r="Q162" i="5"/>
  <c r="R162" i="5"/>
  <c r="P163" i="5"/>
  <c r="Q163" i="5"/>
  <c r="R163" i="5"/>
  <c r="P164" i="5"/>
  <c r="Q164" i="5"/>
  <c r="R164" i="5"/>
  <c r="P165" i="5"/>
  <c r="Q165" i="5"/>
  <c r="R165" i="5"/>
  <c r="P166" i="5"/>
  <c r="Q166" i="5"/>
  <c r="R166" i="5"/>
  <c r="P167" i="5"/>
  <c r="Q167" i="5"/>
  <c r="R167" i="5"/>
  <c r="P168" i="5"/>
  <c r="Q168" i="5"/>
  <c r="R168" i="5"/>
  <c r="P169" i="5"/>
  <c r="Q169" i="5"/>
  <c r="R169" i="5"/>
  <c r="P170" i="5"/>
  <c r="Q170" i="5"/>
  <c r="R170" i="5"/>
  <c r="P171" i="5"/>
  <c r="Q171" i="5"/>
  <c r="R171" i="5"/>
  <c r="P172" i="5"/>
  <c r="Q172" i="5"/>
  <c r="R172" i="5"/>
  <c r="P173" i="5"/>
  <c r="Q173" i="5"/>
  <c r="R173" i="5"/>
  <c r="P174" i="5"/>
  <c r="Q174" i="5"/>
  <c r="R174" i="5"/>
  <c r="P175" i="5"/>
  <c r="Q175" i="5"/>
  <c r="R175" i="5"/>
  <c r="P176" i="5"/>
  <c r="Q176" i="5"/>
  <c r="R176" i="5"/>
  <c r="P177" i="5"/>
  <c r="Q177" i="5"/>
  <c r="R177" i="5"/>
  <c r="P178" i="5"/>
  <c r="Q178" i="5"/>
  <c r="R178" i="5"/>
  <c r="P179" i="5"/>
  <c r="Q179" i="5"/>
  <c r="R179" i="5"/>
  <c r="P180" i="5"/>
  <c r="Q180" i="5"/>
  <c r="R180" i="5"/>
  <c r="P181" i="5"/>
  <c r="Q181" i="5"/>
  <c r="R181" i="5"/>
  <c r="P182" i="5"/>
  <c r="Q182" i="5"/>
  <c r="R182" i="5"/>
  <c r="P183" i="5"/>
  <c r="Q183" i="5"/>
  <c r="R183" i="5"/>
  <c r="P184" i="5"/>
  <c r="Q184" i="5"/>
  <c r="R184" i="5"/>
  <c r="P185" i="5"/>
  <c r="Q185" i="5"/>
  <c r="R185" i="5"/>
  <c r="P186" i="5"/>
  <c r="Q186" i="5"/>
  <c r="R186" i="5"/>
  <c r="P187" i="5"/>
  <c r="Q187" i="5"/>
  <c r="R187" i="5"/>
  <c r="P188" i="5"/>
  <c r="Q188" i="5"/>
  <c r="R188" i="5"/>
  <c r="P189" i="5"/>
  <c r="Q189" i="5"/>
  <c r="R189" i="5"/>
  <c r="P190" i="5"/>
  <c r="Q190" i="5"/>
  <c r="R190" i="5"/>
  <c r="P191" i="5"/>
  <c r="Q191" i="5"/>
  <c r="R191" i="5"/>
  <c r="P192" i="5"/>
  <c r="Q192" i="5"/>
  <c r="R192" i="5"/>
  <c r="P193" i="5"/>
  <c r="Q193" i="5"/>
  <c r="R193" i="5"/>
  <c r="P194" i="5"/>
  <c r="Q194" i="5"/>
  <c r="R194" i="5"/>
  <c r="P195" i="5"/>
  <c r="Q195" i="5"/>
  <c r="R195" i="5"/>
  <c r="P196" i="5"/>
  <c r="Q196" i="5"/>
  <c r="R196" i="5"/>
  <c r="P197" i="5"/>
  <c r="Q197" i="5"/>
  <c r="R197" i="5"/>
  <c r="P198" i="5"/>
  <c r="Q198" i="5"/>
  <c r="R198" i="5"/>
  <c r="P199" i="5"/>
  <c r="Q199" i="5"/>
  <c r="R199" i="5"/>
  <c r="P200" i="5"/>
  <c r="Q200" i="5"/>
  <c r="R200" i="5"/>
  <c r="P201" i="5"/>
  <c r="Q201" i="5"/>
  <c r="R201" i="5"/>
  <c r="P202" i="5"/>
  <c r="Q202" i="5"/>
  <c r="R202" i="5"/>
  <c r="P203" i="5"/>
  <c r="Q203" i="5"/>
  <c r="R203" i="5"/>
  <c r="P204" i="5"/>
  <c r="Q204" i="5"/>
  <c r="R204" i="5"/>
  <c r="P205" i="5"/>
  <c r="Q205" i="5"/>
  <c r="R205" i="5"/>
  <c r="P206" i="5"/>
  <c r="Q206" i="5"/>
  <c r="R206" i="5"/>
  <c r="P207" i="5"/>
  <c r="Q207" i="5"/>
  <c r="R207" i="5"/>
  <c r="P208" i="5"/>
  <c r="Q208" i="5"/>
  <c r="R208" i="5"/>
  <c r="P209" i="5"/>
  <c r="Q209" i="5"/>
  <c r="R209" i="5"/>
  <c r="P210" i="5"/>
  <c r="Q210" i="5"/>
  <c r="R210" i="5"/>
  <c r="P211" i="5"/>
  <c r="Q211" i="5"/>
  <c r="R211" i="5"/>
  <c r="P212" i="5"/>
  <c r="Q212" i="5"/>
  <c r="R212" i="5"/>
  <c r="P213" i="5"/>
  <c r="Q213" i="5"/>
  <c r="R213" i="5"/>
  <c r="P214" i="5"/>
  <c r="Q214" i="5"/>
  <c r="R214" i="5"/>
  <c r="P215" i="5"/>
  <c r="Q215" i="5"/>
  <c r="R215" i="5"/>
  <c r="P216" i="5"/>
  <c r="Q216" i="5"/>
  <c r="R216" i="5"/>
  <c r="P217" i="5"/>
  <c r="Q217" i="5"/>
  <c r="R217" i="5"/>
  <c r="P218" i="5"/>
  <c r="Q218" i="5"/>
  <c r="R218" i="5"/>
  <c r="P219" i="5"/>
  <c r="Q219" i="5"/>
  <c r="R219" i="5"/>
  <c r="P220" i="5"/>
  <c r="Q220" i="5"/>
  <c r="R220" i="5"/>
  <c r="P221" i="5"/>
  <c r="Q221" i="5"/>
  <c r="R221" i="5"/>
  <c r="P222" i="5"/>
  <c r="Q222" i="5"/>
  <c r="R222" i="5"/>
  <c r="P223" i="5"/>
  <c r="Q223" i="5"/>
  <c r="R223" i="5"/>
  <c r="P224" i="5"/>
  <c r="Q224" i="5"/>
  <c r="R224" i="5"/>
  <c r="P225" i="5"/>
  <c r="Q225" i="5"/>
  <c r="R225" i="5"/>
  <c r="P226" i="5"/>
  <c r="Q226" i="5"/>
  <c r="R226" i="5"/>
  <c r="P227" i="5"/>
  <c r="Q227" i="5"/>
  <c r="R227" i="5"/>
  <c r="P228" i="5"/>
  <c r="Q228" i="5"/>
  <c r="R228" i="5"/>
  <c r="P229" i="5"/>
  <c r="Q229" i="5"/>
  <c r="R229" i="5"/>
  <c r="P230" i="5"/>
  <c r="Q230" i="5"/>
  <c r="R230" i="5"/>
  <c r="P231" i="5"/>
  <c r="Q231" i="5"/>
  <c r="R231" i="5"/>
  <c r="P232" i="5"/>
  <c r="Q232" i="5"/>
  <c r="R232" i="5"/>
  <c r="P233" i="5"/>
  <c r="Q233" i="5"/>
  <c r="R233" i="5"/>
  <c r="P234" i="5"/>
  <c r="Q234" i="5"/>
  <c r="R234" i="5"/>
  <c r="P235" i="5"/>
  <c r="Q235" i="5"/>
  <c r="R235" i="5"/>
  <c r="P236" i="5"/>
  <c r="Q236" i="5"/>
  <c r="R236" i="5"/>
  <c r="P237" i="5"/>
  <c r="Q237" i="5"/>
  <c r="R237" i="5"/>
  <c r="P238" i="5"/>
  <c r="Q238" i="5"/>
  <c r="R238" i="5"/>
  <c r="P239" i="5"/>
  <c r="Q239" i="5"/>
  <c r="R239" i="5"/>
  <c r="P240" i="5"/>
  <c r="Q240" i="5"/>
  <c r="R240" i="5"/>
  <c r="P241" i="5"/>
  <c r="Q241" i="5"/>
  <c r="R241" i="5"/>
  <c r="P242" i="5"/>
  <c r="Q242" i="5"/>
  <c r="R242" i="5"/>
  <c r="P243" i="5"/>
  <c r="Q243" i="5"/>
  <c r="R243" i="5"/>
  <c r="P244" i="5"/>
  <c r="Q244" i="5"/>
  <c r="R244" i="5"/>
  <c r="P245" i="5"/>
  <c r="Q245" i="5"/>
  <c r="R245" i="5"/>
  <c r="P246" i="5"/>
  <c r="Q246" i="5"/>
  <c r="R246" i="5"/>
  <c r="P247" i="5"/>
  <c r="Q247" i="5"/>
  <c r="R247" i="5"/>
  <c r="P248" i="5"/>
  <c r="Q248" i="5"/>
  <c r="R248" i="5"/>
  <c r="P249" i="5"/>
  <c r="Q249" i="5"/>
  <c r="R249" i="5"/>
  <c r="P250" i="5"/>
  <c r="Q250" i="5"/>
  <c r="R250" i="5"/>
  <c r="P251" i="5"/>
  <c r="Q251" i="5"/>
  <c r="R251" i="5"/>
  <c r="P252" i="5"/>
  <c r="Q252" i="5"/>
  <c r="R252" i="5"/>
  <c r="P253" i="5"/>
  <c r="Q253" i="5"/>
  <c r="R253" i="5"/>
  <c r="P254" i="5"/>
  <c r="Q254" i="5"/>
  <c r="R254" i="5"/>
  <c r="P255" i="5"/>
  <c r="Q255" i="5"/>
  <c r="R255" i="5"/>
  <c r="P256" i="5"/>
  <c r="Q256" i="5"/>
  <c r="R256" i="5"/>
  <c r="P257" i="5"/>
  <c r="Q257" i="5"/>
  <c r="R257" i="5"/>
  <c r="P258" i="5"/>
  <c r="Q258" i="5"/>
  <c r="R258" i="5"/>
  <c r="P259" i="5"/>
  <c r="Q259" i="5"/>
  <c r="R259" i="5"/>
  <c r="P260" i="5"/>
  <c r="Q260" i="5"/>
  <c r="R260" i="5"/>
  <c r="P261" i="5"/>
  <c r="Q261" i="5"/>
  <c r="R261" i="5"/>
  <c r="P262" i="5"/>
  <c r="Q262" i="5"/>
  <c r="R262" i="5"/>
  <c r="P263" i="5"/>
  <c r="Q263" i="5"/>
  <c r="R263" i="5"/>
  <c r="P264" i="5"/>
  <c r="Q264" i="5"/>
  <c r="R264" i="5"/>
  <c r="P265" i="5"/>
  <c r="Q265" i="5"/>
  <c r="R265" i="5"/>
  <c r="P266" i="5"/>
  <c r="Q266" i="5"/>
  <c r="R266" i="5"/>
  <c r="P267" i="5"/>
  <c r="Q267" i="5"/>
  <c r="R267" i="5"/>
  <c r="P268" i="5"/>
  <c r="Q268" i="5"/>
  <c r="R268" i="5"/>
  <c r="P269" i="5"/>
  <c r="Q269" i="5"/>
  <c r="R269" i="5"/>
  <c r="P270" i="5"/>
  <c r="Q270" i="5"/>
  <c r="R270" i="5"/>
  <c r="P271" i="5"/>
  <c r="Q271" i="5"/>
  <c r="R271" i="5"/>
  <c r="P272" i="5"/>
  <c r="Q272" i="5"/>
  <c r="R272" i="5"/>
  <c r="P273" i="5"/>
  <c r="Q273" i="5"/>
  <c r="R273" i="5"/>
  <c r="P274" i="5"/>
  <c r="Q274" i="5"/>
  <c r="R274" i="5"/>
  <c r="P275" i="5"/>
  <c r="Q275" i="5"/>
  <c r="R275" i="5"/>
  <c r="P276" i="5"/>
  <c r="Q276" i="5"/>
  <c r="R276" i="5"/>
  <c r="P277" i="5"/>
  <c r="Q277" i="5"/>
  <c r="R277" i="5"/>
  <c r="P278" i="5"/>
  <c r="Q278" i="5"/>
  <c r="R278" i="5"/>
  <c r="P279" i="5"/>
  <c r="Q279" i="5"/>
  <c r="R279" i="5"/>
  <c r="P280" i="5"/>
  <c r="Q280" i="5"/>
  <c r="R280" i="5"/>
  <c r="P281" i="5"/>
  <c r="Q281" i="5"/>
  <c r="R281" i="5"/>
  <c r="P282" i="5"/>
  <c r="Q282" i="5"/>
  <c r="R282" i="5"/>
  <c r="P283" i="5"/>
  <c r="Q283" i="5"/>
  <c r="R283" i="5"/>
  <c r="P284" i="5"/>
  <c r="Q284" i="5"/>
  <c r="R284" i="5"/>
  <c r="P285" i="5"/>
  <c r="Q285" i="5"/>
  <c r="R285" i="5"/>
  <c r="P286" i="5"/>
  <c r="Q286" i="5"/>
  <c r="R286" i="5"/>
  <c r="P287" i="5"/>
  <c r="Q287" i="5"/>
  <c r="R287" i="5"/>
  <c r="P288" i="5"/>
  <c r="Q288" i="5"/>
  <c r="R288" i="5"/>
  <c r="P289" i="5"/>
  <c r="Q289" i="5"/>
  <c r="R289" i="5"/>
  <c r="P290" i="5"/>
  <c r="Q290" i="5"/>
  <c r="R290" i="5"/>
  <c r="P291" i="5"/>
  <c r="Q291" i="5"/>
  <c r="R291" i="5"/>
  <c r="P292" i="5"/>
  <c r="Q292" i="5"/>
  <c r="R292" i="5"/>
  <c r="P293" i="5"/>
  <c r="Q293" i="5"/>
  <c r="R293" i="5"/>
  <c r="P294" i="5"/>
  <c r="Q294" i="5"/>
  <c r="R294" i="5"/>
  <c r="P295" i="5"/>
  <c r="Q295" i="5"/>
  <c r="R295" i="5"/>
  <c r="P296" i="5"/>
  <c r="Q296" i="5"/>
  <c r="R296" i="5"/>
  <c r="P297" i="5"/>
  <c r="Q297" i="5"/>
  <c r="R297" i="5"/>
  <c r="P298" i="5"/>
  <c r="Q298" i="5"/>
  <c r="R298" i="5"/>
  <c r="P299" i="5"/>
  <c r="Q299" i="5"/>
  <c r="R299" i="5"/>
  <c r="P300" i="5"/>
  <c r="Q300" i="5"/>
  <c r="R300" i="5"/>
  <c r="P301" i="5"/>
  <c r="Q301" i="5"/>
  <c r="R301" i="5"/>
  <c r="P302" i="5"/>
  <c r="Q302" i="5"/>
  <c r="R302" i="5"/>
  <c r="P303" i="5"/>
  <c r="Q303" i="5"/>
  <c r="R303" i="5"/>
  <c r="P304" i="5"/>
  <c r="Q304" i="5"/>
  <c r="R304" i="5"/>
  <c r="P305" i="5"/>
  <c r="Q305" i="5"/>
  <c r="R305" i="5"/>
  <c r="P306" i="5"/>
  <c r="Q306" i="5"/>
  <c r="R306" i="5"/>
  <c r="P307" i="5"/>
  <c r="Q307" i="5"/>
  <c r="R307" i="5"/>
  <c r="BW284" i="5"/>
  <c r="BV284" i="5"/>
  <c r="BU284" i="5"/>
  <c r="BT284" i="5"/>
  <c r="BS284" i="5"/>
  <c r="AI284" i="5"/>
  <c r="BH284" i="5"/>
  <c r="BI284" i="5"/>
  <c r="BR284" i="5"/>
  <c r="BQ284" i="5"/>
  <c r="BO284" i="5"/>
  <c r="BP284" i="5"/>
  <c r="BN284" i="5"/>
  <c r="BL284" i="5"/>
  <c r="BM284" i="5"/>
  <c r="BK284" i="5"/>
  <c r="BJ284" i="5"/>
  <c r="BG284" i="5"/>
  <c r="BF284" i="5"/>
  <c r="BE284" i="5"/>
  <c r="BD284" i="5"/>
  <c r="BC284" i="5"/>
  <c r="AP284" i="5"/>
  <c r="AM284" i="5"/>
  <c r="AK284" i="5"/>
  <c r="E284" i="5"/>
  <c r="F284" i="5"/>
  <c r="BW283" i="5"/>
  <c r="BV283" i="5"/>
  <c r="BU283" i="5"/>
  <c r="BT283" i="5"/>
  <c r="BS283" i="5"/>
  <c r="AI283" i="5"/>
  <c r="BH283" i="5"/>
  <c r="BI283" i="5"/>
  <c r="BR283" i="5"/>
  <c r="BQ283" i="5"/>
  <c r="BO283" i="5"/>
  <c r="BP283" i="5"/>
  <c r="BN283" i="5"/>
  <c r="BL283" i="5"/>
  <c r="BM283" i="5"/>
  <c r="BK283" i="5"/>
  <c r="BJ283" i="5"/>
  <c r="BG283" i="5"/>
  <c r="BF283" i="5"/>
  <c r="BE283" i="5"/>
  <c r="BD283" i="5"/>
  <c r="BC283" i="5"/>
  <c r="AP283" i="5"/>
  <c r="AM283" i="5"/>
  <c r="AK283" i="5"/>
  <c r="E283" i="5"/>
  <c r="F283" i="5"/>
  <c r="BW282" i="5"/>
  <c r="BV282" i="5"/>
  <c r="BU282" i="5"/>
  <c r="BT282" i="5"/>
  <c r="BS282" i="5"/>
  <c r="AI282" i="5"/>
  <c r="BH282" i="5"/>
  <c r="BI282" i="5"/>
  <c r="BR282" i="5"/>
  <c r="BQ282" i="5"/>
  <c r="BO282" i="5"/>
  <c r="BP282" i="5"/>
  <c r="BN282" i="5"/>
  <c r="BL282" i="5"/>
  <c r="BM282" i="5"/>
  <c r="BK282" i="5"/>
  <c r="BJ282" i="5"/>
  <c r="BG282" i="5"/>
  <c r="BF282" i="5"/>
  <c r="BE282" i="5"/>
  <c r="BD282" i="5"/>
  <c r="BC282" i="5"/>
  <c r="AP282" i="5"/>
  <c r="AM282" i="5"/>
  <c r="AK282" i="5"/>
  <c r="E282" i="5"/>
  <c r="F282" i="5"/>
  <c r="BW281" i="5"/>
  <c r="BV281" i="5"/>
  <c r="BU281" i="5"/>
  <c r="BT281" i="5"/>
  <c r="BS281" i="5"/>
  <c r="AI281" i="5"/>
  <c r="BH281" i="5"/>
  <c r="BI281" i="5"/>
  <c r="BR281" i="5"/>
  <c r="BQ281" i="5"/>
  <c r="BO281" i="5"/>
  <c r="BP281" i="5"/>
  <c r="BN281" i="5"/>
  <c r="BL281" i="5"/>
  <c r="BM281" i="5"/>
  <c r="BK281" i="5"/>
  <c r="BJ281" i="5"/>
  <c r="BG281" i="5"/>
  <c r="BF281" i="5"/>
  <c r="BE281" i="5"/>
  <c r="BD281" i="5"/>
  <c r="BC281" i="5"/>
  <c r="AP281" i="5"/>
  <c r="AM281" i="5"/>
  <c r="AK281" i="5"/>
  <c r="E281" i="5"/>
  <c r="F281" i="5"/>
  <c r="BW286" i="5"/>
  <c r="BV286" i="5"/>
  <c r="BU286" i="5"/>
  <c r="BT286" i="5"/>
  <c r="BS286" i="5"/>
  <c r="AI286" i="5"/>
  <c r="BH286" i="5"/>
  <c r="BI286" i="5"/>
  <c r="BR286" i="5"/>
  <c r="BQ286" i="5"/>
  <c r="BO286" i="5"/>
  <c r="BP286" i="5"/>
  <c r="BN286" i="5"/>
  <c r="BL286" i="5"/>
  <c r="BM286" i="5"/>
  <c r="BK286" i="5"/>
  <c r="BJ286" i="5"/>
  <c r="BG286" i="5"/>
  <c r="BF286" i="5"/>
  <c r="BE286" i="5"/>
  <c r="BD286" i="5"/>
  <c r="BC286" i="5"/>
  <c r="AP286" i="5"/>
  <c r="AM286" i="5"/>
  <c r="AK286" i="5"/>
  <c r="E286" i="5"/>
  <c r="F286" i="5"/>
  <c r="BW285" i="5"/>
  <c r="BV285" i="5"/>
  <c r="BU285" i="5"/>
  <c r="BT285" i="5"/>
  <c r="BS285" i="5"/>
  <c r="AI285" i="5"/>
  <c r="BH285" i="5"/>
  <c r="BI285" i="5"/>
  <c r="BR285" i="5"/>
  <c r="BQ285" i="5"/>
  <c r="BO285" i="5"/>
  <c r="BP285" i="5"/>
  <c r="BN285" i="5"/>
  <c r="BL285" i="5"/>
  <c r="BM285" i="5"/>
  <c r="BK285" i="5"/>
  <c r="BJ285" i="5"/>
  <c r="BG285" i="5"/>
  <c r="BF285" i="5"/>
  <c r="BE285" i="5"/>
  <c r="BD285" i="5"/>
  <c r="BC285" i="5"/>
  <c r="AP285" i="5"/>
  <c r="AM285" i="5"/>
  <c r="AK285" i="5"/>
  <c r="E285" i="5"/>
  <c r="F285" i="5"/>
  <c r="BW279" i="5"/>
  <c r="BV279" i="5"/>
  <c r="BU279" i="5"/>
  <c r="BT279" i="5"/>
  <c r="BS279" i="5"/>
  <c r="AI279" i="5"/>
  <c r="BH279" i="5"/>
  <c r="BI279" i="5"/>
  <c r="BR279" i="5"/>
  <c r="BQ279" i="5"/>
  <c r="BO279" i="5"/>
  <c r="BP279" i="5"/>
  <c r="BN279" i="5"/>
  <c r="BL279" i="5"/>
  <c r="BM279" i="5"/>
  <c r="BK279" i="5"/>
  <c r="BJ279" i="5"/>
  <c r="BG279" i="5"/>
  <c r="BF279" i="5"/>
  <c r="BE279" i="5"/>
  <c r="BD279" i="5"/>
  <c r="BC279" i="5"/>
  <c r="AP279" i="5"/>
  <c r="AM279" i="5"/>
  <c r="AK279" i="5"/>
  <c r="E279" i="5"/>
  <c r="F279" i="5"/>
  <c r="BW278" i="5"/>
  <c r="BV278" i="5"/>
  <c r="BU278" i="5"/>
  <c r="BT278" i="5"/>
  <c r="BS278" i="5"/>
  <c r="AI278" i="5"/>
  <c r="BH278" i="5"/>
  <c r="BI278" i="5"/>
  <c r="BR278" i="5"/>
  <c r="BQ278" i="5"/>
  <c r="BO278" i="5"/>
  <c r="BP278" i="5"/>
  <c r="BN278" i="5"/>
  <c r="BL278" i="5"/>
  <c r="BM278" i="5"/>
  <c r="BK278" i="5"/>
  <c r="BJ278" i="5"/>
  <c r="BG278" i="5"/>
  <c r="BF278" i="5"/>
  <c r="BE278" i="5"/>
  <c r="BD278" i="5"/>
  <c r="BC278" i="5"/>
  <c r="AP278" i="5"/>
  <c r="AM278" i="5"/>
  <c r="AK278" i="5"/>
  <c r="E278" i="5"/>
  <c r="F278" i="5"/>
  <c r="BW277" i="5"/>
  <c r="BV277" i="5"/>
  <c r="BU277" i="5"/>
  <c r="BT277" i="5"/>
  <c r="BS277" i="5"/>
  <c r="AI277" i="5"/>
  <c r="BH277" i="5"/>
  <c r="BI277" i="5"/>
  <c r="BR277" i="5"/>
  <c r="BQ277" i="5"/>
  <c r="BO277" i="5"/>
  <c r="BP277" i="5"/>
  <c r="BN277" i="5"/>
  <c r="BL277" i="5"/>
  <c r="BM277" i="5"/>
  <c r="BK277" i="5"/>
  <c r="BJ277" i="5"/>
  <c r="BG277" i="5"/>
  <c r="BF277" i="5"/>
  <c r="BE277" i="5"/>
  <c r="BD277" i="5"/>
  <c r="BC277" i="5"/>
  <c r="AP277" i="5"/>
  <c r="AM277" i="5"/>
  <c r="AK277" i="5"/>
  <c r="E277" i="5"/>
  <c r="F277" i="5"/>
  <c r="AI249" i="5"/>
  <c r="AI2" i="5"/>
  <c r="AI3" i="5"/>
  <c r="AI4" i="5"/>
  <c r="AI5" i="5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101" i="5"/>
  <c r="AI102" i="5"/>
  <c r="AI103" i="5"/>
  <c r="AI104" i="5"/>
  <c r="AI105" i="5"/>
  <c r="AI106" i="5"/>
  <c r="AI107" i="5"/>
  <c r="AI108" i="5"/>
  <c r="AI109" i="5"/>
  <c r="AI110" i="5"/>
  <c r="AI111" i="5"/>
  <c r="AI112" i="5"/>
  <c r="AI113" i="5"/>
  <c r="AI114" i="5"/>
  <c r="AI115" i="5"/>
  <c r="AI116" i="5"/>
  <c r="AI117" i="5"/>
  <c r="AI118" i="5"/>
  <c r="AI119" i="5"/>
  <c r="AI120" i="5"/>
  <c r="AI121" i="5"/>
  <c r="AI122" i="5"/>
  <c r="AI123" i="5"/>
  <c r="AI124" i="5"/>
  <c r="AI125" i="5"/>
  <c r="AI126" i="5"/>
  <c r="AI127" i="5"/>
  <c r="AI128" i="5"/>
  <c r="AI129" i="5"/>
  <c r="AI130" i="5"/>
  <c r="AI131" i="5"/>
  <c r="AI132" i="5"/>
  <c r="AI133" i="5"/>
  <c r="AI134" i="5"/>
  <c r="AI135" i="5"/>
  <c r="AI136" i="5"/>
  <c r="AI137" i="5"/>
  <c r="AI138" i="5"/>
  <c r="AI139" i="5"/>
  <c r="AI140" i="5"/>
  <c r="AI141" i="5"/>
  <c r="AI142" i="5"/>
  <c r="AI143" i="5"/>
  <c r="AI144" i="5"/>
  <c r="AI145" i="5"/>
  <c r="AI146" i="5"/>
  <c r="AI147" i="5"/>
  <c r="AI148" i="5"/>
  <c r="AI149" i="5"/>
  <c r="AI150" i="5"/>
  <c r="AI151" i="5"/>
  <c r="AI152" i="5"/>
  <c r="AI153" i="5"/>
  <c r="AI154" i="5"/>
  <c r="AI155" i="5"/>
  <c r="AI156" i="5"/>
  <c r="AI157" i="5"/>
  <c r="AI158" i="5"/>
  <c r="AI159" i="5"/>
  <c r="AI160" i="5"/>
  <c r="AI161" i="5"/>
  <c r="AI162" i="5"/>
  <c r="AI163" i="5"/>
  <c r="AI164" i="5"/>
  <c r="AI165" i="5"/>
  <c r="AI166" i="5"/>
  <c r="AI167" i="5"/>
  <c r="AI168" i="5"/>
  <c r="AI169" i="5"/>
  <c r="AI170" i="5"/>
  <c r="AI171" i="5"/>
  <c r="AI172" i="5"/>
  <c r="AI173" i="5"/>
  <c r="AI174" i="5"/>
  <c r="AI175" i="5"/>
  <c r="AI176" i="5"/>
  <c r="AI177" i="5"/>
  <c r="AI178" i="5"/>
  <c r="AI179" i="5"/>
  <c r="AI180" i="5"/>
  <c r="AI181" i="5"/>
  <c r="AI182" i="5"/>
  <c r="AI183" i="5"/>
  <c r="AI184" i="5"/>
  <c r="AI185" i="5"/>
  <c r="AI186" i="5"/>
  <c r="AI187" i="5"/>
  <c r="AI188" i="5"/>
  <c r="AI189" i="5"/>
  <c r="AI190" i="5"/>
  <c r="AI191" i="5"/>
  <c r="AI192" i="5"/>
  <c r="AI193" i="5"/>
  <c r="AI194" i="5"/>
  <c r="AI195" i="5"/>
  <c r="AI196" i="5"/>
  <c r="AI197" i="5"/>
  <c r="AI198" i="5"/>
  <c r="AI199" i="5"/>
  <c r="AI200" i="5"/>
  <c r="AI201" i="5"/>
  <c r="AI202" i="5"/>
  <c r="AI203" i="5"/>
  <c r="AI204" i="5"/>
  <c r="AI205" i="5"/>
  <c r="AI206" i="5"/>
  <c r="AI207" i="5"/>
  <c r="AI208" i="5"/>
  <c r="AI209" i="5"/>
  <c r="AI210" i="5"/>
  <c r="AI211" i="5"/>
  <c r="AI212" i="5"/>
  <c r="AI213" i="5"/>
  <c r="AI214" i="5"/>
  <c r="AI215" i="5"/>
  <c r="AI216" i="5"/>
  <c r="AI217" i="5"/>
  <c r="AI218" i="5"/>
  <c r="AI219" i="5"/>
  <c r="AI220" i="5"/>
  <c r="AI221" i="5"/>
  <c r="AI222" i="5"/>
  <c r="AI223" i="5"/>
  <c r="AI224" i="5"/>
  <c r="AI225" i="5"/>
  <c r="AI226" i="5"/>
  <c r="AI227" i="5"/>
  <c r="AI228" i="5"/>
  <c r="AI229" i="5"/>
  <c r="AI230" i="5"/>
  <c r="AI231" i="5"/>
  <c r="AI232" i="5"/>
  <c r="AI233" i="5"/>
  <c r="AI234" i="5"/>
  <c r="AI235" i="5"/>
  <c r="AI236" i="5"/>
  <c r="AI237" i="5"/>
  <c r="AI238" i="5"/>
  <c r="AI239" i="5"/>
  <c r="AI240" i="5"/>
  <c r="AI241" i="5"/>
  <c r="AI242" i="5"/>
  <c r="AI243" i="5"/>
  <c r="AI244" i="5"/>
  <c r="AI245" i="5"/>
  <c r="AI246" i="5"/>
  <c r="AI247" i="5"/>
  <c r="AI248" i="5"/>
  <c r="AI250" i="5"/>
  <c r="AI251" i="5"/>
  <c r="AI252" i="5"/>
  <c r="AI253" i="5"/>
  <c r="AI254" i="5"/>
  <c r="AI255" i="5"/>
  <c r="AI256" i="5"/>
  <c r="AI257" i="5"/>
  <c r="AI258" i="5"/>
  <c r="AI259" i="5"/>
  <c r="AI260" i="5"/>
  <c r="AI261" i="5"/>
  <c r="AI262" i="5"/>
  <c r="AI263" i="5"/>
  <c r="AI264" i="5"/>
  <c r="AI265" i="5"/>
  <c r="AI266" i="5"/>
  <c r="AI267" i="5"/>
  <c r="AI268" i="5"/>
  <c r="AI269" i="5"/>
  <c r="AI270" i="5"/>
  <c r="AI271" i="5"/>
  <c r="AI272" i="5"/>
  <c r="AI273" i="5"/>
  <c r="AI274" i="5"/>
  <c r="AI275" i="5"/>
  <c r="AI276" i="5"/>
  <c r="D275" i="133"/>
  <c r="E2" i="5"/>
  <c r="F2" i="5"/>
  <c r="E3" i="5"/>
  <c r="F3" i="5"/>
  <c r="E4" i="5"/>
  <c r="F4" i="5"/>
  <c r="E5" i="5"/>
  <c r="F5" i="5"/>
  <c r="E6" i="5"/>
  <c r="F6" i="5"/>
  <c r="E7" i="5"/>
  <c r="F7" i="5"/>
  <c r="E8" i="5"/>
  <c r="F8" i="5"/>
  <c r="E9" i="5"/>
  <c r="F9" i="5"/>
  <c r="E10" i="5"/>
  <c r="F10" i="5"/>
  <c r="E11" i="5"/>
  <c r="F11" i="5"/>
  <c r="E12" i="5"/>
  <c r="F12" i="5"/>
  <c r="E13" i="5"/>
  <c r="F13" i="5"/>
  <c r="E14" i="5"/>
  <c r="F14" i="5"/>
  <c r="E15" i="5"/>
  <c r="F15" i="5"/>
  <c r="E16" i="5"/>
  <c r="F16" i="5"/>
  <c r="E17" i="5"/>
  <c r="F17" i="5"/>
  <c r="E18" i="5"/>
  <c r="F18" i="5"/>
  <c r="E19" i="5"/>
  <c r="F19" i="5"/>
  <c r="E20" i="5"/>
  <c r="F20" i="5"/>
  <c r="E21" i="5"/>
  <c r="F21" i="5"/>
  <c r="E22" i="5"/>
  <c r="F22" i="5"/>
  <c r="F24" i="5"/>
  <c r="E25" i="5"/>
  <c r="F25" i="5"/>
  <c r="E26" i="5"/>
  <c r="F26" i="5"/>
  <c r="E27" i="5"/>
  <c r="F27" i="5"/>
  <c r="E28" i="5"/>
  <c r="F28" i="5"/>
  <c r="E29" i="5"/>
  <c r="F29" i="5"/>
  <c r="E30" i="5"/>
  <c r="F30" i="5"/>
  <c r="E31" i="5"/>
  <c r="F31" i="5"/>
  <c r="E32" i="5"/>
  <c r="F32" i="5"/>
  <c r="E33" i="5"/>
  <c r="F33" i="5"/>
  <c r="E34" i="5"/>
  <c r="F34" i="5"/>
  <c r="E35" i="5"/>
  <c r="F35" i="5"/>
  <c r="E36" i="5"/>
  <c r="F36" i="5"/>
  <c r="E37" i="5"/>
  <c r="F37" i="5"/>
  <c r="E38" i="5"/>
  <c r="F38" i="5"/>
  <c r="E39" i="5"/>
  <c r="F39" i="5"/>
  <c r="E40" i="5"/>
  <c r="F40" i="5"/>
  <c r="E41" i="5"/>
  <c r="F41" i="5"/>
  <c r="E42" i="5"/>
  <c r="F42" i="5"/>
  <c r="E43" i="5"/>
  <c r="F43" i="5"/>
  <c r="E44" i="5"/>
  <c r="F44" i="5"/>
  <c r="E45" i="5"/>
  <c r="F45" i="5"/>
  <c r="E46" i="5"/>
  <c r="F46" i="5"/>
  <c r="E47" i="5"/>
  <c r="F47" i="5"/>
  <c r="E48" i="5"/>
  <c r="F48" i="5"/>
  <c r="E49" i="5"/>
  <c r="F49" i="5"/>
  <c r="E50" i="5"/>
  <c r="F50" i="5"/>
  <c r="E51" i="5"/>
  <c r="F51" i="5"/>
  <c r="E52" i="5"/>
  <c r="F52" i="5"/>
  <c r="E53" i="5"/>
  <c r="F53" i="5"/>
  <c r="E54" i="5"/>
  <c r="F54" i="5"/>
  <c r="E55" i="5"/>
  <c r="F55" i="5"/>
  <c r="E56" i="5"/>
  <c r="F56" i="5"/>
  <c r="E57" i="5"/>
  <c r="F57" i="5"/>
  <c r="E58" i="5"/>
  <c r="F58" i="5"/>
  <c r="E59" i="5"/>
  <c r="F59" i="5"/>
  <c r="E60" i="5"/>
  <c r="F60" i="5"/>
  <c r="E61" i="5"/>
  <c r="F61" i="5"/>
  <c r="E62" i="5"/>
  <c r="F62" i="5"/>
  <c r="E63" i="5"/>
  <c r="F63" i="5"/>
  <c r="E64" i="5"/>
  <c r="F64" i="5"/>
  <c r="E65" i="5"/>
  <c r="F65" i="5"/>
  <c r="E66" i="5"/>
  <c r="F66" i="5"/>
  <c r="E67" i="5"/>
  <c r="F67" i="5"/>
  <c r="E68" i="5"/>
  <c r="F68" i="5"/>
  <c r="E69" i="5"/>
  <c r="F69" i="5"/>
  <c r="E70" i="5"/>
  <c r="F70" i="5"/>
  <c r="E71" i="5"/>
  <c r="F71" i="5"/>
  <c r="E72" i="5"/>
  <c r="F72" i="5"/>
  <c r="E73" i="5"/>
  <c r="F73" i="5"/>
  <c r="E74" i="5"/>
  <c r="F74" i="5"/>
  <c r="E75" i="5"/>
  <c r="F75" i="5"/>
  <c r="E76" i="5"/>
  <c r="F76" i="5"/>
  <c r="E77" i="5"/>
  <c r="F77" i="5"/>
  <c r="E78" i="5"/>
  <c r="F78" i="5"/>
  <c r="E79" i="5"/>
  <c r="F79" i="5"/>
  <c r="E80" i="5"/>
  <c r="F80" i="5"/>
  <c r="E81" i="5"/>
  <c r="F81" i="5"/>
  <c r="E82" i="5"/>
  <c r="F82" i="5"/>
  <c r="E83" i="5"/>
  <c r="F83" i="5"/>
  <c r="E84" i="5"/>
  <c r="F84" i="5"/>
  <c r="E85" i="5"/>
  <c r="F85" i="5"/>
  <c r="E86" i="5"/>
  <c r="F86" i="5"/>
  <c r="E87" i="5"/>
  <c r="F87" i="5"/>
  <c r="E88" i="5"/>
  <c r="F88" i="5"/>
  <c r="E89" i="5"/>
  <c r="F89" i="5"/>
  <c r="E90" i="5"/>
  <c r="F90" i="5"/>
  <c r="E91" i="5"/>
  <c r="F91" i="5"/>
  <c r="E92" i="5"/>
  <c r="F92" i="5"/>
  <c r="E93" i="5"/>
  <c r="F93" i="5"/>
  <c r="E94" i="5"/>
  <c r="F94" i="5"/>
  <c r="E95" i="5"/>
  <c r="F95" i="5"/>
  <c r="E96" i="5"/>
  <c r="F96" i="5"/>
  <c r="E97" i="5"/>
  <c r="F97" i="5"/>
  <c r="E98" i="5"/>
  <c r="F98" i="5"/>
  <c r="E99" i="5"/>
  <c r="F99" i="5"/>
  <c r="E100" i="5"/>
  <c r="F100" i="5"/>
  <c r="E101" i="5"/>
  <c r="F101" i="5"/>
  <c r="E102" i="5"/>
  <c r="F102" i="5"/>
  <c r="E103" i="5"/>
  <c r="F103" i="5"/>
  <c r="E104" i="5"/>
  <c r="F104" i="5"/>
  <c r="E105" i="5"/>
  <c r="F105" i="5"/>
  <c r="E106" i="5"/>
  <c r="F106" i="5"/>
  <c r="E107" i="5"/>
  <c r="F107" i="5"/>
  <c r="E108" i="5"/>
  <c r="F108" i="5"/>
  <c r="E109" i="5"/>
  <c r="F109" i="5"/>
  <c r="E110" i="5"/>
  <c r="F110" i="5"/>
  <c r="E111" i="5"/>
  <c r="F111" i="5"/>
  <c r="E112" i="5"/>
  <c r="F112" i="5"/>
  <c r="E113" i="5"/>
  <c r="F113" i="5"/>
  <c r="E114" i="5"/>
  <c r="F114" i="5"/>
  <c r="E115" i="5"/>
  <c r="F115" i="5"/>
  <c r="E116" i="5"/>
  <c r="F116" i="5"/>
  <c r="E117" i="5"/>
  <c r="F117" i="5"/>
  <c r="E118" i="5"/>
  <c r="F118" i="5"/>
  <c r="E119" i="5"/>
  <c r="F119" i="5"/>
  <c r="E120" i="5"/>
  <c r="F120" i="5"/>
  <c r="E121" i="5"/>
  <c r="F121" i="5"/>
  <c r="E122" i="5"/>
  <c r="F122" i="5"/>
  <c r="E123" i="5"/>
  <c r="F123" i="5"/>
  <c r="E124" i="5"/>
  <c r="F124" i="5"/>
  <c r="E125" i="5"/>
  <c r="F125" i="5"/>
  <c r="E126" i="5"/>
  <c r="F126" i="5"/>
  <c r="E127" i="5"/>
  <c r="F127" i="5"/>
  <c r="E128" i="5"/>
  <c r="F128" i="5"/>
  <c r="E129" i="5"/>
  <c r="F129" i="5"/>
  <c r="E130" i="5"/>
  <c r="F130" i="5"/>
  <c r="E131" i="5"/>
  <c r="F131" i="5"/>
  <c r="E132" i="5"/>
  <c r="F132" i="5"/>
  <c r="E133" i="5"/>
  <c r="F133" i="5"/>
  <c r="E134" i="5"/>
  <c r="F134" i="5"/>
  <c r="E135" i="5"/>
  <c r="F135" i="5"/>
  <c r="E136" i="5"/>
  <c r="F136" i="5"/>
  <c r="E137" i="5"/>
  <c r="F137" i="5"/>
  <c r="E138" i="5"/>
  <c r="F138" i="5"/>
  <c r="E139" i="5"/>
  <c r="F139" i="5"/>
  <c r="E140" i="5"/>
  <c r="F140" i="5"/>
  <c r="E141" i="5"/>
  <c r="F141" i="5"/>
  <c r="E142" i="5"/>
  <c r="F142" i="5"/>
  <c r="E143" i="5"/>
  <c r="F143" i="5"/>
  <c r="E144" i="5"/>
  <c r="F144" i="5"/>
  <c r="E145" i="5"/>
  <c r="F145" i="5"/>
  <c r="E146" i="5"/>
  <c r="F146" i="5"/>
  <c r="E147" i="5"/>
  <c r="F147" i="5"/>
  <c r="E148" i="5"/>
  <c r="F148" i="5"/>
  <c r="E149" i="5"/>
  <c r="F149" i="5"/>
  <c r="E150" i="5"/>
  <c r="F150" i="5"/>
  <c r="E151" i="5"/>
  <c r="F151" i="5"/>
  <c r="E152" i="5"/>
  <c r="F152" i="5"/>
  <c r="E153" i="5"/>
  <c r="F153" i="5"/>
  <c r="E154" i="5"/>
  <c r="F154" i="5"/>
  <c r="E155" i="5"/>
  <c r="F155" i="5"/>
  <c r="E156" i="5"/>
  <c r="F156" i="5"/>
  <c r="E157" i="5"/>
  <c r="F157" i="5"/>
  <c r="E158" i="5"/>
  <c r="F158" i="5"/>
  <c r="E159" i="5"/>
  <c r="F159" i="5"/>
  <c r="E160" i="5"/>
  <c r="F160" i="5"/>
  <c r="E161" i="5"/>
  <c r="F161" i="5"/>
  <c r="E162" i="5"/>
  <c r="F162" i="5"/>
  <c r="E163" i="5"/>
  <c r="F163" i="5"/>
  <c r="E164" i="5"/>
  <c r="F164" i="5"/>
  <c r="E165" i="5"/>
  <c r="F165" i="5"/>
  <c r="E166" i="5"/>
  <c r="F166" i="5"/>
  <c r="E167" i="5"/>
  <c r="F167" i="5"/>
  <c r="E168" i="5"/>
  <c r="F168" i="5"/>
  <c r="E169" i="5"/>
  <c r="F169" i="5"/>
  <c r="E170" i="5"/>
  <c r="F170" i="5"/>
  <c r="E171" i="5"/>
  <c r="F171" i="5"/>
  <c r="E172" i="5"/>
  <c r="F172" i="5"/>
  <c r="E173" i="5"/>
  <c r="F173" i="5"/>
  <c r="E174" i="5"/>
  <c r="F174" i="5"/>
  <c r="E175" i="5"/>
  <c r="F175" i="5"/>
  <c r="E176" i="5"/>
  <c r="F176" i="5"/>
  <c r="E177" i="5"/>
  <c r="F177" i="5"/>
  <c r="E178" i="5"/>
  <c r="F178" i="5"/>
  <c r="E179" i="5"/>
  <c r="F179" i="5"/>
  <c r="E180" i="5"/>
  <c r="F180" i="5"/>
  <c r="E181" i="5"/>
  <c r="F181" i="5"/>
  <c r="E182" i="5"/>
  <c r="F182" i="5"/>
  <c r="E183" i="5"/>
  <c r="F183" i="5"/>
  <c r="E184" i="5"/>
  <c r="F184" i="5"/>
  <c r="E185" i="5"/>
  <c r="F185" i="5"/>
  <c r="E186" i="5"/>
  <c r="F186" i="5"/>
  <c r="E187" i="5"/>
  <c r="F187" i="5"/>
  <c r="E188" i="5"/>
  <c r="F188" i="5"/>
  <c r="E189" i="5"/>
  <c r="F189" i="5"/>
  <c r="E190" i="5"/>
  <c r="F190" i="5"/>
  <c r="E191" i="5"/>
  <c r="F191" i="5"/>
  <c r="E192" i="5"/>
  <c r="F192" i="5"/>
  <c r="E193" i="5"/>
  <c r="F193" i="5"/>
  <c r="E194" i="5"/>
  <c r="F194" i="5"/>
  <c r="E195" i="5"/>
  <c r="F195" i="5"/>
  <c r="E196" i="5"/>
  <c r="F196" i="5"/>
  <c r="E197" i="5"/>
  <c r="F197" i="5"/>
  <c r="E198" i="5"/>
  <c r="F198" i="5"/>
  <c r="E199" i="5"/>
  <c r="F199" i="5"/>
  <c r="E200" i="5"/>
  <c r="F200" i="5"/>
  <c r="E201" i="5"/>
  <c r="F201" i="5"/>
  <c r="E202" i="5"/>
  <c r="F202" i="5"/>
  <c r="E203" i="5"/>
  <c r="F203" i="5"/>
  <c r="E204" i="5"/>
  <c r="F204" i="5"/>
  <c r="E205" i="5"/>
  <c r="F205" i="5"/>
  <c r="E206" i="5"/>
  <c r="F206" i="5"/>
  <c r="E207" i="5"/>
  <c r="F207" i="5"/>
  <c r="E208" i="5"/>
  <c r="F208" i="5"/>
  <c r="E209" i="5"/>
  <c r="F209" i="5"/>
  <c r="E210" i="5"/>
  <c r="F210" i="5"/>
  <c r="E211" i="5"/>
  <c r="F211" i="5"/>
  <c r="E212" i="5"/>
  <c r="F212" i="5"/>
  <c r="E213" i="5"/>
  <c r="F213" i="5"/>
  <c r="E214" i="5"/>
  <c r="F214" i="5"/>
  <c r="E215" i="5"/>
  <c r="F215" i="5"/>
  <c r="E216" i="5"/>
  <c r="F216" i="5"/>
  <c r="E217" i="5"/>
  <c r="F217" i="5"/>
  <c r="E218" i="5"/>
  <c r="F218" i="5"/>
  <c r="E219" i="5"/>
  <c r="F219" i="5"/>
  <c r="E220" i="5"/>
  <c r="F220" i="5"/>
  <c r="E221" i="5"/>
  <c r="F221" i="5"/>
  <c r="E222" i="5"/>
  <c r="F222" i="5"/>
  <c r="E223" i="5"/>
  <c r="F223" i="5"/>
  <c r="E224" i="5"/>
  <c r="F224" i="5"/>
  <c r="E225" i="5"/>
  <c r="F225" i="5"/>
  <c r="E226" i="5"/>
  <c r="F226" i="5"/>
  <c r="E227" i="5"/>
  <c r="F227" i="5"/>
  <c r="E228" i="5"/>
  <c r="F228" i="5"/>
  <c r="E229" i="5"/>
  <c r="F229" i="5"/>
  <c r="E230" i="5"/>
  <c r="F230" i="5"/>
  <c r="E231" i="5"/>
  <c r="F231" i="5"/>
  <c r="E232" i="5"/>
  <c r="F232" i="5"/>
  <c r="E233" i="5"/>
  <c r="F233" i="5"/>
  <c r="E234" i="5"/>
  <c r="F234" i="5"/>
  <c r="E235" i="5"/>
  <c r="F235" i="5"/>
  <c r="E236" i="5"/>
  <c r="F236" i="5"/>
  <c r="E237" i="5"/>
  <c r="F237" i="5"/>
  <c r="E238" i="5"/>
  <c r="F238" i="5"/>
  <c r="E239" i="5"/>
  <c r="F239" i="5"/>
  <c r="E240" i="5"/>
  <c r="F240" i="5"/>
  <c r="E241" i="5"/>
  <c r="F241" i="5"/>
  <c r="E242" i="5"/>
  <c r="F242" i="5"/>
  <c r="E243" i="5"/>
  <c r="F243" i="5"/>
  <c r="E244" i="5"/>
  <c r="F244" i="5"/>
  <c r="E245" i="5"/>
  <c r="F245" i="5"/>
  <c r="E246" i="5"/>
  <c r="F246" i="5"/>
  <c r="E247" i="5"/>
  <c r="F247" i="5"/>
  <c r="E248" i="5"/>
  <c r="F248" i="5"/>
  <c r="E249" i="5"/>
  <c r="F249" i="5"/>
  <c r="E250" i="5"/>
  <c r="F250" i="5"/>
  <c r="E251" i="5"/>
  <c r="F251" i="5"/>
  <c r="E259" i="5"/>
  <c r="F259" i="5"/>
  <c r="E260" i="5"/>
  <c r="F260" i="5"/>
  <c r="E261" i="5"/>
  <c r="F261" i="5"/>
  <c r="E262" i="5"/>
  <c r="F262" i="5"/>
  <c r="E263" i="5"/>
  <c r="F263" i="5"/>
  <c r="E264" i="5"/>
  <c r="F264" i="5"/>
  <c r="E265" i="5"/>
  <c r="F265" i="5"/>
  <c r="E266" i="5"/>
  <c r="F266" i="5"/>
  <c r="E267" i="5"/>
  <c r="F267" i="5"/>
  <c r="E268" i="5"/>
  <c r="F268" i="5"/>
  <c r="E269" i="5"/>
  <c r="F269" i="5"/>
  <c r="E270" i="5"/>
  <c r="F270" i="5"/>
  <c r="E271" i="5"/>
  <c r="F271" i="5"/>
  <c r="E272" i="5"/>
  <c r="F272" i="5"/>
  <c r="E273" i="5"/>
  <c r="F273" i="5"/>
  <c r="E274" i="5"/>
  <c r="F274" i="5"/>
  <c r="E275" i="5"/>
  <c r="F275" i="5"/>
  <c r="E276" i="5"/>
  <c r="F276" i="5"/>
  <c r="E280" i="5"/>
  <c r="F280" i="5"/>
  <c r="E287" i="5"/>
  <c r="F287" i="5"/>
  <c r="E288" i="5"/>
  <c r="F288" i="5"/>
  <c r="E289" i="5"/>
  <c r="F289" i="5"/>
  <c r="E290" i="5"/>
  <c r="F290" i="5"/>
  <c r="E291" i="5"/>
  <c r="F291" i="5"/>
  <c r="E292" i="5"/>
  <c r="F292" i="5"/>
  <c r="E293" i="5"/>
  <c r="F293" i="5"/>
  <c r="E294" i="5"/>
  <c r="F294" i="5"/>
  <c r="E295" i="5"/>
  <c r="F295" i="5"/>
  <c r="E296" i="5"/>
  <c r="F296" i="5"/>
  <c r="E297" i="5"/>
  <c r="F297" i="5"/>
  <c r="E298" i="5"/>
  <c r="F298" i="5"/>
  <c r="E299" i="5"/>
  <c r="F299" i="5"/>
  <c r="E300" i="5"/>
  <c r="F300" i="5"/>
  <c r="E301" i="5"/>
  <c r="F301" i="5"/>
  <c r="E302" i="5"/>
  <c r="F302" i="5"/>
  <c r="E303" i="5"/>
  <c r="F303" i="5"/>
  <c r="E304" i="5"/>
  <c r="F304" i="5"/>
  <c r="E305" i="5"/>
  <c r="F305" i="5"/>
  <c r="E306" i="5"/>
  <c r="F306" i="5"/>
  <c r="E307" i="5"/>
  <c r="F307" i="5"/>
  <c r="E308" i="5"/>
  <c r="F308" i="5"/>
  <c r="E309" i="5"/>
  <c r="F309" i="5"/>
  <c r="F23" i="5"/>
  <c r="D254" i="133"/>
  <c r="E254" i="133"/>
  <c r="BW2" i="5"/>
  <c r="BW3" i="5"/>
  <c r="BW4" i="5"/>
  <c r="BW5" i="5"/>
  <c r="BW6" i="5"/>
  <c r="BW7" i="5"/>
  <c r="BW8" i="5"/>
  <c r="BW9" i="5"/>
  <c r="BW10" i="5"/>
  <c r="BW11" i="5"/>
  <c r="BW12" i="5"/>
  <c r="BW13" i="5"/>
  <c r="BW14" i="5"/>
  <c r="BW15" i="5"/>
  <c r="BW16" i="5"/>
  <c r="BW17" i="5"/>
  <c r="BW18" i="5"/>
  <c r="BW19" i="5"/>
  <c r="BW20" i="5"/>
  <c r="BW21" i="5"/>
  <c r="BW22" i="5"/>
  <c r="BW23" i="5"/>
  <c r="BW24" i="5"/>
  <c r="BW25" i="5"/>
  <c r="BW26" i="5"/>
  <c r="BW27" i="5"/>
  <c r="BW28" i="5"/>
  <c r="BW29" i="5"/>
  <c r="BW30" i="5"/>
  <c r="BW31" i="5"/>
  <c r="BW32" i="5"/>
  <c r="BW33" i="5"/>
  <c r="BW34" i="5"/>
  <c r="BW35" i="5"/>
  <c r="BW36" i="5"/>
  <c r="BW37" i="5"/>
  <c r="BW38" i="5"/>
  <c r="BW39" i="5"/>
  <c r="BW40" i="5"/>
  <c r="BW41" i="5"/>
  <c r="BW42" i="5"/>
  <c r="BW43" i="5"/>
  <c r="BW44" i="5"/>
  <c r="BW45" i="5"/>
  <c r="BW46" i="5"/>
  <c r="BW47" i="5"/>
  <c r="BW48" i="5"/>
  <c r="BW49" i="5"/>
  <c r="BW50" i="5"/>
  <c r="BW51" i="5"/>
  <c r="BW52" i="5"/>
  <c r="BW53" i="5"/>
  <c r="BW54" i="5"/>
  <c r="BW55" i="5"/>
  <c r="BW56" i="5"/>
  <c r="BW57" i="5"/>
  <c r="BW58" i="5"/>
  <c r="BW59" i="5"/>
  <c r="BW60" i="5"/>
  <c r="BW61" i="5"/>
  <c r="BW62" i="5"/>
  <c r="BW63" i="5"/>
  <c r="BW64" i="5"/>
  <c r="BW65" i="5"/>
  <c r="BW66" i="5"/>
  <c r="BW67" i="5"/>
  <c r="BW68" i="5"/>
  <c r="BW69" i="5"/>
  <c r="BW70" i="5"/>
  <c r="BW71" i="5"/>
  <c r="BW72" i="5"/>
  <c r="BW73" i="5"/>
  <c r="BW74" i="5"/>
  <c r="BW75" i="5"/>
  <c r="BW76" i="5"/>
  <c r="BW77" i="5"/>
  <c r="BW78" i="5"/>
  <c r="BW79" i="5"/>
  <c r="BW80" i="5"/>
  <c r="BW81" i="5"/>
  <c r="BW82" i="5"/>
  <c r="BW83" i="5"/>
  <c r="BW84" i="5"/>
  <c r="BW85" i="5"/>
  <c r="BW86" i="5"/>
  <c r="BW87" i="5"/>
  <c r="BW88" i="5"/>
  <c r="BW89" i="5"/>
  <c r="BW90" i="5"/>
  <c r="BW91" i="5"/>
  <c r="BW92" i="5"/>
  <c r="BW93" i="5"/>
  <c r="BW94" i="5"/>
  <c r="BW95" i="5"/>
  <c r="BW96" i="5"/>
  <c r="BW97" i="5"/>
  <c r="BW98" i="5"/>
  <c r="BW99" i="5"/>
  <c r="BW100" i="5"/>
  <c r="BW101" i="5"/>
  <c r="BW102" i="5"/>
  <c r="BW103" i="5"/>
  <c r="BW104" i="5"/>
  <c r="BW105" i="5"/>
  <c r="BW106" i="5"/>
  <c r="BW107" i="5"/>
  <c r="BW108" i="5"/>
  <c r="BW109" i="5"/>
  <c r="BW110" i="5"/>
  <c r="BW111" i="5"/>
  <c r="BW112" i="5"/>
  <c r="BW113" i="5"/>
  <c r="BW114" i="5"/>
  <c r="BW115" i="5"/>
  <c r="BW116" i="5"/>
  <c r="BW117" i="5"/>
  <c r="BW118" i="5"/>
  <c r="BW119" i="5"/>
  <c r="BW120" i="5"/>
  <c r="BW121" i="5"/>
  <c r="BW122" i="5"/>
  <c r="BW123" i="5"/>
  <c r="BW124" i="5"/>
  <c r="BW125" i="5"/>
  <c r="BW126" i="5"/>
  <c r="BW127" i="5"/>
  <c r="BW128" i="5"/>
  <c r="BW129" i="5"/>
  <c r="BW130" i="5"/>
  <c r="BW131" i="5"/>
  <c r="BW132" i="5"/>
  <c r="BW133" i="5"/>
  <c r="BW134" i="5"/>
  <c r="BW135" i="5"/>
  <c r="BW136" i="5"/>
  <c r="BW137" i="5"/>
  <c r="BW138" i="5"/>
  <c r="BW139" i="5"/>
  <c r="BW140" i="5"/>
  <c r="BW141" i="5"/>
  <c r="BW142" i="5"/>
  <c r="BW143" i="5"/>
  <c r="BW144" i="5"/>
  <c r="BW145" i="5"/>
  <c r="BW146" i="5"/>
  <c r="BW147" i="5"/>
  <c r="BW148" i="5"/>
  <c r="BW149" i="5"/>
  <c r="BW150" i="5"/>
  <c r="BW151" i="5"/>
  <c r="BW152" i="5"/>
  <c r="BW153" i="5"/>
  <c r="BW154" i="5"/>
  <c r="BW155" i="5"/>
  <c r="BW156" i="5"/>
  <c r="BW157" i="5"/>
  <c r="BW158" i="5"/>
  <c r="BW159" i="5"/>
  <c r="BW160" i="5"/>
  <c r="BW161" i="5"/>
  <c r="BW162" i="5"/>
  <c r="BW163" i="5"/>
  <c r="BW164" i="5"/>
  <c r="BW165" i="5"/>
  <c r="BW166" i="5"/>
  <c r="BW167" i="5"/>
  <c r="BW168" i="5"/>
  <c r="BW169" i="5"/>
  <c r="BW170" i="5"/>
  <c r="BW171" i="5"/>
  <c r="BW172" i="5"/>
  <c r="BW173" i="5"/>
  <c r="BW174" i="5"/>
  <c r="BW175" i="5"/>
  <c r="BW176" i="5"/>
  <c r="BW177" i="5"/>
  <c r="BW178" i="5"/>
  <c r="BW179" i="5"/>
  <c r="BW180" i="5"/>
  <c r="BW181" i="5"/>
  <c r="BW182" i="5"/>
  <c r="BW183" i="5"/>
  <c r="BW184" i="5"/>
  <c r="BW185" i="5"/>
  <c r="BW186" i="5"/>
  <c r="BW187" i="5"/>
  <c r="BW188" i="5"/>
  <c r="BW189" i="5"/>
  <c r="BW190" i="5"/>
  <c r="BW191" i="5"/>
  <c r="BW192" i="5"/>
  <c r="BW193" i="5"/>
  <c r="BW194" i="5"/>
  <c r="BW195" i="5"/>
  <c r="BW196" i="5"/>
  <c r="BW197" i="5"/>
  <c r="BW198" i="5"/>
  <c r="BW199" i="5"/>
  <c r="BW200" i="5"/>
  <c r="BW201" i="5"/>
  <c r="BW202" i="5"/>
  <c r="BW203" i="5"/>
  <c r="BW204" i="5"/>
  <c r="BW205" i="5"/>
  <c r="BW206" i="5"/>
  <c r="BW207" i="5"/>
  <c r="BW208" i="5"/>
  <c r="BW209" i="5"/>
  <c r="BW210" i="5"/>
  <c r="BW211" i="5"/>
  <c r="BW212" i="5"/>
  <c r="BW213" i="5"/>
  <c r="BW214" i="5"/>
  <c r="BW215" i="5"/>
  <c r="BW216" i="5"/>
  <c r="BW217" i="5"/>
  <c r="BW218" i="5"/>
  <c r="BW219" i="5"/>
  <c r="BW220" i="5"/>
  <c r="BW221" i="5"/>
  <c r="BW222" i="5"/>
  <c r="BW223" i="5"/>
  <c r="BW224" i="5"/>
  <c r="BW225" i="5"/>
  <c r="BW226" i="5"/>
  <c r="BW227" i="5"/>
  <c r="BW228" i="5"/>
  <c r="BW229" i="5"/>
  <c r="BW230" i="5"/>
  <c r="BW231" i="5"/>
  <c r="BW232" i="5"/>
  <c r="BW233" i="5"/>
  <c r="BW234" i="5"/>
  <c r="BW235" i="5"/>
  <c r="BW236" i="5"/>
  <c r="BW237" i="5"/>
  <c r="BW238" i="5"/>
  <c r="BW239" i="5"/>
  <c r="BW240" i="5"/>
  <c r="BW241" i="5"/>
  <c r="BW242" i="5"/>
  <c r="BW243" i="5"/>
  <c r="BW244" i="5"/>
  <c r="BW245" i="5"/>
  <c r="BW246" i="5"/>
  <c r="BW247" i="5"/>
  <c r="BW248" i="5"/>
  <c r="BW249" i="5"/>
  <c r="BW250" i="5"/>
  <c r="BW251" i="5"/>
  <c r="BW252" i="5"/>
  <c r="BW253" i="5"/>
  <c r="BW254" i="5"/>
  <c r="BW255" i="5"/>
  <c r="BW256" i="5"/>
  <c r="BW257" i="5"/>
  <c r="BW258" i="5"/>
  <c r="BW259" i="5"/>
  <c r="BW260" i="5"/>
  <c r="BW261" i="5"/>
  <c r="BW262" i="5"/>
  <c r="BW263" i="5"/>
  <c r="BW264" i="5"/>
  <c r="BW265" i="5"/>
  <c r="BW266" i="5"/>
  <c r="BW267" i="5"/>
  <c r="BW268" i="5"/>
  <c r="BW269" i="5"/>
  <c r="BW270" i="5"/>
  <c r="BW271" i="5"/>
  <c r="BW272" i="5"/>
  <c r="BW273" i="5"/>
  <c r="BW274" i="5"/>
  <c r="BW275" i="5"/>
  <c r="BW276" i="5"/>
  <c r="BW280" i="5"/>
  <c r="BW287" i="5"/>
  <c r="BW288" i="5"/>
  <c r="BW289" i="5"/>
  <c r="BW290" i="5"/>
  <c r="BW291" i="5"/>
  <c r="BW292" i="5"/>
  <c r="BW293" i="5"/>
  <c r="BW294" i="5"/>
  <c r="BW295" i="5"/>
  <c r="BW296" i="5"/>
  <c r="BW297" i="5"/>
  <c r="BW298" i="5"/>
  <c r="BW299" i="5"/>
  <c r="BW300" i="5"/>
  <c r="BW301" i="5"/>
  <c r="BW302" i="5"/>
  <c r="BW303" i="5"/>
  <c r="BW304" i="5"/>
  <c r="BW305" i="5"/>
  <c r="BW306" i="5"/>
  <c r="BW307" i="5"/>
  <c r="D253" i="133"/>
  <c r="E253" i="133"/>
  <c r="E275" i="133"/>
  <c r="D274" i="133"/>
  <c r="E274" i="133"/>
  <c r="D273" i="133"/>
  <c r="E273" i="133"/>
  <c r="D270" i="133"/>
  <c r="D251" i="133"/>
  <c r="E270" i="133"/>
  <c r="D269" i="133"/>
  <c r="E269" i="133"/>
  <c r="BL249" i="5"/>
  <c r="BM249" i="5"/>
  <c r="BL251" i="5"/>
  <c r="BM251" i="5"/>
  <c r="BL2" i="5"/>
  <c r="BM2" i="5"/>
  <c r="BL3" i="5"/>
  <c r="BM3" i="5"/>
  <c r="BL4" i="5"/>
  <c r="BM4" i="5"/>
  <c r="BL5" i="5"/>
  <c r="BM5" i="5"/>
  <c r="BL6" i="5"/>
  <c r="BM6" i="5"/>
  <c r="BL7" i="5"/>
  <c r="BM7" i="5"/>
  <c r="BL8" i="5"/>
  <c r="BM8" i="5"/>
  <c r="BL9" i="5"/>
  <c r="BM9" i="5"/>
  <c r="BL10" i="5"/>
  <c r="BM10" i="5"/>
  <c r="BL11" i="5"/>
  <c r="BM11" i="5"/>
  <c r="BL12" i="5"/>
  <c r="BM12" i="5"/>
  <c r="BL13" i="5"/>
  <c r="BM13" i="5"/>
  <c r="BL14" i="5"/>
  <c r="BM14" i="5"/>
  <c r="BL15" i="5"/>
  <c r="BM15" i="5"/>
  <c r="BL16" i="5"/>
  <c r="BM16" i="5"/>
  <c r="BL17" i="5"/>
  <c r="BM17" i="5"/>
  <c r="BL18" i="5"/>
  <c r="BM18" i="5"/>
  <c r="BL19" i="5"/>
  <c r="BM19" i="5"/>
  <c r="BL20" i="5"/>
  <c r="BM20" i="5"/>
  <c r="BL21" i="5"/>
  <c r="BM21" i="5"/>
  <c r="BL22" i="5"/>
  <c r="BM22" i="5"/>
  <c r="BL23" i="5"/>
  <c r="BM23" i="5"/>
  <c r="BL24" i="5"/>
  <c r="BM24" i="5"/>
  <c r="BL25" i="5"/>
  <c r="BM25" i="5"/>
  <c r="BL26" i="5"/>
  <c r="BM26" i="5"/>
  <c r="BL27" i="5"/>
  <c r="BM27" i="5"/>
  <c r="BL28" i="5"/>
  <c r="BM28" i="5"/>
  <c r="BL29" i="5"/>
  <c r="BM29" i="5"/>
  <c r="BL30" i="5"/>
  <c r="BM30" i="5"/>
  <c r="BL31" i="5"/>
  <c r="BM31" i="5"/>
  <c r="BL32" i="5"/>
  <c r="BM32" i="5"/>
  <c r="BL33" i="5"/>
  <c r="BM33" i="5"/>
  <c r="BL34" i="5"/>
  <c r="BM34" i="5"/>
  <c r="BL35" i="5"/>
  <c r="BM35" i="5"/>
  <c r="BL36" i="5"/>
  <c r="BM36" i="5"/>
  <c r="BL37" i="5"/>
  <c r="BM37" i="5"/>
  <c r="BL38" i="5"/>
  <c r="BM38" i="5"/>
  <c r="BL39" i="5"/>
  <c r="BM39" i="5"/>
  <c r="BL40" i="5"/>
  <c r="BM40" i="5"/>
  <c r="BL41" i="5"/>
  <c r="BM41" i="5"/>
  <c r="BL42" i="5"/>
  <c r="BM42" i="5"/>
  <c r="BL43" i="5"/>
  <c r="BM43" i="5"/>
  <c r="BL44" i="5"/>
  <c r="BM44" i="5"/>
  <c r="BL45" i="5"/>
  <c r="BM45" i="5"/>
  <c r="BL46" i="5"/>
  <c r="BM46" i="5"/>
  <c r="BL47" i="5"/>
  <c r="BM47" i="5"/>
  <c r="BL48" i="5"/>
  <c r="BM48" i="5"/>
  <c r="BL49" i="5"/>
  <c r="BM49" i="5"/>
  <c r="BL50" i="5"/>
  <c r="BM50" i="5"/>
  <c r="BL51" i="5"/>
  <c r="BM51" i="5"/>
  <c r="BL52" i="5"/>
  <c r="BM52" i="5"/>
  <c r="BL53" i="5"/>
  <c r="BM53" i="5"/>
  <c r="BL54" i="5"/>
  <c r="BM54" i="5"/>
  <c r="BL55" i="5"/>
  <c r="BM55" i="5"/>
  <c r="BL56" i="5"/>
  <c r="BM56" i="5"/>
  <c r="BL57" i="5"/>
  <c r="BM57" i="5"/>
  <c r="BL58" i="5"/>
  <c r="BM58" i="5"/>
  <c r="BL59" i="5"/>
  <c r="BM59" i="5"/>
  <c r="BL60" i="5"/>
  <c r="BM60" i="5"/>
  <c r="BL61" i="5"/>
  <c r="BM61" i="5"/>
  <c r="BL62" i="5"/>
  <c r="BM62" i="5"/>
  <c r="BL63" i="5"/>
  <c r="BM63" i="5"/>
  <c r="BL64" i="5"/>
  <c r="BM64" i="5"/>
  <c r="BL65" i="5"/>
  <c r="BM65" i="5"/>
  <c r="BL66" i="5"/>
  <c r="BM66" i="5"/>
  <c r="BL67" i="5"/>
  <c r="BM67" i="5"/>
  <c r="BL68" i="5"/>
  <c r="BM68" i="5"/>
  <c r="BL69" i="5"/>
  <c r="BM69" i="5"/>
  <c r="BL70" i="5"/>
  <c r="BM70" i="5"/>
  <c r="BL71" i="5"/>
  <c r="BM71" i="5"/>
  <c r="BL72" i="5"/>
  <c r="BM72" i="5"/>
  <c r="BL73" i="5"/>
  <c r="BM73" i="5"/>
  <c r="BL74" i="5"/>
  <c r="BM74" i="5"/>
  <c r="BL75" i="5"/>
  <c r="BM75" i="5"/>
  <c r="BL76" i="5"/>
  <c r="BM76" i="5"/>
  <c r="BL77" i="5"/>
  <c r="BM77" i="5"/>
  <c r="BL78" i="5"/>
  <c r="BM78" i="5"/>
  <c r="BL79" i="5"/>
  <c r="BM79" i="5"/>
  <c r="BL80" i="5"/>
  <c r="BM80" i="5"/>
  <c r="BL81" i="5"/>
  <c r="BM81" i="5"/>
  <c r="BL82" i="5"/>
  <c r="BM82" i="5"/>
  <c r="BL83" i="5"/>
  <c r="BM83" i="5"/>
  <c r="BL84" i="5"/>
  <c r="BM84" i="5"/>
  <c r="BL85" i="5"/>
  <c r="BM85" i="5"/>
  <c r="BL86" i="5"/>
  <c r="BM86" i="5"/>
  <c r="BL87" i="5"/>
  <c r="BM87" i="5"/>
  <c r="BL88" i="5"/>
  <c r="BM88" i="5"/>
  <c r="BL89" i="5"/>
  <c r="BM89" i="5"/>
  <c r="BL90" i="5"/>
  <c r="BM90" i="5"/>
  <c r="BL91" i="5"/>
  <c r="BM91" i="5"/>
  <c r="BL92" i="5"/>
  <c r="BM92" i="5"/>
  <c r="BL93" i="5"/>
  <c r="BM93" i="5"/>
  <c r="BL94" i="5"/>
  <c r="BM94" i="5"/>
  <c r="BL95" i="5"/>
  <c r="BM95" i="5"/>
  <c r="BL96" i="5"/>
  <c r="BM96" i="5"/>
  <c r="BL97" i="5"/>
  <c r="BM97" i="5"/>
  <c r="BL98" i="5"/>
  <c r="BM98" i="5"/>
  <c r="BL99" i="5"/>
  <c r="BM99" i="5"/>
  <c r="BL100" i="5"/>
  <c r="BM100" i="5"/>
  <c r="BL101" i="5"/>
  <c r="BM101" i="5"/>
  <c r="BL102" i="5"/>
  <c r="BM102" i="5"/>
  <c r="BL103" i="5"/>
  <c r="BM103" i="5"/>
  <c r="BL104" i="5"/>
  <c r="BM104" i="5"/>
  <c r="BL105" i="5"/>
  <c r="BM105" i="5"/>
  <c r="BL106" i="5"/>
  <c r="BM106" i="5"/>
  <c r="BL107" i="5"/>
  <c r="BM107" i="5"/>
  <c r="BL108" i="5"/>
  <c r="BM108" i="5"/>
  <c r="BL109" i="5"/>
  <c r="BM109" i="5"/>
  <c r="BL110" i="5"/>
  <c r="BM110" i="5"/>
  <c r="BL111" i="5"/>
  <c r="BM111" i="5"/>
  <c r="BL112" i="5"/>
  <c r="BM112" i="5"/>
  <c r="BL113" i="5"/>
  <c r="BM113" i="5"/>
  <c r="BL114" i="5"/>
  <c r="BM114" i="5"/>
  <c r="BL115" i="5"/>
  <c r="BM115" i="5"/>
  <c r="BL116" i="5"/>
  <c r="BM116" i="5"/>
  <c r="BL117" i="5"/>
  <c r="BM117" i="5"/>
  <c r="BL118" i="5"/>
  <c r="BM118" i="5"/>
  <c r="BL119" i="5"/>
  <c r="BM119" i="5"/>
  <c r="BL120" i="5"/>
  <c r="BM120" i="5"/>
  <c r="BL121" i="5"/>
  <c r="BM121" i="5"/>
  <c r="BL122" i="5"/>
  <c r="BM122" i="5"/>
  <c r="BL123" i="5"/>
  <c r="BM123" i="5"/>
  <c r="BL124" i="5"/>
  <c r="BM124" i="5"/>
  <c r="BL125" i="5"/>
  <c r="BM125" i="5"/>
  <c r="BL126" i="5"/>
  <c r="BM126" i="5"/>
  <c r="BL127" i="5"/>
  <c r="BM127" i="5"/>
  <c r="BL128" i="5"/>
  <c r="BM128" i="5"/>
  <c r="BL129" i="5"/>
  <c r="BM129" i="5"/>
  <c r="BL130" i="5"/>
  <c r="BM130" i="5"/>
  <c r="BL131" i="5"/>
  <c r="BM131" i="5"/>
  <c r="BL132" i="5"/>
  <c r="BM132" i="5"/>
  <c r="BL133" i="5"/>
  <c r="BM133" i="5"/>
  <c r="BL134" i="5"/>
  <c r="BM134" i="5"/>
  <c r="BL135" i="5"/>
  <c r="BM135" i="5"/>
  <c r="BL136" i="5"/>
  <c r="BM136" i="5"/>
  <c r="BL137" i="5"/>
  <c r="BM137" i="5"/>
  <c r="BL138" i="5"/>
  <c r="BM138" i="5"/>
  <c r="BL139" i="5"/>
  <c r="BM139" i="5"/>
  <c r="BL140" i="5"/>
  <c r="BM140" i="5"/>
  <c r="BL141" i="5"/>
  <c r="BM141" i="5"/>
  <c r="BL142" i="5"/>
  <c r="BM142" i="5"/>
  <c r="BL143" i="5"/>
  <c r="BM143" i="5"/>
  <c r="BL144" i="5"/>
  <c r="BM144" i="5"/>
  <c r="BL145" i="5"/>
  <c r="BM145" i="5"/>
  <c r="BL146" i="5"/>
  <c r="BM146" i="5"/>
  <c r="BL147" i="5"/>
  <c r="BM147" i="5"/>
  <c r="BL148" i="5"/>
  <c r="BM148" i="5"/>
  <c r="BL149" i="5"/>
  <c r="BM149" i="5"/>
  <c r="BL150" i="5"/>
  <c r="BM150" i="5"/>
  <c r="BL151" i="5"/>
  <c r="BM151" i="5"/>
  <c r="BL152" i="5"/>
  <c r="BM152" i="5"/>
  <c r="BL153" i="5"/>
  <c r="BM153" i="5"/>
  <c r="BL154" i="5"/>
  <c r="BM154" i="5"/>
  <c r="BL155" i="5"/>
  <c r="BM155" i="5"/>
  <c r="BL156" i="5"/>
  <c r="BM156" i="5"/>
  <c r="BL157" i="5"/>
  <c r="BM157" i="5"/>
  <c r="BL158" i="5"/>
  <c r="BM158" i="5"/>
  <c r="BL159" i="5"/>
  <c r="BM159" i="5"/>
  <c r="BL160" i="5"/>
  <c r="BM160" i="5"/>
  <c r="BL161" i="5"/>
  <c r="BM161" i="5"/>
  <c r="BL162" i="5"/>
  <c r="BM162" i="5"/>
  <c r="BL163" i="5"/>
  <c r="BM163" i="5"/>
  <c r="BL164" i="5"/>
  <c r="BM164" i="5"/>
  <c r="BL165" i="5"/>
  <c r="BM165" i="5"/>
  <c r="BL166" i="5"/>
  <c r="BM166" i="5"/>
  <c r="BL167" i="5"/>
  <c r="BM167" i="5"/>
  <c r="BL168" i="5"/>
  <c r="BM168" i="5"/>
  <c r="BL169" i="5"/>
  <c r="BM169" i="5"/>
  <c r="BL170" i="5"/>
  <c r="BM170" i="5"/>
  <c r="BL171" i="5"/>
  <c r="BM171" i="5"/>
  <c r="BL172" i="5"/>
  <c r="BM172" i="5"/>
  <c r="BL173" i="5"/>
  <c r="BM173" i="5"/>
  <c r="BL174" i="5"/>
  <c r="BM174" i="5"/>
  <c r="BL175" i="5"/>
  <c r="BM175" i="5"/>
  <c r="BL176" i="5"/>
  <c r="BM176" i="5"/>
  <c r="BL177" i="5"/>
  <c r="BM177" i="5"/>
  <c r="BL178" i="5"/>
  <c r="BM178" i="5"/>
  <c r="BL179" i="5"/>
  <c r="BM179" i="5"/>
  <c r="BL180" i="5"/>
  <c r="BM180" i="5"/>
  <c r="BL181" i="5"/>
  <c r="BM181" i="5"/>
  <c r="BL182" i="5"/>
  <c r="BM182" i="5"/>
  <c r="BL183" i="5"/>
  <c r="BM183" i="5"/>
  <c r="BL184" i="5"/>
  <c r="BM184" i="5"/>
  <c r="BL185" i="5"/>
  <c r="BM185" i="5"/>
  <c r="BL186" i="5"/>
  <c r="BM186" i="5"/>
  <c r="BL187" i="5"/>
  <c r="BM187" i="5"/>
  <c r="BL188" i="5"/>
  <c r="BM188" i="5"/>
  <c r="BL189" i="5"/>
  <c r="BM189" i="5"/>
  <c r="BL190" i="5"/>
  <c r="BM190" i="5"/>
  <c r="BL191" i="5"/>
  <c r="BM191" i="5"/>
  <c r="BL192" i="5"/>
  <c r="BM192" i="5"/>
  <c r="BL193" i="5"/>
  <c r="BM193" i="5"/>
  <c r="BL194" i="5"/>
  <c r="BM194" i="5"/>
  <c r="BL195" i="5"/>
  <c r="BM195" i="5"/>
  <c r="BL196" i="5"/>
  <c r="BM196" i="5"/>
  <c r="BL197" i="5"/>
  <c r="BM197" i="5"/>
  <c r="BL198" i="5"/>
  <c r="BM198" i="5"/>
  <c r="BL199" i="5"/>
  <c r="BM199" i="5"/>
  <c r="BL200" i="5"/>
  <c r="BM200" i="5"/>
  <c r="BL201" i="5"/>
  <c r="BM201" i="5"/>
  <c r="BL202" i="5"/>
  <c r="BM202" i="5"/>
  <c r="BL203" i="5"/>
  <c r="BM203" i="5"/>
  <c r="BL204" i="5"/>
  <c r="BM204" i="5"/>
  <c r="BL205" i="5"/>
  <c r="BM205" i="5"/>
  <c r="BL206" i="5"/>
  <c r="BM206" i="5"/>
  <c r="BL207" i="5"/>
  <c r="BM207" i="5"/>
  <c r="BL208" i="5"/>
  <c r="BM208" i="5"/>
  <c r="BL209" i="5"/>
  <c r="BM209" i="5"/>
  <c r="BL210" i="5"/>
  <c r="BM210" i="5"/>
  <c r="BL211" i="5"/>
  <c r="BM211" i="5"/>
  <c r="BL212" i="5"/>
  <c r="BM212" i="5"/>
  <c r="BL213" i="5"/>
  <c r="BM213" i="5"/>
  <c r="BL214" i="5"/>
  <c r="BM214" i="5"/>
  <c r="BL215" i="5"/>
  <c r="BM215" i="5"/>
  <c r="BL216" i="5"/>
  <c r="BM216" i="5"/>
  <c r="BL217" i="5"/>
  <c r="BM217" i="5"/>
  <c r="BL218" i="5"/>
  <c r="BM218" i="5"/>
  <c r="BL219" i="5"/>
  <c r="BM219" i="5"/>
  <c r="BL220" i="5"/>
  <c r="BM220" i="5"/>
  <c r="BL221" i="5"/>
  <c r="BM221" i="5"/>
  <c r="BL222" i="5"/>
  <c r="BM222" i="5"/>
  <c r="BL223" i="5"/>
  <c r="BM223" i="5"/>
  <c r="BL224" i="5"/>
  <c r="BM224" i="5"/>
  <c r="BL225" i="5"/>
  <c r="BM225" i="5"/>
  <c r="BL226" i="5"/>
  <c r="BM226" i="5"/>
  <c r="BL227" i="5"/>
  <c r="BM227" i="5"/>
  <c r="BL228" i="5"/>
  <c r="BM228" i="5"/>
  <c r="BL229" i="5"/>
  <c r="BM229" i="5"/>
  <c r="BL230" i="5"/>
  <c r="BM230" i="5"/>
  <c r="BL231" i="5"/>
  <c r="BM231" i="5"/>
  <c r="BL232" i="5"/>
  <c r="BM232" i="5"/>
  <c r="BL233" i="5"/>
  <c r="BM233" i="5"/>
  <c r="BL234" i="5"/>
  <c r="BM234" i="5"/>
  <c r="BL235" i="5"/>
  <c r="BM235" i="5"/>
  <c r="BL236" i="5"/>
  <c r="BM236" i="5"/>
  <c r="BL237" i="5"/>
  <c r="BM237" i="5"/>
  <c r="BL238" i="5"/>
  <c r="BM238" i="5"/>
  <c r="BL239" i="5"/>
  <c r="BM239" i="5"/>
  <c r="BL240" i="5"/>
  <c r="BM240" i="5"/>
  <c r="BL241" i="5"/>
  <c r="BM241" i="5"/>
  <c r="BL242" i="5"/>
  <c r="BM242" i="5"/>
  <c r="BL243" i="5"/>
  <c r="BM243" i="5"/>
  <c r="BL244" i="5"/>
  <c r="BM244" i="5"/>
  <c r="BL245" i="5"/>
  <c r="BM245" i="5"/>
  <c r="BL246" i="5"/>
  <c r="BM246" i="5"/>
  <c r="BL247" i="5"/>
  <c r="BM247" i="5"/>
  <c r="BL248" i="5"/>
  <c r="BM248" i="5"/>
  <c r="BL250" i="5"/>
  <c r="BM250" i="5"/>
  <c r="BL252" i="5"/>
  <c r="BM252" i="5"/>
  <c r="BL253" i="5"/>
  <c r="BM253" i="5"/>
  <c r="BL254" i="5"/>
  <c r="BM254" i="5"/>
  <c r="BL255" i="5"/>
  <c r="BM255" i="5"/>
  <c r="BL256" i="5"/>
  <c r="BM256" i="5"/>
  <c r="BL257" i="5"/>
  <c r="BM257" i="5"/>
  <c r="BL258" i="5"/>
  <c r="BM258" i="5"/>
  <c r="BL259" i="5"/>
  <c r="BM259" i="5"/>
  <c r="D272" i="133"/>
  <c r="BO2" i="5"/>
  <c r="BP2" i="5"/>
  <c r="BO3" i="5"/>
  <c r="BP3" i="5"/>
  <c r="BO4" i="5"/>
  <c r="BP4" i="5"/>
  <c r="BO5" i="5"/>
  <c r="BP5" i="5"/>
  <c r="BO6" i="5"/>
  <c r="BP6" i="5"/>
  <c r="BO7" i="5"/>
  <c r="BP7" i="5"/>
  <c r="BO8" i="5"/>
  <c r="BP8" i="5"/>
  <c r="BO9" i="5"/>
  <c r="BP9" i="5"/>
  <c r="BO10" i="5"/>
  <c r="BP10" i="5"/>
  <c r="BO11" i="5"/>
  <c r="BP11" i="5"/>
  <c r="BO12" i="5"/>
  <c r="BP12" i="5"/>
  <c r="BO13" i="5"/>
  <c r="BP13" i="5"/>
  <c r="BO14" i="5"/>
  <c r="BP14" i="5"/>
  <c r="BO15" i="5"/>
  <c r="BP15" i="5"/>
  <c r="BO16" i="5"/>
  <c r="BP16" i="5"/>
  <c r="BO17" i="5"/>
  <c r="BP17" i="5"/>
  <c r="BO18" i="5"/>
  <c r="BP18" i="5"/>
  <c r="BO19" i="5"/>
  <c r="BP19" i="5"/>
  <c r="BO20" i="5"/>
  <c r="BP20" i="5"/>
  <c r="BO21" i="5"/>
  <c r="BP21" i="5"/>
  <c r="BO22" i="5"/>
  <c r="BP22" i="5"/>
  <c r="BO23" i="5"/>
  <c r="BP23" i="5"/>
  <c r="BO24" i="5"/>
  <c r="BP24" i="5"/>
  <c r="BO25" i="5"/>
  <c r="BP25" i="5"/>
  <c r="BO26" i="5"/>
  <c r="BP26" i="5"/>
  <c r="BO27" i="5"/>
  <c r="BP27" i="5"/>
  <c r="BO28" i="5"/>
  <c r="BP28" i="5"/>
  <c r="BO29" i="5"/>
  <c r="BP29" i="5"/>
  <c r="BO30" i="5"/>
  <c r="BP30" i="5"/>
  <c r="BO31" i="5"/>
  <c r="BP31" i="5"/>
  <c r="BO32" i="5"/>
  <c r="BP32" i="5"/>
  <c r="BO33" i="5"/>
  <c r="BP33" i="5"/>
  <c r="BO34" i="5"/>
  <c r="BP34" i="5"/>
  <c r="BO35" i="5"/>
  <c r="BP35" i="5"/>
  <c r="BO36" i="5"/>
  <c r="BP36" i="5"/>
  <c r="BO37" i="5"/>
  <c r="BP37" i="5"/>
  <c r="BO38" i="5"/>
  <c r="BP38" i="5"/>
  <c r="BO39" i="5"/>
  <c r="BP39" i="5"/>
  <c r="BO40" i="5"/>
  <c r="BP40" i="5"/>
  <c r="BO41" i="5"/>
  <c r="BP41" i="5"/>
  <c r="BO42" i="5"/>
  <c r="BP42" i="5"/>
  <c r="BO43" i="5"/>
  <c r="BP43" i="5"/>
  <c r="BO44" i="5"/>
  <c r="BP44" i="5"/>
  <c r="BO45" i="5"/>
  <c r="BP45" i="5"/>
  <c r="BO46" i="5"/>
  <c r="BP46" i="5"/>
  <c r="BO47" i="5"/>
  <c r="BP47" i="5"/>
  <c r="BO48" i="5"/>
  <c r="BP48" i="5"/>
  <c r="BO49" i="5"/>
  <c r="BP49" i="5"/>
  <c r="BO50" i="5"/>
  <c r="BP50" i="5"/>
  <c r="BO51" i="5"/>
  <c r="BP51" i="5"/>
  <c r="BO52" i="5"/>
  <c r="BP52" i="5"/>
  <c r="BO53" i="5"/>
  <c r="BP53" i="5"/>
  <c r="BO54" i="5"/>
  <c r="BP54" i="5"/>
  <c r="BO55" i="5"/>
  <c r="BP55" i="5"/>
  <c r="BO56" i="5"/>
  <c r="BP56" i="5"/>
  <c r="BO57" i="5"/>
  <c r="BP57" i="5"/>
  <c r="BO58" i="5"/>
  <c r="BP58" i="5"/>
  <c r="BO59" i="5"/>
  <c r="BP59" i="5"/>
  <c r="BO60" i="5"/>
  <c r="BP60" i="5"/>
  <c r="BO61" i="5"/>
  <c r="BP61" i="5"/>
  <c r="BO62" i="5"/>
  <c r="BP62" i="5"/>
  <c r="BO63" i="5"/>
  <c r="BP63" i="5"/>
  <c r="BO64" i="5"/>
  <c r="BP64" i="5"/>
  <c r="BO65" i="5"/>
  <c r="BP65" i="5"/>
  <c r="BO66" i="5"/>
  <c r="BP66" i="5"/>
  <c r="BO67" i="5"/>
  <c r="BP67" i="5"/>
  <c r="BO68" i="5"/>
  <c r="BP68" i="5"/>
  <c r="BO69" i="5"/>
  <c r="BP69" i="5"/>
  <c r="BO70" i="5"/>
  <c r="BP70" i="5"/>
  <c r="BO71" i="5"/>
  <c r="BP71" i="5"/>
  <c r="BO72" i="5"/>
  <c r="BP72" i="5"/>
  <c r="BO73" i="5"/>
  <c r="BP73" i="5"/>
  <c r="BO74" i="5"/>
  <c r="BP74" i="5"/>
  <c r="BO75" i="5"/>
  <c r="BP75" i="5"/>
  <c r="BO76" i="5"/>
  <c r="BP76" i="5"/>
  <c r="BO77" i="5"/>
  <c r="BP77" i="5"/>
  <c r="BO78" i="5"/>
  <c r="BP78" i="5"/>
  <c r="BO79" i="5"/>
  <c r="BP79" i="5"/>
  <c r="BO80" i="5"/>
  <c r="BP80" i="5"/>
  <c r="BO81" i="5"/>
  <c r="BP81" i="5"/>
  <c r="BO82" i="5"/>
  <c r="BP82" i="5"/>
  <c r="BO83" i="5"/>
  <c r="BP83" i="5"/>
  <c r="BO84" i="5"/>
  <c r="BP84" i="5"/>
  <c r="BO85" i="5"/>
  <c r="BP85" i="5"/>
  <c r="BO86" i="5"/>
  <c r="BP86" i="5"/>
  <c r="BO87" i="5"/>
  <c r="BP87" i="5"/>
  <c r="BO88" i="5"/>
  <c r="BP88" i="5"/>
  <c r="BO89" i="5"/>
  <c r="BP89" i="5"/>
  <c r="BO90" i="5"/>
  <c r="BP90" i="5"/>
  <c r="BO91" i="5"/>
  <c r="BP91" i="5"/>
  <c r="BO92" i="5"/>
  <c r="BP92" i="5"/>
  <c r="BO93" i="5"/>
  <c r="BP93" i="5"/>
  <c r="BO94" i="5"/>
  <c r="BP94" i="5"/>
  <c r="BO95" i="5"/>
  <c r="BP95" i="5"/>
  <c r="BO96" i="5"/>
  <c r="BP96" i="5"/>
  <c r="BO97" i="5"/>
  <c r="BP97" i="5"/>
  <c r="BO98" i="5"/>
  <c r="BP98" i="5"/>
  <c r="BO99" i="5"/>
  <c r="BP99" i="5"/>
  <c r="BO100" i="5"/>
  <c r="BP100" i="5"/>
  <c r="BO101" i="5"/>
  <c r="BP101" i="5"/>
  <c r="BO102" i="5"/>
  <c r="BP102" i="5"/>
  <c r="BO103" i="5"/>
  <c r="BP103" i="5"/>
  <c r="BO104" i="5"/>
  <c r="BP104" i="5"/>
  <c r="BO105" i="5"/>
  <c r="BP105" i="5"/>
  <c r="BO106" i="5"/>
  <c r="BP106" i="5"/>
  <c r="BO107" i="5"/>
  <c r="BP107" i="5"/>
  <c r="BO108" i="5"/>
  <c r="BP108" i="5"/>
  <c r="BO109" i="5"/>
  <c r="BP109" i="5"/>
  <c r="BO110" i="5"/>
  <c r="BP110" i="5"/>
  <c r="BO111" i="5"/>
  <c r="BP111" i="5"/>
  <c r="BO112" i="5"/>
  <c r="BP112" i="5"/>
  <c r="BO113" i="5"/>
  <c r="BP113" i="5"/>
  <c r="BO114" i="5"/>
  <c r="BP114" i="5"/>
  <c r="BO115" i="5"/>
  <c r="BP115" i="5"/>
  <c r="BO116" i="5"/>
  <c r="BP116" i="5"/>
  <c r="BO117" i="5"/>
  <c r="BP117" i="5"/>
  <c r="BO118" i="5"/>
  <c r="BP118" i="5"/>
  <c r="BO119" i="5"/>
  <c r="BP119" i="5"/>
  <c r="BO120" i="5"/>
  <c r="BP120" i="5"/>
  <c r="BO121" i="5"/>
  <c r="BP121" i="5"/>
  <c r="BO122" i="5"/>
  <c r="BP122" i="5"/>
  <c r="BO123" i="5"/>
  <c r="BP123" i="5"/>
  <c r="BO124" i="5"/>
  <c r="BP124" i="5"/>
  <c r="BO125" i="5"/>
  <c r="BP125" i="5"/>
  <c r="BO126" i="5"/>
  <c r="BP126" i="5"/>
  <c r="BO127" i="5"/>
  <c r="BP127" i="5"/>
  <c r="BO128" i="5"/>
  <c r="BP128" i="5"/>
  <c r="BO129" i="5"/>
  <c r="BP129" i="5"/>
  <c r="BO130" i="5"/>
  <c r="BP130" i="5"/>
  <c r="BO131" i="5"/>
  <c r="BP131" i="5"/>
  <c r="BO132" i="5"/>
  <c r="BP132" i="5"/>
  <c r="BO133" i="5"/>
  <c r="BP133" i="5"/>
  <c r="BO134" i="5"/>
  <c r="BP134" i="5"/>
  <c r="BO135" i="5"/>
  <c r="BP135" i="5"/>
  <c r="BO136" i="5"/>
  <c r="BP136" i="5"/>
  <c r="BO137" i="5"/>
  <c r="BP137" i="5"/>
  <c r="BO138" i="5"/>
  <c r="BP138" i="5"/>
  <c r="BO139" i="5"/>
  <c r="BP139" i="5"/>
  <c r="BO140" i="5"/>
  <c r="BP140" i="5"/>
  <c r="BO141" i="5"/>
  <c r="BP141" i="5"/>
  <c r="BO142" i="5"/>
  <c r="BP142" i="5"/>
  <c r="BO143" i="5"/>
  <c r="BP143" i="5"/>
  <c r="BO144" i="5"/>
  <c r="BP144" i="5"/>
  <c r="BO145" i="5"/>
  <c r="BP145" i="5"/>
  <c r="BO146" i="5"/>
  <c r="BP146" i="5"/>
  <c r="BO147" i="5"/>
  <c r="BP147" i="5"/>
  <c r="BO148" i="5"/>
  <c r="BP148" i="5"/>
  <c r="BO149" i="5"/>
  <c r="BP149" i="5"/>
  <c r="BO150" i="5"/>
  <c r="BP150" i="5"/>
  <c r="BO151" i="5"/>
  <c r="BP151" i="5"/>
  <c r="BO152" i="5"/>
  <c r="BP152" i="5"/>
  <c r="BO153" i="5"/>
  <c r="BP153" i="5"/>
  <c r="BO154" i="5"/>
  <c r="BP154" i="5"/>
  <c r="BO155" i="5"/>
  <c r="BP155" i="5"/>
  <c r="BO156" i="5"/>
  <c r="BP156" i="5"/>
  <c r="BO157" i="5"/>
  <c r="BP157" i="5"/>
  <c r="BO158" i="5"/>
  <c r="BP158" i="5"/>
  <c r="BO159" i="5"/>
  <c r="BP159" i="5"/>
  <c r="BO160" i="5"/>
  <c r="BP160" i="5"/>
  <c r="BO161" i="5"/>
  <c r="BP161" i="5"/>
  <c r="BO162" i="5"/>
  <c r="BP162" i="5"/>
  <c r="BO163" i="5"/>
  <c r="BP163" i="5"/>
  <c r="BO164" i="5"/>
  <c r="BP164" i="5"/>
  <c r="BO165" i="5"/>
  <c r="BP165" i="5"/>
  <c r="BO166" i="5"/>
  <c r="BP166" i="5"/>
  <c r="BO167" i="5"/>
  <c r="BP167" i="5"/>
  <c r="BO168" i="5"/>
  <c r="BP168" i="5"/>
  <c r="BO169" i="5"/>
  <c r="BP169" i="5"/>
  <c r="BO170" i="5"/>
  <c r="BP170" i="5"/>
  <c r="BO171" i="5"/>
  <c r="BP171" i="5"/>
  <c r="BO172" i="5"/>
  <c r="BP172" i="5"/>
  <c r="BO173" i="5"/>
  <c r="BP173" i="5"/>
  <c r="BO174" i="5"/>
  <c r="BP174" i="5"/>
  <c r="BO175" i="5"/>
  <c r="BP175" i="5"/>
  <c r="BO176" i="5"/>
  <c r="BP176" i="5"/>
  <c r="BO177" i="5"/>
  <c r="BP177" i="5"/>
  <c r="BO178" i="5"/>
  <c r="BP178" i="5"/>
  <c r="BO179" i="5"/>
  <c r="BP179" i="5"/>
  <c r="BO180" i="5"/>
  <c r="BP180" i="5"/>
  <c r="BO181" i="5"/>
  <c r="BP181" i="5"/>
  <c r="BO182" i="5"/>
  <c r="BP182" i="5"/>
  <c r="BO183" i="5"/>
  <c r="BP183" i="5"/>
  <c r="BO184" i="5"/>
  <c r="BP184" i="5"/>
  <c r="BO185" i="5"/>
  <c r="BP185" i="5"/>
  <c r="BO186" i="5"/>
  <c r="BP186" i="5"/>
  <c r="BO187" i="5"/>
  <c r="BP187" i="5"/>
  <c r="BO188" i="5"/>
  <c r="BP188" i="5"/>
  <c r="BO189" i="5"/>
  <c r="BP189" i="5"/>
  <c r="BO190" i="5"/>
  <c r="BP190" i="5"/>
  <c r="BO191" i="5"/>
  <c r="BP191" i="5"/>
  <c r="BO192" i="5"/>
  <c r="BP192" i="5"/>
  <c r="BO193" i="5"/>
  <c r="BP193" i="5"/>
  <c r="BO194" i="5"/>
  <c r="BP194" i="5"/>
  <c r="BO195" i="5"/>
  <c r="BP195" i="5"/>
  <c r="BO196" i="5"/>
  <c r="BP196" i="5"/>
  <c r="BO197" i="5"/>
  <c r="BP197" i="5"/>
  <c r="BO198" i="5"/>
  <c r="BP198" i="5"/>
  <c r="BO199" i="5"/>
  <c r="BP199" i="5"/>
  <c r="BO200" i="5"/>
  <c r="BP200" i="5"/>
  <c r="BO201" i="5"/>
  <c r="BP201" i="5"/>
  <c r="BO202" i="5"/>
  <c r="BP202" i="5"/>
  <c r="BO203" i="5"/>
  <c r="BP203" i="5"/>
  <c r="BO204" i="5"/>
  <c r="BP204" i="5"/>
  <c r="BO205" i="5"/>
  <c r="BP205" i="5"/>
  <c r="BO206" i="5"/>
  <c r="BP206" i="5"/>
  <c r="BO207" i="5"/>
  <c r="BP207" i="5"/>
  <c r="BO208" i="5"/>
  <c r="BP208" i="5"/>
  <c r="BO209" i="5"/>
  <c r="BP209" i="5"/>
  <c r="BO210" i="5"/>
  <c r="BP210" i="5"/>
  <c r="BO211" i="5"/>
  <c r="BP211" i="5"/>
  <c r="BO212" i="5"/>
  <c r="BP212" i="5"/>
  <c r="BO213" i="5"/>
  <c r="BP213" i="5"/>
  <c r="BO214" i="5"/>
  <c r="BP214" i="5"/>
  <c r="BO215" i="5"/>
  <c r="BP215" i="5"/>
  <c r="BO216" i="5"/>
  <c r="BP216" i="5"/>
  <c r="BO217" i="5"/>
  <c r="BP217" i="5"/>
  <c r="BO218" i="5"/>
  <c r="BP218" i="5"/>
  <c r="BO219" i="5"/>
  <c r="BP219" i="5"/>
  <c r="BO220" i="5"/>
  <c r="BP220" i="5"/>
  <c r="BO221" i="5"/>
  <c r="BP221" i="5"/>
  <c r="BO222" i="5"/>
  <c r="BP222" i="5"/>
  <c r="BO223" i="5"/>
  <c r="BP223" i="5"/>
  <c r="BO224" i="5"/>
  <c r="BP224" i="5"/>
  <c r="BO225" i="5"/>
  <c r="BP225" i="5"/>
  <c r="BO226" i="5"/>
  <c r="BP226" i="5"/>
  <c r="BO227" i="5"/>
  <c r="BP227" i="5"/>
  <c r="BO228" i="5"/>
  <c r="BP228" i="5"/>
  <c r="BO229" i="5"/>
  <c r="BP229" i="5"/>
  <c r="BO230" i="5"/>
  <c r="BP230" i="5"/>
  <c r="BO231" i="5"/>
  <c r="BP231" i="5"/>
  <c r="BO232" i="5"/>
  <c r="BP232" i="5"/>
  <c r="BO233" i="5"/>
  <c r="BP233" i="5"/>
  <c r="BO234" i="5"/>
  <c r="BP234" i="5"/>
  <c r="BO235" i="5"/>
  <c r="BP235" i="5"/>
  <c r="BO236" i="5"/>
  <c r="BP236" i="5"/>
  <c r="BO237" i="5"/>
  <c r="BP237" i="5"/>
  <c r="BO238" i="5"/>
  <c r="BP238" i="5"/>
  <c r="BO239" i="5"/>
  <c r="BP239" i="5"/>
  <c r="BO240" i="5"/>
  <c r="BP240" i="5"/>
  <c r="BO241" i="5"/>
  <c r="BP241" i="5"/>
  <c r="BO242" i="5"/>
  <c r="BP242" i="5"/>
  <c r="BO243" i="5"/>
  <c r="BP243" i="5"/>
  <c r="BO244" i="5"/>
  <c r="BP244" i="5"/>
  <c r="BO245" i="5"/>
  <c r="BP245" i="5"/>
  <c r="BO246" i="5"/>
  <c r="BP246" i="5"/>
  <c r="BO247" i="5"/>
  <c r="BP247" i="5"/>
  <c r="BO248" i="5"/>
  <c r="BP248" i="5"/>
  <c r="BO249" i="5"/>
  <c r="BP249" i="5"/>
  <c r="BO250" i="5"/>
  <c r="BP250" i="5"/>
  <c r="BO251" i="5"/>
  <c r="BP251" i="5"/>
  <c r="BO252" i="5"/>
  <c r="BP252" i="5"/>
  <c r="BO253" i="5"/>
  <c r="BP253" i="5"/>
  <c r="BO254" i="5"/>
  <c r="BP254" i="5"/>
  <c r="BO255" i="5"/>
  <c r="BP255" i="5"/>
  <c r="BO256" i="5"/>
  <c r="BP256" i="5"/>
  <c r="BO257" i="5"/>
  <c r="BP257" i="5"/>
  <c r="BO258" i="5"/>
  <c r="BP258" i="5"/>
  <c r="BO259" i="5"/>
  <c r="BP259" i="5"/>
  <c r="D271" i="133"/>
  <c r="D292" i="141"/>
  <c r="E292" i="141"/>
  <c r="D291" i="141"/>
  <c r="E291" i="141"/>
  <c r="D290" i="141"/>
  <c r="E290" i="141"/>
  <c r="D287" i="141"/>
  <c r="D286" i="141"/>
  <c r="D285" i="141"/>
  <c r="D284" i="141"/>
  <c r="D282" i="141"/>
  <c r="D281" i="141"/>
  <c r="Q2" i="5"/>
  <c r="Q308" i="5"/>
  <c r="Q309" i="5"/>
  <c r="D280" i="141"/>
  <c r="R2" i="5"/>
  <c r="R308" i="5"/>
  <c r="R309" i="5"/>
  <c r="D279" i="141"/>
  <c r="D278" i="141"/>
  <c r="D277" i="141"/>
  <c r="D276" i="141"/>
  <c r="D275" i="141"/>
  <c r="D274" i="141"/>
  <c r="D272" i="141"/>
  <c r="D271" i="141"/>
  <c r="D270" i="141"/>
  <c r="D269" i="141"/>
  <c r="AP258" i="5"/>
  <c r="BE258" i="5"/>
  <c r="BF258" i="5"/>
  <c r="BG258" i="5"/>
  <c r="BC258" i="5"/>
  <c r="BH258" i="5"/>
  <c r="BD258" i="5"/>
  <c r="BI258" i="5"/>
  <c r="BJ258" i="5"/>
  <c r="BK258" i="5"/>
  <c r="BN258" i="5"/>
  <c r="BQ258" i="5"/>
  <c r="BR258" i="5"/>
  <c r="BS258" i="5"/>
  <c r="BT258" i="5"/>
  <c r="BU258" i="5"/>
  <c r="BV258" i="5"/>
  <c r="E258" i="5"/>
  <c r="AK258" i="5"/>
  <c r="AM258" i="5"/>
  <c r="B26" i="151"/>
  <c r="B25" i="151"/>
  <c r="B24" i="151"/>
  <c r="B22" i="151"/>
  <c r="B23" i="151"/>
  <c r="BG250" i="5"/>
  <c r="BC250" i="5"/>
  <c r="BG251" i="5"/>
  <c r="BC251" i="5"/>
  <c r="BG252" i="5"/>
  <c r="BC252" i="5"/>
  <c r="BG254" i="5"/>
  <c r="BC254" i="5"/>
  <c r="BG255" i="5"/>
  <c r="BC255" i="5"/>
  <c r="BG256" i="5"/>
  <c r="BC256" i="5"/>
  <c r="BG257" i="5"/>
  <c r="BC257" i="5"/>
  <c r="BE252" i="5"/>
  <c r="BF252" i="5"/>
  <c r="BH252" i="5"/>
  <c r="BD252" i="5"/>
  <c r="BI252" i="5"/>
  <c r="BJ252" i="5"/>
  <c r="BK252" i="5"/>
  <c r="BN252" i="5"/>
  <c r="BQ252" i="5"/>
  <c r="BR252" i="5"/>
  <c r="BS252" i="5"/>
  <c r="BT252" i="5"/>
  <c r="BU252" i="5"/>
  <c r="BV252" i="5"/>
  <c r="BE253" i="5"/>
  <c r="BF253" i="5"/>
  <c r="BG253" i="5"/>
  <c r="BC253" i="5"/>
  <c r="BH253" i="5"/>
  <c r="BD253" i="5"/>
  <c r="BI253" i="5"/>
  <c r="BJ253" i="5"/>
  <c r="BK253" i="5"/>
  <c r="BN253" i="5"/>
  <c r="BQ253" i="5"/>
  <c r="BS253" i="5"/>
  <c r="BT253" i="5"/>
  <c r="BU253" i="5"/>
  <c r="BV253" i="5"/>
  <c r="BE254" i="5"/>
  <c r="BF254" i="5"/>
  <c r="BH254" i="5"/>
  <c r="BD254" i="5"/>
  <c r="BI254" i="5"/>
  <c r="BJ254" i="5"/>
  <c r="BK254" i="5"/>
  <c r="BN254" i="5"/>
  <c r="BQ254" i="5"/>
  <c r="BS254" i="5"/>
  <c r="BT254" i="5"/>
  <c r="BU254" i="5"/>
  <c r="BV254" i="5"/>
  <c r="BE255" i="5"/>
  <c r="BF255" i="5"/>
  <c r="BH255" i="5"/>
  <c r="BD255" i="5"/>
  <c r="BI255" i="5"/>
  <c r="BJ255" i="5"/>
  <c r="BK255" i="5"/>
  <c r="BN255" i="5"/>
  <c r="BQ255" i="5"/>
  <c r="BS255" i="5"/>
  <c r="BT255" i="5"/>
  <c r="BU255" i="5"/>
  <c r="BV255" i="5"/>
  <c r="BE256" i="5"/>
  <c r="BF256" i="5"/>
  <c r="BH256" i="5"/>
  <c r="BD256" i="5"/>
  <c r="BI256" i="5"/>
  <c r="BJ256" i="5"/>
  <c r="BK256" i="5"/>
  <c r="BN256" i="5"/>
  <c r="BQ256" i="5"/>
  <c r="BS256" i="5"/>
  <c r="BT256" i="5"/>
  <c r="BU256" i="5"/>
  <c r="BV256" i="5"/>
  <c r="BE257" i="5"/>
  <c r="BF257" i="5"/>
  <c r="BH257" i="5"/>
  <c r="BI257" i="5"/>
  <c r="BR257" i="5"/>
  <c r="BJ257" i="5"/>
  <c r="BK257" i="5"/>
  <c r="BN257" i="5"/>
  <c r="BQ257" i="5"/>
  <c r="BS257" i="5"/>
  <c r="BT257" i="5"/>
  <c r="BU257" i="5"/>
  <c r="BV257" i="5"/>
  <c r="BD257" i="5"/>
  <c r="BR256" i="5"/>
  <c r="BR255" i="5"/>
  <c r="BR254" i="5"/>
  <c r="BR253" i="5"/>
  <c r="AK253" i="5"/>
  <c r="AM253" i="5"/>
  <c r="AP253" i="5"/>
  <c r="AK254" i="5"/>
  <c r="AM254" i="5"/>
  <c r="AP254" i="5"/>
  <c r="AK255" i="5"/>
  <c r="AM255" i="5"/>
  <c r="AP255" i="5"/>
  <c r="AK256" i="5"/>
  <c r="AM256" i="5"/>
  <c r="AP256" i="5"/>
  <c r="AK257" i="5"/>
  <c r="AM257" i="5"/>
  <c r="AP257" i="5"/>
  <c r="AP252" i="5"/>
  <c r="P308" i="5"/>
  <c r="P309" i="5"/>
  <c r="AK252" i="5"/>
  <c r="AM252" i="5"/>
  <c r="E252" i="5"/>
  <c r="E253" i="5"/>
  <c r="E254" i="5"/>
  <c r="E255" i="5"/>
  <c r="E256" i="5"/>
  <c r="E257" i="5"/>
  <c r="BV248" i="5"/>
  <c r="BU248" i="5"/>
  <c r="BT248" i="5"/>
  <c r="BS248" i="5"/>
  <c r="BQ248" i="5"/>
  <c r="BN248" i="5"/>
  <c r="BK248" i="5"/>
  <c r="BJ248" i="5"/>
  <c r="BI248" i="5"/>
  <c r="BH248" i="5"/>
  <c r="BR248" i="5"/>
  <c r="BG248" i="5"/>
  <c r="BF248" i="5"/>
  <c r="BE248" i="5"/>
  <c r="BD248" i="5"/>
  <c r="BC248" i="5"/>
  <c r="AP248" i="5"/>
  <c r="AM248" i="5"/>
  <c r="AK248" i="5"/>
  <c r="BV247" i="5"/>
  <c r="BU247" i="5"/>
  <c r="BT247" i="5"/>
  <c r="BS247" i="5"/>
  <c r="BH247" i="5"/>
  <c r="BI247" i="5"/>
  <c r="BR247" i="5"/>
  <c r="BQ247" i="5"/>
  <c r="BN247" i="5"/>
  <c r="BK247" i="5"/>
  <c r="BJ247" i="5"/>
  <c r="BG247" i="5"/>
  <c r="BF247" i="5"/>
  <c r="BE247" i="5"/>
  <c r="BD247" i="5"/>
  <c r="BC247" i="5"/>
  <c r="AP247" i="5"/>
  <c r="AM247" i="5"/>
  <c r="AK247" i="5"/>
  <c r="BV246" i="5"/>
  <c r="BU246" i="5"/>
  <c r="BT246" i="5"/>
  <c r="BS246" i="5"/>
  <c r="BQ246" i="5"/>
  <c r="BN246" i="5"/>
  <c r="BK246" i="5"/>
  <c r="BJ246" i="5"/>
  <c r="BI246" i="5"/>
  <c r="BH246" i="5"/>
  <c r="BR246" i="5"/>
  <c r="BG246" i="5"/>
  <c r="BF246" i="5"/>
  <c r="BE246" i="5"/>
  <c r="BD246" i="5"/>
  <c r="BC246" i="5"/>
  <c r="AP246" i="5"/>
  <c r="AM246" i="5"/>
  <c r="AK246" i="5"/>
  <c r="BV245" i="5"/>
  <c r="BU245" i="5"/>
  <c r="BT245" i="5"/>
  <c r="BS245" i="5"/>
  <c r="BH245" i="5"/>
  <c r="BI245" i="5"/>
  <c r="BR245" i="5"/>
  <c r="BQ245" i="5"/>
  <c r="BN245" i="5"/>
  <c r="BK245" i="5"/>
  <c r="BJ245" i="5"/>
  <c r="BG245" i="5"/>
  <c r="BF245" i="5"/>
  <c r="BE245" i="5"/>
  <c r="BD245" i="5"/>
  <c r="BC245" i="5"/>
  <c r="AP245" i="5"/>
  <c r="AM245" i="5"/>
  <c r="AK245" i="5"/>
  <c r="BV250" i="5"/>
  <c r="BU250" i="5"/>
  <c r="BT250" i="5"/>
  <c r="BS250" i="5"/>
  <c r="BQ250" i="5"/>
  <c r="BN250" i="5"/>
  <c r="BK250" i="5"/>
  <c r="BJ250" i="5"/>
  <c r="BI250" i="5"/>
  <c r="BF250" i="5"/>
  <c r="BE250" i="5"/>
  <c r="AP250" i="5"/>
  <c r="AM250" i="5"/>
  <c r="AK250" i="5"/>
  <c r="BH250" i="5"/>
  <c r="BV249" i="5"/>
  <c r="BU249" i="5"/>
  <c r="BT249" i="5"/>
  <c r="BS249" i="5"/>
  <c r="BQ249" i="5"/>
  <c r="BN249" i="5"/>
  <c r="BK249" i="5"/>
  <c r="BJ249" i="5"/>
  <c r="BI249" i="5"/>
  <c r="BG249" i="5"/>
  <c r="BF249" i="5"/>
  <c r="BE249" i="5"/>
  <c r="BC249" i="5"/>
  <c r="AP249" i="5"/>
  <c r="AM249" i="5"/>
  <c r="AK249" i="5"/>
  <c r="BH249" i="5"/>
  <c r="BV251" i="5"/>
  <c r="BU251" i="5"/>
  <c r="BT251" i="5"/>
  <c r="BS251" i="5"/>
  <c r="BQ251" i="5"/>
  <c r="BN251" i="5"/>
  <c r="BK251" i="5"/>
  <c r="BJ251" i="5"/>
  <c r="BI251" i="5"/>
  <c r="BH251" i="5"/>
  <c r="BR251" i="5"/>
  <c r="BF251" i="5"/>
  <c r="BE251" i="5"/>
  <c r="BD251" i="5"/>
  <c r="AP251" i="5"/>
  <c r="AM251" i="5"/>
  <c r="AK251" i="5"/>
  <c r="BD249" i="5"/>
  <c r="BR249" i="5"/>
  <c r="BR250" i="5"/>
  <c r="BD250" i="5"/>
  <c r="BH235" i="5"/>
  <c r="AI280" i="5"/>
  <c r="AI287" i="5"/>
  <c r="AI288" i="5"/>
  <c r="AI289" i="5"/>
  <c r="AI290" i="5"/>
  <c r="AI291" i="5"/>
  <c r="AI292" i="5"/>
  <c r="AI293" i="5"/>
  <c r="AI294" i="5"/>
  <c r="AI295" i="5"/>
  <c r="AI296" i="5"/>
  <c r="AI297" i="5"/>
  <c r="AI298" i="5"/>
  <c r="AI299" i="5"/>
  <c r="AI300" i="5"/>
  <c r="AI301" i="5"/>
  <c r="AI302" i="5"/>
  <c r="AI303" i="5"/>
  <c r="AI304" i="5"/>
  <c r="AI305" i="5"/>
  <c r="AI306" i="5"/>
  <c r="AI307" i="5"/>
  <c r="AI308" i="5"/>
  <c r="AI309" i="5"/>
  <c r="D245" i="133"/>
  <c r="E245" i="133"/>
  <c r="D244" i="133"/>
  <c r="E244" i="133"/>
  <c r="D243" i="133"/>
  <c r="E243" i="133"/>
  <c r="D240" i="133"/>
  <c r="E240" i="133"/>
  <c r="D239" i="133"/>
  <c r="D221" i="133"/>
  <c r="E239" i="133"/>
  <c r="D224" i="133"/>
  <c r="E224" i="133"/>
  <c r="BW308" i="5"/>
  <c r="BW309" i="5"/>
  <c r="D223" i="133"/>
  <c r="E223" i="133"/>
  <c r="D242" i="133"/>
  <c r="D241" i="133"/>
  <c r="D252" i="141"/>
  <c r="D240" i="141"/>
  <c r="D253" i="141"/>
  <c r="D255" i="141"/>
  <c r="E255" i="141"/>
  <c r="D256" i="141"/>
  <c r="D261" i="141"/>
  <c r="E261" i="141"/>
  <c r="D263" i="141"/>
  <c r="E263" i="141"/>
  <c r="D262" i="141"/>
  <c r="E262" i="141"/>
  <c r="D190" i="141"/>
  <c r="D205" i="141"/>
  <c r="E205" i="141"/>
  <c r="D204" i="141"/>
  <c r="D182" i="141"/>
  <c r="D203" i="141"/>
  <c r="D197" i="141"/>
  <c r="D198" i="141"/>
  <c r="D194" i="141"/>
  <c r="D195" i="141"/>
  <c r="D165" i="141"/>
  <c r="D153" i="141"/>
  <c r="D166" i="141"/>
  <c r="D168" i="141"/>
  <c r="D169" i="141"/>
  <c r="E169" i="141"/>
  <c r="D241" i="141"/>
  <c r="E241" i="141"/>
  <c r="D209" i="133"/>
  <c r="D190" i="133"/>
  <c r="E209" i="133"/>
  <c r="D178" i="133"/>
  <c r="E178" i="133"/>
  <c r="D147" i="133"/>
  <c r="E147" i="133"/>
  <c r="D117" i="133"/>
  <c r="D87" i="133"/>
  <c r="E87" i="133"/>
  <c r="D57" i="133"/>
  <c r="E57" i="133"/>
  <c r="D27" i="133"/>
  <c r="E27" i="133"/>
  <c r="E287" i="141"/>
  <c r="D258" i="141"/>
  <c r="E258" i="141"/>
  <c r="D229" i="141"/>
  <c r="D211" i="141"/>
  <c r="E229" i="141"/>
  <c r="D200" i="141"/>
  <c r="D171" i="141"/>
  <c r="D142" i="141"/>
  <c r="D113" i="141"/>
  <c r="D84" i="141"/>
  <c r="D55" i="141"/>
  <c r="D26" i="141"/>
  <c r="D257" i="141"/>
  <c r="D243" i="141"/>
  <c r="D242" i="141"/>
  <c r="E242" i="141"/>
  <c r="D212" i="133"/>
  <c r="E212" i="133"/>
  <c r="D213" i="133"/>
  <c r="E213" i="133"/>
  <c r="D234" i="141"/>
  <c r="E234" i="141"/>
  <c r="BH205" i="5"/>
  <c r="BH207" i="5"/>
  <c r="BH215" i="5"/>
  <c r="BI215" i="5"/>
  <c r="BR215" i="5"/>
  <c r="BH219" i="5"/>
  <c r="BD219" i="5"/>
  <c r="BH222" i="5"/>
  <c r="BD222" i="5"/>
  <c r="BH224" i="5"/>
  <c r="BD224" i="5"/>
  <c r="BH227" i="5"/>
  <c r="BH229" i="5"/>
  <c r="BD229" i="5"/>
  <c r="BH234" i="5"/>
  <c r="BH237" i="5"/>
  <c r="BD237" i="5"/>
  <c r="BH241" i="5"/>
  <c r="BH243" i="5"/>
  <c r="BH259" i="5"/>
  <c r="BD259" i="5"/>
  <c r="BH276" i="5"/>
  <c r="BH288" i="5"/>
  <c r="BH292" i="5"/>
  <c r="BD292" i="5"/>
  <c r="BH300" i="5"/>
  <c r="D332" i="133"/>
  <c r="D301" i="133"/>
  <c r="D233" i="141"/>
  <c r="E233" i="141"/>
  <c r="D226" i="141"/>
  <c r="D227" i="141"/>
  <c r="D228" i="141"/>
  <c r="D232" i="141"/>
  <c r="AP223" i="5"/>
  <c r="BT199" i="5"/>
  <c r="AP218" i="5"/>
  <c r="AP219" i="5"/>
  <c r="AP220" i="5"/>
  <c r="AP221" i="5"/>
  <c r="AP222" i="5"/>
  <c r="AP224" i="5"/>
  <c r="AP225" i="5"/>
  <c r="AP226" i="5"/>
  <c r="AP227" i="5"/>
  <c r="AP228" i="5"/>
  <c r="AP229" i="5"/>
  <c r="AP230" i="5"/>
  <c r="AP231" i="5"/>
  <c r="AP232" i="5"/>
  <c r="AP233" i="5"/>
  <c r="AP234" i="5"/>
  <c r="AP235" i="5"/>
  <c r="AP236" i="5"/>
  <c r="AP237" i="5"/>
  <c r="AP238" i="5"/>
  <c r="AP239" i="5"/>
  <c r="AP240" i="5"/>
  <c r="AP241" i="5"/>
  <c r="AP242" i="5"/>
  <c r="AP243" i="5"/>
  <c r="AP244" i="5"/>
  <c r="AP259" i="5"/>
  <c r="AP260" i="5"/>
  <c r="AP261" i="5"/>
  <c r="AP262" i="5"/>
  <c r="AP263" i="5"/>
  <c r="AP264" i="5"/>
  <c r="AP265" i="5"/>
  <c r="AP266" i="5"/>
  <c r="AP267" i="5"/>
  <c r="AP268" i="5"/>
  <c r="AP269" i="5"/>
  <c r="AP270" i="5"/>
  <c r="AP271" i="5"/>
  <c r="AP272" i="5"/>
  <c r="AP273" i="5"/>
  <c r="AP274" i="5"/>
  <c r="AP275" i="5"/>
  <c r="AP276" i="5"/>
  <c r="AP280" i="5"/>
  <c r="AP287" i="5"/>
  <c r="AP288" i="5"/>
  <c r="AP289" i="5"/>
  <c r="AP290" i="5"/>
  <c r="AP291" i="5"/>
  <c r="AP292" i="5"/>
  <c r="AP293" i="5"/>
  <c r="AP294" i="5"/>
  <c r="AP295" i="5"/>
  <c r="AP296" i="5"/>
  <c r="AP297" i="5"/>
  <c r="AP298" i="5"/>
  <c r="AP299" i="5"/>
  <c r="AP300" i="5"/>
  <c r="AP301" i="5"/>
  <c r="AP302" i="5"/>
  <c r="AP303" i="5"/>
  <c r="AP304" i="5"/>
  <c r="AP305" i="5"/>
  <c r="AP306" i="5"/>
  <c r="AP307" i="5"/>
  <c r="AP308" i="5"/>
  <c r="AP309" i="5"/>
  <c r="BH220" i="5"/>
  <c r="BD220" i="5"/>
  <c r="BH221" i="5"/>
  <c r="BH223" i="5"/>
  <c r="BD223" i="5"/>
  <c r="AK219" i="5"/>
  <c r="AK220" i="5"/>
  <c r="AK221" i="5"/>
  <c r="AK222" i="5"/>
  <c r="AK223" i="5"/>
  <c r="AM219" i="5"/>
  <c r="AM220" i="5"/>
  <c r="AM221" i="5"/>
  <c r="AM223" i="5"/>
  <c r="BE219" i="5"/>
  <c r="BE220" i="5"/>
  <c r="BE221" i="5"/>
  <c r="BE222" i="5"/>
  <c r="BE223" i="5"/>
  <c r="BF219" i="5"/>
  <c r="BF220" i="5"/>
  <c r="BF221" i="5"/>
  <c r="BF222" i="5"/>
  <c r="BF223" i="5"/>
  <c r="BG219" i="5"/>
  <c r="BC219" i="5"/>
  <c r="BG220" i="5"/>
  <c r="BC220" i="5"/>
  <c r="BG221" i="5"/>
  <c r="BC221" i="5"/>
  <c r="BG222" i="5"/>
  <c r="BC222" i="5"/>
  <c r="BG223" i="5"/>
  <c r="BC223" i="5"/>
  <c r="BI219" i="5"/>
  <c r="BI220" i="5"/>
  <c r="BI221" i="5"/>
  <c r="BI222" i="5"/>
  <c r="BI223" i="5"/>
  <c r="BJ219" i="5"/>
  <c r="BJ220" i="5"/>
  <c r="BJ221" i="5"/>
  <c r="BJ222" i="5"/>
  <c r="BJ223" i="5"/>
  <c r="BK219" i="5"/>
  <c r="BK220" i="5"/>
  <c r="BK221" i="5"/>
  <c r="BK222" i="5"/>
  <c r="BK223" i="5"/>
  <c r="BN219" i="5"/>
  <c r="BN220" i="5"/>
  <c r="BN221" i="5"/>
  <c r="BN222" i="5"/>
  <c r="BN223" i="5"/>
  <c r="BQ219" i="5"/>
  <c r="BQ220" i="5"/>
  <c r="BQ221" i="5"/>
  <c r="BQ222" i="5"/>
  <c r="BQ223" i="5"/>
  <c r="BS219" i="5"/>
  <c r="BS220" i="5"/>
  <c r="BS221" i="5"/>
  <c r="BS222" i="5"/>
  <c r="BS223" i="5"/>
  <c r="BT219" i="5"/>
  <c r="BT220" i="5"/>
  <c r="BT221" i="5"/>
  <c r="BT222" i="5"/>
  <c r="BT223" i="5"/>
  <c r="BU219" i="5"/>
  <c r="BU220" i="5"/>
  <c r="BU221" i="5"/>
  <c r="BU222" i="5"/>
  <c r="BU223" i="5"/>
  <c r="BV219" i="5"/>
  <c r="BV220" i="5"/>
  <c r="BV221" i="5"/>
  <c r="BV222" i="5"/>
  <c r="BV223" i="5"/>
  <c r="AK224" i="5"/>
  <c r="AK225" i="5"/>
  <c r="AM224" i="5"/>
  <c r="AM225" i="5"/>
  <c r="BE224" i="5"/>
  <c r="BE225" i="5"/>
  <c r="BF224" i="5"/>
  <c r="BF225" i="5"/>
  <c r="BG224" i="5"/>
  <c r="BC224" i="5"/>
  <c r="BG225" i="5"/>
  <c r="BC225" i="5"/>
  <c r="BH225" i="5"/>
  <c r="BI225" i="5"/>
  <c r="BR225" i="5"/>
  <c r="BI224" i="5"/>
  <c r="BJ224" i="5"/>
  <c r="BJ225" i="5"/>
  <c r="BK224" i="5"/>
  <c r="BK225" i="5"/>
  <c r="BN224" i="5"/>
  <c r="BN225" i="5"/>
  <c r="BQ224" i="5"/>
  <c r="BQ225" i="5"/>
  <c r="BS224" i="5"/>
  <c r="BS225" i="5"/>
  <c r="BT224" i="5"/>
  <c r="BT225" i="5"/>
  <c r="BU224" i="5"/>
  <c r="BU225" i="5"/>
  <c r="BV224" i="5"/>
  <c r="BV225" i="5"/>
  <c r="AK226" i="5"/>
  <c r="AK227" i="5"/>
  <c r="AM226" i="5"/>
  <c r="AM227" i="5"/>
  <c r="BE226" i="5"/>
  <c r="BE227" i="5"/>
  <c r="BF226" i="5"/>
  <c r="BF227" i="5"/>
  <c r="BG226" i="5"/>
  <c r="BC226" i="5"/>
  <c r="BG227" i="5"/>
  <c r="BC227" i="5"/>
  <c r="BH226" i="5"/>
  <c r="BD226" i="5"/>
  <c r="BI226" i="5"/>
  <c r="BI227" i="5"/>
  <c r="BJ226" i="5"/>
  <c r="BJ227" i="5"/>
  <c r="BK226" i="5"/>
  <c r="BK227" i="5"/>
  <c r="BN226" i="5"/>
  <c r="BN227" i="5"/>
  <c r="BQ226" i="5"/>
  <c r="BQ227" i="5"/>
  <c r="BS226" i="5"/>
  <c r="BS227" i="5"/>
  <c r="BT226" i="5"/>
  <c r="BT227" i="5"/>
  <c r="BU226" i="5"/>
  <c r="BU227" i="5"/>
  <c r="BV226" i="5"/>
  <c r="BV227" i="5"/>
  <c r="BH293" i="5"/>
  <c r="BH296" i="5"/>
  <c r="BD296" i="5"/>
  <c r="AK292" i="5"/>
  <c r="AK293" i="5"/>
  <c r="AK294" i="5"/>
  <c r="AK295" i="5"/>
  <c r="AK296" i="5"/>
  <c r="AM292" i="5"/>
  <c r="AM293" i="5"/>
  <c r="AM294" i="5"/>
  <c r="AM295" i="5"/>
  <c r="AM296" i="5"/>
  <c r="BE292" i="5"/>
  <c r="BE293" i="5"/>
  <c r="BE294" i="5"/>
  <c r="BE295" i="5"/>
  <c r="BE296" i="5"/>
  <c r="BF292" i="5"/>
  <c r="BF293" i="5"/>
  <c r="BF294" i="5"/>
  <c r="BF295" i="5"/>
  <c r="BF296" i="5"/>
  <c r="BG292" i="5"/>
  <c r="BC292" i="5"/>
  <c r="BG293" i="5"/>
  <c r="BC293" i="5"/>
  <c r="BG294" i="5"/>
  <c r="BC294" i="5"/>
  <c r="BG295" i="5"/>
  <c r="BC295" i="5"/>
  <c r="BG296" i="5"/>
  <c r="BC296" i="5"/>
  <c r="BH294" i="5"/>
  <c r="BI294" i="5"/>
  <c r="BR294" i="5"/>
  <c r="BH295" i="5"/>
  <c r="BD295" i="5"/>
  <c r="BI292" i="5"/>
  <c r="BI293" i="5"/>
  <c r="BI295" i="5"/>
  <c r="BI296" i="5"/>
  <c r="BJ292" i="5"/>
  <c r="BJ293" i="5"/>
  <c r="BJ294" i="5"/>
  <c r="BJ295" i="5"/>
  <c r="BJ296" i="5"/>
  <c r="BK292" i="5"/>
  <c r="BK293" i="5"/>
  <c r="BK294" i="5"/>
  <c r="BK295" i="5"/>
  <c r="BK296" i="5"/>
  <c r="BL292" i="5"/>
  <c r="BM292" i="5"/>
  <c r="BL293" i="5"/>
  <c r="BM293" i="5"/>
  <c r="BL294" i="5"/>
  <c r="BM294" i="5"/>
  <c r="BL295" i="5"/>
  <c r="BM295" i="5"/>
  <c r="BL296" i="5"/>
  <c r="BM296" i="5"/>
  <c r="BN292" i="5"/>
  <c r="BN293" i="5"/>
  <c r="BN294" i="5"/>
  <c r="BN295" i="5"/>
  <c r="BN296" i="5"/>
  <c r="BO292" i="5"/>
  <c r="BP292" i="5"/>
  <c r="BO293" i="5"/>
  <c r="BP293" i="5"/>
  <c r="BO294" i="5"/>
  <c r="BP294" i="5"/>
  <c r="BO295" i="5"/>
  <c r="BP295" i="5"/>
  <c r="BO296" i="5"/>
  <c r="BP296" i="5"/>
  <c r="BQ292" i="5"/>
  <c r="BQ293" i="5"/>
  <c r="BQ294" i="5"/>
  <c r="BQ295" i="5"/>
  <c r="BQ296" i="5"/>
  <c r="BS292" i="5"/>
  <c r="BS293" i="5"/>
  <c r="BS294" i="5"/>
  <c r="BS295" i="5"/>
  <c r="BS296" i="5"/>
  <c r="BT292" i="5"/>
  <c r="BT293" i="5"/>
  <c r="BT294" i="5"/>
  <c r="BT295" i="5"/>
  <c r="BT296" i="5"/>
  <c r="BU292" i="5"/>
  <c r="BU293" i="5"/>
  <c r="BU294" i="5"/>
  <c r="BU295" i="5"/>
  <c r="BU296" i="5"/>
  <c r="BV292" i="5"/>
  <c r="BV293" i="5"/>
  <c r="BV294" i="5"/>
  <c r="BV295" i="5"/>
  <c r="BV296" i="5"/>
  <c r="BH264" i="5"/>
  <c r="BD264" i="5"/>
  <c r="BH265" i="5"/>
  <c r="BH266" i="5"/>
  <c r="BD266" i="5"/>
  <c r="BH268" i="5"/>
  <c r="BD268" i="5"/>
  <c r="AK264" i="5"/>
  <c r="AK265" i="5"/>
  <c r="AK266" i="5"/>
  <c r="AK267" i="5"/>
  <c r="AK268" i="5"/>
  <c r="AM264" i="5"/>
  <c r="AM265" i="5"/>
  <c r="AM266" i="5"/>
  <c r="AM267" i="5"/>
  <c r="AM268" i="5"/>
  <c r="BE264" i="5"/>
  <c r="BE265" i="5"/>
  <c r="BE266" i="5"/>
  <c r="BE267" i="5"/>
  <c r="BE268" i="5"/>
  <c r="BF264" i="5"/>
  <c r="BF265" i="5"/>
  <c r="BF266" i="5"/>
  <c r="BF267" i="5"/>
  <c r="BF268" i="5"/>
  <c r="BG264" i="5"/>
  <c r="BC264" i="5"/>
  <c r="BG265" i="5"/>
  <c r="BC265" i="5"/>
  <c r="BG266" i="5"/>
  <c r="BC266" i="5"/>
  <c r="BG267" i="5"/>
  <c r="BC267" i="5"/>
  <c r="BG268" i="5"/>
  <c r="BC268" i="5"/>
  <c r="BH267" i="5"/>
  <c r="BD267" i="5"/>
  <c r="BI264" i="5"/>
  <c r="BI265" i="5"/>
  <c r="BI266" i="5"/>
  <c r="BI267" i="5"/>
  <c r="BI268" i="5"/>
  <c r="BJ264" i="5"/>
  <c r="BJ265" i="5"/>
  <c r="BJ266" i="5"/>
  <c r="BJ267" i="5"/>
  <c r="BJ268" i="5"/>
  <c r="BK264" i="5"/>
  <c r="BK265" i="5"/>
  <c r="BK266" i="5"/>
  <c r="BK267" i="5"/>
  <c r="BK268" i="5"/>
  <c r="BL264" i="5"/>
  <c r="BM264" i="5"/>
  <c r="BL265" i="5"/>
  <c r="BM265" i="5"/>
  <c r="BL266" i="5"/>
  <c r="BM266" i="5"/>
  <c r="BL267" i="5"/>
  <c r="BM267" i="5"/>
  <c r="BL268" i="5"/>
  <c r="BM268" i="5"/>
  <c r="BN264" i="5"/>
  <c r="BN265" i="5"/>
  <c r="BN266" i="5"/>
  <c r="BN267" i="5"/>
  <c r="BN268" i="5"/>
  <c r="BO264" i="5"/>
  <c r="BP264" i="5"/>
  <c r="BO265" i="5"/>
  <c r="BP265" i="5"/>
  <c r="BO266" i="5"/>
  <c r="BP266" i="5"/>
  <c r="BO267" i="5"/>
  <c r="BP267" i="5"/>
  <c r="BO268" i="5"/>
  <c r="BP268" i="5"/>
  <c r="BQ264" i="5"/>
  <c r="BQ265" i="5"/>
  <c r="BQ266" i="5"/>
  <c r="BQ267" i="5"/>
  <c r="BQ268" i="5"/>
  <c r="BS264" i="5"/>
  <c r="BS265" i="5"/>
  <c r="BS266" i="5"/>
  <c r="BS267" i="5"/>
  <c r="BS268" i="5"/>
  <c r="BT264" i="5"/>
  <c r="BT265" i="5"/>
  <c r="BT266" i="5"/>
  <c r="BT267" i="5"/>
  <c r="BT268" i="5"/>
  <c r="BU264" i="5"/>
  <c r="BU265" i="5"/>
  <c r="BU266" i="5"/>
  <c r="BU267" i="5"/>
  <c r="BU268" i="5"/>
  <c r="BV264" i="5"/>
  <c r="BV265" i="5"/>
  <c r="BV266" i="5"/>
  <c r="BV267" i="5"/>
  <c r="BV268" i="5"/>
  <c r="AK229" i="5"/>
  <c r="AM229" i="5"/>
  <c r="BE229" i="5"/>
  <c r="BF229" i="5"/>
  <c r="BG229" i="5"/>
  <c r="BC229" i="5"/>
  <c r="BI229" i="5"/>
  <c r="BJ229" i="5"/>
  <c r="BK229" i="5"/>
  <c r="BN229" i="5"/>
  <c r="BQ229" i="5"/>
  <c r="BS229" i="5"/>
  <c r="BT229" i="5"/>
  <c r="BU229" i="5"/>
  <c r="BV229" i="5"/>
  <c r="BH230" i="5"/>
  <c r="AK230" i="5"/>
  <c r="AM230" i="5"/>
  <c r="BE230" i="5"/>
  <c r="BF230" i="5"/>
  <c r="BG230" i="5"/>
  <c r="BC230" i="5"/>
  <c r="BI230" i="5"/>
  <c r="BJ230" i="5"/>
  <c r="BK230" i="5"/>
  <c r="BN230" i="5"/>
  <c r="BQ230" i="5"/>
  <c r="BS230" i="5"/>
  <c r="BT230" i="5"/>
  <c r="BU230" i="5"/>
  <c r="BV230" i="5"/>
  <c r="BH231" i="5"/>
  <c r="AK231" i="5"/>
  <c r="AM231" i="5"/>
  <c r="BE231" i="5"/>
  <c r="BF231" i="5"/>
  <c r="BG231" i="5"/>
  <c r="BC231" i="5"/>
  <c r="BI231" i="5"/>
  <c r="BJ231" i="5"/>
  <c r="BK231" i="5"/>
  <c r="BN231" i="5"/>
  <c r="BQ231" i="5"/>
  <c r="BS231" i="5"/>
  <c r="BT231" i="5"/>
  <c r="BU231" i="5"/>
  <c r="BV231" i="5"/>
  <c r="BH232" i="5"/>
  <c r="AK232" i="5"/>
  <c r="AM232" i="5"/>
  <c r="BE232" i="5"/>
  <c r="BF232" i="5"/>
  <c r="BG232" i="5"/>
  <c r="BC232" i="5"/>
  <c r="BI232" i="5"/>
  <c r="BJ232" i="5"/>
  <c r="BK232" i="5"/>
  <c r="BN232" i="5"/>
  <c r="BQ232" i="5"/>
  <c r="BS232" i="5"/>
  <c r="BT232" i="5"/>
  <c r="BU232" i="5"/>
  <c r="BV232" i="5"/>
  <c r="BH233" i="5"/>
  <c r="AK233" i="5"/>
  <c r="AM233" i="5"/>
  <c r="BE233" i="5"/>
  <c r="BF233" i="5"/>
  <c r="BG233" i="5"/>
  <c r="BC233" i="5"/>
  <c r="BI233" i="5"/>
  <c r="BJ233" i="5"/>
  <c r="BK233" i="5"/>
  <c r="BN233" i="5"/>
  <c r="BQ233" i="5"/>
  <c r="BS233" i="5"/>
  <c r="BT233" i="5"/>
  <c r="BU233" i="5"/>
  <c r="BV233" i="5"/>
  <c r="AP212" i="5"/>
  <c r="AP213" i="5"/>
  <c r="AP214" i="5"/>
  <c r="AP215" i="5"/>
  <c r="AP216" i="5"/>
  <c r="AP217" i="5"/>
  <c r="AK215" i="5"/>
  <c r="AM215" i="5"/>
  <c r="BE215" i="5"/>
  <c r="BF215" i="5"/>
  <c r="BG215" i="5"/>
  <c r="BC215" i="5"/>
  <c r="BJ215" i="5"/>
  <c r="BK215" i="5"/>
  <c r="BN215" i="5"/>
  <c r="BQ215" i="5"/>
  <c r="BS215" i="5"/>
  <c r="BT215" i="5"/>
  <c r="BU215" i="5"/>
  <c r="BV215" i="5"/>
  <c r="BH216" i="5"/>
  <c r="AK216" i="5"/>
  <c r="AM216" i="5"/>
  <c r="BE216" i="5"/>
  <c r="BF216" i="5"/>
  <c r="BG216" i="5"/>
  <c r="BC216" i="5"/>
  <c r="BI216" i="5"/>
  <c r="BJ216" i="5"/>
  <c r="BK216" i="5"/>
  <c r="BN216" i="5"/>
  <c r="BQ216" i="5"/>
  <c r="BS216" i="5"/>
  <c r="BT216" i="5"/>
  <c r="BU216" i="5"/>
  <c r="BV216" i="5"/>
  <c r="BH217" i="5"/>
  <c r="BD217" i="5"/>
  <c r="AK217" i="5"/>
  <c r="AM217" i="5"/>
  <c r="BE217" i="5"/>
  <c r="BF217" i="5"/>
  <c r="BG217" i="5"/>
  <c r="BC217" i="5"/>
  <c r="BI217" i="5"/>
  <c r="BJ217" i="5"/>
  <c r="BK217" i="5"/>
  <c r="BN217" i="5"/>
  <c r="BQ217" i="5"/>
  <c r="BS217" i="5"/>
  <c r="BT217" i="5"/>
  <c r="BU217" i="5"/>
  <c r="BV217" i="5"/>
  <c r="BH218" i="5"/>
  <c r="BD218" i="5"/>
  <c r="AK218" i="5"/>
  <c r="AM218" i="5"/>
  <c r="BE218" i="5"/>
  <c r="BF218" i="5"/>
  <c r="BG218" i="5"/>
  <c r="BC218" i="5"/>
  <c r="BI218" i="5"/>
  <c r="BJ218" i="5"/>
  <c r="BK218" i="5"/>
  <c r="BN218" i="5"/>
  <c r="BQ218" i="5"/>
  <c r="BS218" i="5"/>
  <c r="BT218" i="5"/>
  <c r="BU218" i="5"/>
  <c r="BV218" i="5"/>
  <c r="BH309" i="5"/>
  <c r="BD309" i="5"/>
  <c r="AK309" i="5"/>
  <c r="AM309" i="5"/>
  <c r="BE309" i="5"/>
  <c r="BF309" i="5"/>
  <c r="BG309" i="5"/>
  <c r="BC309" i="5"/>
  <c r="BI309" i="5"/>
  <c r="BJ309" i="5"/>
  <c r="BK309" i="5"/>
  <c r="BL309" i="5"/>
  <c r="BM309" i="5"/>
  <c r="BN309" i="5"/>
  <c r="BO309" i="5"/>
  <c r="BP309" i="5"/>
  <c r="BQ309" i="5"/>
  <c r="BS309" i="5"/>
  <c r="BT309" i="5"/>
  <c r="BU309" i="5"/>
  <c r="BV309" i="5"/>
  <c r="BD231" i="5"/>
  <c r="BR293" i="5"/>
  <c r="BD215" i="5"/>
  <c r="BR292" i="5"/>
  <c r="BR264" i="5"/>
  <c r="BD293" i="5"/>
  <c r="BD216" i="5"/>
  <c r="P2" i="5"/>
  <c r="AP2" i="5"/>
  <c r="AP3" i="5"/>
  <c r="AP4" i="5"/>
  <c r="AP5" i="5"/>
  <c r="AP6" i="5"/>
  <c r="AP7" i="5"/>
  <c r="AP8" i="5"/>
  <c r="AP9" i="5"/>
  <c r="AP10" i="5"/>
  <c r="AP11" i="5"/>
  <c r="AP12" i="5"/>
  <c r="AP13" i="5"/>
  <c r="AP14" i="5"/>
  <c r="AP15" i="5"/>
  <c r="AP16" i="5"/>
  <c r="AP17" i="5"/>
  <c r="AP18" i="5"/>
  <c r="AP19" i="5"/>
  <c r="AP20" i="5"/>
  <c r="AP21" i="5"/>
  <c r="AP22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P35" i="5"/>
  <c r="AP36" i="5"/>
  <c r="AP37" i="5"/>
  <c r="AP38" i="5"/>
  <c r="AP39" i="5"/>
  <c r="AP40" i="5"/>
  <c r="AP41" i="5"/>
  <c r="AP42" i="5"/>
  <c r="AP43" i="5"/>
  <c r="AP44" i="5"/>
  <c r="AP45" i="5"/>
  <c r="AP46" i="5"/>
  <c r="AP47" i="5"/>
  <c r="AP48" i="5"/>
  <c r="AP49" i="5"/>
  <c r="AP50" i="5"/>
  <c r="AP51" i="5"/>
  <c r="AP52" i="5"/>
  <c r="AP53" i="5"/>
  <c r="AP54" i="5"/>
  <c r="AP55" i="5"/>
  <c r="AP56" i="5"/>
  <c r="AP57" i="5"/>
  <c r="AP58" i="5"/>
  <c r="AP59" i="5"/>
  <c r="AP60" i="5"/>
  <c r="AP61" i="5"/>
  <c r="AP62" i="5"/>
  <c r="AP63" i="5"/>
  <c r="AP64" i="5"/>
  <c r="AP65" i="5"/>
  <c r="AP66" i="5"/>
  <c r="AP67" i="5"/>
  <c r="AP68" i="5"/>
  <c r="AP69" i="5"/>
  <c r="AP70" i="5"/>
  <c r="AP71" i="5"/>
  <c r="AP72" i="5"/>
  <c r="AP73" i="5"/>
  <c r="AP74" i="5"/>
  <c r="AP75" i="5"/>
  <c r="AP76" i="5"/>
  <c r="AP77" i="5"/>
  <c r="AP78" i="5"/>
  <c r="AP79" i="5"/>
  <c r="AP80" i="5"/>
  <c r="AP81" i="5"/>
  <c r="AP82" i="5"/>
  <c r="AP83" i="5"/>
  <c r="AP84" i="5"/>
  <c r="AP85" i="5"/>
  <c r="AP86" i="5"/>
  <c r="AP87" i="5"/>
  <c r="AP88" i="5"/>
  <c r="AP89" i="5"/>
  <c r="AP90" i="5"/>
  <c r="AP91" i="5"/>
  <c r="AP92" i="5"/>
  <c r="AP93" i="5"/>
  <c r="AP94" i="5"/>
  <c r="AP95" i="5"/>
  <c r="AP96" i="5"/>
  <c r="AP97" i="5"/>
  <c r="AP98" i="5"/>
  <c r="AP99" i="5"/>
  <c r="AP100" i="5"/>
  <c r="AP101" i="5"/>
  <c r="AP102" i="5"/>
  <c r="AP103" i="5"/>
  <c r="AP104" i="5"/>
  <c r="AP105" i="5"/>
  <c r="AP106" i="5"/>
  <c r="AP107" i="5"/>
  <c r="AP108" i="5"/>
  <c r="AP109" i="5"/>
  <c r="AP110" i="5"/>
  <c r="AP111" i="5"/>
  <c r="AP112" i="5"/>
  <c r="AP113" i="5"/>
  <c r="AP114" i="5"/>
  <c r="AP115" i="5"/>
  <c r="AP116" i="5"/>
  <c r="AP117" i="5"/>
  <c r="AP118" i="5"/>
  <c r="AP119" i="5"/>
  <c r="AP120" i="5"/>
  <c r="AP121" i="5"/>
  <c r="AP122" i="5"/>
  <c r="AP123" i="5"/>
  <c r="AP124" i="5"/>
  <c r="AP125" i="5"/>
  <c r="AP126" i="5"/>
  <c r="AP127" i="5"/>
  <c r="AP128" i="5"/>
  <c r="AP129" i="5"/>
  <c r="AP130" i="5"/>
  <c r="AP131" i="5"/>
  <c r="AP132" i="5"/>
  <c r="AP133" i="5"/>
  <c r="AP134" i="5"/>
  <c r="AP135" i="5"/>
  <c r="AP136" i="5"/>
  <c r="AP137" i="5"/>
  <c r="AP138" i="5"/>
  <c r="AP139" i="5"/>
  <c r="AP140" i="5"/>
  <c r="AP141" i="5"/>
  <c r="AP142" i="5"/>
  <c r="AP143" i="5"/>
  <c r="AP144" i="5"/>
  <c r="AP145" i="5"/>
  <c r="AP146" i="5"/>
  <c r="AP147" i="5"/>
  <c r="AP148" i="5"/>
  <c r="AP149" i="5"/>
  <c r="AP150" i="5"/>
  <c r="AP151" i="5"/>
  <c r="AP152" i="5"/>
  <c r="AP153" i="5"/>
  <c r="AP154" i="5"/>
  <c r="AP155" i="5"/>
  <c r="AP156" i="5"/>
  <c r="AP157" i="5"/>
  <c r="AP158" i="5"/>
  <c r="AP159" i="5"/>
  <c r="AP160" i="5"/>
  <c r="AP161" i="5"/>
  <c r="AP162" i="5"/>
  <c r="AP163" i="5"/>
  <c r="AP164" i="5"/>
  <c r="AP165" i="5"/>
  <c r="AP166" i="5"/>
  <c r="AP167" i="5"/>
  <c r="AP168" i="5"/>
  <c r="AP169" i="5"/>
  <c r="AP170" i="5"/>
  <c r="AP171" i="5"/>
  <c r="AP172" i="5"/>
  <c r="AP173" i="5"/>
  <c r="AP174" i="5"/>
  <c r="AP175" i="5"/>
  <c r="AP176" i="5"/>
  <c r="AP177" i="5"/>
  <c r="AP178" i="5"/>
  <c r="AP179" i="5"/>
  <c r="AP180" i="5"/>
  <c r="AP181" i="5"/>
  <c r="AP182" i="5"/>
  <c r="AP183" i="5"/>
  <c r="AP184" i="5"/>
  <c r="AP185" i="5"/>
  <c r="AP186" i="5"/>
  <c r="AP187" i="5"/>
  <c r="AP188" i="5"/>
  <c r="AP189" i="5"/>
  <c r="AP190" i="5"/>
  <c r="AP191" i="5"/>
  <c r="AP192" i="5"/>
  <c r="AP193" i="5"/>
  <c r="AP194" i="5"/>
  <c r="AP195" i="5"/>
  <c r="AP196" i="5"/>
  <c r="AP197" i="5"/>
  <c r="AP198" i="5"/>
  <c r="AP199" i="5"/>
  <c r="AP200" i="5"/>
  <c r="AP201" i="5"/>
  <c r="AP202" i="5"/>
  <c r="AP203" i="5"/>
  <c r="AP204" i="5"/>
  <c r="AP205" i="5"/>
  <c r="AP206" i="5"/>
  <c r="AP207" i="5"/>
  <c r="AP208" i="5"/>
  <c r="AP209" i="5"/>
  <c r="AP210" i="5"/>
  <c r="AP211" i="5"/>
  <c r="BF308" i="5"/>
  <c r="BF307" i="5"/>
  <c r="BF306" i="5"/>
  <c r="BF305" i="5"/>
  <c r="BF304" i="5"/>
  <c r="BF303" i="5"/>
  <c r="BF302" i="5"/>
  <c r="BF301" i="5"/>
  <c r="BF300" i="5"/>
  <c r="BF299" i="5"/>
  <c r="BF298" i="5"/>
  <c r="BF297" i="5"/>
  <c r="BF291" i="5"/>
  <c r="BF290" i="5"/>
  <c r="BF289" i="5"/>
  <c r="BF288" i="5"/>
  <c r="BF287" i="5"/>
  <c r="BF280" i="5"/>
  <c r="BF276" i="5"/>
  <c r="BF275" i="5"/>
  <c r="BF274" i="5"/>
  <c r="BF273" i="5"/>
  <c r="BF272" i="5"/>
  <c r="BF271" i="5"/>
  <c r="BF270" i="5"/>
  <c r="BF269" i="5"/>
  <c r="BF263" i="5"/>
  <c r="BF262" i="5"/>
  <c r="BF261" i="5"/>
  <c r="BF260" i="5"/>
  <c r="BF259" i="5"/>
  <c r="BF244" i="5"/>
  <c r="BF243" i="5"/>
  <c r="BF242" i="5"/>
  <c r="BF241" i="5"/>
  <c r="BF240" i="5"/>
  <c r="BF239" i="5"/>
  <c r="BF238" i="5"/>
  <c r="BF237" i="5"/>
  <c r="BF236" i="5"/>
  <c r="BF235" i="5"/>
  <c r="BF234" i="5"/>
  <c r="BF228" i="5"/>
  <c r="BF214" i="5"/>
  <c r="BF213" i="5"/>
  <c r="BF212" i="5"/>
  <c r="BF211" i="5"/>
  <c r="BF210" i="5"/>
  <c r="BF209" i="5"/>
  <c r="BF208" i="5"/>
  <c r="BF207" i="5"/>
  <c r="BF206" i="5"/>
  <c r="BF205" i="5"/>
  <c r="BF204" i="5"/>
  <c r="BF203" i="5"/>
  <c r="BF202" i="5"/>
  <c r="BF201" i="5"/>
  <c r="BF200" i="5"/>
  <c r="BF199" i="5"/>
  <c r="BF198" i="5"/>
  <c r="BF197" i="5"/>
  <c r="BF196" i="5"/>
  <c r="BF195" i="5"/>
  <c r="BF194" i="5"/>
  <c r="BF193" i="5"/>
  <c r="BF192" i="5"/>
  <c r="BF191" i="5"/>
  <c r="BF190" i="5"/>
  <c r="BF189" i="5"/>
  <c r="BF188" i="5"/>
  <c r="BF187" i="5"/>
  <c r="BF186" i="5"/>
  <c r="BF185" i="5"/>
  <c r="BF184" i="5"/>
  <c r="BF183" i="5"/>
  <c r="BF182" i="5"/>
  <c r="BF181" i="5"/>
  <c r="BF180" i="5"/>
  <c r="BF179" i="5"/>
  <c r="BF178" i="5"/>
  <c r="BF177" i="5"/>
  <c r="BF176" i="5"/>
  <c r="BF175" i="5"/>
  <c r="BF174" i="5"/>
  <c r="BF173" i="5"/>
  <c r="BF172" i="5"/>
  <c r="BF171" i="5"/>
  <c r="BF170" i="5"/>
  <c r="BF169" i="5"/>
  <c r="BF168" i="5"/>
  <c r="BF167" i="5"/>
  <c r="BF166" i="5"/>
  <c r="BF165" i="5"/>
  <c r="BF164" i="5"/>
  <c r="BF163" i="5"/>
  <c r="BF162" i="5"/>
  <c r="BF161" i="5"/>
  <c r="BF160" i="5"/>
  <c r="BF159" i="5"/>
  <c r="BF158" i="5"/>
  <c r="BF157" i="5"/>
  <c r="BF156" i="5"/>
  <c r="BF155" i="5"/>
  <c r="BF154" i="5"/>
  <c r="BF153" i="5"/>
  <c r="BF152" i="5"/>
  <c r="BF151" i="5"/>
  <c r="BF150" i="5"/>
  <c r="BF149" i="5"/>
  <c r="BF148" i="5"/>
  <c r="BF147" i="5"/>
  <c r="BF146" i="5"/>
  <c r="BF145" i="5"/>
  <c r="BF144" i="5"/>
  <c r="BF143" i="5"/>
  <c r="BF142" i="5"/>
  <c r="BF141" i="5"/>
  <c r="BF140" i="5"/>
  <c r="BF139" i="5"/>
  <c r="BF138" i="5"/>
  <c r="BF137" i="5"/>
  <c r="BF136" i="5"/>
  <c r="BF135" i="5"/>
  <c r="BF134" i="5"/>
  <c r="BF133" i="5"/>
  <c r="BF132" i="5"/>
  <c r="BF131" i="5"/>
  <c r="BF130" i="5"/>
  <c r="BF129" i="5"/>
  <c r="BF128" i="5"/>
  <c r="BF127" i="5"/>
  <c r="BF126" i="5"/>
  <c r="BF125" i="5"/>
  <c r="BF124" i="5"/>
  <c r="BF123" i="5"/>
  <c r="BF122" i="5"/>
  <c r="BF121" i="5"/>
  <c r="BF120" i="5"/>
  <c r="BF119" i="5"/>
  <c r="BF118" i="5"/>
  <c r="BF117" i="5"/>
  <c r="BF116" i="5"/>
  <c r="BF115" i="5"/>
  <c r="BF114" i="5"/>
  <c r="BF113" i="5"/>
  <c r="BF112" i="5"/>
  <c r="BF111" i="5"/>
  <c r="BF110" i="5"/>
  <c r="BF109" i="5"/>
  <c r="BF108" i="5"/>
  <c r="BF107" i="5"/>
  <c r="BF106" i="5"/>
  <c r="BF105" i="5"/>
  <c r="BF104" i="5"/>
  <c r="BF103" i="5"/>
  <c r="BF102" i="5"/>
  <c r="BF101" i="5"/>
  <c r="BF100" i="5"/>
  <c r="BF99" i="5"/>
  <c r="BF98" i="5"/>
  <c r="BF97" i="5"/>
  <c r="BF96" i="5"/>
  <c r="BF95" i="5"/>
  <c r="BF94" i="5"/>
  <c r="BF93" i="5"/>
  <c r="BF92" i="5"/>
  <c r="BF91" i="5"/>
  <c r="BF90" i="5"/>
  <c r="BF89" i="5"/>
  <c r="BF88" i="5"/>
  <c r="BF87" i="5"/>
  <c r="BF86" i="5"/>
  <c r="BF85" i="5"/>
  <c r="BF84" i="5"/>
  <c r="BF83" i="5"/>
  <c r="BF82" i="5"/>
  <c r="BF81" i="5"/>
  <c r="BF80" i="5"/>
  <c r="BF79" i="5"/>
  <c r="BF78" i="5"/>
  <c r="BF77" i="5"/>
  <c r="BF76" i="5"/>
  <c r="BF75" i="5"/>
  <c r="BF74" i="5"/>
  <c r="BF73" i="5"/>
  <c r="BF72" i="5"/>
  <c r="BF71" i="5"/>
  <c r="BF70" i="5"/>
  <c r="BF69" i="5"/>
  <c r="BF68" i="5"/>
  <c r="BF67" i="5"/>
  <c r="BF66" i="5"/>
  <c r="BF65" i="5"/>
  <c r="BF64" i="5"/>
  <c r="BF63" i="5"/>
  <c r="BF62" i="5"/>
  <c r="BF61" i="5"/>
  <c r="BF60" i="5"/>
  <c r="BF59" i="5"/>
  <c r="BF58" i="5"/>
  <c r="BF57" i="5"/>
  <c r="BF56" i="5"/>
  <c r="BF55" i="5"/>
  <c r="BF54" i="5"/>
  <c r="BF53" i="5"/>
  <c r="BF52" i="5"/>
  <c r="BF51" i="5"/>
  <c r="BF50" i="5"/>
  <c r="BF49" i="5"/>
  <c r="BF48" i="5"/>
  <c r="BF47" i="5"/>
  <c r="BF46" i="5"/>
  <c r="BF45" i="5"/>
  <c r="BF44" i="5"/>
  <c r="BF43" i="5"/>
  <c r="BF42" i="5"/>
  <c r="BF41" i="5"/>
  <c r="BF40" i="5"/>
  <c r="BF39" i="5"/>
  <c r="BF38" i="5"/>
  <c r="BF37" i="5"/>
  <c r="BF36" i="5"/>
  <c r="BF35" i="5"/>
  <c r="BF34" i="5"/>
  <c r="BF33" i="5"/>
  <c r="BF32" i="5"/>
  <c r="BF31" i="5"/>
  <c r="BF30" i="5"/>
  <c r="BF29" i="5"/>
  <c r="BF28" i="5"/>
  <c r="BF27" i="5"/>
  <c r="BF26" i="5"/>
  <c r="BF25" i="5"/>
  <c r="BF24" i="5"/>
  <c r="BF23" i="5"/>
  <c r="BF22" i="5"/>
  <c r="BF21" i="5"/>
  <c r="BF20" i="5"/>
  <c r="BF19" i="5"/>
  <c r="BF18" i="5"/>
  <c r="BF17" i="5"/>
  <c r="BF16" i="5"/>
  <c r="BF15" i="5"/>
  <c r="BF14" i="5"/>
  <c r="BF13" i="5"/>
  <c r="BF12" i="5"/>
  <c r="BF11" i="5"/>
  <c r="BF10" i="5"/>
  <c r="BF9" i="5"/>
  <c r="BF8" i="5"/>
  <c r="BF7" i="5"/>
  <c r="BF6" i="5"/>
  <c r="BF5" i="5"/>
  <c r="BF4" i="5"/>
  <c r="BF3" i="5"/>
  <c r="BF2" i="5"/>
  <c r="BH203" i="5"/>
  <c r="BD207" i="5"/>
  <c r="BH228" i="5"/>
  <c r="BD228" i="5"/>
  <c r="BD234" i="5"/>
  <c r="BH236" i="5"/>
  <c r="BD236" i="5"/>
  <c r="BH238" i="5"/>
  <c r="BD238" i="5"/>
  <c r="BH239" i="5"/>
  <c r="BH240" i="5"/>
  <c r="BD240" i="5"/>
  <c r="BD241" i="5"/>
  <c r="BH242" i="5"/>
  <c r="BD242" i="5"/>
  <c r="BH260" i="5"/>
  <c r="BD260" i="5"/>
  <c r="BH261" i="5"/>
  <c r="BH262" i="5"/>
  <c r="BD262" i="5"/>
  <c r="BH269" i="5"/>
  <c r="BD269" i="5"/>
  <c r="BH270" i="5"/>
  <c r="BH272" i="5"/>
  <c r="BH273" i="5"/>
  <c r="BD273" i="5"/>
  <c r="BH274" i="5"/>
  <c r="BH275" i="5"/>
  <c r="BD275" i="5"/>
  <c r="BH280" i="5"/>
  <c r="BD280" i="5"/>
  <c r="BH287" i="5"/>
  <c r="BD288" i="5"/>
  <c r="BH289" i="5"/>
  <c r="BD289" i="5"/>
  <c r="BH291" i="5"/>
  <c r="BH304" i="5"/>
  <c r="BH308" i="5"/>
  <c r="BD308" i="5"/>
  <c r="BV288" i="5"/>
  <c r="BU288" i="5"/>
  <c r="BT288" i="5"/>
  <c r="BS288" i="5"/>
  <c r="BI288" i="5"/>
  <c r="BQ288" i="5"/>
  <c r="BO288" i="5"/>
  <c r="BP288" i="5"/>
  <c r="BN288" i="5"/>
  <c r="BL288" i="5"/>
  <c r="BM288" i="5"/>
  <c r="BK288" i="5"/>
  <c r="BJ288" i="5"/>
  <c r="BG288" i="5"/>
  <c r="BC288" i="5"/>
  <c r="BE288" i="5"/>
  <c r="AM288" i="5"/>
  <c r="AK288" i="5"/>
  <c r="BV287" i="5"/>
  <c r="BU287" i="5"/>
  <c r="BT287" i="5"/>
  <c r="BS287" i="5"/>
  <c r="BI287" i="5"/>
  <c r="BQ287" i="5"/>
  <c r="BO287" i="5"/>
  <c r="BP287" i="5"/>
  <c r="BN287" i="5"/>
  <c r="BL287" i="5"/>
  <c r="BM287" i="5"/>
  <c r="BK287" i="5"/>
  <c r="BJ287" i="5"/>
  <c r="BG287" i="5"/>
  <c r="BC287" i="5"/>
  <c r="BE287" i="5"/>
  <c r="AM287" i="5"/>
  <c r="AK287" i="5"/>
  <c r="BV280" i="5"/>
  <c r="BU280" i="5"/>
  <c r="BT280" i="5"/>
  <c r="BS280" i="5"/>
  <c r="BI280" i="5"/>
  <c r="BQ280" i="5"/>
  <c r="BO280" i="5"/>
  <c r="BP280" i="5"/>
  <c r="BN280" i="5"/>
  <c r="BL280" i="5"/>
  <c r="BM280" i="5"/>
  <c r="BK280" i="5"/>
  <c r="BJ280" i="5"/>
  <c r="BG280" i="5"/>
  <c r="BC280" i="5"/>
  <c r="BE280" i="5"/>
  <c r="AM280" i="5"/>
  <c r="AK280" i="5"/>
  <c r="BV276" i="5"/>
  <c r="BU276" i="5"/>
  <c r="BT276" i="5"/>
  <c r="BS276" i="5"/>
  <c r="BI276" i="5"/>
  <c r="BO276" i="5"/>
  <c r="BQ276" i="5"/>
  <c r="BP276" i="5"/>
  <c r="BL276" i="5"/>
  <c r="BN276" i="5"/>
  <c r="BM276" i="5"/>
  <c r="BK276" i="5"/>
  <c r="BJ276" i="5"/>
  <c r="BG276" i="5"/>
  <c r="BC276" i="5"/>
  <c r="BE276" i="5"/>
  <c r="AM276" i="5"/>
  <c r="AK276" i="5"/>
  <c r="BV275" i="5"/>
  <c r="BU275" i="5"/>
  <c r="BT275" i="5"/>
  <c r="BS275" i="5"/>
  <c r="BI275" i="5"/>
  <c r="BQ275" i="5"/>
  <c r="BO275" i="5"/>
  <c r="BP275" i="5"/>
  <c r="BN275" i="5"/>
  <c r="BL275" i="5"/>
  <c r="BM275" i="5"/>
  <c r="BK275" i="5"/>
  <c r="BJ275" i="5"/>
  <c r="BG275" i="5"/>
  <c r="BC275" i="5"/>
  <c r="BE275" i="5"/>
  <c r="AM275" i="5"/>
  <c r="AK275" i="5"/>
  <c r="BV274" i="5"/>
  <c r="BU274" i="5"/>
  <c r="BT274" i="5"/>
  <c r="BS274" i="5"/>
  <c r="BI274" i="5"/>
  <c r="BQ274" i="5"/>
  <c r="BO274" i="5"/>
  <c r="BP274" i="5"/>
  <c r="BN274" i="5"/>
  <c r="BL274" i="5"/>
  <c r="BM274" i="5"/>
  <c r="BK274" i="5"/>
  <c r="BJ274" i="5"/>
  <c r="BG274" i="5"/>
  <c r="BC274" i="5"/>
  <c r="BE274" i="5"/>
  <c r="AM274" i="5"/>
  <c r="AK274" i="5"/>
  <c r="BV273" i="5"/>
  <c r="BU273" i="5"/>
  <c r="BT273" i="5"/>
  <c r="BS273" i="5"/>
  <c r="BI273" i="5"/>
  <c r="BQ273" i="5"/>
  <c r="BO273" i="5"/>
  <c r="BP273" i="5"/>
  <c r="BN273" i="5"/>
  <c r="BL273" i="5"/>
  <c r="BM273" i="5"/>
  <c r="BK273" i="5"/>
  <c r="BJ273" i="5"/>
  <c r="BG273" i="5"/>
  <c r="BC273" i="5"/>
  <c r="BE273" i="5"/>
  <c r="AM273" i="5"/>
  <c r="AK273" i="5"/>
  <c r="BV272" i="5"/>
  <c r="BU272" i="5"/>
  <c r="BT272" i="5"/>
  <c r="BS272" i="5"/>
  <c r="BI272" i="5"/>
  <c r="BQ272" i="5"/>
  <c r="BO272" i="5"/>
  <c r="BP272" i="5"/>
  <c r="BN272" i="5"/>
  <c r="BL272" i="5"/>
  <c r="BM272" i="5"/>
  <c r="BK272" i="5"/>
  <c r="BJ272" i="5"/>
  <c r="BG272" i="5"/>
  <c r="BC272" i="5"/>
  <c r="BE272" i="5"/>
  <c r="AM272" i="5"/>
  <c r="AK272" i="5"/>
  <c r="BV271" i="5"/>
  <c r="BU271" i="5"/>
  <c r="BT271" i="5"/>
  <c r="BS271" i="5"/>
  <c r="BH271" i="5"/>
  <c r="BD271" i="5"/>
  <c r="BI271" i="5"/>
  <c r="BQ271" i="5"/>
  <c r="BO271" i="5"/>
  <c r="BP271" i="5"/>
  <c r="BN271" i="5"/>
  <c r="BL271" i="5"/>
  <c r="BM271" i="5"/>
  <c r="BK271" i="5"/>
  <c r="BJ271" i="5"/>
  <c r="BG271" i="5"/>
  <c r="BC271" i="5"/>
  <c r="BE271" i="5"/>
  <c r="AM271" i="5"/>
  <c r="AK271" i="5"/>
  <c r="BV270" i="5"/>
  <c r="BU270" i="5"/>
  <c r="BT270" i="5"/>
  <c r="BS270" i="5"/>
  <c r="BI270" i="5"/>
  <c r="BQ270" i="5"/>
  <c r="BO270" i="5"/>
  <c r="BP270" i="5"/>
  <c r="BN270" i="5"/>
  <c r="BL270" i="5"/>
  <c r="BM270" i="5"/>
  <c r="BK270" i="5"/>
  <c r="BJ270" i="5"/>
  <c r="BG270" i="5"/>
  <c r="BC270" i="5"/>
  <c r="BE270" i="5"/>
  <c r="AM270" i="5"/>
  <c r="AK270" i="5"/>
  <c r="BV269" i="5"/>
  <c r="BU269" i="5"/>
  <c r="BT269" i="5"/>
  <c r="BS269" i="5"/>
  <c r="BI269" i="5"/>
  <c r="BO269" i="5"/>
  <c r="BQ269" i="5"/>
  <c r="BP269" i="5"/>
  <c r="BL269" i="5"/>
  <c r="BN269" i="5"/>
  <c r="BM269" i="5"/>
  <c r="BK269" i="5"/>
  <c r="BJ269" i="5"/>
  <c r="BG269" i="5"/>
  <c r="BC269" i="5"/>
  <c r="BE269" i="5"/>
  <c r="AM269" i="5"/>
  <c r="AK269" i="5"/>
  <c r="BV263" i="5"/>
  <c r="BU263" i="5"/>
  <c r="BT263" i="5"/>
  <c r="BS263" i="5"/>
  <c r="BH263" i="5"/>
  <c r="BD263" i="5"/>
  <c r="BI263" i="5"/>
  <c r="BQ263" i="5"/>
  <c r="BO263" i="5"/>
  <c r="BP263" i="5"/>
  <c r="BN263" i="5"/>
  <c r="BL263" i="5"/>
  <c r="BM263" i="5"/>
  <c r="BK263" i="5"/>
  <c r="BJ263" i="5"/>
  <c r="BG263" i="5"/>
  <c r="BC263" i="5"/>
  <c r="BE263" i="5"/>
  <c r="AM263" i="5"/>
  <c r="AK263" i="5"/>
  <c r="BV262" i="5"/>
  <c r="BU262" i="5"/>
  <c r="BT262" i="5"/>
  <c r="BS262" i="5"/>
  <c r="BI262" i="5"/>
  <c r="BQ262" i="5"/>
  <c r="BO262" i="5"/>
  <c r="BP262" i="5"/>
  <c r="BN262" i="5"/>
  <c r="BL262" i="5"/>
  <c r="BM262" i="5"/>
  <c r="BK262" i="5"/>
  <c r="BJ262" i="5"/>
  <c r="BG262" i="5"/>
  <c r="BC262" i="5"/>
  <c r="BE262" i="5"/>
  <c r="AM262" i="5"/>
  <c r="AK262" i="5"/>
  <c r="BV261" i="5"/>
  <c r="BU261" i="5"/>
  <c r="BT261" i="5"/>
  <c r="BS261" i="5"/>
  <c r="BI261" i="5"/>
  <c r="BO261" i="5"/>
  <c r="BQ261" i="5"/>
  <c r="BP261" i="5"/>
  <c r="BL261" i="5"/>
  <c r="BN261" i="5"/>
  <c r="BM261" i="5"/>
  <c r="BK261" i="5"/>
  <c r="BJ261" i="5"/>
  <c r="BG261" i="5"/>
  <c r="BC261" i="5"/>
  <c r="BE261" i="5"/>
  <c r="AM261" i="5"/>
  <c r="AK261" i="5"/>
  <c r="BV260" i="5"/>
  <c r="BU260" i="5"/>
  <c r="BT260" i="5"/>
  <c r="BS260" i="5"/>
  <c r="BI260" i="5"/>
  <c r="BQ260" i="5"/>
  <c r="BO260" i="5"/>
  <c r="BP260" i="5"/>
  <c r="BN260" i="5"/>
  <c r="BL260" i="5"/>
  <c r="BM260" i="5"/>
  <c r="BK260" i="5"/>
  <c r="BJ260" i="5"/>
  <c r="BG260" i="5"/>
  <c r="BC260" i="5"/>
  <c r="BE260" i="5"/>
  <c r="AM260" i="5"/>
  <c r="AK260" i="5"/>
  <c r="BV289" i="5"/>
  <c r="BU289" i="5"/>
  <c r="BT289" i="5"/>
  <c r="BS289" i="5"/>
  <c r="BI289" i="5"/>
  <c r="BQ289" i="5"/>
  <c r="BO289" i="5"/>
  <c r="BP289" i="5"/>
  <c r="BN289" i="5"/>
  <c r="BL289" i="5"/>
  <c r="BM289" i="5"/>
  <c r="BK289" i="5"/>
  <c r="BJ289" i="5"/>
  <c r="BG289" i="5"/>
  <c r="BC289" i="5"/>
  <c r="BE289" i="5"/>
  <c r="AM289" i="5"/>
  <c r="AK289" i="5"/>
  <c r="BV259" i="5"/>
  <c r="BU259" i="5"/>
  <c r="BT259" i="5"/>
  <c r="BS259" i="5"/>
  <c r="BI259" i="5"/>
  <c r="BQ259" i="5"/>
  <c r="BN259" i="5"/>
  <c r="BK259" i="5"/>
  <c r="BJ259" i="5"/>
  <c r="BG259" i="5"/>
  <c r="BC259" i="5"/>
  <c r="BE259" i="5"/>
  <c r="AM259" i="5"/>
  <c r="AK259" i="5"/>
  <c r="BV244" i="5"/>
  <c r="BU244" i="5"/>
  <c r="BT244" i="5"/>
  <c r="BS244" i="5"/>
  <c r="BH244" i="5"/>
  <c r="BD244" i="5"/>
  <c r="BI244" i="5"/>
  <c r="BQ244" i="5"/>
  <c r="BN244" i="5"/>
  <c r="BK244" i="5"/>
  <c r="BJ244" i="5"/>
  <c r="BG244" i="5"/>
  <c r="BC244" i="5"/>
  <c r="BE244" i="5"/>
  <c r="AM244" i="5"/>
  <c r="AK244" i="5"/>
  <c r="BV243" i="5"/>
  <c r="BU243" i="5"/>
  <c r="BT243" i="5"/>
  <c r="BS243" i="5"/>
  <c r="BI243" i="5"/>
  <c r="BQ243" i="5"/>
  <c r="BN243" i="5"/>
  <c r="BK243" i="5"/>
  <c r="BJ243" i="5"/>
  <c r="BG243" i="5"/>
  <c r="BC243" i="5"/>
  <c r="BE243" i="5"/>
  <c r="AM243" i="5"/>
  <c r="AK243" i="5"/>
  <c r="BV242" i="5"/>
  <c r="BU242" i="5"/>
  <c r="BT242" i="5"/>
  <c r="BS242" i="5"/>
  <c r="BI242" i="5"/>
  <c r="BQ242" i="5"/>
  <c r="BN242" i="5"/>
  <c r="BK242" i="5"/>
  <c r="BJ242" i="5"/>
  <c r="BG242" i="5"/>
  <c r="BC242" i="5"/>
  <c r="BE242" i="5"/>
  <c r="AM242" i="5"/>
  <c r="AK242" i="5"/>
  <c r="BV241" i="5"/>
  <c r="BU241" i="5"/>
  <c r="BT241" i="5"/>
  <c r="BS241" i="5"/>
  <c r="BI241" i="5"/>
  <c r="BQ241" i="5"/>
  <c r="BN241" i="5"/>
  <c r="BK241" i="5"/>
  <c r="BJ241" i="5"/>
  <c r="BG241" i="5"/>
  <c r="BC241" i="5"/>
  <c r="BE241" i="5"/>
  <c r="AM241" i="5"/>
  <c r="AK241" i="5"/>
  <c r="BV240" i="5"/>
  <c r="BU240" i="5"/>
  <c r="BT240" i="5"/>
  <c r="BS240" i="5"/>
  <c r="BI240" i="5"/>
  <c r="BQ240" i="5"/>
  <c r="BN240" i="5"/>
  <c r="BK240" i="5"/>
  <c r="BJ240" i="5"/>
  <c r="BG240" i="5"/>
  <c r="BC240" i="5"/>
  <c r="BE240" i="5"/>
  <c r="AM240" i="5"/>
  <c r="AK240" i="5"/>
  <c r="BV239" i="5"/>
  <c r="BU239" i="5"/>
  <c r="BT239" i="5"/>
  <c r="BS239" i="5"/>
  <c r="BI239" i="5"/>
  <c r="BQ239" i="5"/>
  <c r="BN239" i="5"/>
  <c r="BK239" i="5"/>
  <c r="BJ239" i="5"/>
  <c r="BG239" i="5"/>
  <c r="BC239" i="5"/>
  <c r="BE239" i="5"/>
  <c r="AM239" i="5"/>
  <c r="AK239" i="5"/>
  <c r="BV238" i="5"/>
  <c r="BU238" i="5"/>
  <c r="BT238" i="5"/>
  <c r="BS238" i="5"/>
  <c r="BI238" i="5"/>
  <c r="BQ238" i="5"/>
  <c r="BN238" i="5"/>
  <c r="BK238" i="5"/>
  <c r="BJ238" i="5"/>
  <c r="BG238" i="5"/>
  <c r="BC238" i="5"/>
  <c r="BE238" i="5"/>
  <c r="AM238" i="5"/>
  <c r="AK238" i="5"/>
  <c r="BV237" i="5"/>
  <c r="BU237" i="5"/>
  <c r="BT237" i="5"/>
  <c r="BS237" i="5"/>
  <c r="BI237" i="5"/>
  <c r="BQ237" i="5"/>
  <c r="BN237" i="5"/>
  <c r="BK237" i="5"/>
  <c r="BJ237" i="5"/>
  <c r="BG237" i="5"/>
  <c r="BC237" i="5"/>
  <c r="BE237" i="5"/>
  <c r="AM237" i="5"/>
  <c r="AK237" i="5"/>
  <c r="BV236" i="5"/>
  <c r="BU236" i="5"/>
  <c r="BT236" i="5"/>
  <c r="BS236" i="5"/>
  <c r="BI236" i="5"/>
  <c r="BQ236" i="5"/>
  <c r="BN236" i="5"/>
  <c r="BK236" i="5"/>
  <c r="BJ236" i="5"/>
  <c r="BG236" i="5"/>
  <c r="BC236" i="5"/>
  <c r="BE236" i="5"/>
  <c r="AM236" i="5"/>
  <c r="AK236" i="5"/>
  <c r="BV235" i="5"/>
  <c r="BU235" i="5"/>
  <c r="BT235" i="5"/>
  <c r="BS235" i="5"/>
  <c r="BI235" i="5"/>
  <c r="BQ235" i="5"/>
  <c r="BN235" i="5"/>
  <c r="BK235" i="5"/>
  <c r="BJ235" i="5"/>
  <c r="BG235" i="5"/>
  <c r="BC235" i="5"/>
  <c r="BE235" i="5"/>
  <c r="AM235" i="5"/>
  <c r="AK235" i="5"/>
  <c r="BV234" i="5"/>
  <c r="BU234" i="5"/>
  <c r="BT234" i="5"/>
  <c r="BS234" i="5"/>
  <c r="BI234" i="5"/>
  <c r="BQ234" i="5"/>
  <c r="BN234" i="5"/>
  <c r="BK234" i="5"/>
  <c r="BJ234" i="5"/>
  <c r="BG234" i="5"/>
  <c r="BC234" i="5"/>
  <c r="BE234" i="5"/>
  <c r="AM234" i="5"/>
  <c r="AK234" i="5"/>
  <c r="BV228" i="5"/>
  <c r="BU228" i="5"/>
  <c r="BT228" i="5"/>
  <c r="BS228" i="5"/>
  <c r="BI228" i="5"/>
  <c r="BQ228" i="5"/>
  <c r="BN228" i="5"/>
  <c r="BK228" i="5"/>
  <c r="BJ228" i="5"/>
  <c r="BG228" i="5"/>
  <c r="BC228" i="5"/>
  <c r="BE228" i="5"/>
  <c r="AM228" i="5"/>
  <c r="AK228" i="5"/>
  <c r="BL290" i="5"/>
  <c r="BM290" i="5"/>
  <c r="BL291" i="5"/>
  <c r="BM291" i="5"/>
  <c r="BL297" i="5"/>
  <c r="BM297" i="5"/>
  <c r="BL298" i="5"/>
  <c r="BM298" i="5"/>
  <c r="BL299" i="5"/>
  <c r="BM299" i="5"/>
  <c r="BL300" i="5"/>
  <c r="BM300" i="5"/>
  <c r="BL301" i="5"/>
  <c r="BM301" i="5"/>
  <c r="BL302" i="5"/>
  <c r="BM302" i="5"/>
  <c r="BL303" i="5"/>
  <c r="BM303" i="5"/>
  <c r="BL304" i="5"/>
  <c r="BM304" i="5"/>
  <c r="BL305" i="5"/>
  <c r="BM305" i="5"/>
  <c r="BL306" i="5"/>
  <c r="BM306" i="5"/>
  <c r="BL307" i="5"/>
  <c r="BM307" i="5"/>
  <c r="BL308" i="5"/>
  <c r="BM308" i="5"/>
  <c r="BO290" i="5"/>
  <c r="BP290" i="5"/>
  <c r="BO291" i="5"/>
  <c r="BP291" i="5"/>
  <c r="BO297" i="5"/>
  <c r="BP297" i="5"/>
  <c r="BO298" i="5"/>
  <c r="BP298" i="5"/>
  <c r="BO299" i="5"/>
  <c r="BP299" i="5"/>
  <c r="BO300" i="5"/>
  <c r="BP300" i="5"/>
  <c r="BO301" i="5"/>
  <c r="BP301" i="5"/>
  <c r="BO302" i="5"/>
  <c r="BP302" i="5"/>
  <c r="BO303" i="5"/>
  <c r="BP303" i="5"/>
  <c r="BO304" i="5"/>
  <c r="BP304" i="5"/>
  <c r="BO305" i="5"/>
  <c r="BP305" i="5"/>
  <c r="BO306" i="5"/>
  <c r="BP306" i="5"/>
  <c r="BO307" i="5"/>
  <c r="BP307" i="5"/>
  <c r="BO308" i="5"/>
  <c r="BP308" i="5"/>
  <c r="D208" i="133"/>
  <c r="E208" i="133"/>
  <c r="D158" i="141"/>
  <c r="D159" i="141"/>
  <c r="D161" i="141"/>
  <c r="D163" i="141"/>
  <c r="E272" i="141"/>
  <c r="D224" i="141"/>
  <c r="D223" i="141"/>
  <c r="D222" i="141"/>
  <c r="D214" i="141"/>
  <c r="D182" i="133"/>
  <c r="E182" i="133"/>
  <c r="AK158" i="5"/>
  <c r="BV201" i="5"/>
  <c r="BU201" i="5"/>
  <c r="BT201" i="5"/>
  <c r="BS201" i="5"/>
  <c r="BH201" i="5"/>
  <c r="BI201" i="5"/>
  <c r="BR201" i="5"/>
  <c r="BQ201" i="5"/>
  <c r="BN201" i="5"/>
  <c r="BK201" i="5"/>
  <c r="BJ201" i="5"/>
  <c r="BG201" i="5"/>
  <c r="BC201" i="5"/>
  <c r="BE201" i="5"/>
  <c r="AM201" i="5"/>
  <c r="AK201" i="5"/>
  <c r="BT31" i="5"/>
  <c r="BT32" i="5"/>
  <c r="BT33" i="5"/>
  <c r="BT34" i="5"/>
  <c r="AZ323" i="5"/>
  <c r="BG2" i="5"/>
  <c r="BT178" i="5"/>
  <c r="BT179" i="5"/>
  <c r="BT180" i="5"/>
  <c r="BT181" i="5"/>
  <c r="BT182" i="5"/>
  <c r="BT183" i="5"/>
  <c r="BT184" i="5"/>
  <c r="BT185" i="5"/>
  <c r="BT186" i="5"/>
  <c r="BT187" i="5"/>
  <c r="BT188" i="5"/>
  <c r="BT189" i="5"/>
  <c r="BV308" i="5"/>
  <c r="BU308" i="5"/>
  <c r="BT308" i="5"/>
  <c r="BS308" i="5"/>
  <c r="BI308" i="5"/>
  <c r="BQ308" i="5"/>
  <c r="BN308" i="5"/>
  <c r="BK308" i="5"/>
  <c r="BJ308" i="5"/>
  <c r="BG308" i="5"/>
  <c r="BC308" i="5"/>
  <c r="BE308" i="5"/>
  <c r="AM308" i="5"/>
  <c r="AK308" i="5"/>
  <c r="BV307" i="5"/>
  <c r="BU307" i="5"/>
  <c r="BT307" i="5"/>
  <c r="BS307" i="5"/>
  <c r="BH307" i="5"/>
  <c r="BI307" i="5"/>
  <c r="BQ307" i="5"/>
  <c r="BN307" i="5"/>
  <c r="BK307" i="5"/>
  <c r="BJ307" i="5"/>
  <c r="BG307" i="5"/>
  <c r="BC307" i="5"/>
  <c r="BE307" i="5"/>
  <c r="AM307" i="5"/>
  <c r="AK307" i="5"/>
  <c r="BV306" i="5"/>
  <c r="BU306" i="5"/>
  <c r="BT306" i="5"/>
  <c r="BS306" i="5"/>
  <c r="BH306" i="5"/>
  <c r="BI306" i="5"/>
  <c r="BQ306" i="5"/>
  <c r="BN306" i="5"/>
  <c r="BK306" i="5"/>
  <c r="BJ306" i="5"/>
  <c r="BG306" i="5"/>
  <c r="BC306" i="5"/>
  <c r="BE306" i="5"/>
  <c r="AM306" i="5"/>
  <c r="AK306" i="5"/>
  <c r="BV305" i="5"/>
  <c r="BU305" i="5"/>
  <c r="BT305" i="5"/>
  <c r="BS305" i="5"/>
  <c r="BH305" i="5"/>
  <c r="BI305" i="5"/>
  <c r="BQ305" i="5"/>
  <c r="BN305" i="5"/>
  <c r="BK305" i="5"/>
  <c r="BJ305" i="5"/>
  <c r="BG305" i="5"/>
  <c r="BC305" i="5"/>
  <c r="BE305" i="5"/>
  <c r="AM305" i="5"/>
  <c r="AK305" i="5"/>
  <c r="BV304" i="5"/>
  <c r="BU304" i="5"/>
  <c r="BT304" i="5"/>
  <c r="BS304" i="5"/>
  <c r="BI304" i="5"/>
  <c r="BQ304" i="5"/>
  <c r="BN304" i="5"/>
  <c r="BK304" i="5"/>
  <c r="BJ304" i="5"/>
  <c r="BG304" i="5"/>
  <c r="BC304" i="5"/>
  <c r="BE304" i="5"/>
  <c r="AM304" i="5"/>
  <c r="AK304" i="5"/>
  <c r="BV303" i="5"/>
  <c r="BU303" i="5"/>
  <c r="BT303" i="5"/>
  <c r="BS303" i="5"/>
  <c r="BH303" i="5"/>
  <c r="BI303" i="5"/>
  <c r="BQ303" i="5"/>
  <c r="BN303" i="5"/>
  <c r="BK303" i="5"/>
  <c r="BJ303" i="5"/>
  <c r="BG303" i="5"/>
  <c r="BC303" i="5"/>
  <c r="BE303" i="5"/>
  <c r="AM303" i="5"/>
  <c r="AK303" i="5"/>
  <c r="BV302" i="5"/>
  <c r="BU302" i="5"/>
  <c r="BT302" i="5"/>
  <c r="BS302" i="5"/>
  <c r="BH302" i="5"/>
  <c r="BI302" i="5"/>
  <c r="BQ302" i="5"/>
  <c r="BN302" i="5"/>
  <c r="BK302" i="5"/>
  <c r="BJ302" i="5"/>
  <c r="BG302" i="5"/>
  <c r="BC302" i="5"/>
  <c r="BE302" i="5"/>
  <c r="AM302" i="5"/>
  <c r="AK302" i="5"/>
  <c r="BV301" i="5"/>
  <c r="BU301" i="5"/>
  <c r="BT301" i="5"/>
  <c r="BS301" i="5"/>
  <c r="BH301" i="5"/>
  <c r="BI301" i="5"/>
  <c r="BQ301" i="5"/>
  <c r="BN301" i="5"/>
  <c r="BK301" i="5"/>
  <c r="BJ301" i="5"/>
  <c r="BG301" i="5"/>
  <c r="BC301" i="5"/>
  <c r="BE301" i="5"/>
  <c r="AM301" i="5"/>
  <c r="AK301" i="5"/>
  <c r="BV300" i="5"/>
  <c r="BU300" i="5"/>
  <c r="BT300" i="5"/>
  <c r="BS300" i="5"/>
  <c r="BI300" i="5"/>
  <c r="BQ300" i="5"/>
  <c r="BN300" i="5"/>
  <c r="BK300" i="5"/>
  <c r="BJ300" i="5"/>
  <c r="BG300" i="5"/>
  <c r="BC300" i="5"/>
  <c r="BE300" i="5"/>
  <c r="AM300" i="5"/>
  <c r="AK300" i="5"/>
  <c r="BV299" i="5"/>
  <c r="BU299" i="5"/>
  <c r="BT299" i="5"/>
  <c r="BS299" i="5"/>
  <c r="BH299" i="5"/>
  <c r="BD299" i="5"/>
  <c r="BI299" i="5"/>
  <c r="BQ299" i="5"/>
  <c r="BN299" i="5"/>
  <c r="BK299" i="5"/>
  <c r="BJ299" i="5"/>
  <c r="BG299" i="5"/>
  <c r="BC299" i="5"/>
  <c r="BE299" i="5"/>
  <c r="AM299" i="5"/>
  <c r="AK299" i="5"/>
  <c r="BV298" i="5"/>
  <c r="BU298" i="5"/>
  <c r="BT298" i="5"/>
  <c r="BS298" i="5"/>
  <c r="BH298" i="5"/>
  <c r="BI298" i="5"/>
  <c r="BQ298" i="5"/>
  <c r="BN298" i="5"/>
  <c r="BK298" i="5"/>
  <c r="BJ298" i="5"/>
  <c r="BG298" i="5"/>
  <c r="BC298" i="5"/>
  <c r="BE298" i="5"/>
  <c r="AM298" i="5"/>
  <c r="AK298" i="5"/>
  <c r="BV297" i="5"/>
  <c r="BU297" i="5"/>
  <c r="BT297" i="5"/>
  <c r="BS297" i="5"/>
  <c r="BH297" i="5"/>
  <c r="BI297" i="5"/>
  <c r="BQ297" i="5"/>
  <c r="BN297" i="5"/>
  <c r="BK297" i="5"/>
  <c r="BJ297" i="5"/>
  <c r="BG297" i="5"/>
  <c r="BC297" i="5"/>
  <c r="BE297" i="5"/>
  <c r="AM297" i="5"/>
  <c r="AK297" i="5"/>
  <c r="BV291" i="5"/>
  <c r="BU291" i="5"/>
  <c r="BT291" i="5"/>
  <c r="BS291" i="5"/>
  <c r="BI291" i="5"/>
  <c r="BQ291" i="5"/>
  <c r="BN291" i="5"/>
  <c r="BK291" i="5"/>
  <c r="BJ291" i="5"/>
  <c r="BG291" i="5"/>
  <c r="BC291" i="5"/>
  <c r="BE291" i="5"/>
  <c r="AM291" i="5"/>
  <c r="AK291" i="5"/>
  <c r="BV290" i="5"/>
  <c r="BU290" i="5"/>
  <c r="BT290" i="5"/>
  <c r="BS290" i="5"/>
  <c r="BH290" i="5"/>
  <c r="BI290" i="5"/>
  <c r="BQ290" i="5"/>
  <c r="BN290" i="5"/>
  <c r="BK290" i="5"/>
  <c r="BJ290" i="5"/>
  <c r="BG290" i="5"/>
  <c r="BC290" i="5"/>
  <c r="BE290" i="5"/>
  <c r="BD290" i="5"/>
  <c r="AM290" i="5"/>
  <c r="AK290" i="5"/>
  <c r="BV209" i="5"/>
  <c r="BU209" i="5"/>
  <c r="BT209" i="5"/>
  <c r="BS209" i="5"/>
  <c r="BH209" i="5"/>
  <c r="BI209" i="5"/>
  <c r="BQ209" i="5"/>
  <c r="BN209" i="5"/>
  <c r="BK209" i="5"/>
  <c r="BJ209" i="5"/>
  <c r="BG209" i="5"/>
  <c r="BC209" i="5"/>
  <c r="BE209" i="5"/>
  <c r="AM209" i="5"/>
  <c r="AK209" i="5"/>
  <c r="BV208" i="5"/>
  <c r="BU208" i="5"/>
  <c r="BT208" i="5"/>
  <c r="BS208" i="5"/>
  <c r="BH208" i="5"/>
  <c r="BI208" i="5"/>
  <c r="BQ208" i="5"/>
  <c r="BN208" i="5"/>
  <c r="BK208" i="5"/>
  <c r="BJ208" i="5"/>
  <c r="BG208" i="5"/>
  <c r="BC208" i="5"/>
  <c r="BE208" i="5"/>
  <c r="AM208" i="5"/>
  <c r="AK208" i="5"/>
  <c r="BV207" i="5"/>
  <c r="BU207" i="5"/>
  <c r="BT207" i="5"/>
  <c r="BS207" i="5"/>
  <c r="BI207" i="5"/>
  <c r="BQ207" i="5"/>
  <c r="BN207" i="5"/>
  <c r="BK207" i="5"/>
  <c r="BJ207" i="5"/>
  <c r="BG207" i="5"/>
  <c r="BC207" i="5"/>
  <c r="BE207" i="5"/>
  <c r="AM207" i="5"/>
  <c r="AK207" i="5"/>
  <c r="BV206" i="5"/>
  <c r="BU206" i="5"/>
  <c r="BT206" i="5"/>
  <c r="BS206" i="5"/>
  <c r="BH206" i="5"/>
  <c r="BI206" i="5"/>
  <c r="BQ206" i="5"/>
  <c r="BN206" i="5"/>
  <c r="BK206" i="5"/>
  <c r="BJ206" i="5"/>
  <c r="BG206" i="5"/>
  <c r="BC206" i="5"/>
  <c r="BE206" i="5"/>
  <c r="AM206" i="5"/>
  <c r="AK206" i="5"/>
  <c r="BV205" i="5"/>
  <c r="BU205" i="5"/>
  <c r="BT205" i="5"/>
  <c r="BS205" i="5"/>
  <c r="BI205" i="5"/>
  <c r="BQ205" i="5"/>
  <c r="BN205" i="5"/>
  <c r="BK205" i="5"/>
  <c r="BJ205" i="5"/>
  <c r="BG205" i="5"/>
  <c r="BC205" i="5"/>
  <c r="BE205" i="5"/>
  <c r="AM205" i="5"/>
  <c r="AK205" i="5"/>
  <c r="BV204" i="5"/>
  <c r="BU204" i="5"/>
  <c r="BT204" i="5"/>
  <c r="BS204" i="5"/>
  <c r="BH204" i="5"/>
  <c r="BI204" i="5"/>
  <c r="BQ204" i="5"/>
  <c r="BN204" i="5"/>
  <c r="BK204" i="5"/>
  <c r="BJ204" i="5"/>
  <c r="BG204" i="5"/>
  <c r="BC204" i="5"/>
  <c r="BE204" i="5"/>
  <c r="AM204" i="5"/>
  <c r="AK204" i="5"/>
  <c r="BV203" i="5"/>
  <c r="BU203" i="5"/>
  <c r="BT203" i="5"/>
  <c r="BS203" i="5"/>
  <c r="BI203" i="5"/>
  <c r="BQ203" i="5"/>
  <c r="BN203" i="5"/>
  <c r="BK203" i="5"/>
  <c r="BJ203" i="5"/>
  <c r="BG203" i="5"/>
  <c r="BC203" i="5"/>
  <c r="BE203" i="5"/>
  <c r="AM203" i="5"/>
  <c r="AK203" i="5"/>
  <c r="BT161" i="5"/>
  <c r="D174" i="141"/>
  <c r="E174" i="141"/>
  <c r="AK151" i="5"/>
  <c r="BG107" i="5"/>
  <c r="BC107" i="5"/>
  <c r="D185" i="141"/>
  <c r="D199" i="141"/>
  <c r="E168" i="141"/>
  <c r="D335" i="133"/>
  <c r="D304" i="133"/>
  <c r="D181" i="133"/>
  <c r="D150" i="133"/>
  <c r="E150" i="133"/>
  <c r="D175" i="141"/>
  <c r="E175" i="141"/>
  <c r="D152" i="133"/>
  <c r="E152" i="133"/>
  <c r="D151" i="133"/>
  <c r="E151" i="133"/>
  <c r="D132" i="133"/>
  <c r="D128" i="133"/>
  <c r="BV214" i="5"/>
  <c r="BU214" i="5"/>
  <c r="BT214" i="5"/>
  <c r="BS214" i="5"/>
  <c r="BH214" i="5"/>
  <c r="BI214" i="5"/>
  <c r="BQ214" i="5"/>
  <c r="BN214" i="5"/>
  <c r="BK214" i="5"/>
  <c r="BJ214" i="5"/>
  <c r="BG214" i="5"/>
  <c r="BC214" i="5"/>
  <c r="BE214" i="5"/>
  <c r="AM214" i="5"/>
  <c r="AK214" i="5"/>
  <c r="BV213" i="5"/>
  <c r="BU213" i="5"/>
  <c r="BT213" i="5"/>
  <c r="BS213" i="5"/>
  <c r="BH213" i="5"/>
  <c r="BI213" i="5"/>
  <c r="BQ213" i="5"/>
  <c r="BN213" i="5"/>
  <c r="BK213" i="5"/>
  <c r="BJ213" i="5"/>
  <c r="BG213" i="5"/>
  <c r="BC213" i="5"/>
  <c r="BE213" i="5"/>
  <c r="AM213" i="5"/>
  <c r="AK213" i="5"/>
  <c r="BV212" i="5"/>
  <c r="BU212" i="5"/>
  <c r="BT212" i="5"/>
  <c r="BS212" i="5"/>
  <c r="BH212" i="5"/>
  <c r="BD212" i="5"/>
  <c r="BI212" i="5"/>
  <c r="BQ212" i="5"/>
  <c r="BN212" i="5"/>
  <c r="BK212" i="5"/>
  <c r="BJ212" i="5"/>
  <c r="BG212" i="5"/>
  <c r="BC212" i="5"/>
  <c r="BE212" i="5"/>
  <c r="AM212" i="5"/>
  <c r="AK212" i="5"/>
  <c r="BV211" i="5"/>
  <c r="BU211" i="5"/>
  <c r="BT211" i="5"/>
  <c r="BS211" i="5"/>
  <c r="BH211" i="5"/>
  <c r="BI211" i="5"/>
  <c r="BQ211" i="5"/>
  <c r="BN211" i="5"/>
  <c r="BK211" i="5"/>
  <c r="BJ211" i="5"/>
  <c r="BG211" i="5"/>
  <c r="BC211" i="5"/>
  <c r="BE211" i="5"/>
  <c r="AM211" i="5"/>
  <c r="AK211" i="5"/>
  <c r="BV210" i="5"/>
  <c r="BU210" i="5"/>
  <c r="BT210" i="5"/>
  <c r="BS210" i="5"/>
  <c r="BH210" i="5"/>
  <c r="BD210" i="5"/>
  <c r="BI210" i="5"/>
  <c r="BQ210" i="5"/>
  <c r="BN210" i="5"/>
  <c r="BK210" i="5"/>
  <c r="BJ210" i="5"/>
  <c r="BG210" i="5"/>
  <c r="BC210" i="5"/>
  <c r="BE210" i="5"/>
  <c r="AM210" i="5"/>
  <c r="AK210" i="5"/>
  <c r="BV202" i="5"/>
  <c r="BU202" i="5"/>
  <c r="BT202" i="5"/>
  <c r="BS202" i="5"/>
  <c r="BH202" i="5"/>
  <c r="BD202" i="5"/>
  <c r="BI202" i="5"/>
  <c r="BQ202" i="5"/>
  <c r="BN202" i="5"/>
  <c r="BK202" i="5"/>
  <c r="BJ202" i="5"/>
  <c r="BG202" i="5"/>
  <c r="BC202" i="5"/>
  <c r="BE202" i="5"/>
  <c r="AM202" i="5"/>
  <c r="AK202" i="5"/>
  <c r="BG3" i="5"/>
  <c r="BC3" i="5"/>
  <c r="BG4" i="5"/>
  <c r="BC4" i="5"/>
  <c r="BG5" i="5"/>
  <c r="BG6" i="5"/>
  <c r="BC6" i="5"/>
  <c r="BG7" i="5"/>
  <c r="BC7" i="5"/>
  <c r="BG8" i="5"/>
  <c r="BC8" i="5"/>
  <c r="BG9" i="5"/>
  <c r="BG10" i="5"/>
  <c r="BC10" i="5"/>
  <c r="BG11" i="5"/>
  <c r="BC11" i="5"/>
  <c r="BG12" i="5"/>
  <c r="BC12" i="5"/>
  <c r="BG13" i="5"/>
  <c r="BG14" i="5"/>
  <c r="BC14" i="5"/>
  <c r="BG15" i="5"/>
  <c r="BC15" i="5"/>
  <c r="BG16" i="5"/>
  <c r="BC16" i="5"/>
  <c r="BG17" i="5"/>
  <c r="BG18" i="5"/>
  <c r="BC18" i="5"/>
  <c r="BG19" i="5"/>
  <c r="BC19" i="5"/>
  <c r="BG20" i="5"/>
  <c r="BG21" i="5"/>
  <c r="BG22" i="5"/>
  <c r="BC22" i="5"/>
  <c r="BG23" i="5"/>
  <c r="BC23" i="5"/>
  <c r="BG24" i="5"/>
  <c r="BG25" i="5"/>
  <c r="BG26" i="5"/>
  <c r="BC26" i="5"/>
  <c r="BG27" i="5"/>
  <c r="BC27" i="5"/>
  <c r="BG28" i="5"/>
  <c r="BG29" i="5"/>
  <c r="BG30" i="5"/>
  <c r="BC30" i="5"/>
  <c r="BG31" i="5"/>
  <c r="BC31" i="5"/>
  <c r="BG32" i="5"/>
  <c r="BG33" i="5"/>
  <c r="BG34" i="5"/>
  <c r="BC34" i="5"/>
  <c r="BG35" i="5"/>
  <c r="BC35" i="5"/>
  <c r="BG36" i="5"/>
  <c r="BC36" i="5"/>
  <c r="BG37" i="5"/>
  <c r="BG38" i="5"/>
  <c r="BC38" i="5"/>
  <c r="BG39" i="5"/>
  <c r="BC39" i="5"/>
  <c r="BG40" i="5"/>
  <c r="BC40" i="5"/>
  <c r="BG41" i="5"/>
  <c r="BG42" i="5"/>
  <c r="BC42" i="5"/>
  <c r="BG43" i="5"/>
  <c r="BC43" i="5"/>
  <c r="BG44" i="5"/>
  <c r="BG45" i="5"/>
  <c r="BG46" i="5"/>
  <c r="BC46" i="5"/>
  <c r="BG47" i="5"/>
  <c r="BC47" i="5"/>
  <c r="BG48" i="5"/>
  <c r="BC48" i="5"/>
  <c r="BG49" i="5"/>
  <c r="BG50" i="5"/>
  <c r="BC50" i="5"/>
  <c r="BG51" i="5"/>
  <c r="BC51" i="5"/>
  <c r="BG52" i="5"/>
  <c r="BG53" i="5"/>
  <c r="BG54" i="5"/>
  <c r="BC54" i="5"/>
  <c r="BG55" i="5"/>
  <c r="BC55" i="5"/>
  <c r="BG56" i="5"/>
  <c r="BG57" i="5"/>
  <c r="BG58" i="5"/>
  <c r="BG59" i="5"/>
  <c r="BC59" i="5"/>
  <c r="BG60" i="5"/>
  <c r="BG61" i="5"/>
  <c r="BG62" i="5"/>
  <c r="BC62" i="5"/>
  <c r="BG63" i="5"/>
  <c r="BG64" i="5"/>
  <c r="BG65" i="5"/>
  <c r="BG66" i="5"/>
  <c r="BC66" i="5"/>
  <c r="BG67" i="5"/>
  <c r="BC67" i="5"/>
  <c r="BG68" i="5"/>
  <c r="BC68" i="5"/>
  <c r="BG69" i="5"/>
  <c r="BG70" i="5"/>
  <c r="BC70" i="5"/>
  <c r="BG71" i="5"/>
  <c r="BG72" i="5"/>
  <c r="BC72" i="5"/>
  <c r="BG73" i="5"/>
  <c r="BG74" i="5"/>
  <c r="BC74" i="5"/>
  <c r="BG75" i="5"/>
  <c r="BC75" i="5"/>
  <c r="BG76" i="5"/>
  <c r="BC76" i="5"/>
  <c r="BG77" i="5"/>
  <c r="BG78" i="5"/>
  <c r="BC78" i="5"/>
  <c r="BG79" i="5"/>
  <c r="BC79" i="5"/>
  <c r="BG80" i="5"/>
  <c r="BG81" i="5"/>
  <c r="BG82" i="5"/>
  <c r="BC82" i="5"/>
  <c r="BG83" i="5"/>
  <c r="BC83" i="5"/>
  <c r="BG84" i="5"/>
  <c r="BC84" i="5"/>
  <c r="BG85" i="5"/>
  <c r="BG86" i="5"/>
  <c r="BC86" i="5"/>
  <c r="BG87" i="5"/>
  <c r="BC87" i="5"/>
  <c r="BG88" i="5"/>
  <c r="BG89" i="5"/>
  <c r="BG90" i="5"/>
  <c r="BC90" i="5"/>
  <c r="BG91" i="5"/>
  <c r="BC91" i="5"/>
  <c r="BG92" i="5"/>
  <c r="BG93" i="5"/>
  <c r="BC93" i="5"/>
  <c r="BG94" i="5"/>
  <c r="BC94" i="5"/>
  <c r="BG95" i="5"/>
  <c r="BC95" i="5"/>
  <c r="BG96" i="5"/>
  <c r="BC96" i="5"/>
  <c r="BG97" i="5"/>
  <c r="BG98" i="5"/>
  <c r="BC98" i="5"/>
  <c r="BG99" i="5"/>
  <c r="BC99" i="5"/>
  <c r="BG100" i="5"/>
  <c r="BG101" i="5"/>
  <c r="BG102" i="5"/>
  <c r="BC102" i="5"/>
  <c r="BG103" i="5"/>
  <c r="BC103" i="5"/>
  <c r="BG104" i="5"/>
  <c r="BC104" i="5"/>
  <c r="BG105" i="5"/>
  <c r="BC105" i="5"/>
  <c r="BG106" i="5"/>
  <c r="BC106" i="5"/>
  <c r="BG108" i="5"/>
  <c r="BG109" i="5"/>
  <c r="BC109" i="5"/>
  <c r="BG110" i="5"/>
  <c r="BG111" i="5"/>
  <c r="BC111" i="5"/>
  <c r="BG112" i="5"/>
  <c r="BC112" i="5"/>
  <c r="BG113" i="5"/>
  <c r="BG114" i="5"/>
  <c r="BG115" i="5"/>
  <c r="BC115" i="5"/>
  <c r="BG116" i="5"/>
  <c r="BC116" i="5"/>
  <c r="BG117" i="5"/>
  <c r="BG118" i="5"/>
  <c r="BG119" i="5"/>
  <c r="BC119" i="5"/>
  <c r="BG120" i="5"/>
  <c r="BC120" i="5"/>
  <c r="BG121" i="5"/>
  <c r="BC121" i="5"/>
  <c r="BG122" i="5"/>
  <c r="BC122" i="5"/>
  <c r="BG123" i="5"/>
  <c r="BC123" i="5"/>
  <c r="BG124" i="5"/>
  <c r="BG125" i="5"/>
  <c r="BG126" i="5"/>
  <c r="BG127" i="5"/>
  <c r="BC127" i="5"/>
  <c r="BG128" i="5"/>
  <c r="BC128" i="5"/>
  <c r="BG129" i="5"/>
  <c r="BG130" i="5"/>
  <c r="BG131" i="5"/>
  <c r="BC131" i="5"/>
  <c r="BG132" i="5"/>
  <c r="BC132" i="5"/>
  <c r="BG133" i="5"/>
  <c r="BG134" i="5"/>
  <c r="BG135" i="5"/>
  <c r="BC135" i="5"/>
  <c r="BG136" i="5"/>
  <c r="BG137" i="5"/>
  <c r="BG138" i="5"/>
  <c r="BG139" i="5"/>
  <c r="BC139" i="5"/>
  <c r="BG140" i="5"/>
  <c r="BC140" i="5"/>
  <c r="BG141" i="5"/>
  <c r="BC141" i="5"/>
  <c r="BG142" i="5"/>
  <c r="BG143" i="5"/>
  <c r="BC143" i="5"/>
  <c r="BG144" i="5"/>
  <c r="BC144" i="5"/>
  <c r="BG145" i="5"/>
  <c r="BC145" i="5"/>
  <c r="BG146" i="5"/>
  <c r="BG147" i="5"/>
  <c r="BC147" i="5"/>
  <c r="BG148" i="5"/>
  <c r="BG149" i="5"/>
  <c r="BG150" i="5"/>
  <c r="BC150" i="5"/>
  <c r="BG151" i="5"/>
  <c r="BC151" i="5"/>
  <c r="BG152" i="5"/>
  <c r="BC152" i="5"/>
  <c r="BG153" i="5"/>
  <c r="BG154" i="5"/>
  <c r="BC154" i="5"/>
  <c r="BG155" i="5"/>
  <c r="BC155" i="5"/>
  <c r="BG156" i="5"/>
  <c r="BC156" i="5"/>
  <c r="BG157" i="5"/>
  <c r="BC157" i="5"/>
  <c r="BG158" i="5"/>
  <c r="BG159" i="5"/>
  <c r="BC159" i="5"/>
  <c r="BG160" i="5"/>
  <c r="BC160" i="5"/>
  <c r="BG161" i="5"/>
  <c r="BC161" i="5"/>
  <c r="BG162" i="5"/>
  <c r="BC162" i="5"/>
  <c r="BG163" i="5"/>
  <c r="BC163" i="5"/>
  <c r="BG164" i="5"/>
  <c r="BC164" i="5"/>
  <c r="BG165" i="5"/>
  <c r="BC165" i="5"/>
  <c r="BG166" i="5"/>
  <c r="BC166" i="5"/>
  <c r="BG167" i="5"/>
  <c r="BC167" i="5"/>
  <c r="BG168" i="5"/>
  <c r="BC168" i="5"/>
  <c r="BG169" i="5"/>
  <c r="BC169" i="5"/>
  <c r="BG170" i="5"/>
  <c r="BC170" i="5"/>
  <c r="BG171" i="5"/>
  <c r="BC171" i="5"/>
  <c r="BG172" i="5"/>
  <c r="BC172" i="5"/>
  <c r="BG173" i="5"/>
  <c r="BG174" i="5"/>
  <c r="BC174" i="5"/>
  <c r="BG175" i="5"/>
  <c r="BC175" i="5"/>
  <c r="BG176" i="5"/>
  <c r="BC176" i="5"/>
  <c r="BG177" i="5"/>
  <c r="BC177" i="5"/>
  <c r="BG178" i="5"/>
  <c r="BC178" i="5"/>
  <c r="BG179" i="5"/>
  <c r="BC179" i="5"/>
  <c r="BG180" i="5"/>
  <c r="BC180" i="5"/>
  <c r="BG181" i="5"/>
  <c r="BC181" i="5"/>
  <c r="BG182" i="5"/>
  <c r="BC182" i="5"/>
  <c r="BG183" i="5"/>
  <c r="BC183" i="5"/>
  <c r="BG184" i="5"/>
  <c r="BC184" i="5"/>
  <c r="BG185" i="5"/>
  <c r="BC185" i="5"/>
  <c r="BG186" i="5"/>
  <c r="BC186" i="5"/>
  <c r="BG187" i="5"/>
  <c r="BC187" i="5"/>
  <c r="BG188" i="5"/>
  <c r="BC188" i="5"/>
  <c r="BG189" i="5"/>
  <c r="BC189" i="5"/>
  <c r="BG190" i="5"/>
  <c r="BC190" i="5"/>
  <c r="BG191" i="5"/>
  <c r="BC191" i="5"/>
  <c r="BG192" i="5"/>
  <c r="BC192" i="5"/>
  <c r="BG193" i="5"/>
  <c r="BC193" i="5"/>
  <c r="BG194" i="5"/>
  <c r="BC194" i="5"/>
  <c r="BG195" i="5"/>
  <c r="BC195" i="5"/>
  <c r="BG196" i="5"/>
  <c r="BC196" i="5"/>
  <c r="BG197" i="5"/>
  <c r="BC197" i="5"/>
  <c r="BG198" i="5"/>
  <c r="BC198" i="5"/>
  <c r="BG199" i="5"/>
  <c r="BC199" i="5"/>
  <c r="BG200" i="5"/>
  <c r="BC200" i="5"/>
  <c r="BH3" i="5"/>
  <c r="BH4" i="5"/>
  <c r="BH5" i="5"/>
  <c r="BD5" i="5"/>
  <c r="BH6" i="5"/>
  <c r="BD6" i="5"/>
  <c r="BH7" i="5"/>
  <c r="BH8" i="5"/>
  <c r="BH9" i="5"/>
  <c r="BI9" i="5"/>
  <c r="BR9" i="5"/>
  <c r="BH10" i="5"/>
  <c r="BD10" i="5"/>
  <c r="BH11" i="5"/>
  <c r="BD11" i="5"/>
  <c r="BH12" i="5"/>
  <c r="BH13" i="5"/>
  <c r="BD13" i="5"/>
  <c r="BH14" i="5"/>
  <c r="BD14" i="5"/>
  <c r="BH15" i="5"/>
  <c r="BH16" i="5"/>
  <c r="BH17" i="5"/>
  <c r="BH18" i="5"/>
  <c r="BD18" i="5"/>
  <c r="BH19" i="5"/>
  <c r="BD19" i="5"/>
  <c r="BH20" i="5"/>
  <c r="BH21" i="5"/>
  <c r="BD21" i="5"/>
  <c r="BH22" i="5"/>
  <c r="BI22" i="5"/>
  <c r="BR22" i="5"/>
  <c r="BH23" i="5"/>
  <c r="BD23" i="5"/>
  <c r="BH24" i="5"/>
  <c r="BH25" i="5"/>
  <c r="BH26" i="5"/>
  <c r="BI26" i="5"/>
  <c r="BR26" i="5"/>
  <c r="BH27" i="5"/>
  <c r="BI27" i="5"/>
  <c r="BH28" i="5"/>
  <c r="BH29" i="5"/>
  <c r="BI29" i="5"/>
  <c r="BR29" i="5"/>
  <c r="BH30" i="5"/>
  <c r="BH31" i="5"/>
  <c r="BH32" i="5"/>
  <c r="BI32" i="5"/>
  <c r="BR32" i="5"/>
  <c r="BH33" i="5"/>
  <c r="BD33" i="5"/>
  <c r="BH34" i="5"/>
  <c r="BH35" i="5"/>
  <c r="BD35" i="5"/>
  <c r="BH36" i="5"/>
  <c r="BD36" i="5"/>
  <c r="BH37" i="5"/>
  <c r="BD37" i="5"/>
  <c r="BH38" i="5"/>
  <c r="BD38" i="5"/>
  <c r="BH39" i="5"/>
  <c r="BH40" i="5"/>
  <c r="BD40" i="5"/>
  <c r="BH41" i="5"/>
  <c r="BI41" i="5"/>
  <c r="BR41" i="5"/>
  <c r="BH42" i="5"/>
  <c r="BH43" i="5"/>
  <c r="BH44" i="5"/>
  <c r="BD44" i="5"/>
  <c r="BH45" i="5"/>
  <c r="BD45" i="5"/>
  <c r="BH46" i="5"/>
  <c r="BH47" i="5"/>
  <c r="BH48" i="5"/>
  <c r="BD48" i="5"/>
  <c r="BH49" i="5"/>
  <c r="BD49" i="5"/>
  <c r="BH50" i="5"/>
  <c r="BD50" i="5"/>
  <c r="BH51" i="5"/>
  <c r="BD51" i="5"/>
  <c r="BH52" i="5"/>
  <c r="BH53" i="5"/>
  <c r="BH54" i="5"/>
  <c r="BD54" i="5"/>
  <c r="BH55" i="5"/>
  <c r="BH56" i="5"/>
  <c r="BH57" i="5"/>
  <c r="BD57" i="5"/>
  <c r="BH58" i="5"/>
  <c r="BH59" i="5"/>
  <c r="BH60" i="5"/>
  <c r="BH61" i="5"/>
  <c r="BD61" i="5"/>
  <c r="BH62" i="5"/>
  <c r="BD62" i="5"/>
  <c r="BH63" i="5"/>
  <c r="BH64" i="5"/>
  <c r="BD64" i="5"/>
  <c r="BH65" i="5"/>
  <c r="BH66" i="5"/>
  <c r="BD66" i="5"/>
  <c r="BH67" i="5"/>
  <c r="BH68" i="5"/>
  <c r="BD68" i="5"/>
  <c r="BH69" i="5"/>
  <c r="BD69" i="5"/>
  <c r="BH70" i="5"/>
  <c r="BH71" i="5"/>
  <c r="BH72" i="5"/>
  <c r="BD72" i="5"/>
  <c r="BH73" i="5"/>
  <c r="BH74" i="5"/>
  <c r="BH75" i="5"/>
  <c r="BI75" i="5"/>
  <c r="BH76" i="5"/>
  <c r="BH77" i="5"/>
  <c r="BI77" i="5"/>
  <c r="BR77" i="5"/>
  <c r="BH78" i="5"/>
  <c r="BH79" i="5"/>
  <c r="BI79" i="5"/>
  <c r="BR79" i="5"/>
  <c r="BH80" i="5"/>
  <c r="BD80" i="5"/>
  <c r="BH81" i="5"/>
  <c r="BH82" i="5"/>
  <c r="BH83" i="5"/>
  <c r="BI83" i="5"/>
  <c r="BR83" i="5"/>
  <c r="BH84" i="5"/>
  <c r="BD84" i="5"/>
  <c r="BH85" i="5"/>
  <c r="BH86" i="5"/>
  <c r="BH87" i="5"/>
  <c r="BD87" i="5"/>
  <c r="BH88" i="5"/>
  <c r="BD88" i="5"/>
  <c r="BH89" i="5"/>
  <c r="BH90" i="5"/>
  <c r="BH91" i="5"/>
  <c r="BD91" i="5"/>
  <c r="BH92" i="5"/>
  <c r="BH93" i="5"/>
  <c r="BH94" i="5"/>
  <c r="BH95" i="5"/>
  <c r="BH96" i="5"/>
  <c r="BD96" i="5"/>
  <c r="BH97" i="5"/>
  <c r="BH98" i="5"/>
  <c r="BD98" i="5"/>
  <c r="BH99" i="5"/>
  <c r="BH100" i="5"/>
  <c r="BD100" i="5"/>
  <c r="BH101" i="5"/>
  <c r="BH102" i="5"/>
  <c r="BH103" i="5"/>
  <c r="BD103" i="5"/>
  <c r="BH104" i="5"/>
  <c r="BI104" i="5"/>
  <c r="BR104" i="5"/>
  <c r="BH105" i="5"/>
  <c r="BH106" i="5"/>
  <c r="BH107" i="5"/>
  <c r="BI107" i="5"/>
  <c r="BR107" i="5"/>
  <c r="BH108" i="5"/>
  <c r="BH109" i="5"/>
  <c r="BH110" i="5"/>
  <c r="BH111" i="5"/>
  <c r="BD111" i="5"/>
  <c r="BH112" i="5"/>
  <c r="BD112" i="5"/>
  <c r="BH113" i="5"/>
  <c r="BD113" i="5"/>
  <c r="BH114" i="5"/>
  <c r="BH115" i="5"/>
  <c r="BD115" i="5"/>
  <c r="BH116" i="5"/>
  <c r="BH117" i="5"/>
  <c r="BD117" i="5"/>
  <c r="BH118" i="5"/>
  <c r="BH119" i="5"/>
  <c r="BI119" i="5"/>
  <c r="BR119" i="5"/>
  <c r="BH120" i="5"/>
  <c r="BI120" i="5"/>
  <c r="BR120" i="5"/>
  <c r="BH121" i="5"/>
  <c r="BI121" i="5"/>
  <c r="BR121" i="5"/>
  <c r="BH122" i="5"/>
  <c r="BH123" i="5"/>
  <c r="BI123" i="5"/>
  <c r="BR123" i="5"/>
  <c r="BH124" i="5"/>
  <c r="BI124" i="5"/>
  <c r="BR124" i="5"/>
  <c r="BH125" i="5"/>
  <c r="BH126" i="5"/>
  <c r="BH127" i="5"/>
  <c r="BD127" i="5"/>
  <c r="BH128" i="5"/>
  <c r="BI128" i="5"/>
  <c r="BR128" i="5"/>
  <c r="BH129" i="5"/>
  <c r="BH130" i="5"/>
  <c r="BD130" i="5"/>
  <c r="BH131" i="5"/>
  <c r="BD131" i="5"/>
  <c r="BH132" i="5"/>
  <c r="BD132" i="5"/>
  <c r="BH133" i="5"/>
  <c r="BH134" i="5"/>
  <c r="BH135" i="5"/>
  <c r="BH136" i="5"/>
  <c r="BD136" i="5"/>
  <c r="BH137" i="5"/>
  <c r="BH138" i="5"/>
  <c r="BH139" i="5"/>
  <c r="BD139" i="5"/>
  <c r="BH140" i="5"/>
  <c r="BH141" i="5"/>
  <c r="BH142" i="5"/>
  <c r="BH143" i="5"/>
  <c r="BI143" i="5"/>
  <c r="BR143" i="5"/>
  <c r="BH144" i="5"/>
  <c r="BD144" i="5"/>
  <c r="BH145" i="5"/>
  <c r="BI145" i="5"/>
  <c r="BR145" i="5"/>
  <c r="BH146" i="5"/>
  <c r="BH147" i="5"/>
  <c r="BD147" i="5"/>
  <c r="BH148" i="5"/>
  <c r="BH149" i="5"/>
  <c r="BD149" i="5"/>
  <c r="BH151" i="5"/>
  <c r="BH152" i="5"/>
  <c r="BD152" i="5"/>
  <c r="BH153" i="5"/>
  <c r="BD153" i="5"/>
  <c r="BH154" i="5"/>
  <c r="BH155" i="5"/>
  <c r="BH156" i="5"/>
  <c r="BD156" i="5"/>
  <c r="BH157" i="5"/>
  <c r="BD157" i="5"/>
  <c r="BH158" i="5"/>
  <c r="BH159" i="5"/>
  <c r="BD159" i="5"/>
  <c r="BH160" i="5"/>
  <c r="BD160" i="5"/>
  <c r="BI160" i="5"/>
  <c r="BH161" i="5"/>
  <c r="BD161" i="5"/>
  <c r="BH162" i="5"/>
  <c r="BD162" i="5"/>
  <c r="BH163" i="5"/>
  <c r="BD163" i="5"/>
  <c r="BH164" i="5"/>
  <c r="BD164" i="5"/>
  <c r="BH165" i="5"/>
  <c r="BH166" i="5"/>
  <c r="BH167" i="5"/>
  <c r="BH168" i="5"/>
  <c r="BI168" i="5"/>
  <c r="BH169" i="5"/>
  <c r="BD169" i="5"/>
  <c r="BH170" i="5"/>
  <c r="BD170" i="5"/>
  <c r="BH171" i="5"/>
  <c r="BD171" i="5"/>
  <c r="BH172" i="5"/>
  <c r="BI172" i="5"/>
  <c r="BR172" i="5"/>
  <c r="BH173" i="5"/>
  <c r="BD173" i="5"/>
  <c r="BH174" i="5"/>
  <c r="BI174" i="5"/>
  <c r="BR174" i="5"/>
  <c r="BH175" i="5"/>
  <c r="BI175" i="5"/>
  <c r="BR175" i="5"/>
  <c r="BH176" i="5"/>
  <c r="BI176" i="5"/>
  <c r="BH177" i="5"/>
  <c r="BD177" i="5"/>
  <c r="BH178" i="5"/>
  <c r="BI178" i="5"/>
  <c r="BR178" i="5"/>
  <c r="BH179" i="5"/>
  <c r="BH180" i="5"/>
  <c r="BH181" i="5"/>
  <c r="BI181" i="5"/>
  <c r="BR181" i="5"/>
  <c r="BH182" i="5"/>
  <c r="BH183" i="5"/>
  <c r="BH184" i="5"/>
  <c r="BD184" i="5"/>
  <c r="BH185" i="5"/>
  <c r="BI185" i="5"/>
  <c r="BR185" i="5"/>
  <c r="BH186" i="5"/>
  <c r="BD186" i="5"/>
  <c r="BH187" i="5"/>
  <c r="BD187" i="5"/>
  <c r="BH188" i="5"/>
  <c r="BH189" i="5"/>
  <c r="BH190" i="5"/>
  <c r="BD190" i="5"/>
  <c r="BH191" i="5"/>
  <c r="BI191" i="5"/>
  <c r="BR191" i="5"/>
  <c r="BH192" i="5"/>
  <c r="BD192" i="5"/>
  <c r="BI192" i="5"/>
  <c r="BH193" i="5"/>
  <c r="BD193" i="5"/>
  <c r="BH194" i="5"/>
  <c r="BH195" i="5"/>
  <c r="BD195" i="5"/>
  <c r="BH196" i="5"/>
  <c r="BD196" i="5"/>
  <c r="BH197" i="5"/>
  <c r="BI197" i="5"/>
  <c r="BR197" i="5"/>
  <c r="BH198" i="5"/>
  <c r="BH199" i="5"/>
  <c r="BI199" i="5"/>
  <c r="BH200" i="5"/>
  <c r="BD200" i="5"/>
  <c r="BI200" i="5"/>
  <c r="BH2" i="5"/>
  <c r="BV3" i="5"/>
  <c r="BV4" i="5"/>
  <c r="BV5" i="5"/>
  <c r="BV6" i="5"/>
  <c r="BV7" i="5"/>
  <c r="BV8" i="5"/>
  <c r="BV9" i="5"/>
  <c r="BV10" i="5"/>
  <c r="BV11" i="5"/>
  <c r="BV12" i="5"/>
  <c r="BV13" i="5"/>
  <c r="BV14" i="5"/>
  <c r="BV15" i="5"/>
  <c r="BV16" i="5"/>
  <c r="BV17" i="5"/>
  <c r="BV18" i="5"/>
  <c r="BV19" i="5"/>
  <c r="BV20" i="5"/>
  <c r="BV21" i="5"/>
  <c r="BV22" i="5"/>
  <c r="BV23" i="5"/>
  <c r="BV24" i="5"/>
  <c r="BV25" i="5"/>
  <c r="BV26" i="5"/>
  <c r="BV27" i="5"/>
  <c r="BV28" i="5"/>
  <c r="BV29" i="5"/>
  <c r="BV30" i="5"/>
  <c r="BV31" i="5"/>
  <c r="BV32" i="5"/>
  <c r="BV33" i="5"/>
  <c r="BV34" i="5"/>
  <c r="BV35" i="5"/>
  <c r="BV36" i="5"/>
  <c r="BV37" i="5"/>
  <c r="BV38" i="5"/>
  <c r="BV39" i="5"/>
  <c r="BV40" i="5"/>
  <c r="BV41" i="5"/>
  <c r="BV42" i="5"/>
  <c r="BV43" i="5"/>
  <c r="BV44" i="5"/>
  <c r="BV45" i="5"/>
  <c r="BV46" i="5"/>
  <c r="BV47" i="5"/>
  <c r="BV48" i="5"/>
  <c r="BV49" i="5"/>
  <c r="BV50" i="5"/>
  <c r="BV51" i="5"/>
  <c r="BV52" i="5"/>
  <c r="BV53" i="5"/>
  <c r="BV54" i="5"/>
  <c r="BV55" i="5"/>
  <c r="BV56" i="5"/>
  <c r="BV57" i="5"/>
  <c r="BV58" i="5"/>
  <c r="BV59" i="5"/>
  <c r="BV60" i="5"/>
  <c r="BV61" i="5"/>
  <c r="BV62" i="5"/>
  <c r="BV63" i="5"/>
  <c r="BV64" i="5"/>
  <c r="BV65" i="5"/>
  <c r="BV66" i="5"/>
  <c r="BV67" i="5"/>
  <c r="BV68" i="5"/>
  <c r="BV69" i="5"/>
  <c r="BV70" i="5"/>
  <c r="BV71" i="5"/>
  <c r="BV72" i="5"/>
  <c r="BV73" i="5"/>
  <c r="BV74" i="5"/>
  <c r="BV75" i="5"/>
  <c r="BV76" i="5"/>
  <c r="BV77" i="5"/>
  <c r="BV78" i="5"/>
  <c r="BV79" i="5"/>
  <c r="BV80" i="5"/>
  <c r="BV81" i="5"/>
  <c r="BV82" i="5"/>
  <c r="BV83" i="5"/>
  <c r="BV84" i="5"/>
  <c r="BV85" i="5"/>
  <c r="BV86" i="5"/>
  <c r="BV87" i="5"/>
  <c r="BV88" i="5"/>
  <c r="BV89" i="5"/>
  <c r="BV90" i="5"/>
  <c r="BV91" i="5"/>
  <c r="BV92" i="5"/>
  <c r="BV93" i="5"/>
  <c r="BV94" i="5"/>
  <c r="BV95" i="5"/>
  <c r="BV96" i="5"/>
  <c r="BV97" i="5"/>
  <c r="BV98" i="5"/>
  <c r="BV99" i="5"/>
  <c r="BV100" i="5"/>
  <c r="BV101" i="5"/>
  <c r="BV102" i="5"/>
  <c r="BV103" i="5"/>
  <c r="BV104" i="5"/>
  <c r="BV105" i="5"/>
  <c r="BV106" i="5"/>
  <c r="BV107" i="5"/>
  <c r="BV108" i="5"/>
  <c r="BV109" i="5"/>
  <c r="BV110" i="5"/>
  <c r="BV111" i="5"/>
  <c r="BV112" i="5"/>
  <c r="BV113" i="5"/>
  <c r="BV114" i="5"/>
  <c r="BV115" i="5"/>
  <c r="BV116" i="5"/>
  <c r="BV117" i="5"/>
  <c r="BV118" i="5"/>
  <c r="BV119" i="5"/>
  <c r="BV120" i="5"/>
  <c r="BV121" i="5"/>
  <c r="BV122" i="5"/>
  <c r="BV123" i="5"/>
  <c r="BV124" i="5"/>
  <c r="BV125" i="5"/>
  <c r="BV126" i="5"/>
  <c r="BV127" i="5"/>
  <c r="BV128" i="5"/>
  <c r="BV129" i="5"/>
  <c r="BV130" i="5"/>
  <c r="BV131" i="5"/>
  <c r="BV132" i="5"/>
  <c r="BV133" i="5"/>
  <c r="BV134" i="5"/>
  <c r="BV135" i="5"/>
  <c r="BV136" i="5"/>
  <c r="BV137" i="5"/>
  <c r="BV138" i="5"/>
  <c r="BV139" i="5"/>
  <c r="BV140" i="5"/>
  <c r="BV141" i="5"/>
  <c r="BV142" i="5"/>
  <c r="BV143" i="5"/>
  <c r="BV144" i="5"/>
  <c r="BV145" i="5"/>
  <c r="BV146" i="5"/>
  <c r="BV147" i="5"/>
  <c r="BV148" i="5"/>
  <c r="BV149" i="5"/>
  <c r="BV150" i="5"/>
  <c r="BV151" i="5"/>
  <c r="BV152" i="5"/>
  <c r="BV153" i="5"/>
  <c r="BV154" i="5"/>
  <c r="BV155" i="5"/>
  <c r="BV156" i="5"/>
  <c r="BV157" i="5"/>
  <c r="BV158" i="5"/>
  <c r="BV159" i="5"/>
  <c r="BV160" i="5"/>
  <c r="BV161" i="5"/>
  <c r="BV162" i="5"/>
  <c r="BV163" i="5"/>
  <c r="BV164" i="5"/>
  <c r="BV165" i="5"/>
  <c r="BV166" i="5"/>
  <c r="BV167" i="5"/>
  <c r="BV168" i="5"/>
  <c r="BV169" i="5"/>
  <c r="BV170" i="5"/>
  <c r="BV171" i="5"/>
  <c r="BV172" i="5"/>
  <c r="BV173" i="5"/>
  <c r="BV174" i="5"/>
  <c r="BV175" i="5"/>
  <c r="BV176" i="5"/>
  <c r="BV177" i="5"/>
  <c r="BV178" i="5"/>
  <c r="BV179" i="5"/>
  <c r="BV180" i="5"/>
  <c r="BV181" i="5"/>
  <c r="BV182" i="5"/>
  <c r="BV183" i="5"/>
  <c r="BV184" i="5"/>
  <c r="BV185" i="5"/>
  <c r="BV186" i="5"/>
  <c r="BV187" i="5"/>
  <c r="BV188" i="5"/>
  <c r="BV189" i="5"/>
  <c r="BV190" i="5"/>
  <c r="BV191" i="5"/>
  <c r="BV192" i="5"/>
  <c r="BV2" i="5"/>
  <c r="BV193" i="5"/>
  <c r="BV194" i="5"/>
  <c r="BV195" i="5"/>
  <c r="BV196" i="5"/>
  <c r="BV197" i="5"/>
  <c r="BV198" i="5"/>
  <c r="BV199" i="5"/>
  <c r="BV200" i="5"/>
  <c r="BU3" i="5"/>
  <c r="BU4" i="5"/>
  <c r="BU5" i="5"/>
  <c r="BU6" i="5"/>
  <c r="BU7" i="5"/>
  <c r="BU8" i="5"/>
  <c r="BU9" i="5"/>
  <c r="BU10" i="5"/>
  <c r="BU11" i="5"/>
  <c r="BU12" i="5"/>
  <c r="BU13" i="5"/>
  <c r="BU14" i="5"/>
  <c r="BU15" i="5"/>
  <c r="BU16" i="5"/>
  <c r="BU17" i="5"/>
  <c r="BU18" i="5"/>
  <c r="BU19" i="5"/>
  <c r="BU20" i="5"/>
  <c r="BU21" i="5"/>
  <c r="BU22" i="5"/>
  <c r="BU23" i="5"/>
  <c r="BU24" i="5"/>
  <c r="BU25" i="5"/>
  <c r="BU26" i="5"/>
  <c r="BU27" i="5"/>
  <c r="BU28" i="5"/>
  <c r="BU29" i="5"/>
  <c r="BU30" i="5"/>
  <c r="BU31" i="5"/>
  <c r="BU32" i="5"/>
  <c r="BU33" i="5"/>
  <c r="BU34" i="5"/>
  <c r="BU35" i="5"/>
  <c r="BU36" i="5"/>
  <c r="BU37" i="5"/>
  <c r="BU38" i="5"/>
  <c r="BU39" i="5"/>
  <c r="BU40" i="5"/>
  <c r="BU41" i="5"/>
  <c r="BU42" i="5"/>
  <c r="BU43" i="5"/>
  <c r="BU44" i="5"/>
  <c r="BU45" i="5"/>
  <c r="BU46" i="5"/>
  <c r="BU47" i="5"/>
  <c r="BU48" i="5"/>
  <c r="BU49" i="5"/>
  <c r="BU50" i="5"/>
  <c r="BU51" i="5"/>
  <c r="BU52" i="5"/>
  <c r="BU53" i="5"/>
  <c r="BU54" i="5"/>
  <c r="BU55" i="5"/>
  <c r="BU56" i="5"/>
  <c r="BU57" i="5"/>
  <c r="BU58" i="5"/>
  <c r="BU59" i="5"/>
  <c r="BU60" i="5"/>
  <c r="BU61" i="5"/>
  <c r="BU62" i="5"/>
  <c r="BU63" i="5"/>
  <c r="BU64" i="5"/>
  <c r="BU65" i="5"/>
  <c r="BU66" i="5"/>
  <c r="BU67" i="5"/>
  <c r="BU68" i="5"/>
  <c r="BU69" i="5"/>
  <c r="BU70" i="5"/>
  <c r="BU71" i="5"/>
  <c r="BU72" i="5"/>
  <c r="BU73" i="5"/>
  <c r="BU74" i="5"/>
  <c r="BU75" i="5"/>
  <c r="BU76" i="5"/>
  <c r="BU77" i="5"/>
  <c r="BU78" i="5"/>
  <c r="BU79" i="5"/>
  <c r="BU80" i="5"/>
  <c r="BU81" i="5"/>
  <c r="BU82" i="5"/>
  <c r="BU83" i="5"/>
  <c r="BU84" i="5"/>
  <c r="BU85" i="5"/>
  <c r="BU86" i="5"/>
  <c r="BU87" i="5"/>
  <c r="BU88" i="5"/>
  <c r="BU89" i="5"/>
  <c r="BU90" i="5"/>
  <c r="BU91" i="5"/>
  <c r="BU92" i="5"/>
  <c r="BU93" i="5"/>
  <c r="BU94" i="5"/>
  <c r="BU95" i="5"/>
  <c r="BU96" i="5"/>
  <c r="BU97" i="5"/>
  <c r="BU98" i="5"/>
  <c r="BU99" i="5"/>
  <c r="BU100" i="5"/>
  <c r="BU101" i="5"/>
  <c r="BU102" i="5"/>
  <c r="BU103" i="5"/>
  <c r="BU104" i="5"/>
  <c r="BU105" i="5"/>
  <c r="BU106" i="5"/>
  <c r="BU107" i="5"/>
  <c r="BU108" i="5"/>
  <c r="BU109" i="5"/>
  <c r="BU110" i="5"/>
  <c r="BU111" i="5"/>
  <c r="BU112" i="5"/>
  <c r="BU113" i="5"/>
  <c r="BU114" i="5"/>
  <c r="BU115" i="5"/>
  <c r="BU116" i="5"/>
  <c r="BU117" i="5"/>
  <c r="BU118" i="5"/>
  <c r="BU119" i="5"/>
  <c r="BU120" i="5"/>
  <c r="BU121" i="5"/>
  <c r="BU122" i="5"/>
  <c r="BU123" i="5"/>
  <c r="BU124" i="5"/>
  <c r="BU125" i="5"/>
  <c r="BU126" i="5"/>
  <c r="BU127" i="5"/>
  <c r="BU128" i="5"/>
  <c r="BU129" i="5"/>
  <c r="BU130" i="5"/>
  <c r="BU131" i="5"/>
  <c r="BU132" i="5"/>
  <c r="BU133" i="5"/>
  <c r="BU134" i="5"/>
  <c r="BU135" i="5"/>
  <c r="BU136" i="5"/>
  <c r="BU137" i="5"/>
  <c r="BU138" i="5"/>
  <c r="BU139" i="5"/>
  <c r="BU140" i="5"/>
  <c r="BU141" i="5"/>
  <c r="BU142" i="5"/>
  <c r="BU143" i="5"/>
  <c r="BU144" i="5"/>
  <c r="BU145" i="5"/>
  <c r="BU146" i="5"/>
  <c r="BU147" i="5"/>
  <c r="BU148" i="5"/>
  <c r="BU149" i="5"/>
  <c r="BU150" i="5"/>
  <c r="BU151" i="5"/>
  <c r="BU152" i="5"/>
  <c r="BU153" i="5"/>
  <c r="BU154" i="5"/>
  <c r="BU155" i="5"/>
  <c r="BU156" i="5"/>
  <c r="BU157" i="5"/>
  <c r="BU158" i="5"/>
  <c r="BU159" i="5"/>
  <c r="BU160" i="5"/>
  <c r="BU161" i="5"/>
  <c r="BU162" i="5"/>
  <c r="BU163" i="5"/>
  <c r="BU164" i="5"/>
  <c r="BU165" i="5"/>
  <c r="BU166" i="5"/>
  <c r="BU167" i="5"/>
  <c r="BU168" i="5"/>
  <c r="BU169" i="5"/>
  <c r="BU170" i="5"/>
  <c r="BU171" i="5"/>
  <c r="BU172" i="5"/>
  <c r="BU173" i="5"/>
  <c r="BU174" i="5"/>
  <c r="BU175" i="5"/>
  <c r="BU176" i="5"/>
  <c r="BU177" i="5"/>
  <c r="BU178" i="5"/>
  <c r="BU179" i="5"/>
  <c r="BU180" i="5"/>
  <c r="BU181" i="5"/>
  <c r="BU182" i="5"/>
  <c r="BU183" i="5"/>
  <c r="BU184" i="5"/>
  <c r="BU185" i="5"/>
  <c r="BU186" i="5"/>
  <c r="BU187" i="5"/>
  <c r="BU188" i="5"/>
  <c r="BU189" i="5"/>
  <c r="BU190" i="5"/>
  <c r="BU191" i="5"/>
  <c r="BU192" i="5"/>
  <c r="BU193" i="5"/>
  <c r="BU194" i="5"/>
  <c r="BU195" i="5"/>
  <c r="BU196" i="5"/>
  <c r="BU197" i="5"/>
  <c r="BU198" i="5"/>
  <c r="BU199" i="5"/>
  <c r="BU200" i="5"/>
  <c r="BU2" i="5"/>
  <c r="BT200" i="5"/>
  <c r="BS200" i="5"/>
  <c r="BQ200" i="5"/>
  <c r="BN200" i="5"/>
  <c r="BK200" i="5"/>
  <c r="BJ200" i="5"/>
  <c r="BE200" i="5"/>
  <c r="AM200" i="5"/>
  <c r="AK200" i="5"/>
  <c r="BS199" i="5"/>
  <c r="BQ199" i="5"/>
  <c r="BN199" i="5"/>
  <c r="BK199" i="5"/>
  <c r="BJ199" i="5"/>
  <c r="BE199" i="5"/>
  <c r="AM199" i="5"/>
  <c r="AK199" i="5"/>
  <c r="BT198" i="5"/>
  <c r="BS198" i="5"/>
  <c r="BI198" i="5"/>
  <c r="BQ198" i="5"/>
  <c r="BN198" i="5"/>
  <c r="BK198" i="5"/>
  <c r="BJ198" i="5"/>
  <c r="BE198" i="5"/>
  <c r="AM198" i="5"/>
  <c r="AK198" i="5"/>
  <c r="BT197" i="5"/>
  <c r="BS197" i="5"/>
  <c r="BQ197" i="5"/>
  <c r="BN197" i="5"/>
  <c r="BK197" i="5"/>
  <c r="BJ197" i="5"/>
  <c r="BE197" i="5"/>
  <c r="AM197" i="5"/>
  <c r="AK197" i="5"/>
  <c r="BT196" i="5"/>
  <c r="BS196" i="5"/>
  <c r="BI196" i="5"/>
  <c r="BQ196" i="5"/>
  <c r="BN196" i="5"/>
  <c r="BK196" i="5"/>
  <c r="BJ196" i="5"/>
  <c r="BE196" i="5"/>
  <c r="AM196" i="5"/>
  <c r="AK196" i="5"/>
  <c r="BT195" i="5"/>
  <c r="BS195" i="5"/>
  <c r="BI195" i="5"/>
  <c r="BQ195" i="5"/>
  <c r="BN195" i="5"/>
  <c r="BK195" i="5"/>
  <c r="BJ195" i="5"/>
  <c r="BE195" i="5"/>
  <c r="AM195" i="5"/>
  <c r="AK195" i="5"/>
  <c r="BT194" i="5"/>
  <c r="BS194" i="5"/>
  <c r="BI194" i="5"/>
  <c r="BQ194" i="5"/>
  <c r="BN194" i="5"/>
  <c r="BK194" i="5"/>
  <c r="BJ194" i="5"/>
  <c r="BE194" i="5"/>
  <c r="AM194" i="5"/>
  <c r="AK194" i="5"/>
  <c r="BT193" i="5"/>
  <c r="BS193" i="5"/>
  <c r="BI193" i="5"/>
  <c r="BQ193" i="5"/>
  <c r="BN193" i="5"/>
  <c r="BK193" i="5"/>
  <c r="BJ193" i="5"/>
  <c r="BE193" i="5"/>
  <c r="AM193" i="5"/>
  <c r="AK193" i="5"/>
  <c r="BT192" i="5"/>
  <c r="BS192" i="5"/>
  <c r="BQ192" i="5"/>
  <c r="BN192" i="5"/>
  <c r="BK192" i="5"/>
  <c r="BJ192" i="5"/>
  <c r="BE192" i="5"/>
  <c r="AM192" i="5"/>
  <c r="AK192" i="5"/>
  <c r="BT191" i="5"/>
  <c r="BS191" i="5"/>
  <c r="BQ191" i="5"/>
  <c r="BN191" i="5"/>
  <c r="BK191" i="5"/>
  <c r="BJ191" i="5"/>
  <c r="BE191" i="5"/>
  <c r="AM191" i="5"/>
  <c r="AK191" i="5"/>
  <c r="BT190" i="5"/>
  <c r="BS190" i="5"/>
  <c r="BI190" i="5"/>
  <c r="BQ190" i="5"/>
  <c r="BN190" i="5"/>
  <c r="BK190" i="5"/>
  <c r="BJ190" i="5"/>
  <c r="BE190" i="5"/>
  <c r="AM190" i="5"/>
  <c r="AK190" i="5"/>
  <c r="BS189" i="5"/>
  <c r="BI189" i="5"/>
  <c r="BQ189" i="5"/>
  <c r="BN189" i="5"/>
  <c r="BK189" i="5"/>
  <c r="BJ189" i="5"/>
  <c r="BE189" i="5"/>
  <c r="AM189" i="5"/>
  <c r="AK189" i="5"/>
  <c r="BS188" i="5"/>
  <c r="BI188" i="5"/>
  <c r="BQ188" i="5"/>
  <c r="BN188" i="5"/>
  <c r="BK188" i="5"/>
  <c r="BJ188" i="5"/>
  <c r="BE188" i="5"/>
  <c r="AM188" i="5"/>
  <c r="AK188" i="5"/>
  <c r="BS187" i="5"/>
  <c r="BI187" i="5"/>
  <c r="BQ187" i="5"/>
  <c r="BN187" i="5"/>
  <c r="BK187" i="5"/>
  <c r="BJ187" i="5"/>
  <c r="BE187" i="5"/>
  <c r="AM187" i="5"/>
  <c r="AK187" i="5"/>
  <c r="BS186" i="5"/>
  <c r="BI186" i="5"/>
  <c r="BQ186" i="5"/>
  <c r="BN186" i="5"/>
  <c r="BK186" i="5"/>
  <c r="BJ186" i="5"/>
  <c r="BE186" i="5"/>
  <c r="AM186" i="5"/>
  <c r="AK186" i="5"/>
  <c r="BS185" i="5"/>
  <c r="BQ185" i="5"/>
  <c r="BN185" i="5"/>
  <c r="BK185" i="5"/>
  <c r="BJ185" i="5"/>
  <c r="BE185" i="5"/>
  <c r="AM185" i="5"/>
  <c r="AK185" i="5"/>
  <c r="BS184" i="5"/>
  <c r="BI184" i="5"/>
  <c r="BQ184" i="5"/>
  <c r="BN184" i="5"/>
  <c r="BK184" i="5"/>
  <c r="BJ184" i="5"/>
  <c r="BE184" i="5"/>
  <c r="AM184" i="5"/>
  <c r="AK184" i="5"/>
  <c r="BS183" i="5"/>
  <c r="BI183" i="5"/>
  <c r="BQ183" i="5"/>
  <c r="BN183" i="5"/>
  <c r="BK183" i="5"/>
  <c r="BJ183" i="5"/>
  <c r="BE183" i="5"/>
  <c r="AM183" i="5"/>
  <c r="AK183" i="5"/>
  <c r="BS182" i="5"/>
  <c r="BI182" i="5"/>
  <c r="BQ182" i="5"/>
  <c r="BN182" i="5"/>
  <c r="BK182" i="5"/>
  <c r="BJ182" i="5"/>
  <c r="BE182" i="5"/>
  <c r="AM182" i="5"/>
  <c r="AK182" i="5"/>
  <c r="BS181" i="5"/>
  <c r="BQ181" i="5"/>
  <c r="BN181" i="5"/>
  <c r="BK181" i="5"/>
  <c r="BJ181" i="5"/>
  <c r="BE181" i="5"/>
  <c r="AM181" i="5"/>
  <c r="AK181" i="5"/>
  <c r="D104" i="133"/>
  <c r="D105" i="133"/>
  <c r="D106" i="133"/>
  <c r="D107" i="133"/>
  <c r="D108" i="133"/>
  <c r="D109" i="133"/>
  <c r="D134" i="141"/>
  <c r="D129" i="141"/>
  <c r="D130" i="141"/>
  <c r="D131" i="141"/>
  <c r="D132" i="141"/>
  <c r="D133" i="141"/>
  <c r="E171" i="141"/>
  <c r="D170" i="141"/>
  <c r="E170" i="141"/>
  <c r="D156" i="141"/>
  <c r="E156" i="141"/>
  <c r="D155" i="141"/>
  <c r="E155" i="141"/>
  <c r="D146" i="141"/>
  <c r="E146" i="141"/>
  <c r="D145" i="141"/>
  <c r="E145" i="141"/>
  <c r="BQ168" i="5"/>
  <c r="BN168" i="5"/>
  <c r="B19" i="152"/>
  <c r="B22" i="152"/>
  <c r="B21" i="152"/>
  <c r="B20" i="152"/>
  <c r="B18" i="152"/>
  <c r="B20" i="151"/>
  <c r="B21" i="151"/>
  <c r="B19" i="151"/>
  <c r="B18" i="151"/>
  <c r="E23" i="60"/>
  <c r="B25" i="54"/>
  <c r="BT170" i="5"/>
  <c r="BS170" i="5"/>
  <c r="BI170" i="5"/>
  <c r="BQ170" i="5"/>
  <c r="BN170" i="5"/>
  <c r="BK170" i="5"/>
  <c r="BJ170" i="5"/>
  <c r="BE170" i="5"/>
  <c r="AM170" i="5"/>
  <c r="AK170" i="5"/>
  <c r="BT169" i="5"/>
  <c r="BS169" i="5"/>
  <c r="BI169" i="5"/>
  <c r="BQ169" i="5"/>
  <c r="BN169" i="5"/>
  <c r="BK169" i="5"/>
  <c r="BJ169" i="5"/>
  <c r="BE169" i="5"/>
  <c r="AM169" i="5"/>
  <c r="AK169" i="5"/>
  <c r="BT168" i="5"/>
  <c r="BS168" i="5"/>
  <c r="BK168" i="5"/>
  <c r="BJ168" i="5"/>
  <c r="BE168" i="5"/>
  <c r="AM168" i="5"/>
  <c r="AK168" i="5"/>
  <c r="BT167" i="5"/>
  <c r="BS167" i="5"/>
  <c r="BI167" i="5"/>
  <c r="BQ167" i="5"/>
  <c r="BN167" i="5"/>
  <c r="BK167" i="5"/>
  <c r="BJ167" i="5"/>
  <c r="BE167" i="5"/>
  <c r="AM167" i="5"/>
  <c r="AK167" i="5"/>
  <c r="BT166" i="5"/>
  <c r="BS166" i="5"/>
  <c r="BI166" i="5"/>
  <c r="BQ166" i="5"/>
  <c r="BN166" i="5"/>
  <c r="BK166" i="5"/>
  <c r="BJ166" i="5"/>
  <c r="BE166" i="5"/>
  <c r="AM166" i="5"/>
  <c r="AK166" i="5"/>
  <c r="BT165" i="5"/>
  <c r="BS165" i="5"/>
  <c r="BI165" i="5"/>
  <c r="BR165" i="5"/>
  <c r="BQ165" i="5"/>
  <c r="BN165" i="5"/>
  <c r="BK165" i="5"/>
  <c r="BJ165" i="5"/>
  <c r="BE165" i="5"/>
  <c r="BD165" i="5"/>
  <c r="AM165" i="5"/>
  <c r="AK165" i="5"/>
  <c r="BT162" i="5"/>
  <c r="BS162" i="5"/>
  <c r="BI162" i="5"/>
  <c r="BR162" i="5"/>
  <c r="BQ162" i="5"/>
  <c r="BN162" i="5"/>
  <c r="BK162" i="5"/>
  <c r="BJ162" i="5"/>
  <c r="BE162" i="5"/>
  <c r="AM162" i="5"/>
  <c r="AK162" i="5"/>
  <c r="BS161" i="5"/>
  <c r="BI161" i="5"/>
  <c r="BQ161" i="5"/>
  <c r="BN161" i="5"/>
  <c r="BK161" i="5"/>
  <c r="BJ161" i="5"/>
  <c r="BE161" i="5"/>
  <c r="AM161" i="5"/>
  <c r="AK161" i="5"/>
  <c r="BT160" i="5"/>
  <c r="BS160" i="5"/>
  <c r="BQ160" i="5"/>
  <c r="BN160" i="5"/>
  <c r="BK160" i="5"/>
  <c r="BJ160" i="5"/>
  <c r="BE160" i="5"/>
  <c r="AM160" i="5"/>
  <c r="AK160" i="5"/>
  <c r="BT159" i="5"/>
  <c r="BS159" i="5"/>
  <c r="BI159" i="5"/>
  <c r="BQ159" i="5"/>
  <c r="BN159" i="5"/>
  <c r="BK159" i="5"/>
  <c r="BJ159" i="5"/>
  <c r="BE159" i="5"/>
  <c r="AM159" i="5"/>
  <c r="AK159" i="5"/>
  <c r="BT164" i="5"/>
  <c r="BS164" i="5"/>
  <c r="BI164" i="5"/>
  <c r="BQ164" i="5"/>
  <c r="BN164" i="5"/>
  <c r="BK164" i="5"/>
  <c r="BJ164" i="5"/>
  <c r="BE164" i="5"/>
  <c r="AM164" i="5"/>
  <c r="AK164" i="5"/>
  <c r="BT163" i="5"/>
  <c r="BS163" i="5"/>
  <c r="BI163" i="5"/>
  <c r="BQ163" i="5"/>
  <c r="BN163" i="5"/>
  <c r="BK163" i="5"/>
  <c r="BJ163" i="5"/>
  <c r="BE163" i="5"/>
  <c r="AM163" i="5"/>
  <c r="AK163" i="5"/>
  <c r="D121" i="133"/>
  <c r="E121" i="133"/>
  <c r="D120" i="133"/>
  <c r="E120" i="133"/>
  <c r="D139" i="141"/>
  <c r="D140" i="141"/>
  <c r="D124" i="141"/>
  <c r="AK145" i="5"/>
  <c r="D104" i="141"/>
  <c r="D100" i="141"/>
  <c r="D101" i="141"/>
  <c r="D102" i="141"/>
  <c r="D103" i="141"/>
  <c r="D105" i="141"/>
  <c r="D116" i="141"/>
  <c r="E116" i="141"/>
  <c r="BE143" i="5"/>
  <c r="BJ143" i="5"/>
  <c r="BK143" i="5"/>
  <c r="BN143" i="5"/>
  <c r="BQ143" i="5"/>
  <c r="BS143" i="5"/>
  <c r="BT143" i="5"/>
  <c r="BE144" i="5"/>
  <c r="BI144" i="5"/>
  <c r="BR144" i="5"/>
  <c r="BJ144" i="5"/>
  <c r="BK144" i="5"/>
  <c r="BN144" i="5"/>
  <c r="BQ144" i="5"/>
  <c r="BS144" i="5"/>
  <c r="BT144" i="5"/>
  <c r="BD145" i="5"/>
  <c r="BE145" i="5"/>
  <c r="BJ145" i="5"/>
  <c r="BK145" i="5"/>
  <c r="BN145" i="5"/>
  <c r="BQ145" i="5"/>
  <c r="BS145" i="5"/>
  <c r="BT145" i="5"/>
  <c r="BC146" i="5"/>
  <c r="BD146" i="5"/>
  <c r="BE146" i="5"/>
  <c r="BI146" i="5"/>
  <c r="BJ146" i="5"/>
  <c r="BK146" i="5"/>
  <c r="BN146" i="5"/>
  <c r="BQ146" i="5"/>
  <c r="BR146" i="5"/>
  <c r="BS146" i="5"/>
  <c r="BT146" i="5"/>
  <c r="AM141" i="5"/>
  <c r="AM142" i="5"/>
  <c r="AM143" i="5"/>
  <c r="AM144" i="5"/>
  <c r="AM145" i="5"/>
  <c r="AM146" i="5"/>
  <c r="AM147" i="5"/>
  <c r="AM148" i="5"/>
  <c r="AK140" i="5"/>
  <c r="AK141" i="5"/>
  <c r="AK142" i="5"/>
  <c r="AK143" i="5"/>
  <c r="AK144" i="5"/>
  <c r="AK146" i="5"/>
  <c r="AK147" i="5"/>
  <c r="BT132" i="5"/>
  <c r="BS132" i="5"/>
  <c r="BI132" i="5"/>
  <c r="BR132" i="5"/>
  <c r="BQ132" i="5"/>
  <c r="BN132" i="5"/>
  <c r="BK132" i="5"/>
  <c r="BJ132" i="5"/>
  <c r="BE132" i="5"/>
  <c r="AM132" i="5"/>
  <c r="AK132" i="5"/>
  <c r="BS180" i="5"/>
  <c r="BI180" i="5"/>
  <c r="BQ180" i="5"/>
  <c r="BN180" i="5"/>
  <c r="BK180" i="5"/>
  <c r="BJ180" i="5"/>
  <c r="BE180" i="5"/>
  <c r="AM180" i="5"/>
  <c r="AK180" i="5"/>
  <c r="BS179" i="5"/>
  <c r="BI179" i="5"/>
  <c r="BQ179" i="5"/>
  <c r="BN179" i="5"/>
  <c r="BK179" i="5"/>
  <c r="BJ179" i="5"/>
  <c r="BE179" i="5"/>
  <c r="BD179" i="5"/>
  <c r="AM179" i="5"/>
  <c r="AK179" i="5"/>
  <c r="BS178" i="5"/>
  <c r="BQ178" i="5"/>
  <c r="BN178" i="5"/>
  <c r="BK178" i="5"/>
  <c r="BJ178" i="5"/>
  <c r="BE178" i="5"/>
  <c r="AM178" i="5"/>
  <c r="AK178" i="5"/>
  <c r="BT177" i="5"/>
  <c r="BS177" i="5"/>
  <c r="BI177" i="5"/>
  <c r="BQ177" i="5"/>
  <c r="BN177" i="5"/>
  <c r="BK177" i="5"/>
  <c r="BJ177" i="5"/>
  <c r="BE177" i="5"/>
  <c r="AM177" i="5"/>
  <c r="AK177" i="5"/>
  <c r="BT176" i="5"/>
  <c r="BS176" i="5"/>
  <c r="BQ176" i="5"/>
  <c r="BN176" i="5"/>
  <c r="BK176" i="5"/>
  <c r="BJ176" i="5"/>
  <c r="BE176" i="5"/>
  <c r="BD176" i="5"/>
  <c r="AM176" i="5"/>
  <c r="AK176" i="5"/>
  <c r="BT175" i="5"/>
  <c r="BS175" i="5"/>
  <c r="BQ175" i="5"/>
  <c r="BN175" i="5"/>
  <c r="BK175" i="5"/>
  <c r="BJ175" i="5"/>
  <c r="BE175" i="5"/>
  <c r="AM175" i="5"/>
  <c r="AK175" i="5"/>
  <c r="BT174" i="5"/>
  <c r="BS174" i="5"/>
  <c r="BQ174" i="5"/>
  <c r="BN174" i="5"/>
  <c r="BK174" i="5"/>
  <c r="BJ174" i="5"/>
  <c r="BE174" i="5"/>
  <c r="AM174" i="5"/>
  <c r="AK174" i="5"/>
  <c r="BT173" i="5"/>
  <c r="BS173" i="5"/>
  <c r="BI173" i="5"/>
  <c r="BQ173" i="5"/>
  <c r="BN173" i="5"/>
  <c r="BK173" i="5"/>
  <c r="BJ173" i="5"/>
  <c r="BE173" i="5"/>
  <c r="BC173" i="5"/>
  <c r="AM173" i="5"/>
  <c r="AK173" i="5"/>
  <c r="BT172" i="5"/>
  <c r="BS172" i="5"/>
  <c r="BQ172" i="5"/>
  <c r="BN172" i="5"/>
  <c r="BK172" i="5"/>
  <c r="BJ172" i="5"/>
  <c r="BE172" i="5"/>
  <c r="BD172" i="5"/>
  <c r="AM172" i="5"/>
  <c r="AK172" i="5"/>
  <c r="BD121" i="5"/>
  <c r="BD122" i="5"/>
  <c r="BD124" i="5"/>
  <c r="BD125" i="5"/>
  <c r="BD126" i="5"/>
  <c r="AM126" i="5"/>
  <c r="AK126" i="5"/>
  <c r="BT171" i="5"/>
  <c r="BS171" i="5"/>
  <c r="BI171" i="5"/>
  <c r="BR171" i="5"/>
  <c r="BQ171" i="5"/>
  <c r="BN171" i="5"/>
  <c r="BK171" i="5"/>
  <c r="BJ171" i="5"/>
  <c r="BE171" i="5"/>
  <c r="AM171" i="5"/>
  <c r="AK171" i="5"/>
  <c r="BT158" i="5"/>
  <c r="BS158" i="5"/>
  <c r="BI158" i="5"/>
  <c r="BR158" i="5"/>
  <c r="BQ158" i="5"/>
  <c r="BN158" i="5"/>
  <c r="BK158" i="5"/>
  <c r="BJ158" i="5"/>
  <c r="BE158" i="5"/>
  <c r="BD158" i="5"/>
  <c r="BC158" i="5"/>
  <c r="AM158" i="5"/>
  <c r="BT157" i="5"/>
  <c r="BS157" i="5"/>
  <c r="BI157" i="5"/>
  <c r="BQ157" i="5"/>
  <c r="BN157" i="5"/>
  <c r="BK157" i="5"/>
  <c r="BJ157" i="5"/>
  <c r="BE157" i="5"/>
  <c r="AM157" i="5"/>
  <c r="AK157" i="5"/>
  <c r="BT156" i="5"/>
  <c r="BS156" i="5"/>
  <c r="BI156" i="5"/>
  <c r="BQ156" i="5"/>
  <c r="BN156" i="5"/>
  <c r="BK156" i="5"/>
  <c r="BJ156" i="5"/>
  <c r="BE156" i="5"/>
  <c r="AM156" i="5"/>
  <c r="AK156" i="5"/>
  <c r="BT155" i="5"/>
  <c r="BS155" i="5"/>
  <c r="BI155" i="5"/>
  <c r="BR155" i="5"/>
  <c r="BQ155" i="5"/>
  <c r="BN155" i="5"/>
  <c r="BK155" i="5"/>
  <c r="BJ155" i="5"/>
  <c r="BE155" i="5"/>
  <c r="BD155" i="5"/>
  <c r="AM155" i="5"/>
  <c r="AK155" i="5"/>
  <c r="BT154" i="5"/>
  <c r="BS154" i="5"/>
  <c r="BI154" i="5"/>
  <c r="BR154" i="5"/>
  <c r="BQ154" i="5"/>
  <c r="BN154" i="5"/>
  <c r="BK154" i="5"/>
  <c r="BJ154" i="5"/>
  <c r="BE154" i="5"/>
  <c r="BD154" i="5"/>
  <c r="AM154" i="5"/>
  <c r="AK154" i="5"/>
  <c r="BT153" i="5"/>
  <c r="BS153" i="5"/>
  <c r="BI153" i="5"/>
  <c r="BQ153" i="5"/>
  <c r="BN153" i="5"/>
  <c r="BK153" i="5"/>
  <c r="BJ153" i="5"/>
  <c r="BE153" i="5"/>
  <c r="BC153" i="5"/>
  <c r="AM153" i="5"/>
  <c r="AK153" i="5"/>
  <c r="BT152" i="5"/>
  <c r="BS152" i="5"/>
  <c r="BI152" i="5"/>
  <c r="BQ152" i="5"/>
  <c r="BN152" i="5"/>
  <c r="BK152" i="5"/>
  <c r="BJ152" i="5"/>
  <c r="BE152" i="5"/>
  <c r="AM152" i="5"/>
  <c r="AK152" i="5"/>
  <c r="BT151" i="5"/>
  <c r="BS151" i="5"/>
  <c r="BI151" i="5"/>
  <c r="BQ151" i="5"/>
  <c r="BN151" i="5"/>
  <c r="BK151" i="5"/>
  <c r="BJ151" i="5"/>
  <c r="BE151" i="5"/>
  <c r="BD151" i="5"/>
  <c r="AM151" i="5"/>
  <c r="BT150" i="5"/>
  <c r="BS150" i="5"/>
  <c r="BI150" i="5"/>
  <c r="BQ150" i="5"/>
  <c r="BN150" i="5"/>
  <c r="BK150" i="5"/>
  <c r="BJ150" i="5"/>
  <c r="BE150" i="5"/>
  <c r="AM150" i="5"/>
  <c r="AK150" i="5"/>
  <c r="BT149" i="5"/>
  <c r="BS149" i="5"/>
  <c r="BI149" i="5"/>
  <c r="BQ149" i="5"/>
  <c r="BN149" i="5"/>
  <c r="BK149" i="5"/>
  <c r="BJ149" i="5"/>
  <c r="BE149" i="5"/>
  <c r="BC149" i="5"/>
  <c r="AM149" i="5"/>
  <c r="AK149" i="5"/>
  <c r="D91" i="133"/>
  <c r="E91" i="133"/>
  <c r="D90" i="133"/>
  <c r="E90" i="133"/>
  <c r="D110" i="141"/>
  <c r="D111" i="141"/>
  <c r="D96" i="141"/>
  <c r="E96" i="141"/>
  <c r="D97" i="141"/>
  <c r="D95" i="141"/>
  <c r="BT72" i="5"/>
  <c r="BE104" i="5"/>
  <c r="BJ104" i="5"/>
  <c r="BK104" i="5"/>
  <c r="BN104" i="5"/>
  <c r="BQ104" i="5"/>
  <c r="BS104" i="5"/>
  <c r="BT104" i="5"/>
  <c r="D71" i="141"/>
  <c r="D72" i="141"/>
  <c r="D73" i="141"/>
  <c r="D74" i="141"/>
  <c r="D75" i="141"/>
  <c r="D76" i="141"/>
  <c r="AM110" i="5"/>
  <c r="AM104" i="5"/>
  <c r="BT109" i="5"/>
  <c r="BS109" i="5"/>
  <c r="BQ109" i="5"/>
  <c r="BN109" i="5"/>
  <c r="BK109" i="5"/>
  <c r="BJ109" i="5"/>
  <c r="BI109" i="5"/>
  <c r="BR109" i="5"/>
  <c r="BE109" i="5"/>
  <c r="AM109" i="5"/>
  <c r="AK109" i="5"/>
  <c r="BD109" i="5"/>
  <c r="AK104" i="5"/>
  <c r="D66" i="141"/>
  <c r="D87" i="141"/>
  <c r="E87" i="141"/>
  <c r="D60" i="133"/>
  <c r="E60" i="133"/>
  <c r="D72" i="133"/>
  <c r="D58" i="141"/>
  <c r="E58" i="141"/>
  <c r="D30" i="133"/>
  <c r="E30" i="133"/>
  <c r="BT140" i="5"/>
  <c r="BS140" i="5"/>
  <c r="BQ140" i="5"/>
  <c r="BN140" i="5"/>
  <c r="BK140" i="5"/>
  <c r="BJ140" i="5"/>
  <c r="BI140" i="5"/>
  <c r="BE140" i="5"/>
  <c r="AM140" i="5"/>
  <c r="BT139" i="5"/>
  <c r="BS139" i="5"/>
  <c r="BQ139" i="5"/>
  <c r="BN139" i="5"/>
  <c r="BK139" i="5"/>
  <c r="BJ139" i="5"/>
  <c r="BI139" i="5"/>
  <c r="BE139" i="5"/>
  <c r="AM139" i="5"/>
  <c r="AK139" i="5"/>
  <c r="BT138" i="5"/>
  <c r="BS138" i="5"/>
  <c r="BQ138" i="5"/>
  <c r="BN138" i="5"/>
  <c r="BK138" i="5"/>
  <c r="BJ138" i="5"/>
  <c r="BI138" i="5"/>
  <c r="BD138" i="5"/>
  <c r="BC138" i="5"/>
  <c r="BE138" i="5"/>
  <c r="AM138" i="5"/>
  <c r="AK138" i="5"/>
  <c r="BT137" i="5"/>
  <c r="BS137" i="5"/>
  <c r="BQ137" i="5"/>
  <c r="BN137" i="5"/>
  <c r="BK137" i="5"/>
  <c r="BJ137" i="5"/>
  <c r="BI137" i="5"/>
  <c r="BC137" i="5"/>
  <c r="BE137" i="5"/>
  <c r="BD137" i="5"/>
  <c r="AM137" i="5"/>
  <c r="AK137" i="5"/>
  <c r="BT136" i="5"/>
  <c r="BS136" i="5"/>
  <c r="BQ136" i="5"/>
  <c r="BN136" i="5"/>
  <c r="BK136" i="5"/>
  <c r="BJ136" i="5"/>
  <c r="BI136" i="5"/>
  <c r="BC136" i="5"/>
  <c r="BE136" i="5"/>
  <c r="AM136" i="5"/>
  <c r="AK136" i="5"/>
  <c r="BT135" i="5"/>
  <c r="BS135" i="5"/>
  <c r="BQ135" i="5"/>
  <c r="BN135" i="5"/>
  <c r="BK135" i="5"/>
  <c r="BJ135" i="5"/>
  <c r="BI135" i="5"/>
  <c r="BE135" i="5"/>
  <c r="AM135" i="5"/>
  <c r="AK135" i="5"/>
  <c r="BT134" i="5"/>
  <c r="BS134" i="5"/>
  <c r="BQ134" i="5"/>
  <c r="BN134" i="5"/>
  <c r="BK134" i="5"/>
  <c r="BJ134" i="5"/>
  <c r="BI134" i="5"/>
  <c r="BE134" i="5"/>
  <c r="BC134" i="5"/>
  <c r="AM134" i="5"/>
  <c r="AK134" i="5"/>
  <c r="BT133" i="5"/>
  <c r="BS133" i="5"/>
  <c r="BQ133" i="5"/>
  <c r="BN133" i="5"/>
  <c r="BK133" i="5"/>
  <c r="BJ133" i="5"/>
  <c r="BI133" i="5"/>
  <c r="BR133" i="5"/>
  <c r="BC133" i="5"/>
  <c r="BE133" i="5"/>
  <c r="AM133" i="5"/>
  <c r="AK133" i="5"/>
  <c r="BT131" i="5"/>
  <c r="BS131" i="5"/>
  <c r="BQ131" i="5"/>
  <c r="BN131" i="5"/>
  <c r="BK131" i="5"/>
  <c r="BJ131" i="5"/>
  <c r="BI131" i="5"/>
  <c r="BE131" i="5"/>
  <c r="AM131" i="5"/>
  <c r="AK131" i="5"/>
  <c r="BT130" i="5"/>
  <c r="BS130" i="5"/>
  <c r="BQ130" i="5"/>
  <c r="BN130" i="5"/>
  <c r="BK130" i="5"/>
  <c r="BJ130" i="5"/>
  <c r="BI130" i="5"/>
  <c r="BC130" i="5"/>
  <c r="BE130" i="5"/>
  <c r="AM130" i="5"/>
  <c r="AK130" i="5"/>
  <c r="BT129" i="5"/>
  <c r="BS129" i="5"/>
  <c r="BQ129" i="5"/>
  <c r="BN129" i="5"/>
  <c r="BK129" i="5"/>
  <c r="BJ129" i="5"/>
  <c r="BI129" i="5"/>
  <c r="BD129" i="5"/>
  <c r="BE129" i="5"/>
  <c r="BC129" i="5"/>
  <c r="AM129" i="5"/>
  <c r="AK129" i="5"/>
  <c r="BT101" i="5"/>
  <c r="BS101" i="5"/>
  <c r="BQ101" i="5"/>
  <c r="BN101" i="5"/>
  <c r="BK101" i="5"/>
  <c r="BJ101" i="5"/>
  <c r="BI101" i="5"/>
  <c r="BC101" i="5"/>
  <c r="BE101" i="5"/>
  <c r="AM101" i="5"/>
  <c r="AK101" i="5"/>
  <c r="BT100" i="5"/>
  <c r="BS100" i="5"/>
  <c r="BQ100" i="5"/>
  <c r="BN100" i="5"/>
  <c r="BK100" i="5"/>
  <c r="BJ100" i="5"/>
  <c r="BI100" i="5"/>
  <c r="BE100" i="5"/>
  <c r="BC100" i="5"/>
  <c r="AM100" i="5"/>
  <c r="AK100" i="5"/>
  <c r="BT99" i="5"/>
  <c r="BS99" i="5"/>
  <c r="BQ99" i="5"/>
  <c r="BN99" i="5"/>
  <c r="BK99" i="5"/>
  <c r="BJ99" i="5"/>
  <c r="BI99" i="5"/>
  <c r="BE99" i="5"/>
  <c r="AM99" i="5"/>
  <c r="AK99" i="5"/>
  <c r="BT98" i="5"/>
  <c r="BS98" i="5"/>
  <c r="BQ98" i="5"/>
  <c r="BN98" i="5"/>
  <c r="BK98" i="5"/>
  <c r="BJ98" i="5"/>
  <c r="BI98" i="5"/>
  <c r="BE98" i="5"/>
  <c r="AM98" i="5"/>
  <c r="AK98" i="5"/>
  <c r="BT97" i="5"/>
  <c r="BS97" i="5"/>
  <c r="BQ97" i="5"/>
  <c r="BN97" i="5"/>
  <c r="BK97" i="5"/>
  <c r="BJ97" i="5"/>
  <c r="BI97" i="5"/>
  <c r="BD97" i="5"/>
  <c r="BC97" i="5"/>
  <c r="BE97" i="5"/>
  <c r="AM97" i="5"/>
  <c r="AK97" i="5"/>
  <c r="BT96" i="5"/>
  <c r="BS96" i="5"/>
  <c r="BQ96" i="5"/>
  <c r="BN96" i="5"/>
  <c r="BK96" i="5"/>
  <c r="BJ96" i="5"/>
  <c r="BI96" i="5"/>
  <c r="BE96" i="5"/>
  <c r="AM96" i="5"/>
  <c r="AK96" i="5"/>
  <c r="BT95" i="5"/>
  <c r="BS95" i="5"/>
  <c r="BQ95" i="5"/>
  <c r="BN95" i="5"/>
  <c r="BK95" i="5"/>
  <c r="BJ95" i="5"/>
  <c r="BI95" i="5"/>
  <c r="BE95" i="5"/>
  <c r="AM95" i="5"/>
  <c r="AK95" i="5"/>
  <c r="BT94" i="5"/>
  <c r="BS94" i="5"/>
  <c r="BQ94" i="5"/>
  <c r="BN94" i="5"/>
  <c r="BK94" i="5"/>
  <c r="BJ94" i="5"/>
  <c r="BI94" i="5"/>
  <c r="BE94" i="5"/>
  <c r="AM94" i="5"/>
  <c r="AK94" i="5"/>
  <c r="AK93" i="5"/>
  <c r="AM93" i="5"/>
  <c r="AK102" i="5"/>
  <c r="AM102" i="5"/>
  <c r="AK103" i="5"/>
  <c r="AM103" i="5"/>
  <c r="AK105" i="5"/>
  <c r="AM105" i="5"/>
  <c r="AK106" i="5"/>
  <c r="AM106" i="5"/>
  <c r="AK107" i="5"/>
  <c r="AM107" i="5"/>
  <c r="AK108" i="5"/>
  <c r="AM108" i="5"/>
  <c r="AK110" i="5"/>
  <c r="AK111" i="5"/>
  <c r="AM111" i="5"/>
  <c r="AK112" i="5"/>
  <c r="AM112" i="5"/>
  <c r="BE93" i="5"/>
  <c r="BI93" i="5"/>
  <c r="BJ93" i="5"/>
  <c r="BK93" i="5"/>
  <c r="BN93" i="5"/>
  <c r="BQ93" i="5"/>
  <c r="BS93" i="5"/>
  <c r="BT93" i="5"/>
  <c r="BE102" i="5"/>
  <c r="BI102" i="5"/>
  <c r="BR102" i="5"/>
  <c r="BJ102" i="5"/>
  <c r="BK102" i="5"/>
  <c r="BN102" i="5"/>
  <c r="BQ102" i="5"/>
  <c r="BS102" i="5"/>
  <c r="BT102" i="5"/>
  <c r="BE103" i="5"/>
  <c r="BI103" i="5"/>
  <c r="BJ103" i="5"/>
  <c r="BK103" i="5"/>
  <c r="BN103" i="5"/>
  <c r="BQ103" i="5"/>
  <c r="BS103" i="5"/>
  <c r="BT103" i="5"/>
  <c r="BE105" i="5"/>
  <c r="BI105" i="5"/>
  <c r="BJ105" i="5"/>
  <c r="BK105" i="5"/>
  <c r="BN105" i="5"/>
  <c r="BQ105" i="5"/>
  <c r="BS105" i="5"/>
  <c r="BT105" i="5"/>
  <c r="BE106" i="5"/>
  <c r="BI106" i="5"/>
  <c r="BJ106" i="5"/>
  <c r="BK106" i="5"/>
  <c r="BN106" i="5"/>
  <c r="BQ106" i="5"/>
  <c r="BS106" i="5"/>
  <c r="BT106" i="5"/>
  <c r="BE107" i="5"/>
  <c r="BJ107" i="5"/>
  <c r="BK107" i="5"/>
  <c r="BN107" i="5"/>
  <c r="BQ107" i="5"/>
  <c r="BS107" i="5"/>
  <c r="BT107" i="5"/>
  <c r="BE108" i="5"/>
  <c r="BC108" i="5"/>
  <c r="BI108" i="5"/>
  <c r="BJ108" i="5"/>
  <c r="BK108" i="5"/>
  <c r="BN108" i="5"/>
  <c r="BQ108" i="5"/>
  <c r="BS108" i="5"/>
  <c r="BT108" i="5"/>
  <c r="BE110" i="5"/>
  <c r="BC110" i="5"/>
  <c r="BI110" i="5"/>
  <c r="BJ110" i="5"/>
  <c r="BK110" i="5"/>
  <c r="BN110" i="5"/>
  <c r="BQ110" i="5"/>
  <c r="BS110" i="5"/>
  <c r="BT110" i="5"/>
  <c r="BE111" i="5"/>
  <c r="BI111" i="5"/>
  <c r="BJ111" i="5"/>
  <c r="BK111" i="5"/>
  <c r="BN111" i="5"/>
  <c r="BQ111" i="5"/>
  <c r="BS111" i="5"/>
  <c r="BT111" i="5"/>
  <c r="BE112" i="5"/>
  <c r="BI112" i="5"/>
  <c r="BJ112" i="5"/>
  <c r="BK112" i="5"/>
  <c r="BN112" i="5"/>
  <c r="BQ112" i="5"/>
  <c r="BS112" i="5"/>
  <c r="BT112" i="5"/>
  <c r="BT84" i="5"/>
  <c r="BS84" i="5"/>
  <c r="BI84" i="5"/>
  <c r="BQ84" i="5"/>
  <c r="BN84" i="5"/>
  <c r="BK84" i="5"/>
  <c r="BJ84" i="5"/>
  <c r="BE84" i="5"/>
  <c r="AM84" i="5"/>
  <c r="AK84" i="5"/>
  <c r="BT83" i="5"/>
  <c r="BS83" i="5"/>
  <c r="BQ83" i="5"/>
  <c r="BN83" i="5"/>
  <c r="BK83" i="5"/>
  <c r="BJ83" i="5"/>
  <c r="BE83" i="5"/>
  <c r="AM83" i="5"/>
  <c r="AK83" i="5"/>
  <c r="BT85" i="5"/>
  <c r="BS85" i="5"/>
  <c r="BD85" i="5"/>
  <c r="BI85" i="5"/>
  <c r="BQ85" i="5"/>
  <c r="BN85" i="5"/>
  <c r="BK85" i="5"/>
  <c r="BJ85" i="5"/>
  <c r="BC85" i="5"/>
  <c r="BE85" i="5"/>
  <c r="AM85" i="5"/>
  <c r="AK85" i="5"/>
  <c r="BT82" i="5"/>
  <c r="BS82" i="5"/>
  <c r="BI82" i="5"/>
  <c r="BQ82" i="5"/>
  <c r="BN82" i="5"/>
  <c r="BK82" i="5"/>
  <c r="BJ82" i="5"/>
  <c r="BE82" i="5"/>
  <c r="AM82" i="5"/>
  <c r="AK82" i="5"/>
  <c r="BT86" i="5"/>
  <c r="BS86" i="5"/>
  <c r="BI86" i="5"/>
  <c r="BQ86" i="5"/>
  <c r="BN86" i="5"/>
  <c r="BK86" i="5"/>
  <c r="BJ86" i="5"/>
  <c r="BE86" i="5"/>
  <c r="AM86" i="5"/>
  <c r="AK86" i="5"/>
  <c r="BT78" i="5"/>
  <c r="BS78" i="5"/>
  <c r="BD78" i="5"/>
  <c r="BI78" i="5"/>
  <c r="BQ78" i="5"/>
  <c r="BN78" i="5"/>
  <c r="BK78" i="5"/>
  <c r="BJ78" i="5"/>
  <c r="BE78" i="5"/>
  <c r="AM78" i="5"/>
  <c r="AK78" i="5"/>
  <c r="BT19" i="5"/>
  <c r="BT20" i="5"/>
  <c r="BT21" i="5"/>
  <c r="BT22" i="5"/>
  <c r="BT23" i="5"/>
  <c r="BT24" i="5"/>
  <c r="BT25" i="5"/>
  <c r="BT26" i="5"/>
  <c r="BT27" i="5"/>
  <c r="BT28" i="5"/>
  <c r="BT29" i="5"/>
  <c r="BT30" i="5"/>
  <c r="BT35" i="5"/>
  <c r="BT36" i="5"/>
  <c r="BT37" i="5"/>
  <c r="BT38" i="5"/>
  <c r="BT39" i="5"/>
  <c r="BT40" i="5"/>
  <c r="BT41" i="5"/>
  <c r="BT42" i="5"/>
  <c r="BT43" i="5"/>
  <c r="BT44" i="5"/>
  <c r="BT45" i="5"/>
  <c r="BT46" i="5"/>
  <c r="BT47" i="5"/>
  <c r="BT48" i="5"/>
  <c r="BT49" i="5"/>
  <c r="BT50" i="5"/>
  <c r="BT51" i="5"/>
  <c r="BT52" i="5"/>
  <c r="BT53" i="5"/>
  <c r="BT54" i="5"/>
  <c r="BT55" i="5"/>
  <c r="BT56" i="5"/>
  <c r="BT57" i="5"/>
  <c r="BT58" i="5"/>
  <c r="BN81" i="5"/>
  <c r="BQ81" i="5"/>
  <c r="AK29" i="5"/>
  <c r="AK30" i="5"/>
  <c r="AK31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56" i="5"/>
  <c r="AK57" i="5"/>
  <c r="BN45" i="5"/>
  <c r="BN46" i="5"/>
  <c r="BN49" i="5"/>
  <c r="BN50" i="5"/>
  <c r="BN51" i="5"/>
  <c r="BN52" i="5"/>
  <c r="D40" i="141"/>
  <c r="BE72" i="5"/>
  <c r="BI72" i="5"/>
  <c r="BJ72" i="5"/>
  <c r="BK72" i="5"/>
  <c r="BN72" i="5"/>
  <c r="BQ72" i="5"/>
  <c r="BS72" i="5"/>
  <c r="AK72" i="5"/>
  <c r="AM72" i="5"/>
  <c r="BT124" i="5"/>
  <c r="BS124" i="5"/>
  <c r="BQ124" i="5"/>
  <c r="BN124" i="5"/>
  <c r="BK124" i="5"/>
  <c r="BJ124" i="5"/>
  <c r="BC124" i="5"/>
  <c r="BE124" i="5"/>
  <c r="AM124" i="5"/>
  <c r="AK124" i="5"/>
  <c r="BT123" i="5"/>
  <c r="BS123" i="5"/>
  <c r="BQ123" i="5"/>
  <c r="BN123" i="5"/>
  <c r="BK123" i="5"/>
  <c r="BJ123" i="5"/>
  <c r="BE123" i="5"/>
  <c r="AM123" i="5"/>
  <c r="AK123" i="5"/>
  <c r="BT122" i="5"/>
  <c r="BS122" i="5"/>
  <c r="BI122" i="5"/>
  <c r="BQ122" i="5"/>
  <c r="BN122" i="5"/>
  <c r="BK122" i="5"/>
  <c r="BJ122" i="5"/>
  <c r="BE122" i="5"/>
  <c r="AM122" i="5"/>
  <c r="AK122" i="5"/>
  <c r="BT121" i="5"/>
  <c r="BS121" i="5"/>
  <c r="BQ121" i="5"/>
  <c r="BN121" i="5"/>
  <c r="BK121" i="5"/>
  <c r="BJ121" i="5"/>
  <c r="BE121" i="5"/>
  <c r="AM121" i="5"/>
  <c r="AK121" i="5"/>
  <c r="BT120" i="5"/>
  <c r="BS120" i="5"/>
  <c r="BQ120" i="5"/>
  <c r="BN120" i="5"/>
  <c r="BK120" i="5"/>
  <c r="BJ120" i="5"/>
  <c r="BE120" i="5"/>
  <c r="AM120" i="5"/>
  <c r="AK120" i="5"/>
  <c r="BT119" i="5"/>
  <c r="BS119" i="5"/>
  <c r="BQ119" i="5"/>
  <c r="BN119" i="5"/>
  <c r="BK119" i="5"/>
  <c r="BJ119" i="5"/>
  <c r="BE119" i="5"/>
  <c r="AM119" i="5"/>
  <c r="AK119" i="5"/>
  <c r="BT118" i="5"/>
  <c r="BS118" i="5"/>
  <c r="BI118" i="5"/>
  <c r="BR118" i="5"/>
  <c r="BQ118" i="5"/>
  <c r="BN118" i="5"/>
  <c r="BK118" i="5"/>
  <c r="BJ118" i="5"/>
  <c r="BC118" i="5"/>
  <c r="BE118" i="5"/>
  <c r="BD118" i="5"/>
  <c r="AM118" i="5"/>
  <c r="AK118" i="5"/>
  <c r="D125" i="141"/>
  <c r="BT117" i="5"/>
  <c r="BS117" i="5"/>
  <c r="BI117" i="5"/>
  <c r="BQ117" i="5"/>
  <c r="BN117" i="5"/>
  <c r="BK117" i="5"/>
  <c r="BJ117" i="5"/>
  <c r="BC117" i="5"/>
  <c r="BE117" i="5"/>
  <c r="AM117" i="5"/>
  <c r="AK117" i="5"/>
  <c r="BT128" i="5"/>
  <c r="BS128" i="5"/>
  <c r="BQ128" i="5"/>
  <c r="BN128" i="5"/>
  <c r="BK128" i="5"/>
  <c r="BJ128" i="5"/>
  <c r="BE128" i="5"/>
  <c r="AM128" i="5"/>
  <c r="AK128" i="5"/>
  <c r="BT127" i="5"/>
  <c r="BS127" i="5"/>
  <c r="BI127" i="5"/>
  <c r="BQ127" i="5"/>
  <c r="BN127" i="5"/>
  <c r="BK127" i="5"/>
  <c r="BJ127" i="5"/>
  <c r="BE127" i="5"/>
  <c r="AM127" i="5"/>
  <c r="AK127" i="5"/>
  <c r="BT126" i="5"/>
  <c r="BS126" i="5"/>
  <c r="BI126" i="5"/>
  <c r="BQ126" i="5"/>
  <c r="BN126" i="5"/>
  <c r="BK126" i="5"/>
  <c r="BJ126" i="5"/>
  <c r="BC126" i="5"/>
  <c r="BE126" i="5"/>
  <c r="BT125" i="5"/>
  <c r="BS125" i="5"/>
  <c r="BI125" i="5"/>
  <c r="BQ125" i="5"/>
  <c r="BN125" i="5"/>
  <c r="BK125" i="5"/>
  <c r="BJ125" i="5"/>
  <c r="BC125" i="5"/>
  <c r="BE125" i="5"/>
  <c r="AM125" i="5"/>
  <c r="AK125" i="5"/>
  <c r="BT113" i="5"/>
  <c r="BS113" i="5"/>
  <c r="BI113" i="5"/>
  <c r="BR113" i="5"/>
  <c r="BQ113" i="5"/>
  <c r="BN113" i="5"/>
  <c r="BK113" i="5"/>
  <c r="BJ113" i="5"/>
  <c r="BC113" i="5"/>
  <c r="BE113" i="5"/>
  <c r="AM113" i="5"/>
  <c r="AK113" i="5"/>
  <c r="BT92" i="5"/>
  <c r="BS92" i="5"/>
  <c r="BI92" i="5"/>
  <c r="BQ92" i="5"/>
  <c r="BN92" i="5"/>
  <c r="BK92" i="5"/>
  <c r="BJ92" i="5"/>
  <c r="BE92" i="5"/>
  <c r="BC92" i="5"/>
  <c r="AM92" i="5"/>
  <c r="AK92" i="5"/>
  <c r="BT91" i="5"/>
  <c r="BS91" i="5"/>
  <c r="BI91" i="5"/>
  <c r="BQ91" i="5"/>
  <c r="BN91" i="5"/>
  <c r="BK91" i="5"/>
  <c r="BJ91" i="5"/>
  <c r="BE91" i="5"/>
  <c r="AM91" i="5"/>
  <c r="AK91" i="5"/>
  <c r="BT90" i="5"/>
  <c r="BS90" i="5"/>
  <c r="BI90" i="5"/>
  <c r="BQ90" i="5"/>
  <c r="BN90" i="5"/>
  <c r="BK90" i="5"/>
  <c r="BJ90" i="5"/>
  <c r="BE90" i="5"/>
  <c r="AM90" i="5"/>
  <c r="AK90" i="5"/>
  <c r="BT89" i="5"/>
  <c r="BS89" i="5"/>
  <c r="BI89" i="5"/>
  <c r="BR89" i="5"/>
  <c r="BQ89" i="5"/>
  <c r="BN89" i="5"/>
  <c r="BK89" i="5"/>
  <c r="BJ89" i="5"/>
  <c r="BC89" i="5"/>
  <c r="BE89" i="5"/>
  <c r="BD89" i="5"/>
  <c r="AM89" i="5"/>
  <c r="AK89" i="5"/>
  <c r="BT88" i="5"/>
  <c r="BS88" i="5"/>
  <c r="BI88" i="5"/>
  <c r="BQ88" i="5"/>
  <c r="BN88" i="5"/>
  <c r="BK88" i="5"/>
  <c r="BJ88" i="5"/>
  <c r="BC88" i="5"/>
  <c r="BE88" i="5"/>
  <c r="AM88" i="5"/>
  <c r="AK88" i="5"/>
  <c r="BT116" i="5"/>
  <c r="BS116" i="5"/>
  <c r="BI116" i="5"/>
  <c r="BQ116" i="5"/>
  <c r="BN116" i="5"/>
  <c r="BK116" i="5"/>
  <c r="BJ116" i="5"/>
  <c r="BE116" i="5"/>
  <c r="AM116" i="5"/>
  <c r="AK116" i="5"/>
  <c r="BT115" i="5"/>
  <c r="BS115" i="5"/>
  <c r="BI115" i="5"/>
  <c r="BQ115" i="5"/>
  <c r="BN115" i="5"/>
  <c r="BK115" i="5"/>
  <c r="BJ115" i="5"/>
  <c r="BE115" i="5"/>
  <c r="AM115" i="5"/>
  <c r="AK115" i="5"/>
  <c r="BT114" i="5"/>
  <c r="BS114" i="5"/>
  <c r="BI114" i="5"/>
  <c r="BQ114" i="5"/>
  <c r="BN114" i="5"/>
  <c r="BK114" i="5"/>
  <c r="BJ114" i="5"/>
  <c r="BC114" i="5"/>
  <c r="BE114" i="5"/>
  <c r="AM114" i="5"/>
  <c r="AK114" i="5"/>
  <c r="BT77" i="5"/>
  <c r="BS77" i="5"/>
  <c r="BD77" i="5"/>
  <c r="BQ77" i="5"/>
  <c r="BN77" i="5"/>
  <c r="BK77" i="5"/>
  <c r="BJ77" i="5"/>
  <c r="BE77" i="5"/>
  <c r="BC77" i="5"/>
  <c r="AM77" i="5"/>
  <c r="AK77" i="5"/>
  <c r="BT76" i="5"/>
  <c r="BS76" i="5"/>
  <c r="BI76" i="5"/>
  <c r="BQ76" i="5"/>
  <c r="BN76" i="5"/>
  <c r="BK76" i="5"/>
  <c r="BJ76" i="5"/>
  <c r="BE76" i="5"/>
  <c r="AM76" i="5"/>
  <c r="AK76" i="5"/>
  <c r="BT75" i="5"/>
  <c r="BS75" i="5"/>
  <c r="BQ75" i="5"/>
  <c r="BN75" i="5"/>
  <c r="BK75" i="5"/>
  <c r="BJ75" i="5"/>
  <c r="BE75" i="5"/>
  <c r="BD75" i="5"/>
  <c r="AM75" i="5"/>
  <c r="AK75" i="5"/>
  <c r="BT74" i="5"/>
  <c r="BS74" i="5"/>
  <c r="BI74" i="5"/>
  <c r="BQ74" i="5"/>
  <c r="BN74" i="5"/>
  <c r="BK74" i="5"/>
  <c r="BJ74" i="5"/>
  <c r="BE74" i="5"/>
  <c r="AM74" i="5"/>
  <c r="AK74" i="5"/>
  <c r="BT80" i="5"/>
  <c r="BS80" i="5"/>
  <c r="BI80" i="5"/>
  <c r="BQ80" i="5"/>
  <c r="BN80" i="5"/>
  <c r="BK80" i="5"/>
  <c r="BJ80" i="5"/>
  <c r="BE80" i="5"/>
  <c r="BC80" i="5"/>
  <c r="AM80" i="5"/>
  <c r="AK80" i="5"/>
  <c r="BT79" i="5"/>
  <c r="BS79" i="5"/>
  <c r="BQ79" i="5"/>
  <c r="BN79" i="5"/>
  <c r="BK79" i="5"/>
  <c r="BJ79" i="5"/>
  <c r="BE79" i="5"/>
  <c r="AM79" i="5"/>
  <c r="AK79" i="5"/>
  <c r="D29" i="141"/>
  <c r="E29" i="141"/>
  <c r="BC29" i="5"/>
  <c r="BC32" i="5"/>
  <c r="BN55" i="5"/>
  <c r="BE57" i="5"/>
  <c r="BC57" i="5"/>
  <c r="BI57" i="5"/>
  <c r="BJ57" i="5"/>
  <c r="BK57" i="5"/>
  <c r="BN57" i="5"/>
  <c r="BQ57" i="5"/>
  <c r="BS57" i="5"/>
  <c r="BE59" i="5"/>
  <c r="BD59" i="5"/>
  <c r="BI59" i="5"/>
  <c r="BJ59" i="5"/>
  <c r="BK59" i="5"/>
  <c r="BN59" i="5"/>
  <c r="BQ59" i="5"/>
  <c r="BR59" i="5"/>
  <c r="BS59" i="5"/>
  <c r="BT59" i="5"/>
  <c r="BE60" i="5"/>
  <c r="BC60" i="5"/>
  <c r="BI60" i="5"/>
  <c r="BJ60" i="5"/>
  <c r="BK60" i="5"/>
  <c r="BN60" i="5"/>
  <c r="BQ60" i="5"/>
  <c r="BS60" i="5"/>
  <c r="BT60" i="5"/>
  <c r="BE61" i="5"/>
  <c r="BC61" i="5"/>
  <c r="BI61" i="5"/>
  <c r="BJ61" i="5"/>
  <c r="BK61" i="5"/>
  <c r="BN61" i="5"/>
  <c r="BQ61" i="5"/>
  <c r="BS61" i="5"/>
  <c r="BT61" i="5"/>
  <c r="BE62" i="5"/>
  <c r="BI62" i="5"/>
  <c r="BR62" i="5"/>
  <c r="BJ62" i="5"/>
  <c r="BK62" i="5"/>
  <c r="BN62" i="5"/>
  <c r="BQ62" i="5"/>
  <c r="BS62" i="5"/>
  <c r="BT62" i="5"/>
  <c r="BE63" i="5"/>
  <c r="BC63" i="5"/>
  <c r="BD63" i="5"/>
  <c r="BI63" i="5"/>
  <c r="BJ63" i="5"/>
  <c r="BK63" i="5"/>
  <c r="BN63" i="5"/>
  <c r="BQ63" i="5"/>
  <c r="BS63" i="5"/>
  <c r="BT63" i="5"/>
  <c r="BE64" i="5"/>
  <c r="BC64" i="5"/>
  <c r="BI64" i="5"/>
  <c r="BJ64" i="5"/>
  <c r="BK64" i="5"/>
  <c r="BN64" i="5"/>
  <c r="BQ64" i="5"/>
  <c r="BS64" i="5"/>
  <c r="BT64" i="5"/>
  <c r="BE65" i="5"/>
  <c r="BC65" i="5"/>
  <c r="BD65" i="5"/>
  <c r="BI65" i="5"/>
  <c r="BJ65" i="5"/>
  <c r="BK65" i="5"/>
  <c r="BN65" i="5"/>
  <c r="BQ65" i="5"/>
  <c r="BS65" i="5"/>
  <c r="BT65" i="5"/>
  <c r="BE66" i="5"/>
  <c r="BI66" i="5"/>
  <c r="BR66" i="5"/>
  <c r="BJ66" i="5"/>
  <c r="BK66" i="5"/>
  <c r="BN66" i="5"/>
  <c r="BQ66" i="5"/>
  <c r="BS66" i="5"/>
  <c r="BT66" i="5"/>
  <c r="BE67" i="5"/>
  <c r="BI67" i="5"/>
  <c r="BR67" i="5"/>
  <c r="BJ67" i="5"/>
  <c r="BK67" i="5"/>
  <c r="BN67" i="5"/>
  <c r="BQ67" i="5"/>
  <c r="BS67" i="5"/>
  <c r="BT67" i="5"/>
  <c r="BE68" i="5"/>
  <c r="BI68" i="5"/>
  <c r="BJ68" i="5"/>
  <c r="BK68" i="5"/>
  <c r="BN68" i="5"/>
  <c r="BQ68" i="5"/>
  <c r="BS68" i="5"/>
  <c r="BT68" i="5"/>
  <c r="BC69" i="5"/>
  <c r="BE69" i="5"/>
  <c r="BI69" i="5"/>
  <c r="BJ69" i="5"/>
  <c r="BK69" i="5"/>
  <c r="BN69" i="5"/>
  <c r="BQ69" i="5"/>
  <c r="BS69" i="5"/>
  <c r="BT69" i="5"/>
  <c r="BE70" i="5"/>
  <c r="BI70" i="5"/>
  <c r="BJ70" i="5"/>
  <c r="BK70" i="5"/>
  <c r="BN70" i="5"/>
  <c r="BQ70" i="5"/>
  <c r="BS70" i="5"/>
  <c r="BT70" i="5"/>
  <c r="BE71" i="5"/>
  <c r="BC71" i="5"/>
  <c r="BD71" i="5"/>
  <c r="BI71" i="5"/>
  <c r="BJ71" i="5"/>
  <c r="BK71" i="5"/>
  <c r="BN71" i="5"/>
  <c r="BQ71" i="5"/>
  <c r="BR71" i="5"/>
  <c r="BS71" i="5"/>
  <c r="BT71" i="5"/>
  <c r="BE73" i="5"/>
  <c r="BC73" i="5"/>
  <c r="BI73" i="5"/>
  <c r="BR73" i="5"/>
  <c r="BD73" i="5"/>
  <c r="BJ73" i="5"/>
  <c r="BK73" i="5"/>
  <c r="BN73" i="5"/>
  <c r="BQ73" i="5"/>
  <c r="BS73" i="5"/>
  <c r="BT73" i="5"/>
  <c r="BE81" i="5"/>
  <c r="BC81" i="5"/>
  <c r="BD81" i="5"/>
  <c r="BI81" i="5"/>
  <c r="BJ81" i="5"/>
  <c r="BK81" i="5"/>
  <c r="BS81" i="5"/>
  <c r="BT81" i="5"/>
  <c r="BE87" i="5"/>
  <c r="BI87" i="5"/>
  <c r="BJ87" i="5"/>
  <c r="BK87" i="5"/>
  <c r="BN87" i="5"/>
  <c r="BQ87" i="5"/>
  <c r="BS87" i="5"/>
  <c r="BT87" i="5"/>
  <c r="BE141" i="5"/>
  <c r="BI141" i="5"/>
  <c r="BJ141" i="5"/>
  <c r="BK141" i="5"/>
  <c r="BN141" i="5"/>
  <c r="BQ141" i="5"/>
  <c r="BS141" i="5"/>
  <c r="BT141" i="5"/>
  <c r="BE142" i="5"/>
  <c r="BC142" i="5"/>
  <c r="BD142" i="5"/>
  <c r="BI142" i="5"/>
  <c r="BR142" i="5"/>
  <c r="BJ142" i="5"/>
  <c r="BK142" i="5"/>
  <c r="BN142" i="5"/>
  <c r="BQ142" i="5"/>
  <c r="BS142" i="5"/>
  <c r="BT142" i="5"/>
  <c r="BE147" i="5"/>
  <c r="BI147" i="5"/>
  <c r="BJ147" i="5"/>
  <c r="BK147" i="5"/>
  <c r="BN147" i="5"/>
  <c r="BQ147" i="5"/>
  <c r="BS147" i="5"/>
  <c r="BT147" i="5"/>
  <c r="BE148" i="5"/>
  <c r="BC148" i="5"/>
  <c r="BI148" i="5"/>
  <c r="BJ148" i="5"/>
  <c r="BK148" i="5"/>
  <c r="BN148" i="5"/>
  <c r="BQ148" i="5"/>
  <c r="BS148" i="5"/>
  <c r="BT148" i="5"/>
  <c r="AK58" i="5"/>
  <c r="AK59" i="5"/>
  <c r="AK60" i="5"/>
  <c r="AK61" i="5"/>
  <c r="AK62" i="5"/>
  <c r="AK63" i="5"/>
  <c r="AK64" i="5"/>
  <c r="AK65" i="5"/>
  <c r="AK66" i="5"/>
  <c r="AK67" i="5"/>
  <c r="AK68" i="5"/>
  <c r="AK69" i="5"/>
  <c r="AK70" i="5"/>
  <c r="AK71" i="5"/>
  <c r="AK73" i="5"/>
  <c r="AK81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M71" i="5"/>
  <c r="AM73" i="5"/>
  <c r="AM81" i="5"/>
  <c r="BS54" i="5"/>
  <c r="BQ54" i="5"/>
  <c r="BN54" i="5"/>
  <c r="BK54" i="5"/>
  <c r="BJ54" i="5"/>
  <c r="BI54" i="5"/>
  <c r="BR54" i="5"/>
  <c r="BE54" i="5"/>
  <c r="BS55" i="5"/>
  <c r="BQ55" i="5"/>
  <c r="BK55" i="5"/>
  <c r="BJ55" i="5"/>
  <c r="BI55" i="5"/>
  <c r="BR55" i="5"/>
  <c r="BD55" i="5"/>
  <c r="BE55" i="5"/>
  <c r="BS41" i="5"/>
  <c r="BQ41" i="5"/>
  <c r="BN41" i="5"/>
  <c r="BK41" i="5"/>
  <c r="BJ41" i="5"/>
  <c r="BC41" i="5"/>
  <c r="BE41" i="5"/>
  <c r="AM41" i="5"/>
  <c r="AM14" i="5"/>
  <c r="BS32" i="5"/>
  <c r="BQ32" i="5"/>
  <c r="BN32" i="5"/>
  <c r="BK32" i="5"/>
  <c r="BJ32" i="5"/>
  <c r="BE32" i="5"/>
  <c r="AM32" i="5"/>
  <c r="BS42" i="5"/>
  <c r="BQ42" i="5"/>
  <c r="BN42" i="5"/>
  <c r="BK42" i="5"/>
  <c r="BJ42" i="5"/>
  <c r="BI42" i="5"/>
  <c r="BR42" i="5"/>
  <c r="BE42" i="5"/>
  <c r="AM42" i="5"/>
  <c r="BS40" i="5"/>
  <c r="BQ40" i="5"/>
  <c r="BN40" i="5"/>
  <c r="BK40" i="5"/>
  <c r="BJ40" i="5"/>
  <c r="BI40" i="5"/>
  <c r="BE40" i="5"/>
  <c r="AM40" i="5"/>
  <c r="BS39" i="5"/>
  <c r="BQ39" i="5"/>
  <c r="BN39" i="5"/>
  <c r="BK39" i="5"/>
  <c r="BJ39" i="5"/>
  <c r="BI39" i="5"/>
  <c r="BE39" i="5"/>
  <c r="AM39" i="5"/>
  <c r="BS38" i="5"/>
  <c r="BQ38" i="5"/>
  <c r="BN38" i="5"/>
  <c r="BK38" i="5"/>
  <c r="BJ38" i="5"/>
  <c r="BI38" i="5"/>
  <c r="BR38" i="5"/>
  <c r="BE38" i="5"/>
  <c r="AM38" i="5"/>
  <c r="BS37" i="5"/>
  <c r="BQ37" i="5"/>
  <c r="BN37" i="5"/>
  <c r="BK37" i="5"/>
  <c r="BJ37" i="5"/>
  <c r="BI37" i="5"/>
  <c r="BC37" i="5"/>
  <c r="BE37" i="5"/>
  <c r="AM37" i="5"/>
  <c r="BS36" i="5"/>
  <c r="BQ36" i="5"/>
  <c r="BN36" i="5"/>
  <c r="BK36" i="5"/>
  <c r="BJ36" i="5"/>
  <c r="BI36" i="5"/>
  <c r="BE36" i="5"/>
  <c r="AM36" i="5"/>
  <c r="BS35" i="5"/>
  <c r="BQ35" i="5"/>
  <c r="BN35" i="5"/>
  <c r="BK35" i="5"/>
  <c r="BJ35" i="5"/>
  <c r="BI35" i="5"/>
  <c r="BE35" i="5"/>
  <c r="AM35" i="5"/>
  <c r="BS34" i="5"/>
  <c r="BQ34" i="5"/>
  <c r="BN34" i="5"/>
  <c r="BK34" i="5"/>
  <c r="BJ34" i="5"/>
  <c r="BI34" i="5"/>
  <c r="BE34" i="5"/>
  <c r="AM34" i="5"/>
  <c r="BS33" i="5"/>
  <c r="BQ33" i="5"/>
  <c r="BN33" i="5"/>
  <c r="BK33" i="5"/>
  <c r="BJ33" i="5"/>
  <c r="BI33" i="5"/>
  <c r="BC33" i="5"/>
  <c r="BE33" i="5"/>
  <c r="AM33" i="5"/>
  <c r="BS31" i="5"/>
  <c r="BQ31" i="5"/>
  <c r="BN31" i="5"/>
  <c r="BK31" i="5"/>
  <c r="BJ31" i="5"/>
  <c r="BI31" i="5"/>
  <c r="BD31" i="5"/>
  <c r="BE31" i="5"/>
  <c r="AM31" i="5"/>
  <c r="BS30" i="5"/>
  <c r="BQ30" i="5"/>
  <c r="BN30" i="5"/>
  <c r="BK30" i="5"/>
  <c r="BJ30" i="5"/>
  <c r="BI30" i="5"/>
  <c r="BR30" i="5"/>
  <c r="BE30" i="5"/>
  <c r="AM30" i="5"/>
  <c r="BS29" i="5"/>
  <c r="BQ29" i="5"/>
  <c r="BN29" i="5"/>
  <c r="BK29" i="5"/>
  <c r="BJ29" i="5"/>
  <c r="BE29" i="5"/>
  <c r="AM29" i="5"/>
  <c r="BS48" i="5"/>
  <c r="BQ48" i="5"/>
  <c r="BN48" i="5"/>
  <c r="BK48" i="5"/>
  <c r="BJ48" i="5"/>
  <c r="BI48" i="5"/>
  <c r="BE48" i="5"/>
  <c r="BS47" i="5"/>
  <c r="BQ47" i="5"/>
  <c r="BN47" i="5"/>
  <c r="BK47" i="5"/>
  <c r="BJ47" i="5"/>
  <c r="BI47" i="5"/>
  <c r="BR47" i="5"/>
  <c r="BD47" i="5"/>
  <c r="BE47" i="5"/>
  <c r="BS46" i="5"/>
  <c r="BQ46" i="5"/>
  <c r="BK46" i="5"/>
  <c r="BJ46" i="5"/>
  <c r="BI46" i="5"/>
  <c r="BD46" i="5"/>
  <c r="BE46" i="5"/>
  <c r="AM46" i="5"/>
  <c r="BS45" i="5"/>
  <c r="BQ45" i="5"/>
  <c r="BK45" i="5"/>
  <c r="BJ45" i="5"/>
  <c r="BI45" i="5"/>
  <c r="BC45" i="5"/>
  <c r="BE45" i="5"/>
  <c r="AM45" i="5"/>
  <c r="BS44" i="5"/>
  <c r="BQ44" i="5"/>
  <c r="BN44" i="5"/>
  <c r="BK44" i="5"/>
  <c r="BJ44" i="5"/>
  <c r="BI44" i="5"/>
  <c r="BC44" i="5"/>
  <c r="BE44" i="5"/>
  <c r="AM44" i="5"/>
  <c r="BS43" i="5"/>
  <c r="BQ43" i="5"/>
  <c r="BN43" i="5"/>
  <c r="BK43" i="5"/>
  <c r="BJ43" i="5"/>
  <c r="BI43" i="5"/>
  <c r="BD43" i="5"/>
  <c r="BE43" i="5"/>
  <c r="AM43" i="5"/>
  <c r="BS51" i="5"/>
  <c r="BQ51" i="5"/>
  <c r="BK51" i="5"/>
  <c r="BJ51" i="5"/>
  <c r="BI51" i="5"/>
  <c r="BE51" i="5"/>
  <c r="BS50" i="5"/>
  <c r="BQ50" i="5"/>
  <c r="BK50" i="5"/>
  <c r="BJ50" i="5"/>
  <c r="BI50" i="5"/>
  <c r="BE50" i="5"/>
  <c r="BS49" i="5"/>
  <c r="BQ49" i="5"/>
  <c r="BK49" i="5"/>
  <c r="BJ49" i="5"/>
  <c r="BI49" i="5"/>
  <c r="BC49" i="5"/>
  <c r="BE49" i="5"/>
  <c r="BR39" i="5"/>
  <c r="BR31" i="5"/>
  <c r="BD42" i="5"/>
  <c r="BR43" i="5"/>
  <c r="BR50" i="5"/>
  <c r="BD39" i="5"/>
  <c r="BD34" i="5"/>
  <c r="BR35" i="5"/>
  <c r="BT5" i="5"/>
  <c r="BS5" i="5"/>
  <c r="BQ5" i="5"/>
  <c r="BN5" i="5"/>
  <c r="BK5" i="5"/>
  <c r="BJ5" i="5"/>
  <c r="BI5" i="5"/>
  <c r="BC5" i="5"/>
  <c r="BE5" i="5"/>
  <c r="AM5" i="5"/>
  <c r="AK5" i="5"/>
  <c r="BS19" i="5"/>
  <c r="BQ19" i="5"/>
  <c r="BN19" i="5"/>
  <c r="BK19" i="5"/>
  <c r="BJ19" i="5"/>
  <c r="BI19" i="5"/>
  <c r="BE19" i="5"/>
  <c r="AM19" i="5"/>
  <c r="AK19" i="5"/>
  <c r="BT18" i="5"/>
  <c r="BS18" i="5"/>
  <c r="BQ18" i="5"/>
  <c r="BN18" i="5"/>
  <c r="BK18" i="5"/>
  <c r="BJ18" i="5"/>
  <c r="BI18" i="5"/>
  <c r="BE18" i="5"/>
  <c r="AM18" i="5"/>
  <c r="AK18" i="5"/>
  <c r="BT17" i="5"/>
  <c r="BS17" i="5"/>
  <c r="BQ17" i="5"/>
  <c r="BN17" i="5"/>
  <c r="BK17" i="5"/>
  <c r="BJ17" i="5"/>
  <c r="BI17" i="5"/>
  <c r="BC17" i="5"/>
  <c r="BE17" i="5"/>
  <c r="AM17" i="5"/>
  <c r="AK17" i="5"/>
  <c r="BT16" i="5"/>
  <c r="BS16" i="5"/>
  <c r="BQ16" i="5"/>
  <c r="BN16" i="5"/>
  <c r="BN2" i="5"/>
  <c r="BN3" i="5"/>
  <c r="BN4" i="5"/>
  <c r="BN6" i="5"/>
  <c r="BN7" i="5"/>
  <c r="BN8" i="5"/>
  <c r="BN9" i="5"/>
  <c r="BN10" i="5"/>
  <c r="BN11" i="5"/>
  <c r="BN12" i="5"/>
  <c r="BN13" i="5"/>
  <c r="BN14" i="5"/>
  <c r="BN15" i="5"/>
  <c r="BN20" i="5"/>
  <c r="BN21" i="5"/>
  <c r="BN22" i="5"/>
  <c r="BN23" i="5"/>
  <c r="BN24" i="5"/>
  <c r="BN25" i="5"/>
  <c r="BN26" i="5"/>
  <c r="BN27" i="5"/>
  <c r="BN28" i="5"/>
  <c r="BK16" i="5"/>
  <c r="BJ16" i="5"/>
  <c r="BI16" i="5"/>
  <c r="BR16" i="5"/>
  <c r="BE16" i="5"/>
  <c r="AM16" i="5"/>
  <c r="AK16" i="5"/>
  <c r="BT15" i="5"/>
  <c r="BS15" i="5"/>
  <c r="BQ15" i="5"/>
  <c r="BK15" i="5"/>
  <c r="BJ15" i="5"/>
  <c r="BI15" i="5"/>
  <c r="BD15" i="5"/>
  <c r="BE15" i="5"/>
  <c r="AM15" i="5"/>
  <c r="AK15" i="5"/>
  <c r="BT14" i="5"/>
  <c r="BS14" i="5"/>
  <c r="BQ14" i="5"/>
  <c r="BK14" i="5"/>
  <c r="BJ14" i="5"/>
  <c r="BI14" i="5"/>
  <c r="BE14" i="5"/>
  <c r="AK14" i="5"/>
  <c r="BT13" i="5"/>
  <c r="BS13" i="5"/>
  <c r="BQ13" i="5"/>
  <c r="BK13" i="5"/>
  <c r="BJ13" i="5"/>
  <c r="BI13" i="5"/>
  <c r="BC13" i="5"/>
  <c r="BE13" i="5"/>
  <c r="AM13" i="5"/>
  <c r="AK13" i="5"/>
  <c r="BT12" i="5"/>
  <c r="BS12" i="5"/>
  <c r="BQ12" i="5"/>
  <c r="BK12" i="5"/>
  <c r="BJ12" i="5"/>
  <c r="BI12" i="5"/>
  <c r="BE12" i="5"/>
  <c r="AM12" i="5"/>
  <c r="AK12" i="5"/>
  <c r="BT11" i="5"/>
  <c r="BS11" i="5"/>
  <c r="BQ11" i="5"/>
  <c r="BK11" i="5"/>
  <c r="BJ11" i="5"/>
  <c r="BI11" i="5"/>
  <c r="BE11" i="5"/>
  <c r="AM11" i="5"/>
  <c r="AK11" i="5"/>
  <c r="BT10" i="5"/>
  <c r="BS10" i="5"/>
  <c r="BQ10" i="5"/>
  <c r="BK10" i="5"/>
  <c r="BJ10" i="5"/>
  <c r="BI10" i="5"/>
  <c r="BE10" i="5"/>
  <c r="AM10" i="5"/>
  <c r="AK10" i="5"/>
  <c r="BS24" i="5"/>
  <c r="BQ24" i="5"/>
  <c r="BK24" i="5"/>
  <c r="BJ24" i="5"/>
  <c r="BI24" i="5"/>
  <c r="BD24" i="5"/>
  <c r="BC24" i="5"/>
  <c r="BE24" i="5"/>
  <c r="AM24" i="5"/>
  <c r="AK24" i="5"/>
  <c r="BS23" i="5"/>
  <c r="BQ23" i="5"/>
  <c r="BK23" i="5"/>
  <c r="BJ23" i="5"/>
  <c r="BI23" i="5"/>
  <c r="BE23" i="5"/>
  <c r="AM23" i="5"/>
  <c r="AK23" i="5"/>
  <c r="BS22" i="5"/>
  <c r="BQ22" i="5"/>
  <c r="BK22" i="5"/>
  <c r="BJ22" i="5"/>
  <c r="BE22" i="5"/>
  <c r="AM22" i="5"/>
  <c r="AK22" i="5"/>
  <c r="BS21" i="5"/>
  <c r="BQ21" i="5"/>
  <c r="BK21" i="5"/>
  <c r="BJ21" i="5"/>
  <c r="BI21" i="5"/>
  <c r="BC21" i="5"/>
  <c r="BE21" i="5"/>
  <c r="AM21" i="5"/>
  <c r="AK21" i="5"/>
  <c r="BS20" i="5"/>
  <c r="BQ20" i="5"/>
  <c r="BK20" i="5"/>
  <c r="BJ20" i="5"/>
  <c r="BI20" i="5"/>
  <c r="BD20" i="5"/>
  <c r="BC20" i="5"/>
  <c r="BE20" i="5"/>
  <c r="AM20" i="5"/>
  <c r="AK20" i="5"/>
  <c r="BR20" i="5"/>
  <c r="BR12" i="5"/>
  <c r="BD12" i="5"/>
  <c r="BR19" i="5"/>
  <c r="BD16" i="5"/>
  <c r="BT8" i="5"/>
  <c r="BS8" i="5"/>
  <c r="BQ8" i="5"/>
  <c r="BK8" i="5"/>
  <c r="BJ8" i="5"/>
  <c r="BI8" i="5"/>
  <c r="BD8" i="5"/>
  <c r="BE8" i="5"/>
  <c r="AM8" i="5"/>
  <c r="AK8" i="5"/>
  <c r="BT7" i="5"/>
  <c r="BS7" i="5"/>
  <c r="BQ7" i="5"/>
  <c r="BK7" i="5"/>
  <c r="BJ7" i="5"/>
  <c r="BI7" i="5"/>
  <c r="BR7" i="5"/>
  <c r="BD7" i="5"/>
  <c r="BE7" i="5"/>
  <c r="AM7" i="5"/>
  <c r="AK7" i="5"/>
  <c r="BT6" i="5"/>
  <c r="BS6" i="5"/>
  <c r="BQ6" i="5"/>
  <c r="BK6" i="5"/>
  <c r="BJ6" i="5"/>
  <c r="BI6" i="5"/>
  <c r="BE6" i="5"/>
  <c r="AM6" i="5"/>
  <c r="AK6" i="5"/>
  <c r="BT4" i="5"/>
  <c r="BS4" i="5"/>
  <c r="BQ4" i="5"/>
  <c r="BK4" i="5"/>
  <c r="BJ4" i="5"/>
  <c r="BI4" i="5"/>
  <c r="BD4" i="5"/>
  <c r="BE4" i="5"/>
  <c r="AM4" i="5"/>
  <c r="AK4" i="5"/>
  <c r="BT3" i="5"/>
  <c r="BS3" i="5"/>
  <c r="BQ3" i="5"/>
  <c r="BK3" i="5"/>
  <c r="BJ3" i="5"/>
  <c r="BI3" i="5"/>
  <c r="BR3" i="5"/>
  <c r="BD3" i="5"/>
  <c r="BE3" i="5"/>
  <c r="AM3" i="5"/>
  <c r="AK3" i="5"/>
  <c r="BS26" i="5"/>
  <c r="BQ26" i="5"/>
  <c r="BK26" i="5"/>
  <c r="BJ26" i="5"/>
  <c r="BE26" i="5"/>
  <c r="AM26" i="5"/>
  <c r="AK26" i="5"/>
  <c r="BS25" i="5"/>
  <c r="BQ25" i="5"/>
  <c r="BK25" i="5"/>
  <c r="BJ25" i="5"/>
  <c r="BI25" i="5"/>
  <c r="BD25" i="5"/>
  <c r="BC25" i="5"/>
  <c r="BE25" i="5"/>
  <c r="AM25" i="5"/>
  <c r="AK25" i="5"/>
  <c r="BT9" i="5"/>
  <c r="BS9" i="5"/>
  <c r="BQ9" i="5"/>
  <c r="BK9" i="5"/>
  <c r="BJ9" i="5"/>
  <c r="BC9" i="5"/>
  <c r="BE9" i="5"/>
  <c r="AM9" i="5"/>
  <c r="AK9" i="5"/>
  <c r="BS27" i="5"/>
  <c r="BQ27" i="5"/>
  <c r="BK27" i="5"/>
  <c r="BJ27" i="5"/>
  <c r="BD27" i="5"/>
  <c r="BE27" i="5"/>
  <c r="AM27" i="5"/>
  <c r="AK27" i="5"/>
  <c r="BR4" i="5"/>
  <c r="D26" i="133"/>
  <c r="E26" i="133"/>
  <c r="D25" i="133"/>
  <c r="D24" i="133"/>
  <c r="D22" i="133"/>
  <c r="D21" i="133"/>
  <c r="D20" i="133"/>
  <c r="D19" i="133"/>
  <c r="D18" i="133"/>
  <c r="D17" i="133"/>
  <c r="D16" i="133"/>
  <c r="D15" i="133"/>
  <c r="D14" i="133"/>
  <c r="D12" i="133"/>
  <c r="D8" i="133"/>
  <c r="D56" i="133"/>
  <c r="E56" i="133"/>
  <c r="D55" i="133"/>
  <c r="D54" i="133"/>
  <c r="D52" i="133"/>
  <c r="D51" i="133"/>
  <c r="D50" i="133"/>
  <c r="D49" i="133"/>
  <c r="D48" i="133"/>
  <c r="D47" i="133"/>
  <c r="D46" i="133"/>
  <c r="D45" i="133"/>
  <c r="D44" i="133"/>
  <c r="D42" i="133"/>
  <c r="D38" i="133"/>
  <c r="D68" i="133"/>
  <c r="D86" i="133"/>
  <c r="E86" i="133"/>
  <c r="D85" i="133"/>
  <c r="D84" i="133"/>
  <c r="D82" i="133"/>
  <c r="D81" i="133"/>
  <c r="D80" i="133"/>
  <c r="D79" i="133"/>
  <c r="D78" i="133"/>
  <c r="D77" i="133"/>
  <c r="D76" i="133"/>
  <c r="D75" i="133"/>
  <c r="D74" i="133"/>
  <c r="E117" i="133"/>
  <c r="D116" i="133"/>
  <c r="E116" i="133"/>
  <c r="D115" i="133"/>
  <c r="D114" i="133"/>
  <c r="D112" i="133"/>
  <c r="D111" i="133"/>
  <c r="D110" i="133"/>
  <c r="D102" i="133"/>
  <c r="D98" i="133"/>
  <c r="D146" i="133"/>
  <c r="E146" i="133"/>
  <c r="D145" i="133"/>
  <c r="D144" i="133"/>
  <c r="D142" i="133"/>
  <c r="D141" i="133"/>
  <c r="D140" i="133"/>
  <c r="D139" i="133"/>
  <c r="D138" i="133"/>
  <c r="D137" i="133"/>
  <c r="D136" i="133"/>
  <c r="D135" i="133"/>
  <c r="D134" i="133"/>
  <c r="D177" i="133"/>
  <c r="E177" i="133"/>
  <c r="D176" i="133"/>
  <c r="D175" i="133"/>
  <c r="D173" i="133"/>
  <c r="D172" i="133"/>
  <c r="D171" i="133"/>
  <c r="D170" i="133"/>
  <c r="D169" i="133"/>
  <c r="D168" i="133"/>
  <c r="D167" i="133"/>
  <c r="D166" i="133"/>
  <c r="D165" i="133"/>
  <c r="D163" i="133"/>
  <c r="D159" i="133"/>
  <c r="D207" i="133"/>
  <c r="D206" i="133"/>
  <c r="D204" i="133"/>
  <c r="D203" i="133"/>
  <c r="D202" i="133"/>
  <c r="D201" i="133"/>
  <c r="D200" i="133"/>
  <c r="D199" i="133"/>
  <c r="D198" i="133"/>
  <c r="D197" i="133"/>
  <c r="D196" i="133"/>
  <c r="D194" i="133"/>
  <c r="D238" i="133"/>
  <c r="D237" i="133"/>
  <c r="D235" i="133"/>
  <c r="D234" i="133"/>
  <c r="D233" i="133"/>
  <c r="D232" i="133"/>
  <c r="D231" i="133"/>
  <c r="D230" i="133"/>
  <c r="D229" i="133"/>
  <c r="D228" i="133"/>
  <c r="D227" i="133"/>
  <c r="D225" i="133"/>
  <c r="E101" i="141"/>
  <c r="E102" i="141"/>
  <c r="E103" i="141"/>
  <c r="E105" i="141"/>
  <c r="D141" i="141"/>
  <c r="D137" i="141"/>
  <c r="D136" i="141"/>
  <c r="D135" i="141"/>
  <c r="E135" i="141"/>
  <c r="D23" i="133"/>
  <c r="E23" i="133"/>
  <c r="D13" i="133"/>
  <c r="E19" i="133"/>
  <c r="E21" i="133"/>
  <c r="E25" i="133"/>
  <c r="E22" i="133"/>
  <c r="E12" i="133"/>
  <c r="E20" i="133"/>
  <c r="E24" i="133"/>
  <c r="E55" i="133"/>
  <c r="D53" i="133"/>
  <c r="E53" i="133"/>
  <c r="D43" i="133"/>
  <c r="E49" i="133"/>
  <c r="E42" i="133"/>
  <c r="E50" i="133"/>
  <c r="E52" i="133"/>
  <c r="E51" i="133"/>
  <c r="E54" i="133"/>
  <c r="E85" i="133"/>
  <c r="D83" i="133"/>
  <c r="E83" i="133"/>
  <c r="D73" i="133"/>
  <c r="E73" i="133"/>
  <c r="E80" i="133"/>
  <c r="E82" i="133"/>
  <c r="E81" i="133"/>
  <c r="E84" i="133"/>
  <c r="E115" i="133"/>
  <c r="D113" i="133"/>
  <c r="E113" i="133"/>
  <c r="E112" i="133"/>
  <c r="E110" i="133"/>
  <c r="E102" i="133"/>
  <c r="E111" i="133"/>
  <c r="E114" i="133"/>
  <c r="E145" i="133"/>
  <c r="D143" i="133"/>
  <c r="E143" i="133"/>
  <c r="D133" i="133"/>
  <c r="E139" i="133"/>
  <c r="E140" i="133"/>
  <c r="E142" i="133"/>
  <c r="E141" i="133"/>
  <c r="E144" i="133"/>
  <c r="E176" i="133"/>
  <c r="E173" i="133"/>
  <c r="E175" i="133"/>
  <c r="D112" i="141"/>
  <c r="E112" i="141"/>
  <c r="D127" i="141"/>
  <c r="D108" i="141"/>
  <c r="D107" i="141"/>
  <c r="D106" i="141"/>
  <c r="E106" i="141"/>
  <c r="D98" i="141"/>
  <c r="D83" i="141"/>
  <c r="D82" i="141"/>
  <c r="D81" i="141"/>
  <c r="D79" i="141"/>
  <c r="D78" i="141"/>
  <c r="D77" i="141"/>
  <c r="E77" i="141"/>
  <c r="E76" i="141"/>
  <c r="E75" i="141"/>
  <c r="E74" i="141"/>
  <c r="E73" i="141"/>
  <c r="E72" i="141"/>
  <c r="E71" i="141"/>
  <c r="D69" i="141"/>
  <c r="E206" i="133"/>
  <c r="D268" i="133"/>
  <c r="D267" i="133"/>
  <c r="D265" i="133"/>
  <c r="D264" i="133"/>
  <c r="D263" i="133"/>
  <c r="D262" i="133"/>
  <c r="D261" i="133"/>
  <c r="D260" i="133"/>
  <c r="D259" i="133"/>
  <c r="D258" i="133"/>
  <c r="D257" i="133"/>
  <c r="D255" i="133"/>
  <c r="D37" i="141"/>
  <c r="E55" i="141"/>
  <c r="D54" i="141"/>
  <c r="D53" i="141"/>
  <c r="D52" i="141"/>
  <c r="D50" i="141"/>
  <c r="D49" i="141"/>
  <c r="D48" i="141"/>
  <c r="D47" i="141"/>
  <c r="E47" i="141"/>
  <c r="D46" i="141"/>
  <c r="E46" i="141"/>
  <c r="D45" i="141"/>
  <c r="E45" i="141"/>
  <c r="D44" i="141"/>
  <c r="E44" i="141"/>
  <c r="D43" i="141"/>
  <c r="E43" i="141"/>
  <c r="D42" i="141"/>
  <c r="E42" i="141"/>
  <c r="D305" i="133"/>
  <c r="D300" i="133"/>
  <c r="D299" i="133"/>
  <c r="D298" i="133"/>
  <c r="D296" i="133"/>
  <c r="D295" i="133"/>
  <c r="D294" i="133"/>
  <c r="D293" i="133"/>
  <c r="D292" i="133"/>
  <c r="D291" i="133"/>
  <c r="D290" i="133"/>
  <c r="D289" i="133"/>
  <c r="D288" i="133"/>
  <c r="D286" i="133"/>
  <c r="D282" i="133"/>
  <c r="D336" i="133"/>
  <c r="D331" i="133"/>
  <c r="D330" i="133"/>
  <c r="D313" i="133"/>
  <c r="D329" i="133"/>
  <c r="D328" i="133"/>
  <c r="E328" i="133"/>
  <c r="D327" i="133"/>
  <c r="D326" i="133"/>
  <c r="D325" i="133"/>
  <c r="E325" i="133"/>
  <c r="D324" i="133"/>
  <c r="D323" i="133"/>
  <c r="D322" i="133"/>
  <c r="D321" i="133"/>
  <c r="D320" i="133"/>
  <c r="D319" i="133"/>
  <c r="D317" i="133"/>
  <c r="E317" i="133"/>
  <c r="D8" i="141"/>
  <c r="D25" i="141"/>
  <c r="D24" i="141"/>
  <c r="D23" i="141"/>
  <c r="D21" i="141"/>
  <c r="D20" i="141"/>
  <c r="D19" i="141"/>
  <c r="E19" i="141"/>
  <c r="D18" i="141"/>
  <c r="E18" i="141"/>
  <c r="D17" i="141"/>
  <c r="E17" i="141"/>
  <c r="D16" i="141"/>
  <c r="E16" i="141"/>
  <c r="D15" i="141"/>
  <c r="E15" i="141"/>
  <c r="D14" i="141"/>
  <c r="E14" i="141"/>
  <c r="D13" i="141"/>
  <c r="E13" i="141"/>
  <c r="D11" i="141"/>
  <c r="E265" i="133"/>
  <c r="E264" i="133"/>
  <c r="E267" i="133"/>
  <c r="E40" i="141"/>
  <c r="E52" i="141"/>
  <c r="C3" i="142"/>
  <c r="D68" i="141"/>
  <c r="E68" i="141"/>
  <c r="D126" i="141"/>
  <c r="E126" i="141"/>
  <c r="D39" i="141"/>
  <c r="E39" i="141"/>
  <c r="AK2" i="5"/>
  <c r="AM2" i="5"/>
  <c r="AK148" i="5"/>
  <c r="BQ28" i="5"/>
  <c r="BQ52" i="5"/>
  <c r="BQ53" i="5"/>
  <c r="BQ56" i="5"/>
  <c r="BQ58" i="5"/>
  <c r="BN53" i="5"/>
  <c r="BN56" i="5"/>
  <c r="BN58" i="5"/>
  <c r="D30" i="141"/>
  <c r="E30" i="141"/>
  <c r="AM87" i="5"/>
  <c r="AM28" i="5"/>
  <c r="AK87" i="5"/>
  <c r="AK28" i="5"/>
  <c r="BS58" i="5"/>
  <c r="BK58" i="5"/>
  <c r="BJ58" i="5"/>
  <c r="BI58" i="5"/>
  <c r="BD58" i="5"/>
  <c r="BC58" i="5"/>
  <c r="BE58" i="5"/>
  <c r="BS56" i="5"/>
  <c r="BK56" i="5"/>
  <c r="BJ56" i="5"/>
  <c r="BI56" i="5"/>
  <c r="BR56" i="5"/>
  <c r="BC56" i="5"/>
  <c r="BE56" i="5"/>
  <c r="BS53" i="5"/>
  <c r="BK53" i="5"/>
  <c r="BJ53" i="5"/>
  <c r="BI53" i="5"/>
  <c r="BD53" i="5"/>
  <c r="BC53" i="5"/>
  <c r="BE53" i="5"/>
  <c r="BS52" i="5"/>
  <c r="BK52" i="5"/>
  <c r="BJ52" i="5"/>
  <c r="BI52" i="5"/>
  <c r="BR52" i="5"/>
  <c r="BD52" i="5"/>
  <c r="BC52" i="5"/>
  <c r="BE52" i="5"/>
  <c r="BS28" i="5"/>
  <c r="BK28" i="5"/>
  <c r="BJ28" i="5"/>
  <c r="BI28" i="5"/>
  <c r="BR28" i="5"/>
  <c r="BC28" i="5"/>
  <c r="BE28" i="5"/>
  <c r="BT2" i="5"/>
  <c r="BS2" i="5"/>
  <c r="C3" i="128"/>
  <c r="BK2" i="5"/>
  <c r="BJ2" i="5"/>
  <c r="BI2" i="5"/>
  <c r="BD2" i="5"/>
  <c r="BC2" i="5"/>
  <c r="BE2" i="5"/>
  <c r="BQ2" i="5"/>
  <c r="K3" i="128"/>
  <c r="BR58" i="5"/>
  <c r="C3" i="120"/>
  <c r="B3" i="128"/>
  <c r="E81" i="141"/>
  <c r="E76" i="133"/>
  <c r="E16" i="133"/>
  <c r="D226" i="133"/>
  <c r="E229" i="133"/>
  <c r="E75" i="133"/>
  <c r="E47" i="133"/>
  <c r="E79" i="133"/>
  <c r="E141" i="141"/>
  <c r="E204" i="133"/>
  <c r="D195" i="133"/>
  <c r="E201" i="133"/>
  <c r="E263" i="133"/>
  <c r="E268" i="133"/>
  <c r="E83" i="141"/>
  <c r="E74" i="133"/>
  <c r="E78" i="133"/>
  <c r="E203" i="133"/>
  <c r="BR69" i="5"/>
  <c r="BD67" i="5"/>
  <c r="BR51" i="5"/>
  <c r="E82" i="141"/>
  <c r="E134" i="133"/>
  <c r="E13" i="133"/>
  <c r="E18" i="133"/>
  <c r="E15" i="133"/>
  <c r="E17" i="133"/>
  <c r="E135" i="133"/>
  <c r="E136" i="133"/>
  <c r="E133" i="133"/>
  <c r="E14" i="133"/>
  <c r="D236" i="133"/>
  <c r="E236" i="133"/>
  <c r="E137" i="141"/>
  <c r="E233" i="133"/>
  <c r="E46" i="133"/>
  <c r="E44" i="133"/>
  <c r="E108" i="141"/>
  <c r="E127" i="141"/>
  <c r="E111" i="141"/>
  <c r="E237" i="133"/>
  <c r="E225" i="133"/>
  <c r="E139" i="141"/>
  <c r="E234" i="133"/>
  <c r="E78" i="141"/>
  <c r="E138" i="133"/>
  <c r="E43" i="133"/>
  <c r="E45" i="133"/>
  <c r="E98" i="141"/>
  <c r="E140" i="141"/>
  <c r="E69" i="141"/>
  <c r="E79" i="141"/>
  <c r="E137" i="133"/>
  <c r="E48" i="133"/>
  <c r="E136" i="141"/>
  <c r="E238" i="133"/>
  <c r="D9" i="141"/>
  <c r="BR141" i="5"/>
  <c r="BR80" i="5"/>
  <c r="BD90" i="5"/>
  <c r="BD105" i="5"/>
  <c r="BR105" i="5"/>
  <c r="B3" i="120"/>
  <c r="D10" i="141"/>
  <c r="E235" i="133"/>
  <c r="BR8" i="5"/>
  <c r="BR14" i="5"/>
  <c r="BD17" i="5"/>
  <c r="BR60" i="5"/>
  <c r="BD60" i="5"/>
  <c r="BR91" i="5"/>
  <c r="BD92" i="5"/>
  <c r="BR125" i="5"/>
  <c r="BR126" i="5"/>
  <c r="BR112" i="5"/>
  <c r="BR103" i="5"/>
  <c r="BD134" i="5"/>
  <c r="BR134" i="5"/>
  <c r="BR138" i="5"/>
  <c r="D38" i="141"/>
  <c r="D67" i="141"/>
  <c r="E67" i="141"/>
  <c r="D100" i="133"/>
  <c r="E100" i="133"/>
  <c r="BR24" i="5"/>
  <c r="BR148" i="5"/>
  <c r="BD148" i="5"/>
  <c r="BR122" i="5"/>
  <c r="BD101" i="5"/>
  <c r="BR101" i="5"/>
  <c r="E50" i="141"/>
  <c r="BR6" i="5"/>
  <c r="BR10" i="5"/>
  <c r="BD30" i="5"/>
  <c r="BR46" i="5"/>
  <c r="BR63" i="5"/>
  <c r="BR147" i="5"/>
  <c r="BD141" i="5"/>
  <c r="BR64" i="5"/>
  <c r="BR115" i="5"/>
  <c r="BD119" i="5"/>
  <c r="BR78" i="5"/>
  <c r="BD107" i="5"/>
  <c r="BD94" i="5"/>
  <c r="BR98" i="5"/>
  <c r="BR137" i="5"/>
  <c r="BR65" i="5"/>
  <c r="BR61" i="5"/>
  <c r="BR130" i="5"/>
  <c r="BR131" i="5"/>
  <c r="BR129" i="5"/>
  <c r="BR2" i="5"/>
  <c r="D59" i="141"/>
  <c r="E59" i="141"/>
  <c r="BD56" i="5"/>
  <c r="D315" i="133"/>
  <c r="E315" i="133"/>
  <c r="D31" i="133"/>
  <c r="E31" i="133"/>
  <c r="BR53" i="5"/>
  <c r="D337" i="133"/>
  <c r="D11" i="133"/>
  <c r="E11" i="133"/>
  <c r="D41" i="133"/>
  <c r="E41" i="133"/>
  <c r="D10" i="133"/>
  <c r="E10" i="133"/>
  <c r="D40" i="133"/>
  <c r="E40" i="133"/>
  <c r="BD70" i="5"/>
  <c r="BR70" i="5"/>
  <c r="BR74" i="5"/>
  <c r="BD74" i="5"/>
  <c r="BR76" i="5"/>
  <c r="BD76" i="5"/>
  <c r="BR114" i="5"/>
  <c r="BD114" i="5"/>
  <c r="BR116" i="5"/>
  <c r="BD116" i="5"/>
  <c r="BR127" i="5"/>
  <c r="BR86" i="5"/>
  <c r="BD86" i="5"/>
  <c r="BR82" i="5"/>
  <c r="BD82" i="5"/>
  <c r="BD93" i="5"/>
  <c r="BR93" i="5"/>
  <c r="BR95" i="5"/>
  <c r="BD95" i="5"/>
  <c r="BR99" i="5"/>
  <c r="BD99" i="5"/>
  <c r="BR135" i="5"/>
  <c r="BD135" i="5"/>
  <c r="BD140" i="5"/>
  <c r="BR140" i="5"/>
  <c r="BR117" i="5"/>
  <c r="BR84" i="5"/>
  <c r="BD110" i="5"/>
  <c r="BR110" i="5"/>
  <c r="BR97" i="5"/>
  <c r="BD133" i="5"/>
  <c r="BD41" i="5"/>
  <c r="BD108" i="5"/>
  <c r="BR108" i="5"/>
  <c r="BD102" i="5"/>
  <c r="D117" i="141"/>
  <c r="BR85" i="5"/>
  <c r="D61" i="133"/>
  <c r="E61" i="133"/>
  <c r="D306" i="133"/>
  <c r="D88" i="141"/>
  <c r="E88" i="141"/>
  <c r="BD28" i="5"/>
  <c r="E110" i="141"/>
  <c r="E202" i="133"/>
  <c r="D205" i="133"/>
  <c r="E205" i="133"/>
  <c r="E171" i="133"/>
  <c r="D174" i="133"/>
  <c r="E174" i="133"/>
  <c r="D266" i="133"/>
  <c r="E266" i="133"/>
  <c r="E107" i="141"/>
  <c r="E77" i="133"/>
  <c r="E194" i="133"/>
  <c r="E163" i="133"/>
  <c r="E172" i="133"/>
  <c r="E72" i="133"/>
  <c r="E207" i="133"/>
  <c r="E49" i="141"/>
  <c r="E54" i="141"/>
  <c r="E295" i="133"/>
  <c r="D71" i="133"/>
  <c r="E71" i="133"/>
  <c r="D101" i="133"/>
  <c r="E101" i="133"/>
  <c r="D284" i="133"/>
  <c r="E284" i="133"/>
  <c r="D70" i="133"/>
  <c r="E70" i="133"/>
  <c r="D103" i="133"/>
  <c r="E106" i="133"/>
  <c r="D128" i="141"/>
  <c r="E131" i="141"/>
  <c r="D70" i="141"/>
  <c r="E70" i="141"/>
  <c r="BD168" i="5"/>
  <c r="BR195" i="5"/>
  <c r="BR11" i="5"/>
  <c r="BR111" i="5"/>
  <c r="BR187" i="5"/>
  <c r="BR202" i="5"/>
  <c r="BR307" i="5"/>
  <c r="BD307" i="5"/>
  <c r="BR184" i="5"/>
  <c r="BR206" i="5"/>
  <c r="BD206" i="5"/>
  <c r="BR196" i="5"/>
  <c r="BD188" i="5"/>
  <c r="BR188" i="5"/>
  <c r="D184" i="141"/>
  <c r="E184" i="141"/>
  <c r="BR210" i="5"/>
  <c r="E199" i="141"/>
  <c r="E197" i="141"/>
  <c r="D176" i="141"/>
  <c r="E176" i="141"/>
  <c r="BH150" i="5"/>
  <c r="BD150" i="5"/>
  <c r="BD208" i="5"/>
  <c r="BR208" i="5"/>
  <c r="BD297" i="5"/>
  <c r="BR297" i="5"/>
  <c r="BR302" i="5"/>
  <c r="BD302" i="5"/>
  <c r="BD305" i="5"/>
  <c r="BR305" i="5"/>
  <c r="E185" i="141"/>
  <c r="BR209" i="5"/>
  <c r="BD209" i="5"/>
  <c r="BR298" i="5"/>
  <c r="BD298" i="5"/>
  <c r="BD301" i="5"/>
  <c r="BR301" i="5"/>
  <c r="D183" i="141"/>
  <c r="BD204" i="5"/>
  <c r="BR204" i="5"/>
  <c r="BR290" i="5"/>
  <c r="BR299" i="5"/>
  <c r="BR306" i="5"/>
  <c r="BD306" i="5"/>
  <c r="D164" i="133"/>
  <c r="E167" i="133"/>
  <c r="BR44" i="5"/>
  <c r="BR36" i="5"/>
  <c r="D297" i="133"/>
  <c r="E297" i="133"/>
  <c r="E296" i="133"/>
  <c r="BD120" i="5"/>
  <c r="BD26" i="5"/>
  <c r="BR45" i="5"/>
  <c r="BR49" i="5"/>
  <c r="BD128" i="5"/>
  <c r="BD32" i="5"/>
  <c r="BR68" i="5"/>
  <c r="BD79" i="5"/>
  <c r="BD104" i="5"/>
  <c r="BD22" i="5"/>
  <c r="BR17" i="5"/>
  <c r="BD29" i="5"/>
  <c r="BR37" i="5"/>
  <c r="BR92" i="5"/>
  <c r="BR57" i="5"/>
  <c r="BR88" i="5"/>
  <c r="BR96" i="5"/>
  <c r="BR153" i="5"/>
  <c r="BR157" i="5"/>
  <c r="E226" i="141"/>
  <c r="E48" i="141"/>
  <c r="D256" i="133"/>
  <c r="E258" i="133"/>
  <c r="E228" i="133"/>
  <c r="BR75" i="5"/>
  <c r="BR179" i="5"/>
  <c r="BR139" i="5"/>
  <c r="BD174" i="5"/>
  <c r="BR177" i="5"/>
  <c r="BD143" i="5"/>
  <c r="BR170" i="5"/>
  <c r="BD304" i="5"/>
  <c r="BR304" i="5"/>
  <c r="BD300" i="5"/>
  <c r="BR300" i="5"/>
  <c r="BD291" i="5"/>
  <c r="BR291" i="5"/>
  <c r="D183" i="133"/>
  <c r="E183" i="133"/>
  <c r="E231" i="133"/>
  <c r="BR18" i="5"/>
  <c r="BR33" i="5"/>
  <c r="BR94" i="5"/>
  <c r="BR100" i="5"/>
  <c r="BR136" i="5"/>
  <c r="BR151" i="5"/>
  <c r="BD123" i="5"/>
  <c r="BR173" i="5"/>
  <c r="BR159" i="5"/>
  <c r="BR168" i="5"/>
  <c r="BR34" i="5"/>
  <c r="BR15" i="5"/>
  <c r="D130" i="133"/>
  <c r="E130" i="133"/>
  <c r="BR190" i="5"/>
  <c r="BR48" i="5"/>
  <c r="BD203" i="5"/>
  <c r="BR203" i="5"/>
  <c r="BD9" i="5"/>
  <c r="BR25" i="5"/>
  <c r="BR13" i="5"/>
  <c r="BR21" i="5"/>
  <c r="BR40" i="5"/>
  <c r="BR72" i="5"/>
  <c r="BD175" i="5"/>
  <c r="BD178" i="5"/>
  <c r="E132" i="133"/>
  <c r="E298" i="133"/>
  <c r="BR23" i="5"/>
  <c r="BR5" i="5"/>
  <c r="BR87" i="5"/>
  <c r="BR81" i="5"/>
  <c r="BD83" i="5"/>
  <c r="BR149" i="5"/>
  <c r="BR152" i="5"/>
  <c r="BR161" i="5"/>
  <c r="E243" i="141"/>
  <c r="D138" i="141"/>
  <c r="E138" i="141"/>
  <c r="BR200" i="5"/>
  <c r="BR156" i="5"/>
  <c r="D192" i="133"/>
  <c r="E192" i="133"/>
  <c r="E285" i="141"/>
  <c r="E327" i="133"/>
  <c r="D109" i="141"/>
  <c r="E109" i="141"/>
  <c r="D99" i="141"/>
  <c r="E99" i="141"/>
  <c r="BR169" i="5"/>
  <c r="BR303" i="5"/>
  <c r="E286" i="133"/>
  <c r="E97" i="141"/>
  <c r="BD191" i="5"/>
  <c r="BR212" i="5"/>
  <c r="E214" i="141"/>
  <c r="BR193" i="5"/>
  <c r="E228" i="141"/>
  <c r="D28" i="133"/>
  <c r="G3" i="128"/>
  <c r="D88" i="133"/>
  <c r="F3" i="128"/>
  <c r="D148" i="133"/>
  <c r="D58" i="133"/>
  <c r="D118" i="133"/>
  <c r="G3" i="120"/>
  <c r="D59" i="133"/>
  <c r="D89" i="133"/>
  <c r="D149" i="133"/>
  <c r="D29" i="133"/>
  <c r="F3" i="120"/>
  <c r="D119" i="133"/>
  <c r="BR27" i="5"/>
  <c r="D213" i="141"/>
  <c r="E213" i="141"/>
  <c r="D161" i="133"/>
  <c r="E161" i="133"/>
  <c r="E286" i="141"/>
  <c r="BR308" i="5"/>
  <c r="D162" i="133"/>
  <c r="E162" i="133"/>
  <c r="BD185" i="5"/>
  <c r="BR186" i="5"/>
  <c r="BD197" i="5"/>
  <c r="BR192" i="5"/>
  <c r="BR160" i="5"/>
  <c r="BR90" i="5"/>
  <c r="E257" i="141"/>
  <c r="BD199" i="5"/>
  <c r="BR199" i="5"/>
  <c r="BR189" i="5"/>
  <c r="BD189" i="5"/>
  <c r="BD183" i="5"/>
  <c r="BR183" i="5"/>
  <c r="BD180" i="5"/>
  <c r="BR180" i="5"/>
  <c r="BR167" i="5"/>
  <c r="BD167" i="5"/>
  <c r="BD106" i="5"/>
  <c r="BR106" i="5"/>
  <c r="BR164" i="5"/>
  <c r="BR176" i="5"/>
  <c r="BR163" i="5"/>
  <c r="BR207" i="5"/>
  <c r="E227" i="141"/>
  <c r="BD181" i="5"/>
  <c r="BR214" i="5"/>
  <c r="E256" i="141"/>
  <c r="D225" i="141"/>
  <c r="E284" i="141"/>
  <c r="BR240" i="5"/>
  <c r="BR260" i="5"/>
  <c r="BR263" i="5"/>
  <c r="BR234" i="5"/>
  <c r="BR237" i="5"/>
  <c r="BR242" i="5"/>
  <c r="BR259" i="5"/>
  <c r="BR271" i="5"/>
  <c r="BR275" i="5"/>
  <c r="BR288" i="5"/>
  <c r="BR228" i="5"/>
  <c r="BR236" i="5"/>
  <c r="BR238" i="5"/>
  <c r="BR241" i="5"/>
  <c r="BR244" i="5"/>
  <c r="BR289" i="5"/>
  <c r="BR269" i="5"/>
  <c r="BR273" i="5"/>
  <c r="BR280" i="5"/>
  <c r="BD198" i="5"/>
  <c r="BR198" i="5"/>
  <c r="BD194" i="5"/>
  <c r="BR194" i="5"/>
  <c r="BD182" i="5"/>
  <c r="BR182" i="5"/>
  <c r="BR166" i="5"/>
  <c r="BD166" i="5"/>
  <c r="BD211" i="5"/>
  <c r="BR211" i="5"/>
  <c r="BR213" i="5"/>
  <c r="BD213" i="5"/>
  <c r="E198" i="141"/>
  <c r="D179" i="133"/>
  <c r="BD214" i="5"/>
  <c r="BD287" i="5"/>
  <c r="BR287" i="5"/>
  <c r="BD274" i="5"/>
  <c r="BR274" i="5"/>
  <c r="BD270" i="5"/>
  <c r="BR270" i="5"/>
  <c r="BD261" i="5"/>
  <c r="BR261" i="5"/>
  <c r="BD243" i="5"/>
  <c r="BR243" i="5"/>
  <c r="BD239" i="5"/>
  <c r="BR239" i="5"/>
  <c r="E271" i="141"/>
  <c r="D180" i="133"/>
  <c r="BD303" i="5"/>
  <c r="BD201" i="5"/>
  <c r="D210" i="133"/>
  <c r="BD276" i="5"/>
  <c r="BR276" i="5"/>
  <c r="BD272" i="5"/>
  <c r="BR272" i="5"/>
  <c r="D211" i="133"/>
  <c r="D131" i="133"/>
  <c r="E131" i="133"/>
  <c r="E226" i="133"/>
  <c r="J3" i="128"/>
  <c r="D154" i="141"/>
  <c r="BD232" i="5"/>
  <c r="BR226" i="5"/>
  <c r="BD225" i="5"/>
  <c r="BR229" i="5"/>
  <c r="BR227" i="5"/>
  <c r="BR218" i="5"/>
  <c r="BR309" i="5"/>
  <c r="BR231" i="5"/>
  <c r="BR266" i="5"/>
  <c r="BR220" i="5"/>
  <c r="BD227" i="5"/>
  <c r="BR217" i="5"/>
  <c r="BR221" i="5"/>
  <c r="K3" i="120"/>
  <c r="J3" i="120"/>
  <c r="BR150" i="5"/>
  <c r="BD221" i="5"/>
  <c r="BR296" i="5"/>
  <c r="BR223" i="5"/>
  <c r="BR224" i="5"/>
  <c r="BR219" i="5"/>
  <c r="BD230" i="5"/>
  <c r="BR230" i="5"/>
  <c r="BR222" i="5"/>
  <c r="BD294" i="5"/>
  <c r="BR233" i="5"/>
  <c r="D214" i="133"/>
  <c r="E214" i="133"/>
  <c r="BD233" i="5"/>
  <c r="BR265" i="5"/>
  <c r="BD265" i="5"/>
  <c r="BR232" i="5"/>
  <c r="BR268" i="5"/>
  <c r="BR216" i="5"/>
  <c r="BR267" i="5"/>
  <c r="BR295" i="5"/>
  <c r="BD205" i="5"/>
  <c r="BR205" i="5"/>
  <c r="D212" i="141"/>
  <c r="D193" i="133"/>
  <c r="E193" i="133"/>
  <c r="E113" i="141"/>
  <c r="E294" i="133"/>
  <c r="E299" i="133"/>
  <c r="E142" i="141"/>
  <c r="E53" i="141"/>
  <c r="E84" i="141"/>
  <c r="D333" i="133"/>
  <c r="D302" i="133"/>
  <c r="D51" i="141"/>
  <c r="E51" i="141"/>
  <c r="BR262" i="5"/>
  <c r="D303" i="133"/>
  <c r="D41" i="141"/>
  <c r="E41" i="141"/>
  <c r="D80" i="141"/>
  <c r="E80" i="141"/>
  <c r="D334" i="133"/>
  <c r="E11" i="141"/>
  <c r="E10" i="141"/>
  <c r="E23" i="141"/>
  <c r="E326" i="133"/>
  <c r="D162" i="141"/>
  <c r="E253" i="141"/>
  <c r="E252" i="141"/>
  <c r="D164" i="141"/>
  <c r="E164" i="141"/>
  <c r="E230" i="133"/>
  <c r="E169" i="133"/>
  <c r="E232" i="133"/>
  <c r="E203" i="141"/>
  <c r="E105" i="133"/>
  <c r="E107" i="133"/>
  <c r="E261" i="133"/>
  <c r="E227" i="133"/>
  <c r="E196" i="133"/>
  <c r="E200" i="133"/>
  <c r="E198" i="133"/>
  <c r="D287" i="133"/>
  <c r="E289" i="133"/>
  <c r="E195" i="133"/>
  <c r="E199" i="133"/>
  <c r="BR235" i="5"/>
  <c r="BD235" i="5"/>
  <c r="D285" i="133"/>
  <c r="E285" i="133"/>
  <c r="D316" i="133"/>
  <c r="E316" i="133"/>
  <c r="D12" i="141"/>
  <c r="E12" i="141"/>
  <c r="E129" i="141"/>
  <c r="E109" i="133"/>
  <c r="E104" i="133"/>
  <c r="D318" i="133"/>
  <c r="E323" i="133"/>
  <c r="E262" i="133"/>
  <c r="E128" i="141"/>
  <c r="E200" i="141"/>
  <c r="E318" i="133"/>
  <c r="E165" i="133"/>
  <c r="E168" i="133"/>
  <c r="E197" i="133"/>
  <c r="D22" i="141"/>
  <c r="E22" i="141"/>
  <c r="E166" i="133"/>
  <c r="E103" i="133"/>
  <c r="E20" i="141"/>
  <c r="E329" i="133"/>
  <c r="D167" i="141"/>
  <c r="E167" i="141"/>
  <c r="D219" i="141"/>
  <c r="D160" i="141"/>
  <c r="D254" i="141"/>
  <c r="E254" i="141"/>
  <c r="E281" i="141"/>
  <c r="D196" i="141"/>
  <c r="E196" i="141"/>
  <c r="D247" i="141"/>
  <c r="E282" i="141"/>
  <c r="E330" i="133"/>
  <c r="D221" i="141"/>
  <c r="E195" i="141"/>
  <c r="E104" i="141"/>
  <c r="E132" i="141"/>
  <c r="E260" i="133"/>
  <c r="E21" i="141"/>
  <c r="E166" i="141"/>
  <c r="E194" i="141"/>
  <c r="D218" i="141"/>
  <c r="D246" i="141"/>
  <c r="D251" i="141"/>
  <c r="E251" i="141"/>
  <c r="E280" i="141"/>
  <c r="E256" i="133"/>
  <c r="E257" i="133"/>
  <c r="E259" i="133"/>
  <c r="E255" i="133"/>
  <c r="E165" i="141"/>
  <c r="E204" i="141"/>
  <c r="D217" i="141"/>
  <c r="D245" i="141"/>
  <c r="D283" i="141"/>
  <c r="E283" i="141"/>
  <c r="E130" i="141"/>
  <c r="E133" i="141"/>
  <c r="E108" i="133"/>
  <c r="D192" i="141"/>
  <c r="D187" i="141"/>
  <c r="D249" i="141"/>
  <c r="E164" i="133"/>
  <c r="E170" i="133"/>
  <c r="E134" i="141"/>
  <c r="E100" i="141"/>
  <c r="E25" i="141"/>
  <c r="E24" i="141"/>
  <c r="E26" i="141"/>
  <c r="D191" i="141"/>
  <c r="D188" i="141"/>
  <c r="D220" i="141"/>
  <c r="D216" i="141"/>
  <c r="D193" i="141"/>
  <c r="E193" i="141"/>
  <c r="D248" i="141"/>
  <c r="D189" i="141"/>
  <c r="D250" i="141"/>
  <c r="E293" i="133"/>
  <c r="D157" i="141"/>
  <c r="E160" i="141"/>
  <c r="E292" i="133"/>
  <c r="E287" i="133"/>
  <c r="E321" i="133"/>
  <c r="E322" i="133"/>
  <c r="E319" i="133"/>
  <c r="E290" i="133"/>
  <c r="E288" i="133"/>
  <c r="E291" i="133"/>
  <c r="E324" i="133"/>
  <c r="E320" i="133"/>
  <c r="D273" i="141"/>
  <c r="E273" i="141"/>
  <c r="D244" i="141"/>
  <c r="E245" i="141"/>
  <c r="E163" i="141"/>
  <c r="E158" i="141"/>
  <c r="E159" i="141"/>
  <c r="E162" i="141"/>
  <c r="E161" i="141"/>
  <c r="E157" i="141"/>
  <c r="D215" i="141"/>
  <c r="E220" i="141"/>
  <c r="D186" i="141"/>
  <c r="E187" i="141"/>
  <c r="E248" i="141"/>
  <c r="E246" i="141"/>
  <c r="E244" i="141"/>
  <c r="E247" i="141"/>
  <c r="E276" i="141"/>
  <c r="E249" i="141"/>
  <c r="E250" i="141"/>
  <c r="E278" i="141"/>
  <c r="E192" i="141"/>
  <c r="E277" i="141"/>
  <c r="E279" i="141"/>
  <c r="E274" i="141"/>
  <c r="E275" i="141"/>
  <c r="E189" i="141"/>
  <c r="E186" i="141"/>
  <c r="E190" i="141"/>
  <c r="E215" i="141"/>
  <c r="E218" i="141"/>
  <c r="E219" i="141"/>
  <c r="E217" i="141"/>
  <c r="E221" i="141"/>
  <c r="E188" i="141"/>
  <c r="E216" i="141"/>
  <c r="E191" i="141"/>
</calcChain>
</file>

<file path=xl/sharedStrings.xml><?xml version="1.0" encoding="utf-8"?>
<sst xmlns="http://schemas.openxmlformats.org/spreadsheetml/2006/main" count="2238" uniqueCount="352">
  <si>
    <t>CABG</t>
  </si>
  <si>
    <t>AVR</t>
  </si>
  <si>
    <t>1 V</t>
  </si>
  <si>
    <t>1 Pl</t>
  </si>
  <si>
    <t>ERASME</t>
  </si>
  <si>
    <t>CHIREC</t>
  </si>
  <si>
    <t>EPICURA</t>
  </si>
  <si>
    <t>NIVELLES</t>
  </si>
  <si>
    <t>Mois</t>
  </si>
  <si>
    <t>Nom</t>
  </si>
  <si>
    <t>Référence</t>
  </si>
  <si>
    <t>D/naissance</t>
  </si>
  <si>
    <t>Age</t>
  </si>
  <si>
    <t>Référant</t>
  </si>
  <si>
    <t>Lieu activité</t>
  </si>
  <si>
    <t>Chirurgien</t>
  </si>
  <si>
    <t>Sexe</t>
  </si>
  <si>
    <t>D/opératoire</t>
  </si>
  <si>
    <t>Intervention</t>
  </si>
  <si>
    <t>Lés. cor.</t>
  </si>
  <si>
    <t>Type RC</t>
  </si>
  <si>
    <t>Marque V</t>
  </si>
  <si>
    <t>Type V</t>
  </si>
  <si>
    <t>Taille V</t>
  </si>
  <si>
    <t>Nbr de j USI</t>
  </si>
  <si>
    <t>Date de sortie</t>
  </si>
  <si>
    <t>Nbr de j hospi</t>
  </si>
  <si>
    <t>Alive</t>
  </si>
  <si>
    <t>Destination</t>
  </si>
  <si>
    <t>RDV postop</t>
  </si>
  <si>
    <t>Postopt imm</t>
  </si>
  <si>
    <t>Statut 1</t>
  </si>
  <si>
    <t>Commentaires</t>
  </si>
  <si>
    <t>postop loint</t>
  </si>
  <si>
    <t>Statut 2</t>
  </si>
  <si>
    <t>ERASME CARDIO</t>
  </si>
  <si>
    <t>ERASME URGENCES</t>
  </si>
  <si>
    <t>CHIREC BASILIQUE</t>
  </si>
  <si>
    <t>ERASME MI</t>
  </si>
  <si>
    <t>CHR HAUTE SENNE</t>
  </si>
  <si>
    <t>BHC OTTIGNIES</t>
  </si>
  <si>
    <t>ERASME VASCULAIRE</t>
  </si>
  <si>
    <t>BRACOPS</t>
  </si>
  <si>
    <t>ERASME ETRANGER</t>
  </si>
  <si>
    <t>ERASME CHIR CAR</t>
  </si>
  <si>
    <t>LVAD</t>
  </si>
  <si>
    <t>ERASME USI</t>
  </si>
  <si>
    <t>CHIREC PARC LEOPOLD</t>
  </si>
  <si>
    <t>CHWAPI TOURNAI</t>
  </si>
  <si>
    <t>PATIENT</t>
  </si>
  <si>
    <t>MT</t>
  </si>
  <si>
    <t>CHIREC EDITH CAVELL</t>
  </si>
  <si>
    <t>ERASME PNEUMO</t>
  </si>
  <si>
    <t>CHIREC BRAINE</t>
  </si>
  <si>
    <t>EPICURA HORNU</t>
  </si>
  <si>
    <t>EPICURA ATH</t>
  </si>
  <si>
    <t>CABG + 1V</t>
  </si>
  <si>
    <t>2 V ou plus</t>
  </si>
  <si>
    <t>Autre</t>
  </si>
  <si>
    <t>Cause réhospit</t>
  </si>
  <si>
    <t>Intervention-activité</t>
  </si>
  <si>
    <t>valves - activité</t>
  </si>
  <si>
    <t>TVP</t>
  </si>
  <si>
    <t>MVP</t>
  </si>
  <si>
    <t>MVR</t>
  </si>
  <si>
    <t>Aorte</t>
  </si>
  <si>
    <t>T &lt;24 - nb trans</t>
  </si>
  <si>
    <t>T &gt;24 h - nb trans</t>
  </si>
  <si>
    <t>Date révision</t>
  </si>
  <si>
    <t>Révision &lt; 24h</t>
  </si>
  <si>
    <t>Réhosp.</t>
  </si>
  <si>
    <t>Réhosp.&lt; 30 j</t>
  </si>
  <si>
    <t>TVR</t>
  </si>
  <si>
    <t>CT</t>
  </si>
  <si>
    <t>Inf p.op</t>
  </si>
  <si>
    <t>Transfu &lt;24 h</t>
  </si>
  <si>
    <t>Transfu &gt;24 h</t>
  </si>
  <si>
    <t>Retour salle</t>
  </si>
  <si>
    <t>Nombre de Intervention</t>
  </si>
  <si>
    <t>Nombre de valves - activité</t>
  </si>
  <si>
    <t>Nombre de valves - activité2</t>
  </si>
  <si>
    <t>% TOTAL</t>
  </si>
  <si>
    <t>Provenance</t>
  </si>
  <si>
    <t>Moyenne de Nbr de j USI</t>
  </si>
  <si>
    <t>Exclu "LVAD" &amp; "TX"</t>
  </si>
  <si>
    <t>Exclu J &lt; = 0</t>
  </si>
  <si>
    <t>filtre à contrôler</t>
  </si>
  <si>
    <t>Valeurs</t>
  </si>
  <si>
    <t>Écartype de Nbr de j USI</t>
  </si>
  <si>
    <t xml:space="preserve"> "LVAD" &amp; "TX"</t>
  </si>
  <si>
    <t>Moyenne de Nbr de j hospi</t>
  </si>
  <si>
    <t>Nombre de Révision &lt; 24h</t>
  </si>
  <si>
    <t>Nombre de Réhosp.&lt; 30 j</t>
  </si>
  <si>
    <t>Inf p.op_RV</t>
  </si>
  <si>
    <t>Transfu &lt;24 h_RV</t>
  </si>
  <si>
    <t>Transfu &gt;24 h_RV</t>
  </si>
  <si>
    <t>Révision &lt; 24h_RV</t>
  </si>
  <si>
    <t>Réhosp.&lt; 30 j_RV</t>
  </si>
  <si>
    <t>Nombre de Alive</t>
  </si>
  <si>
    <t>Nbr de j USI_RV</t>
  </si>
  <si>
    <t>TOUTES</t>
  </si>
  <si>
    <t>Nbr de j hospi_RV</t>
  </si>
  <si>
    <t>Écartype de Nbr de j hospi</t>
  </si>
  <si>
    <t>Nombre de Révision &lt; 24h_RV</t>
  </si>
  <si>
    <t>Nombre de Réhosp.&lt; 30 j_RV</t>
  </si>
  <si>
    <t>Somme de T &gt;24 h - nb trans</t>
  </si>
  <si>
    <t>Moyenne de T &gt;24 h - nb trans</t>
  </si>
  <si>
    <t>Nb moy de tranfusions/tranfusé</t>
  </si>
  <si>
    <t>Somme de T &lt;24 - nb trans</t>
  </si>
  <si>
    <t>Moyenne de T &lt;24 - nb trans</t>
  </si>
  <si>
    <t>Quantité de réhosp &lt; 30j</t>
  </si>
  <si>
    <t>% de réhosp &lt; 30j</t>
  </si>
  <si>
    <t>Quantité d'infections sur l'ensemble des patients</t>
  </si>
  <si>
    <t>% d'infections sur l'ensemble des patients</t>
  </si>
  <si>
    <t>Quantité de transfusés &lt;24h et nb de transfusions sur l'ensemble des patients</t>
  </si>
  <si>
    <t>% de transfusés &gt;24h et moyenne de transfusions sur l'ensemble des patients</t>
  </si>
  <si>
    <t>Lieu-Regroup</t>
  </si>
  <si>
    <t>Lieu activité_Groupe</t>
  </si>
  <si>
    <t>Transfu_RV</t>
  </si>
  <si>
    <t>Transfu_Total_RV</t>
  </si>
  <si>
    <t>Nombre de Transfu_RV</t>
  </si>
  <si>
    <t>Somme de Transfu_Total_RV</t>
  </si>
  <si>
    <t>Quantité de transfusés total et nb de transfusions sur l'ensemble des patients</t>
  </si>
  <si>
    <t>% de transfusés total et moyenne de transfusions sur l'ensemble des patients</t>
  </si>
  <si>
    <t>Moyenne de Transfu_Total_RV</t>
  </si>
  <si>
    <t>Max de Nbr de j USI_RV</t>
  </si>
  <si>
    <t>Min de Nbr de j USI_RV</t>
  </si>
  <si>
    <t>Min de Nbr de j USI_RV2</t>
  </si>
  <si>
    <t>Max de Nbr de j USI_RV2</t>
  </si>
  <si>
    <t>Écartype de Nbr de j USI_RV</t>
  </si>
  <si>
    <t>Période</t>
  </si>
  <si>
    <t>Médiane de Nbr de j hospi</t>
  </si>
  <si>
    <t>Nbr de j hospi_Hors_RV</t>
  </si>
  <si>
    <t>Nbr de j hospi_LVAD-TX_RV</t>
  </si>
  <si>
    <t>2=&gt;26</t>
  </si>
  <si>
    <t>lignes</t>
  </si>
  <si>
    <t>Nbr de j USI_Hors_RV</t>
  </si>
  <si>
    <t>Nbr de j USI_LVAD-TX_RV</t>
  </si>
  <si>
    <t>Min de Nbr de j hospi_RV</t>
  </si>
  <si>
    <t>Max de Nbr de j hospi_RV</t>
  </si>
  <si>
    <t>Max de Nbr de j hospi_RV2</t>
  </si>
  <si>
    <t>Redo</t>
  </si>
  <si>
    <t>Révision &gt;24h</t>
  </si>
  <si>
    <t>Service de Chirurgie Cardiaque -Hôpital ERASME</t>
  </si>
  <si>
    <t>Nbre</t>
  </si>
  <si>
    <t>%</t>
  </si>
  <si>
    <t>Nbre CABG</t>
  </si>
  <si>
    <t>Nbre Valves/type</t>
  </si>
  <si>
    <t>2 V ou +</t>
  </si>
  <si>
    <t>Nbre Décès</t>
  </si>
  <si>
    <t>Moyenne jours d'USI (hors LVAD et TX)</t>
  </si>
  <si>
    <t>HTX</t>
  </si>
  <si>
    <t>Nbre LVAD-HTX</t>
  </si>
  <si>
    <t>T total</t>
  </si>
  <si>
    <t>Nbre Aorte</t>
  </si>
  <si>
    <t>ERASME NEURO</t>
  </si>
  <si>
    <t>Quantité de transfusés &gt;24h et nb de transfusions  HORS  LVAD-HTX</t>
  </si>
  <si>
    <t>Quantité de transfusés &gt;24h et nb de transfusions  LVAD-HTX</t>
  </si>
  <si>
    <t>Quantité de transfusés &gt;24h et nb de transfusions TOUS</t>
  </si>
  <si>
    <t>Quantité de transfusés &lt;24h et nb de transfusions LVAD-HTX</t>
  </si>
  <si>
    <t>Quantité de transfusés &lt;24h et nb de transfusions  Hors LVAD-HTX</t>
  </si>
  <si>
    <t>Quantité de transfusés &lt;24h et nb de transfusions TOUS</t>
  </si>
  <si>
    <t>Nbre de transfusion totale TOUS</t>
  </si>
  <si>
    <t>Nbre de transfusion totale HORS LVAD-HTX</t>
  </si>
  <si>
    <t>TOUT</t>
  </si>
  <si>
    <t>HORS "LVAD" &amp; "TX"</t>
  </si>
  <si>
    <t>HORS LVAD-TX</t>
  </si>
  <si>
    <t>Moyenne jours d'hospit (hors LVAD et TX)</t>
  </si>
  <si>
    <t>Nbre Reprise &lt;24h</t>
  </si>
  <si>
    <t>Nbre Reprise  &lt;24h</t>
  </si>
  <si>
    <t>% de transfusés &lt;48h et moyenne de transfusions sur l'ensemble des patients</t>
  </si>
  <si>
    <t>Quantité de transfusés &gt;48h et nb de transfusions  HORS  LVAD-HTX</t>
  </si>
  <si>
    <t>Quantité de transfusés &gt;48h et nb de transfusions TOUS</t>
  </si>
  <si>
    <t>Quantité de transfusés &gt;48h et nb de transfusions  LVAD-HTX</t>
  </si>
  <si>
    <t>LOTHIER</t>
  </si>
  <si>
    <t>2=&gt;25</t>
  </si>
  <si>
    <t>Nbre Patients</t>
  </si>
  <si>
    <t>Rapport d'activité annuel</t>
  </si>
  <si>
    <t>Nbre de transfusion totale LVAD-HTX</t>
  </si>
  <si>
    <t>% de transfusion totale HORS LVAD-HTX</t>
  </si>
  <si>
    <t>Nbre CABG+Valves</t>
  </si>
  <si>
    <t>Nbre "Autres"</t>
  </si>
  <si>
    <t>ADAPTER LES LIGNES DE MOIS!!!</t>
  </si>
  <si>
    <t>ADAPTER LIGNES DU MOIS</t>
  </si>
  <si>
    <t xml:space="preserve">Nbre Interventions  </t>
  </si>
  <si>
    <t>intervention-valves</t>
  </si>
  <si>
    <t>Nombre de Référence</t>
  </si>
  <si>
    <t>Nb de lignes non vides - (ligne1, ligne 3)</t>
  </si>
  <si>
    <t>Filtrer sur les mois concernés</t>
  </si>
  <si>
    <t>Étiquettes de lignes</t>
  </si>
  <si>
    <t>(vide)</t>
  </si>
  <si>
    <t>(Plusieurs éléments)</t>
  </si>
  <si>
    <t>Total général</t>
  </si>
  <si>
    <t>(Tous)</t>
  </si>
  <si>
    <t>Étiquettes de colonnes</t>
  </si>
  <si>
    <t>HT</t>
  </si>
  <si>
    <t>Cardiogéria</t>
  </si>
  <si>
    <t>Nombre de HT</t>
  </si>
  <si>
    <t>Disc HT</t>
  </si>
  <si>
    <t>Nombre de Cardiogéria</t>
  </si>
  <si>
    <t>Nombre de patients cardio gériatriques</t>
  </si>
  <si>
    <t>%  de patients cardio gériatriques</t>
  </si>
  <si>
    <t>Nbre de patients de 80 ans et +</t>
  </si>
  <si>
    <t>Nbre Patients 80 ans et +</t>
  </si>
  <si>
    <t>Nombre de Référant</t>
  </si>
  <si>
    <t>26/</t>
  </si>
  <si>
    <t>HTX-LVAD</t>
  </si>
  <si>
    <t>AVC</t>
  </si>
  <si>
    <t>IM</t>
  </si>
  <si>
    <t>MARS</t>
  </si>
  <si>
    <t>AVRIL</t>
  </si>
  <si>
    <t>MAI</t>
  </si>
  <si>
    <t>JANVIER</t>
  </si>
  <si>
    <t>FEVRIER</t>
  </si>
  <si>
    <t>Janvier -Décembre 2017</t>
  </si>
  <si>
    <t xml:space="preserve"> 2017</t>
  </si>
  <si>
    <t>Janvier -Novembre 2017</t>
  </si>
  <si>
    <t>Janvier -octobre 2017</t>
  </si>
  <si>
    <t>Janvier -Septembre 2017</t>
  </si>
  <si>
    <t>Décès</t>
  </si>
  <si>
    <t>Nbre de patients opérés discutés en HT</t>
  </si>
  <si>
    <t>Nbre Patients infectés (hors LVAD et TX )</t>
  </si>
  <si>
    <t>Nbre Patients transfusés (hors LVAD et TX)</t>
  </si>
  <si>
    <t>Moyenne de transfusions / patient tr, (hors LVAD et TX)</t>
  </si>
  <si>
    <t>HORS LVAD ET TX ()</t>
  </si>
  <si>
    <t>Janvier -Aout 2017</t>
  </si>
  <si>
    <t>Janvier -Juillet 2017</t>
  </si>
  <si>
    <t>Janvier -Juin 2017</t>
  </si>
  <si>
    <t>Janvier -Mai 2017</t>
  </si>
  <si>
    <t>Janvier -Avril 2017</t>
  </si>
  <si>
    <t>Janvier Mars 2017</t>
  </si>
  <si>
    <t>Janvier - Février 2017</t>
  </si>
  <si>
    <t>janv</t>
  </si>
  <si>
    <t>NON</t>
  </si>
  <si>
    <t>Y</t>
  </si>
  <si>
    <t>GASSAVELIS</t>
  </si>
  <si>
    <t>MENASSEL</t>
  </si>
  <si>
    <t>ABDESSATER</t>
  </si>
  <si>
    <t>CABG + V</t>
  </si>
  <si>
    <t>NAJEM</t>
  </si>
  <si>
    <t>ZENAGUI</t>
  </si>
  <si>
    <t>Transfusé</t>
  </si>
  <si>
    <t>CHU CHARLEROI</t>
  </si>
  <si>
    <t>KHOUZAM</t>
  </si>
  <si>
    <t>DEPAEPE</t>
  </si>
  <si>
    <t>ST-PIERRE</t>
  </si>
  <si>
    <t>N</t>
  </si>
  <si>
    <t>MED INT</t>
  </si>
  <si>
    <t>ERASME MED INT</t>
  </si>
  <si>
    <t>JAMART</t>
  </si>
  <si>
    <t>Contrôle</t>
  </si>
  <si>
    <t>FÉVRIER</t>
  </si>
  <si>
    <t xml:space="preserve">JANVIER </t>
  </si>
  <si>
    <t>JUIN</t>
  </si>
  <si>
    <t>JUILLET</t>
  </si>
  <si>
    <t>AOÛT</t>
  </si>
  <si>
    <t>SEPTEMBRE</t>
  </si>
  <si>
    <t>OCTOBRE</t>
  </si>
  <si>
    <t>NOVEMBRE</t>
  </si>
  <si>
    <t>DÉCEMBRE</t>
  </si>
  <si>
    <t>Rapport d'activité mensuel</t>
  </si>
  <si>
    <t>GREGOIRE</t>
  </si>
  <si>
    <t>Référent</t>
  </si>
  <si>
    <t>CREPLET</t>
  </si>
  <si>
    <t>VAD</t>
  </si>
  <si>
    <t>ERASME VAD</t>
  </si>
  <si>
    <t>hors vad et htx</t>
  </si>
  <si>
    <t>hors vad et tx</t>
  </si>
  <si>
    <t>adapter lignes</t>
  </si>
  <si>
    <t>s nbre pat</t>
  </si>
  <si>
    <t>HORS LVAD et HTX</t>
  </si>
  <si>
    <t>ERASME GERIATRIE</t>
  </si>
  <si>
    <t>CAILLEAU</t>
  </si>
  <si>
    <t>AMBROISE PARE</t>
  </si>
  <si>
    <t>ST PIERRE</t>
  </si>
  <si>
    <t>BRAD</t>
  </si>
  <si>
    <t>ST-LUC</t>
  </si>
  <si>
    <t>VALIDA</t>
  </si>
  <si>
    <t>AVC_RV</t>
  </si>
  <si>
    <t>Nombre de AVC_RV</t>
  </si>
  <si>
    <t>IM_RV</t>
  </si>
  <si>
    <t>Nombre de IM_RV</t>
  </si>
  <si>
    <t>AOUT</t>
  </si>
  <si>
    <t>HORS LVAD HTX</t>
  </si>
  <si>
    <t>Aucun</t>
  </si>
  <si>
    <t>Nbre Evénement cérébral post op (Hors LVAD et HTX)</t>
  </si>
  <si>
    <t>Nbre Evénement cérébral post op (hors LVAD et TX)</t>
  </si>
  <si>
    <t>Nbre d'intervention</t>
  </si>
  <si>
    <t>Interventions 2017</t>
  </si>
  <si>
    <t>VISEUR</t>
  </si>
  <si>
    <t>Délai intervention</t>
  </si>
  <si>
    <t>DCD Délai d'intervention</t>
  </si>
  <si>
    <t>UZ JETTE</t>
  </si>
  <si>
    <t>Valve</t>
  </si>
  <si>
    <t>LVAD/HTX</t>
  </si>
  <si>
    <t>Intervention-activité par type</t>
  </si>
  <si>
    <t>Nombre de Intervention-activité par type</t>
  </si>
  <si>
    <t>NBRE INTERVENTION STAT</t>
  </si>
  <si>
    <t>NBRE INTERVENTION  INTRANET</t>
  </si>
  <si>
    <t>CABG + V, &gt;1 V</t>
  </si>
  <si>
    <t>Intervention Comparatif</t>
  </si>
  <si>
    <t>=SI(AM2=1;"ELECTIVE"; &amp; SI(AM2=2;URGENCY; &amp; SI(AM2=3;EMERGENCY; &amp; SI (AM2=4;SALVAGE;" "))))</t>
  </si>
  <si>
    <t>ST-MICHEL</t>
  </si>
  <si>
    <t>GLOBAL</t>
  </si>
  <si>
    <t>CABG + 2 V</t>
  </si>
  <si>
    <t>Nbre Décès (tous délais d'intervention)</t>
  </si>
  <si>
    <t>Médiane de Nbr de j USI</t>
  </si>
  <si>
    <t>DECEMBRE</t>
  </si>
  <si>
    <t>Nombre</t>
  </si>
  <si>
    <t>ALIVE</t>
  </si>
  <si>
    <t>DECEASED</t>
  </si>
  <si>
    <t>Tableau avec courbe de tendance</t>
  </si>
  <si>
    <t>onglet disposition de l'outils graphique</t>
  </si>
  <si>
    <t>Sparline : insertion , courbe d'évolution , sélectionner</t>
  </si>
  <si>
    <t>???</t>
  </si>
  <si>
    <t>????</t>
  </si>
  <si>
    <t>CHIREC EDITH</t>
  </si>
  <si>
    <t>CHIREC PARC</t>
  </si>
  <si>
    <t>CHIREC STE ANNE</t>
  </si>
  <si>
    <t>CHR Citadelle</t>
  </si>
  <si>
    <t>CHR HUY</t>
  </si>
  <si>
    <t>CHU Liège</t>
  </si>
  <si>
    <t>EPICURA BAUDOUR</t>
  </si>
  <si>
    <t>ERASME GASTRO</t>
  </si>
  <si>
    <t>LIEGE</t>
  </si>
  <si>
    <t>intervention valve</t>
  </si>
  <si>
    <t>intervention activité</t>
  </si>
  <si>
    <t xml:space="preserve"> intervention activité par type</t>
  </si>
  <si>
    <t xml:space="preserve"> valve activité</t>
  </si>
  <si>
    <t>Lieu activité2</t>
  </si>
  <si>
    <t>Nom3</t>
  </si>
  <si>
    <t>Commentaires4</t>
  </si>
  <si>
    <t>délai intervention5</t>
  </si>
  <si>
    <t>Inf p.op_RV6</t>
  </si>
  <si>
    <t>Transfu &gt;24 h_RV8</t>
  </si>
  <si>
    <t xml:space="preserve"> </t>
  </si>
  <si>
    <t>HAGE</t>
  </si>
  <si>
    <t>CHAPELLE</t>
  </si>
  <si>
    <t>Transfu &lt;24 h_RV7</t>
  </si>
  <si>
    <t>ELECTIVE</t>
  </si>
  <si>
    <t>EMERGENCY</t>
  </si>
  <si>
    <t>SALVAGE</t>
  </si>
  <si>
    <t>URGENCY</t>
  </si>
  <si>
    <t>Nombre de délai intervention5</t>
  </si>
  <si>
    <t>Nombre de Inf p.op_RV6</t>
  </si>
  <si>
    <t>Nombre de Transfu &gt;24 h_RV8</t>
  </si>
  <si>
    <t>Nombre de Transfu &lt;24 h_RV7</t>
  </si>
  <si>
    <t xml:space="preserve">HORS </t>
  </si>
  <si>
    <t>Nombre de Délai intervention</t>
  </si>
  <si>
    <t>POLY ENGHIEN</t>
  </si>
  <si>
    <t>SARTIEAUX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</si>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</sst>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m/yyyy;@"/>
    <numFmt numFmtId="165" formatCode="0.0"/>
    <numFmt numFmtId="166" formatCode="0.0%"/>
    <numFmt numFmtId="167" formatCode="#,##0.0"/>
  </numFmts>
  <fonts count="3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C00000"/>
      <name val="Arial"/>
      <family val="2"/>
    </font>
    <font>
      <sz val="11"/>
      <color theme="1"/>
      <name val="Arial"/>
      <family val="2"/>
    </font>
    <font>
      <b/>
      <sz val="11"/>
      <color rgb="FFFFFF00"/>
      <name val="Calibri"/>
      <family val="2"/>
      <scheme val="minor"/>
    </font>
    <font>
      <b/>
      <sz val="8"/>
      <color rgb="FFFFFF66"/>
      <name val="Arial"/>
      <family val="2"/>
    </font>
    <font>
      <sz val="10"/>
      <color rgb="FFFFFF66"/>
      <name val="Arial"/>
      <family val="2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FF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rgb="FFFFFF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0"/>
      <color rgb="FFFFFF66"/>
      <name val="Arial"/>
      <family val="2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sz val="14"/>
      <color theme="1"/>
      <name val="Calibri"/>
      <family val="2"/>
      <scheme val="minor"/>
    </font>
    <font>
      <sz val="10"/>
      <color theme="9" tint="-0.249977111117893"/>
      <name val="Arial"/>
      <family val="2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0"/>
      <color rgb="FFFFFF66"/>
      <name val="Arial"/>
      <family val="2"/>
    </font>
    <font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theme="6" tint="-0.249977111117893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0.79998168889431442"/>
      </top>
      <bottom style="thin">
        <color theme="5" tint="0.79998168889431442"/>
      </bottom>
      <diagonal/>
    </border>
    <border>
      <left/>
      <right/>
      <top/>
      <bottom style="thin">
        <color theme="6" tint="-0.249977111117893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9" fontId="12" fillId="0" borderId="0" applyFont="0" applyFill="0" applyBorder="0" applyAlignment="0" applyProtection="0"/>
  </cellStyleXfs>
  <cellXfs count="37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4" fontId="2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" fontId="2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Fill="1"/>
    <xf numFmtId="0" fontId="0" fillId="0" borderId="0" xfId="0" pivotButton="1"/>
    <xf numFmtId="0" fontId="0" fillId="0" borderId="0" xfId="0" applyNumberFormat="1"/>
    <xf numFmtId="4" fontId="0" fillId="0" borderId="0" xfId="0" applyNumberFormat="1"/>
    <xf numFmtId="0" fontId="6" fillId="8" borderId="0" xfId="0" applyFont="1" applyFill="1"/>
    <xf numFmtId="10" fontId="0" fillId="0" borderId="0" xfId="0" applyNumberFormat="1"/>
    <xf numFmtId="0" fontId="8" fillId="8" borderId="1" xfId="0" applyFont="1" applyFill="1" applyBorder="1" applyAlignment="1">
      <alignment horizontal="center"/>
    </xf>
    <xf numFmtId="0" fontId="9" fillId="7" borderId="0" xfId="0" applyFont="1" applyFill="1"/>
    <xf numFmtId="0" fontId="9" fillId="0" borderId="0" xfId="0" applyFont="1" applyFill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10" fillId="0" borderId="0" xfId="0" applyFont="1"/>
    <xf numFmtId="0" fontId="10" fillId="0" borderId="1" xfId="0" applyFont="1" applyBorder="1"/>
    <xf numFmtId="0" fontId="2" fillId="0" borderId="3" xfId="0" applyFont="1" applyBorder="1" applyAlignment="1">
      <alignment horizontal="left"/>
    </xf>
    <xf numFmtId="0" fontId="0" fillId="12" borderId="0" xfId="0" applyFill="1" applyAlignment="1">
      <alignment horizontal="center"/>
    </xf>
    <xf numFmtId="0" fontId="0" fillId="12" borderId="0" xfId="0" applyFill="1" applyAlignment="1">
      <alignment horizontal="center" wrapText="1"/>
    </xf>
    <xf numFmtId="2" fontId="0" fillId="0" borderId="1" xfId="0" applyNumberFormat="1" applyBorder="1"/>
    <xf numFmtId="0" fontId="6" fillId="8" borderId="0" xfId="0" applyFont="1" applyFill="1" applyAlignment="1">
      <alignment horizontal="center"/>
    </xf>
    <xf numFmtId="0" fontId="6" fillId="0" borderId="0" xfId="0" applyFont="1" applyFill="1"/>
    <xf numFmtId="49" fontId="15" fillId="0" borderId="0" xfId="0" applyNumberFormat="1" applyFont="1" applyAlignment="1">
      <alignment horizontal="center"/>
    </xf>
    <xf numFmtId="49" fontId="15" fillId="0" borderId="0" xfId="0" applyNumberFormat="1" applyFont="1" applyAlignment="1"/>
    <xf numFmtId="0" fontId="13" fillId="0" borderId="11" xfId="0" applyFont="1" applyBorder="1"/>
    <xf numFmtId="0" fontId="13" fillId="0" borderId="15" xfId="0" applyFont="1" applyBorder="1"/>
    <xf numFmtId="0" fontId="13" fillId="0" borderId="16" xfId="0" applyFont="1" applyBorder="1"/>
    <xf numFmtId="0" fontId="0" fillId="0" borderId="24" xfId="0" applyBorder="1"/>
    <xf numFmtId="0" fontId="0" fillId="0" borderId="23" xfId="0" applyBorder="1"/>
    <xf numFmtId="0" fontId="14" fillId="14" borderId="0" xfId="0" applyFont="1" applyFill="1" applyBorder="1" applyAlignment="1"/>
    <xf numFmtId="49" fontId="15" fillId="14" borderId="0" xfId="0" applyNumberFormat="1" applyFont="1" applyFill="1" applyBorder="1" applyAlignment="1"/>
    <xf numFmtId="14" fontId="2" fillId="0" borderId="0" xfId="0" applyNumberFormat="1" applyFont="1" applyAlignment="1">
      <alignment horizontal="center"/>
    </xf>
    <xf numFmtId="0" fontId="13" fillId="14" borderId="12" xfId="0" applyFont="1" applyFill="1" applyBorder="1"/>
    <xf numFmtId="0" fontId="16" fillId="14" borderId="12" xfId="0" applyFont="1" applyFill="1" applyBorder="1"/>
    <xf numFmtId="0" fontId="16" fillId="14" borderId="31" xfId="0" applyFont="1" applyFill="1" applyBorder="1"/>
    <xf numFmtId="0" fontId="10" fillId="0" borderId="2" xfId="0" applyFont="1" applyBorder="1"/>
    <xf numFmtId="0" fontId="10" fillId="0" borderId="32" xfId="0" applyFont="1" applyBorder="1"/>
    <xf numFmtId="0" fontId="3" fillId="16" borderId="32" xfId="0" applyFont="1" applyFill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0" fontId="2" fillId="0" borderId="32" xfId="0" applyFont="1" applyBorder="1" applyAlignment="1">
      <alignment horizontal="left"/>
    </xf>
    <xf numFmtId="0" fontId="10" fillId="0" borderId="3" xfId="0" applyFont="1" applyBorder="1"/>
    <xf numFmtId="0" fontId="9" fillId="12" borderId="0" xfId="0" applyFont="1" applyFill="1" applyAlignment="1"/>
    <xf numFmtId="0" fontId="0" fillId="12" borderId="0" xfId="0" applyFill="1"/>
    <xf numFmtId="0" fontId="0" fillId="0" borderId="0" xfId="0" applyNumberFormat="1" applyFill="1"/>
    <xf numFmtId="0" fontId="0" fillId="18" borderId="0" xfId="0" applyFill="1"/>
    <xf numFmtId="9" fontId="0" fillId="0" borderId="21" xfId="3" applyFont="1" applyBorder="1"/>
    <xf numFmtId="0" fontId="13" fillId="13" borderId="17" xfId="0" applyFont="1" applyFill="1" applyBorder="1"/>
    <xf numFmtId="0" fontId="13" fillId="13" borderId="18" xfId="0" applyFont="1" applyFill="1" applyBorder="1"/>
    <xf numFmtId="0" fontId="0" fillId="0" borderId="34" xfId="0" applyBorder="1"/>
    <xf numFmtId="0" fontId="0" fillId="0" borderId="0" xfId="0"/>
    <xf numFmtId="0" fontId="13" fillId="0" borderId="12" xfId="0" applyFont="1" applyBorder="1"/>
    <xf numFmtId="0" fontId="13" fillId="0" borderId="13" xfId="0" applyFont="1" applyBorder="1"/>
    <xf numFmtId="0" fontId="13" fillId="0" borderId="14" xfId="0" applyFont="1" applyBorder="1"/>
    <xf numFmtId="0" fontId="13" fillId="0" borderId="7" xfId="0" applyFont="1" applyBorder="1"/>
    <xf numFmtId="0" fontId="13" fillId="0" borderId="0" xfId="0" applyFont="1" applyBorder="1"/>
    <xf numFmtId="0" fontId="13" fillId="0" borderId="17" xfId="0" applyFont="1" applyBorder="1"/>
    <xf numFmtId="0" fontId="13" fillId="0" borderId="18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19" xfId="0" applyFont="1" applyBorder="1"/>
    <xf numFmtId="0" fontId="13" fillId="0" borderId="20" xfId="0" applyFont="1" applyBorder="1"/>
    <xf numFmtId="0" fontId="0" fillId="0" borderId="21" xfId="0" applyBorder="1"/>
    <xf numFmtId="9" fontId="0" fillId="0" borderId="22" xfId="3" applyFont="1" applyBorder="1"/>
    <xf numFmtId="0" fontId="0" fillId="0" borderId="22" xfId="0" applyBorder="1"/>
    <xf numFmtId="0" fontId="0" fillId="0" borderId="26" xfId="0" applyBorder="1"/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31" xfId="0" applyFont="1" applyBorder="1"/>
    <xf numFmtId="0" fontId="13" fillId="13" borderId="15" xfId="0" applyFont="1" applyFill="1" applyBorder="1"/>
    <xf numFmtId="0" fontId="13" fillId="13" borderId="16" xfId="0" applyFont="1" applyFill="1" applyBorder="1"/>
    <xf numFmtId="0" fontId="13" fillId="13" borderId="11" xfId="0" applyFont="1" applyFill="1" applyBorder="1"/>
    <xf numFmtId="0" fontId="13" fillId="13" borderId="12" xfId="0" applyFont="1" applyFill="1" applyBorder="1"/>
    <xf numFmtId="0" fontId="13" fillId="13" borderId="13" xfId="0" applyFont="1" applyFill="1" applyBorder="1"/>
    <xf numFmtId="0" fontId="13" fillId="13" borderId="14" xfId="0" applyFont="1" applyFill="1" applyBorder="1"/>
    <xf numFmtId="0" fontId="13" fillId="13" borderId="7" xfId="0" applyFont="1" applyFill="1" applyBorder="1"/>
    <xf numFmtId="0" fontId="13" fillId="13" borderId="0" xfId="0" applyFont="1" applyFill="1" applyBorder="1"/>
    <xf numFmtId="0" fontId="0" fillId="14" borderId="26" xfId="0" applyFill="1" applyBorder="1"/>
    <xf numFmtId="0" fontId="13" fillId="13" borderId="31" xfId="0" applyFont="1" applyFill="1" applyBorder="1"/>
    <xf numFmtId="0" fontId="13" fillId="13" borderId="38" xfId="0" applyFont="1" applyFill="1" applyBorder="1"/>
    <xf numFmtId="0" fontId="13" fillId="13" borderId="8" xfId="0" applyFont="1" applyFill="1" applyBorder="1"/>
    <xf numFmtId="9" fontId="0" fillId="0" borderId="22" xfId="3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11" borderId="0" xfId="0" applyFill="1"/>
    <xf numFmtId="0" fontId="0" fillId="11" borderId="0" xfId="0" applyFill="1" applyAlignment="1">
      <alignment horizontal="left"/>
    </xf>
    <xf numFmtId="0" fontId="0" fillId="11" borderId="0" xfId="0" applyNumberFormat="1" applyFill="1"/>
    <xf numFmtId="10" fontId="0" fillId="11" borderId="0" xfId="0" applyNumberFormat="1" applyFill="1"/>
    <xf numFmtId="4" fontId="0" fillId="11" borderId="0" xfId="0" applyNumberFormat="1" applyFill="1"/>
    <xf numFmtId="0" fontId="0" fillId="11" borderId="1" xfId="0" applyFill="1" applyBorder="1"/>
    <xf numFmtId="2" fontId="0" fillId="11" borderId="1" xfId="0" applyNumberFormat="1" applyFill="1" applyBorder="1"/>
    <xf numFmtId="0" fontId="20" fillId="11" borderId="0" xfId="0" applyFont="1" applyFill="1"/>
    <xf numFmtId="0" fontId="17" fillId="11" borderId="0" xfId="0" applyFont="1" applyFill="1"/>
    <xf numFmtId="0" fontId="17" fillId="11" borderId="0" xfId="0" applyFont="1" applyFill="1" applyAlignment="1">
      <alignment horizontal="center"/>
    </xf>
    <xf numFmtId="0" fontId="17" fillId="11" borderId="0" xfId="0" applyFont="1" applyFill="1" applyAlignment="1">
      <alignment horizontal="center" wrapText="1"/>
    </xf>
    <xf numFmtId="0" fontId="17" fillId="11" borderId="0" xfId="0" applyFont="1" applyFill="1" applyBorder="1"/>
    <xf numFmtId="0" fontId="17" fillId="11" borderId="39" xfId="0" applyFont="1" applyFill="1" applyBorder="1"/>
    <xf numFmtId="0" fontId="19" fillId="19" borderId="0" xfId="0" applyFont="1" applyFill="1"/>
    <xf numFmtId="0" fontId="19" fillId="13" borderId="0" xfId="0" applyFont="1" applyFill="1"/>
    <xf numFmtId="0" fontId="0" fillId="13" borderId="0" xfId="0" applyFill="1" applyAlignment="1">
      <alignment horizontal="left"/>
    </xf>
    <xf numFmtId="0" fontId="0" fillId="13" borderId="0" xfId="0" applyNumberFormat="1" applyFill="1"/>
    <xf numFmtId="0" fontId="19" fillId="13" borderId="0" xfId="0" applyFont="1" applyFill="1" applyAlignment="1">
      <alignment horizontal="left"/>
    </xf>
    <xf numFmtId="0" fontId="19" fillId="13" borderId="0" xfId="0" applyNumberFormat="1" applyFont="1" applyFill="1"/>
    <xf numFmtId="0" fontId="19" fillId="11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9" fillId="0" borderId="0" xfId="0" applyFont="1" applyFill="1"/>
    <xf numFmtId="0" fontId="18" fillId="0" borderId="0" xfId="0" applyFont="1" applyFill="1"/>
    <xf numFmtId="0" fontId="0" fillId="0" borderId="26" xfId="0" applyNumberFormat="1" applyBorder="1"/>
    <xf numFmtId="0" fontId="0" fillId="0" borderId="23" xfId="0" applyNumberFormat="1" applyBorder="1"/>
    <xf numFmtId="0" fontId="15" fillId="0" borderId="0" xfId="0" applyNumberFormat="1" applyFont="1" applyAlignment="1"/>
    <xf numFmtId="0" fontId="15" fillId="0" borderId="0" xfId="0" applyNumberFormat="1" applyFont="1" applyAlignment="1">
      <alignment horizontal="center"/>
    </xf>
    <xf numFmtId="0" fontId="0" fillId="0" borderId="29" xfId="0" applyNumberFormat="1" applyBorder="1" applyAlignment="1">
      <alignment horizontal="center"/>
    </xf>
    <xf numFmtId="0" fontId="0" fillId="0" borderId="26" xfId="0" applyNumberFormat="1" applyFill="1" applyBorder="1"/>
    <xf numFmtId="0" fontId="21" fillId="0" borderId="0" xfId="0" applyFont="1"/>
    <xf numFmtId="0" fontId="22" fillId="0" borderId="0" xfId="0" pivotButton="1" applyFont="1"/>
    <xf numFmtId="0" fontId="23" fillId="8" borderId="0" xfId="0" applyFont="1" applyFill="1"/>
    <xf numFmtId="9" fontId="0" fillId="0" borderId="34" xfId="3" applyFont="1" applyBorder="1"/>
    <xf numFmtId="0" fontId="0" fillId="14" borderId="23" xfId="0" applyNumberFormat="1" applyFill="1" applyBorder="1"/>
    <xf numFmtId="0" fontId="19" fillId="0" borderId="26" xfId="0" applyNumberFormat="1" applyFont="1" applyBorder="1"/>
    <xf numFmtId="0" fontId="0" fillId="14" borderId="23" xfId="0" applyFill="1" applyBorder="1"/>
    <xf numFmtId="9" fontId="0" fillId="0" borderId="22" xfId="3" applyNumberFormat="1" applyFont="1" applyBorder="1" applyAlignment="1">
      <alignment horizontal="left"/>
    </xf>
    <xf numFmtId="0" fontId="0" fillId="0" borderId="26" xfId="0" applyNumberFormat="1" applyBorder="1" applyAlignment="1">
      <alignment horizontal="left"/>
    </xf>
    <xf numFmtId="0" fontId="0" fillId="0" borderId="30" xfId="0" applyBorder="1" applyAlignment="1">
      <alignment horizontal="left"/>
    </xf>
    <xf numFmtId="9" fontId="0" fillId="0" borderId="25" xfId="3" applyFont="1" applyBorder="1" applyAlignment="1">
      <alignment horizontal="left"/>
    </xf>
    <xf numFmtId="0" fontId="1" fillId="0" borderId="0" xfId="0" applyFont="1"/>
    <xf numFmtId="0" fontId="0" fillId="0" borderId="30" xfId="0" applyNumberFormat="1" applyBorder="1" applyAlignment="1">
      <alignment horizontal="left"/>
    </xf>
    <xf numFmtId="0" fontId="0" fillId="15" borderId="0" xfId="0" applyFill="1"/>
    <xf numFmtId="9" fontId="0" fillId="0" borderId="28" xfId="3" applyFont="1" applyBorder="1"/>
    <xf numFmtId="9" fontId="19" fillId="13" borderId="0" xfId="0" applyNumberFormat="1" applyFont="1" applyFill="1"/>
    <xf numFmtId="0" fontId="24" fillId="0" borderId="0" xfId="0" applyFont="1"/>
    <xf numFmtId="0" fontId="2" fillId="0" borderId="1" xfId="0" applyFont="1" applyFill="1" applyBorder="1" applyAlignment="1">
      <alignment horizontal="left"/>
    </xf>
    <xf numFmtId="0" fontId="0" fillId="0" borderId="0" xfId="0" applyBorder="1"/>
    <xf numFmtId="0" fontId="19" fillId="15" borderId="27" xfId="0" applyNumberFormat="1" applyFont="1" applyFill="1" applyBorder="1"/>
    <xf numFmtId="0" fontId="19" fillId="15" borderId="0" xfId="0" applyFont="1" applyFill="1"/>
    <xf numFmtId="165" fontId="19" fillId="15" borderId="26" xfId="0" applyNumberFormat="1" applyFont="1" applyFill="1" applyBorder="1"/>
    <xf numFmtId="165" fontId="0" fillId="11" borderId="1" xfId="0" applyNumberFormat="1" applyFill="1" applyBorder="1"/>
    <xf numFmtId="167" fontId="0" fillId="15" borderId="0" xfId="0" applyNumberFormat="1" applyFill="1"/>
    <xf numFmtId="167" fontId="0" fillId="0" borderId="0" xfId="0" applyNumberFormat="1"/>
    <xf numFmtId="166" fontId="0" fillId="0" borderId="0" xfId="0" applyNumberFormat="1"/>
    <xf numFmtId="0" fontId="0" fillId="0" borderId="33" xfId="0" applyNumberFormat="1" applyFill="1" applyBorder="1"/>
    <xf numFmtId="1" fontId="19" fillId="0" borderId="26" xfId="0" applyNumberFormat="1" applyFont="1" applyFill="1" applyBorder="1"/>
    <xf numFmtId="165" fontId="0" fillId="0" borderId="0" xfId="0" applyNumberFormat="1"/>
    <xf numFmtId="0" fontId="19" fillId="14" borderId="0" xfId="0" applyNumberFormat="1" applyFont="1" applyFill="1" applyBorder="1"/>
    <xf numFmtId="49" fontId="15" fillId="14" borderId="0" xfId="0" applyNumberFormat="1" applyFont="1" applyFill="1" applyBorder="1" applyAlignment="1">
      <alignment horizontal="center"/>
    </xf>
    <xf numFmtId="0" fontId="0" fillId="0" borderId="42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20" borderId="35" xfId="0" applyFont="1" applyFill="1" applyBorder="1" applyAlignment="1">
      <alignment horizontal="center"/>
    </xf>
    <xf numFmtId="0" fontId="3" fillId="20" borderId="40" xfId="0" applyFont="1" applyFill="1" applyBorder="1" applyAlignment="1">
      <alignment horizontal="center"/>
    </xf>
    <xf numFmtId="0" fontId="3" fillId="20" borderId="36" xfId="0" applyFont="1" applyFill="1" applyBorder="1" applyAlignment="1">
      <alignment horizontal="center"/>
    </xf>
    <xf numFmtId="164" fontId="3" fillId="20" borderId="40" xfId="0" applyNumberFormat="1" applyFont="1" applyFill="1" applyBorder="1" applyAlignment="1">
      <alignment horizontal="center"/>
    </xf>
    <xf numFmtId="0" fontId="3" fillId="20" borderId="37" xfId="0" applyFont="1" applyFill="1" applyBorder="1" applyAlignment="1">
      <alignment horizontal="center"/>
    </xf>
    <xf numFmtId="0" fontId="0" fillId="14" borderId="26" xfId="0" applyNumberFormat="1" applyFill="1" applyBorder="1"/>
    <xf numFmtId="0" fontId="19" fillId="0" borderId="26" xfId="0" applyNumberFormat="1" applyFont="1" applyFill="1" applyBorder="1"/>
    <xf numFmtId="49" fontId="15" fillId="0" borderId="0" xfId="0" applyNumberFormat="1" applyFont="1" applyFill="1" applyBorder="1" applyAlignment="1">
      <alignment horizontal="center"/>
    </xf>
    <xf numFmtId="49" fontId="15" fillId="9" borderId="9" xfId="0" applyNumberFormat="1" applyFont="1" applyFill="1" applyBorder="1" applyAlignment="1">
      <alignment horizontal="center"/>
    </xf>
    <xf numFmtId="49" fontId="15" fillId="9" borderId="10" xfId="0" applyNumberFormat="1" applyFont="1" applyFill="1" applyBorder="1" applyAlignment="1">
      <alignment horizontal="center"/>
    </xf>
    <xf numFmtId="49" fontId="15" fillId="9" borderId="44" xfId="0" applyNumberFormat="1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10" borderId="41" xfId="0" applyFont="1" applyFill="1" applyBorder="1" applyAlignment="1">
      <alignment horizontal="left"/>
    </xf>
    <xf numFmtId="0" fontId="2" fillId="10" borderId="41" xfId="0" applyFont="1" applyFill="1" applyBorder="1" applyAlignment="1">
      <alignment horizontal="center"/>
    </xf>
    <xf numFmtId="164" fontId="2" fillId="10" borderId="41" xfId="0" applyNumberFormat="1" applyFont="1" applyFill="1" applyBorder="1" applyAlignment="1">
      <alignment horizontal="center"/>
    </xf>
    <xf numFmtId="0" fontId="2" fillId="10" borderId="1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center"/>
    </xf>
    <xf numFmtId="164" fontId="2" fillId="10" borderId="1" xfId="0" applyNumberFormat="1" applyFont="1" applyFill="1" applyBorder="1" applyAlignment="1">
      <alignment horizontal="center"/>
    </xf>
    <xf numFmtId="0" fontId="2" fillId="10" borderId="1" xfId="0" applyNumberFormat="1" applyFont="1" applyFill="1" applyBorder="1" applyAlignment="1">
      <alignment horizontal="center"/>
    </xf>
    <xf numFmtId="0" fontId="2" fillId="10" borderId="1" xfId="0" applyNumberFormat="1" applyFont="1" applyFill="1" applyBorder="1" applyAlignment="1">
      <alignment horizontal="left"/>
    </xf>
    <xf numFmtId="0" fontId="3" fillId="10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164" fontId="3" fillId="0" borderId="40" xfId="0" applyNumberFormat="1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9" fontId="0" fillId="0" borderId="0" xfId="0" applyNumberFormat="1"/>
    <xf numFmtId="164" fontId="2" fillId="0" borderId="41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NumberFormat="1" applyFont="1"/>
    <xf numFmtId="0" fontId="0" fillId="0" borderId="27" xfId="0" applyFill="1" applyBorder="1"/>
    <xf numFmtId="0" fontId="0" fillId="0" borderId="42" xfId="0" applyBorder="1" applyAlignment="1">
      <alignment horizontal="center"/>
    </xf>
    <xf numFmtId="14" fontId="2" fillId="10" borderId="1" xfId="0" applyNumberFormat="1" applyFont="1" applyFill="1" applyBorder="1" applyAlignment="1">
      <alignment horizontal="center"/>
    </xf>
    <xf numFmtId="167" fontId="0" fillId="0" borderId="0" xfId="0" applyNumberFormat="1" applyFill="1"/>
    <xf numFmtId="0" fontId="0" fillId="14" borderId="27" xfId="0" applyFill="1" applyBorder="1"/>
    <xf numFmtId="165" fontId="19" fillId="14" borderId="26" xfId="0" applyNumberFormat="1" applyFont="1" applyFill="1" applyBorder="1"/>
    <xf numFmtId="0" fontId="19" fillId="14" borderId="26" xfId="0" applyNumberFormat="1" applyFont="1" applyFill="1" applyBorder="1"/>
    <xf numFmtId="0" fontId="19" fillId="14" borderId="27" xfId="0" applyNumberFormat="1" applyFont="1" applyFill="1" applyBorder="1"/>
    <xf numFmtId="49" fontId="28" fillId="14" borderId="0" xfId="0" applyNumberFormat="1" applyFont="1" applyFill="1" applyBorder="1" applyAlignment="1"/>
    <xf numFmtId="9" fontId="0" fillId="11" borderId="0" xfId="0" applyNumberFormat="1" applyFill="1"/>
    <xf numFmtId="0" fontId="0" fillId="15" borderId="0" xfId="0" applyFill="1" applyAlignment="1">
      <alignment horizontal="left"/>
    </xf>
    <xf numFmtId="0" fontId="0" fillId="14" borderId="0" xfId="0" applyFill="1"/>
    <xf numFmtId="14" fontId="2" fillId="0" borderId="1" xfId="0" applyNumberFormat="1" applyFont="1" applyFill="1" applyBorder="1" applyAlignment="1">
      <alignment horizontal="left"/>
    </xf>
    <xf numFmtId="0" fontId="0" fillId="14" borderId="0" xfId="0" applyFont="1" applyFill="1" applyAlignment="1"/>
    <xf numFmtId="14" fontId="2" fillId="3" borderId="1" xfId="0" applyNumberFormat="1" applyFont="1" applyFill="1" applyBorder="1" applyAlignment="1">
      <alignment horizontal="center"/>
    </xf>
    <xf numFmtId="0" fontId="0" fillId="15" borderId="45" xfId="0" applyFill="1" applyBorder="1"/>
    <xf numFmtId="0" fontId="0" fillId="15" borderId="46" xfId="0" applyFill="1" applyBorder="1"/>
    <xf numFmtId="0" fontId="0" fillId="15" borderId="47" xfId="0" applyFill="1" applyBorder="1"/>
    <xf numFmtId="9" fontId="0" fillId="15" borderId="45" xfId="3" applyFont="1" applyFill="1" applyBorder="1"/>
    <xf numFmtId="9" fontId="0" fillId="15" borderId="46" xfId="3" applyFont="1" applyFill="1" applyBorder="1"/>
    <xf numFmtId="9" fontId="0" fillId="15" borderId="47" xfId="3" applyFont="1" applyFill="1" applyBorder="1"/>
    <xf numFmtId="9" fontId="0" fillId="0" borderId="45" xfId="3" applyFont="1" applyBorder="1"/>
    <xf numFmtId="9" fontId="0" fillId="0" borderId="46" xfId="3" applyFont="1" applyBorder="1"/>
    <xf numFmtId="9" fontId="0" fillId="0" borderId="47" xfId="3" applyFont="1" applyBorder="1"/>
    <xf numFmtId="0" fontId="0" fillId="15" borderId="13" xfId="0" applyFill="1" applyBorder="1" applyAlignment="1">
      <alignment horizontal="left"/>
    </xf>
    <xf numFmtId="0" fontId="0" fillId="15" borderId="19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15" borderId="0" xfId="0" applyNumberFormat="1" applyFill="1"/>
    <xf numFmtId="0" fontId="0" fillId="15" borderId="45" xfId="0" applyFill="1" applyBorder="1" applyAlignment="1">
      <alignment horizontal="left"/>
    </xf>
    <xf numFmtId="0" fontId="0" fillId="15" borderId="46" xfId="0" applyFill="1" applyBorder="1" applyAlignment="1">
      <alignment horizontal="left"/>
    </xf>
    <xf numFmtId="0" fontId="0" fillId="15" borderId="47" xfId="0" applyFill="1" applyBorder="1" applyAlignment="1">
      <alignment horizontal="left"/>
    </xf>
    <xf numFmtId="9" fontId="0" fillId="0" borderId="22" xfId="3" applyFont="1" applyBorder="1" applyAlignment="1">
      <alignment horizontal="right"/>
    </xf>
    <xf numFmtId="167" fontId="19" fillId="18" borderId="0" xfId="0" applyNumberFormat="1" applyFont="1" applyFill="1"/>
    <xf numFmtId="9" fontId="0" fillId="0" borderId="25" xfId="3" applyFont="1" applyBorder="1" applyAlignment="1">
      <alignment horizontal="right"/>
    </xf>
    <xf numFmtId="0" fontId="0" fillId="14" borderId="0" xfId="0" applyFill="1" applyAlignment="1">
      <alignment horizontal="left"/>
    </xf>
    <xf numFmtId="0" fontId="0" fillId="14" borderId="11" xfId="0" applyFill="1" applyBorder="1" applyAlignment="1">
      <alignment horizontal="left"/>
    </xf>
    <xf numFmtId="9" fontId="0" fillId="14" borderId="45" xfId="3" applyFont="1" applyFill="1" applyBorder="1"/>
    <xf numFmtId="0" fontId="0" fillId="14" borderId="48" xfId="0" applyNumberFormat="1" applyFont="1" applyFill="1" applyBorder="1"/>
    <xf numFmtId="0" fontId="0" fillId="14" borderId="49" xfId="0" applyNumberFormat="1" applyFont="1" applyFill="1" applyBorder="1"/>
    <xf numFmtId="0" fontId="2" fillId="0" borderId="3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19" fillId="14" borderId="0" xfId="0" applyFont="1" applyFill="1"/>
    <xf numFmtId="0" fontId="19" fillId="14" borderId="0" xfId="0" applyFont="1" applyFill="1" applyAlignment="1">
      <alignment horizontal="left"/>
    </xf>
    <xf numFmtId="0" fontId="19" fillId="14" borderId="0" xfId="0" applyNumberFormat="1" applyFont="1" applyFill="1"/>
    <xf numFmtId="0" fontId="9" fillId="21" borderId="50" xfId="0" applyFont="1" applyFill="1" applyBorder="1"/>
    <xf numFmtId="0" fontId="31" fillId="0" borderId="0" xfId="0" applyFont="1"/>
    <xf numFmtId="0" fontId="31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" fillId="15" borderId="0" xfId="0" applyFont="1" applyFill="1" applyAlignment="1">
      <alignment horizontal="left"/>
    </xf>
    <xf numFmtId="0" fontId="32" fillId="15" borderId="0" xfId="0" applyFont="1" applyFill="1" applyAlignment="1">
      <alignment horizontal="left"/>
    </xf>
    <xf numFmtId="0" fontId="32" fillId="0" borderId="0" xfId="0" applyFont="1" applyAlignment="1">
      <alignment horizontal="left"/>
    </xf>
    <xf numFmtId="0" fontId="8" fillId="8" borderId="2" xfId="0" applyFont="1" applyFill="1" applyBorder="1" applyAlignment="1">
      <alignment horizontal="center"/>
    </xf>
    <xf numFmtId="0" fontId="8" fillId="8" borderId="3" xfId="0" applyFont="1" applyFill="1" applyBorder="1" applyAlignment="1">
      <alignment horizontal="center"/>
    </xf>
    <xf numFmtId="0" fontId="8" fillId="8" borderId="32" xfId="0" applyFont="1" applyFill="1" applyBorder="1" applyAlignment="1">
      <alignment horizontal="center"/>
    </xf>
    <xf numFmtId="14" fontId="3" fillId="16" borderId="32" xfId="0" applyNumberFormat="1" applyFont="1" applyFill="1" applyBorder="1" applyAlignment="1">
      <alignment horizontal="center"/>
    </xf>
    <xf numFmtId="0" fontId="3" fillId="16" borderId="32" xfId="0" applyFont="1" applyFill="1" applyBorder="1" applyAlignment="1">
      <alignment horizontal="left"/>
    </xf>
    <xf numFmtId="164" fontId="3" fillId="16" borderId="32" xfId="0" applyNumberFormat="1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164" fontId="3" fillId="20" borderId="32" xfId="0" applyNumberFormat="1" applyFont="1" applyFill="1" applyBorder="1" applyAlignment="1">
      <alignment horizontal="center"/>
    </xf>
    <xf numFmtId="0" fontId="3" fillId="20" borderId="32" xfId="0" applyFont="1" applyFill="1" applyBorder="1" applyAlignment="1">
      <alignment horizontal="center"/>
    </xf>
    <xf numFmtId="0" fontId="3" fillId="18" borderId="32" xfId="0" applyFont="1" applyFill="1" applyBorder="1" applyAlignment="1">
      <alignment horizontal="center"/>
    </xf>
    <xf numFmtId="0" fontId="3" fillId="5" borderId="32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5" borderId="32" xfId="2" applyNumberFormat="1" applyFont="1" applyFill="1" applyBorder="1" applyAlignment="1">
      <alignment horizontal="center"/>
    </xf>
    <xf numFmtId="0" fontId="4" fillId="16" borderId="32" xfId="2" applyNumberFormat="1" applyFont="1" applyFill="1" applyBorder="1" applyAlignment="1">
      <alignment horizontal="center"/>
    </xf>
    <xf numFmtId="0" fontId="3" fillId="16" borderId="32" xfId="2" applyNumberFormat="1" applyFont="1" applyFill="1" applyBorder="1" applyAlignment="1">
      <alignment horizontal="center"/>
    </xf>
    <xf numFmtId="0" fontId="25" fillId="8" borderId="32" xfId="0" applyFont="1" applyFill="1" applyBorder="1" applyAlignment="1">
      <alignment horizontal="center"/>
    </xf>
    <xf numFmtId="0" fontId="7" fillId="8" borderId="32" xfId="0" applyFont="1" applyFill="1" applyBorder="1" applyAlignment="1">
      <alignment horizontal="center"/>
    </xf>
    <xf numFmtId="0" fontId="11" fillId="8" borderId="32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14" fontId="3" fillId="10" borderId="32" xfId="0" applyNumberFormat="1" applyFont="1" applyFill="1" applyBorder="1" applyAlignment="1">
      <alignment horizontal="left"/>
    </xf>
    <xf numFmtId="0" fontId="2" fillId="14" borderId="32" xfId="0" applyFont="1" applyFill="1" applyBorder="1" applyAlignment="1">
      <alignment horizontal="left"/>
    </xf>
    <xf numFmtId="0" fontId="8" fillId="8" borderId="32" xfId="2" applyNumberFormat="1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14" fontId="2" fillId="14" borderId="32" xfId="2" applyNumberFormat="1" applyFont="1" applyFill="1" applyBorder="1" applyAlignment="1">
      <alignment horizontal="center"/>
    </xf>
    <xf numFmtId="14" fontId="3" fillId="3" borderId="32" xfId="0" applyNumberFormat="1" applyFont="1" applyFill="1" applyBorder="1" applyAlignment="1">
      <alignment horizontal="left"/>
    </xf>
    <xf numFmtId="0" fontId="2" fillId="14" borderId="32" xfId="0" applyNumberFormat="1" applyFont="1" applyFill="1" applyBorder="1" applyAlignment="1">
      <alignment horizontal="center"/>
    </xf>
    <xf numFmtId="0" fontId="27" fillId="14" borderId="32" xfId="2" applyNumberFormat="1" applyFont="1" applyFill="1" applyBorder="1" applyAlignment="1">
      <alignment horizontal="center"/>
    </xf>
    <xf numFmtId="0" fontId="2" fillId="13" borderId="32" xfId="0" applyFont="1" applyFill="1" applyBorder="1" applyAlignment="1">
      <alignment horizontal="left"/>
    </xf>
    <xf numFmtId="0" fontId="2" fillId="13" borderId="32" xfId="0" applyFont="1" applyFill="1" applyBorder="1" applyAlignment="1">
      <alignment horizontal="center"/>
    </xf>
    <xf numFmtId="0" fontId="33" fillId="13" borderId="32" xfId="0" applyFont="1" applyFill="1" applyBorder="1" applyAlignment="1">
      <alignment horizontal="left"/>
    </xf>
    <xf numFmtId="0" fontId="33" fillId="14" borderId="32" xfId="0" applyFont="1" applyFill="1" applyBorder="1" applyAlignment="1">
      <alignment horizontal="center"/>
    </xf>
    <xf numFmtId="0" fontId="33" fillId="13" borderId="32" xfId="0" applyFont="1" applyFill="1" applyBorder="1" applyAlignment="1">
      <alignment horizontal="center"/>
    </xf>
    <xf numFmtId="0" fontId="34" fillId="8" borderId="32" xfId="2" applyNumberFormat="1" applyFont="1" applyFill="1" applyBorder="1" applyAlignment="1">
      <alignment horizontal="center"/>
    </xf>
    <xf numFmtId="0" fontId="34" fillId="8" borderId="32" xfId="0" applyFont="1" applyFill="1" applyBorder="1" applyAlignment="1">
      <alignment horizontal="center"/>
    </xf>
    <xf numFmtId="0" fontId="33" fillId="8" borderId="32" xfId="0" applyFont="1" applyFill="1" applyBorder="1" applyAlignment="1">
      <alignment horizontal="center"/>
    </xf>
    <xf numFmtId="0" fontId="34" fillId="8" borderId="3" xfId="0" applyFont="1" applyFill="1" applyBorder="1" applyAlignment="1">
      <alignment horizontal="center"/>
    </xf>
    <xf numFmtId="14" fontId="2" fillId="13" borderId="32" xfId="0" applyNumberFormat="1" applyFont="1" applyFill="1" applyBorder="1" applyAlignment="1">
      <alignment horizontal="center"/>
    </xf>
    <xf numFmtId="14" fontId="3" fillId="3" borderId="2" xfId="0" applyNumberFormat="1" applyFont="1" applyFill="1" applyBorder="1" applyAlignment="1">
      <alignment horizontal="left"/>
    </xf>
    <xf numFmtId="0" fontId="2" fillId="13" borderId="2" xfId="0" applyFont="1" applyFill="1" applyBorder="1" applyAlignment="1">
      <alignment horizontal="left"/>
    </xf>
    <xf numFmtId="14" fontId="2" fillId="13" borderId="2" xfId="0" applyNumberFormat="1" applyFont="1" applyFill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13" borderId="2" xfId="0" applyFont="1" applyFill="1" applyBorder="1" applyAlignment="1">
      <alignment horizontal="center"/>
    </xf>
    <xf numFmtId="0" fontId="8" fillId="8" borderId="2" xfId="2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0" fillId="13" borderId="0" xfId="0" applyFill="1"/>
    <xf numFmtId="10" fontId="19" fillId="13" borderId="0" xfId="0" applyNumberFormat="1" applyFont="1" applyFill="1"/>
    <xf numFmtId="10" fontId="19" fillId="11" borderId="0" xfId="0" applyNumberFormat="1" applyFont="1" applyFill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2" fillId="14" borderId="32" xfId="0" applyFont="1" applyFill="1" applyBorder="1" applyAlignment="1">
      <alignment horizontal="center"/>
    </xf>
    <xf numFmtId="164" fontId="2" fillId="14" borderId="32" xfId="0" applyNumberFormat="1" applyFont="1" applyFill="1" applyBorder="1" applyAlignment="1">
      <alignment horizontal="center"/>
    </xf>
    <xf numFmtId="1" fontId="0" fillId="0" borderId="26" xfId="0" applyNumberFormat="1" applyBorder="1"/>
    <xf numFmtId="1" fontId="19" fillId="14" borderId="26" xfId="0" applyNumberFormat="1" applyFont="1" applyFill="1" applyBorder="1"/>
    <xf numFmtId="1" fontId="19" fillId="0" borderId="26" xfId="0" applyNumberFormat="1" applyFont="1" applyBorder="1"/>
    <xf numFmtId="0" fontId="30" fillId="14" borderId="32" xfId="0" applyFont="1" applyFill="1" applyBorder="1" applyAlignment="1">
      <alignment vertical="center"/>
    </xf>
    <xf numFmtId="0" fontId="30" fillId="14" borderId="2" xfId="0" applyFont="1" applyFill="1" applyBorder="1" applyAlignment="1">
      <alignment vertical="center"/>
    </xf>
    <xf numFmtId="164" fontId="3" fillId="14" borderId="32" xfId="2" applyNumberFormat="1" applyFont="1" applyFill="1" applyBorder="1" applyAlignment="1">
      <alignment horizontal="center"/>
    </xf>
    <xf numFmtId="9" fontId="0" fillId="13" borderId="0" xfId="0" applyNumberFormat="1" applyFill="1"/>
    <xf numFmtId="0" fontId="5" fillId="14" borderId="32" xfId="0" applyNumberFormat="1" applyFont="1" applyFill="1" applyBorder="1" applyAlignment="1">
      <alignment horizontal="center"/>
    </xf>
    <xf numFmtId="2" fontId="2" fillId="14" borderId="32" xfId="0" applyNumberFormat="1" applyFont="1" applyFill="1" applyBorder="1" applyAlignment="1">
      <alignment horizontal="center"/>
    </xf>
    <xf numFmtId="0" fontId="29" fillId="13" borderId="32" xfId="0" applyFont="1" applyFill="1" applyBorder="1" applyAlignment="1">
      <alignment horizontal="left"/>
    </xf>
    <xf numFmtId="0" fontId="26" fillId="13" borderId="32" xfId="0" applyFont="1" applyFill="1" applyBorder="1" applyAlignment="1">
      <alignment horizontal="left"/>
    </xf>
    <xf numFmtId="164" fontId="2" fillId="13" borderId="32" xfId="0" applyNumberFormat="1" applyFont="1" applyFill="1" applyBorder="1" applyAlignment="1">
      <alignment horizontal="center"/>
    </xf>
    <xf numFmtId="14" fontId="33" fillId="13" borderId="32" xfId="0" applyNumberFormat="1" applyFont="1" applyFill="1" applyBorder="1" applyAlignment="1">
      <alignment horizontal="center"/>
    </xf>
    <xf numFmtId="0" fontId="5" fillId="14" borderId="32" xfId="0" applyFont="1" applyFill="1" applyBorder="1" applyAlignment="1">
      <alignment horizontal="center"/>
    </xf>
    <xf numFmtId="0" fontId="33" fillId="14" borderId="32" xfId="0" applyNumberFormat="1" applyFont="1" applyFill="1" applyBorder="1" applyAlignment="1">
      <alignment horizontal="center"/>
    </xf>
    <xf numFmtId="0" fontId="35" fillId="14" borderId="32" xfId="0" applyNumberFormat="1" applyFont="1" applyFill="1" applyBorder="1" applyAlignment="1">
      <alignment horizontal="center"/>
    </xf>
    <xf numFmtId="0" fontId="26" fillId="13" borderId="32" xfId="0" applyFont="1" applyFill="1" applyBorder="1" applyAlignment="1">
      <alignment horizontal="center"/>
    </xf>
    <xf numFmtId="0" fontId="0" fillId="13" borderId="32" xfId="0" applyFont="1" applyFill="1" applyBorder="1"/>
    <xf numFmtId="0" fontId="2" fillId="11" borderId="32" xfId="0" applyFont="1" applyFill="1" applyBorder="1" applyAlignment="1">
      <alignment horizontal="center"/>
    </xf>
    <xf numFmtId="0" fontId="2" fillId="11" borderId="32" xfId="0" applyFont="1" applyFill="1" applyBorder="1" applyAlignment="1">
      <alignment horizontal="left"/>
    </xf>
    <xf numFmtId="1" fontId="2" fillId="14" borderId="32" xfId="0" applyNumberFormat="1" applyFont="1" applyFill="1" applyBorder="1" applyAlignment="1">
      <alignment horizontal="center"/>
    </xf>
    <xf numFmtId="164" fontId="33" fillId="14" borderId="32" xfId="0" applyNumberFormat="1" applyFont="1" applyFill="1" applyBorder="1" applyAlignment="1">
      <alignment horizontal="center"/>
    </xf>
    <xf numFmtId="1" fontId="33" fillId="14" borderId="32" xfId="0" applyNumberFormat="1" applyFont="1" applyFill="1" applyBorder="1" applyAlignment="1">
      <alignment horizontal="center"/>
    </xf>
    <xf numFmtId="0" fontId="33" fillId="14" borderId="32" xfId="0" applyFont="1" applyFill="1" applyBorder="1" applyAlignment="1">
      <alignment horizontal="left"/>
    </xf>
    <xf numFmtId="0" fontId="2" fillId="14" borderId="2" xfId="0" applyFont="1" applyFill="1" applyBorder="1" applyAlignment="1">
      <alignment horizontal="left"/>
    </xf>
    <xf numFmtId="164" fontId="2" fillId="14" borderId="2" xfId="0" applyNumberFormat="1" applyFont="1" applyFill="1" applyBorder="1" applyAlignment="1">
      <alignment horizontal="center"/>
    </xf>
    <xf numFmtId="1" fontId="2" fillId="14" borderId="2" xfId="0" applyNumberFormat="1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/>
    </xf>
    <xf numFmtId="0" fontId="2" fillId="14" borderId="0" xfId="0" applyFont="1" applyFill="1" applyAlignment="1">
      <alignment horizontal="left"/>
    </xf>
    <xf numFmtId="164" fontId="2" fillId="14" borderId="0" xfId="0" applyNumberFormat="1" applyFont="1" applyFill="1" applyAlignment="1">
      <alignment horizontal="center"/>
    </xf>
    <xf numFmtId="0" fontId="2" fillId="14" borderId="0" xfId="0" applyFont="1" applyFill="1" applyAlignment="1">
      <alignment horizontal="center"/>
    </xf>
    <xf numFmtId="14" fontId="2" fillId="14" borderId="0" xfId="0" applyNumberFormat="1" applyFont="1" applyFill="1" applyAlignment="1">
      <alignment horizontal="center"/>
    </xf>
    <xf numFmtId="0" fontId="30" fillId="14" borderId="0" xfId="0" applyFont="1" applyFill="1" applyAlignment="1">
      <alignment vertical="center"/>
    </xf>
    <xf numFmtId="0" fontId="0" fillId="14" borderId="0" xfId="0" applyNumberFormat="1" applyFill="1" applyAlignment="1">
      <alignment horizontal="left"/>
    </xf>
    <xf numFmtId="0" fontId="2" fillId="14" borderId="0" xfId="2" applyFont="1" applyFill="1" applyAlignment="1">
      <alignment horizontal="left"/>
    </xf>
    <xf numFmtId="2" fontId="33" fillId="14" borderId="32" xfId="0" applyNumberFormat="1" applyFont="1" applyFill="1" applyBorder="1" applyAlignment="1">
      <alignment horizontal="center"/>
    </xf>
    <xf numFmtId="2" fontId="2" fillId="14" borderId="2" xfId="0" applyNumberFormat="1" applyFont="1" applyFill="1" applyBorder="1" applyAlignment="1">
      <alignment horizontal="center"/>
    </xf>
    <xf numFmtId="0" fontId="2" fillId="14" borderId="32" xfId="2" applyNumberFormat="1" applyFont="1" applyFill="1" applyBorder="1" applyAlignment="1">
      <alignment horizontal="left"/>
    </xf>
    <xf numFmtId="16" fontId="2" fillId="14" borderId="32" xfId="2" applyNumberFormat="1" applyFont="1" applyFill="1" applyBorder="1" applyAlignment="1">
      <alignment horizontal="left"/>
    </xf>
    <xf numFmtId="14" fontId="2" fillId="14" borderId="32" xfId="2" applyNumberFormat="1" applyFont="1" applyFill="1" applyBorder="1" applyAlignment="1">
      <alignment horizontal="left"/>
    </xf>
    <xf numFmtId="0" fontId="2" fillId="14" borderId="2" xfId="2" applyNumberFormat="1" applyFont="1" applyFill="1" applyBorder="1" applyAlignment="1">
      <alignment horizontal="left"/>
    </xf>
    <xf numFmtId="164" fontId="3" fillId="14" borderId="2" xfId="2" applyNumberFormat="1" applyFont="1" applyFill="1" applyBorder="1" applyAlignment="1">
      <alignment horizontal="center"/>
    </xf>
    <xf numFmtId="0" fontId="2" fillId="14" borderId="32" xfId="2" applyNumberFormat="1" applyFont="1" applyFill="1" applyBorder="1" applyAlignment="1">
      <alignment horizontal="center"/>
    </xf>
    <xf numFmtId="0" fontId="2" fillId="14" borderId="32" xfId="2" applyNumberFormat="1" applyFont="1" applyFill="1" applyBorder="1" applyAlignment="1"/>
    <xf numFmtId="0" fontId="26" fillId="14" borderId="32" xfId="2" applyNumberFormat="1" applyFont="1" applyFill="1" applyBorder="1" applyAlignment="1">
      <alignment horizontal="center"/>
    </xf>
    <xf numFmtId="0" fontId="33" fillId="14" borderId="32" xfId="2" applyNumberFormat="1" applyFont="1" applyFill="1" applyBorder="1" applyAlignment="1">
      <alignment horizontal="center"/>
    </xf>
    <xf numFmtId="0" fontId="33" fillId="14" borderId="32" xfId="2" applyNumberFormat="1" applyFont="1" applyFill="1" applyBorder="1" applyAlignment="1">
      <alignment horizontal="left"/>
    </xf>
    <xf numFmtId="164" fontId="4" fillId="14" borderId="32" xfId="2" applyNumberFormat="1" applyFont="1" applyFill="1" applyBorder="1" applyAlignment="1">
      <alignment horizontal="center"/>
    </xf>
    <xf numFmtId="164" fontId="4" fillId="14" borderId="2" xfId="2" applyNumberFormat="1" applyFont="1" applyFill="1" applyBorder="1" applyAlignment="1">
      <alignment horizontal="center"/>
    </xf>
    <xf numFmtId="14" fontId="2" fillId="14" borderId="2" xfId="2" applyNumberFormat="1" applyFont="1" applyFill="1" applyBorder="1" applyAlignment="1">
      <alignment horizontal="center"/>
    </xf>
    <xf numFmtId="0" fontId="2" fillId="14" borderId="2" xfId="2" applyNumberFormat="1" applyFont="1" applyFill="1" applyBorder="1" applyAlignment="1">
      <alignment horizontal="center"/>
    </xf>
    <xf numFmtId="0" fontId="2" fillId="14" borderId="2" xfId="2" applyNumberFormat="1" applyFont="1" applyFill="1" applyBorder="1" applyAlignment="1"/>
    <xf numFmtId="17" fontId="13" fillId="2" borderId="35" xfId="0" applyNumberFormat="1" applyFont="1" applyFill="1" applyBorder="1" applyAlignment="1">
      <alignment horizontal="center"/>
    </xf>
    <xf numFmtId="17" fontId="13" fillId="2" borderId="36" xfId="0" applyNumberFormat="1" applyFont="1" applyFill="1" applyBorder="1" applyAlignment="1">
      <alignment horizontal="center"/>
    </xf>
    <xf numFmtId="17" fontId="13" fillId="2" borderId="37" xfId="0" applyNumberFormat="1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9" borderId="5" xfId="0" applyFont="1" applyFill="1" applyBorder="1" applyAlignment="1">
      <alignment horizontal="center"/>
    </xf>
    <xf numFmtId="0" fontId="14" fillId="9" borderId="6" xfId="0" applyFont="1" applyFill="1" applyBorder="1" applyAlignment="1">
      <alignment horizontal="center"/>
    </xf>
    <xf numFmtId="0" fontId="14" fillId="9" borderId="7" xfId="0" applyFont="1" applyFill="1" applyBorder="1" applyAlignment="1">
      <alignment horizontal="center"/>
    </xf>
    <xf numFmtId="0" fontId="14" fillId="9" borderId="0" xfId="0" applyFont="1" applyFill="1" applyBorder="1" applyAlignment="1">
      <alignment horizontal="center"/>
    </xf>
    <xf numFmtId="0" fontId="14" fillId="9" borderId="8" xfId="0" applyFont="1" applyFill="1" applyBorder="1" applyAlignment="1">
      <alignment horizontal="center"/>
    </xf>
    <xf numFmtId="49" fontId="15" fillId="9" borderId="7" xfId="0" applyNumberFormat="1" applyFont="1" applyFill="1" applyBorder="1" applyAlignment="1">
      <alignment horizontal="center"/>
    </xf>
    <xf numFmtId="49" fontId="15" fillId="9" borderId="0" xfId="0" applyNumberFormat="1" applyFont="1" applyFill="1" applyBorder="1" applyAlignment="1">
      <alignment horizontal="center"/>
    </xf>
    <xf numFmtId="49" fontId="15" fillId="9" borderId="8" xfId="0" applyNumberFormat="1" applyFont="1" applyFill="1" applyBorder="1" applyAlignment="1">
      <alignment horizontal="center"/>
    </xf>
    <xf numFmtId="0" fontId="9" fillId="7" borderId="0" xfId="0" applyFont="1" applyFill="1" applyAlignment="1">
      <alignment horizontal="center"/>
    </xf>
    <xf numFmtId="0" fontId="9" fillId="12" borderId="0" xfId="0" applyFont="1" applyFill="1" applyAlignment="1">
      <alignment horizontal="center"/>
    </xf>
    <xf numFmtId="0" fontId="19" fillId="15" borderId="0" xfId="0" applyFont="1" applyFill="1" applyAlignment="1">
      <alignment horizontal="center"/>
    </xf>
    <xf numFmtId="0" fontId="9" fillId="17" borderId="0" xfId="0" applyFont="1" applyFill="1" applyAlignment="1">
      <alignment horizontal="center"/>
    </xf>
    <xf numFmtId="0" fontId="19" fillId="19" borderId="0" xfId="0" applyFont="1" applyFill="1" applyAlignment="1">
      <alignment horizontal="center"/>
    </xf>
    <xf numFmtId="0" fontId="0" fillId="17" borderId="0" xfId="0" applyFill="1" applyAlignment="1">
      <alignment horizontal="center"/>
    </xf>
    <xf numFmtId="0" fontId="0" fillId="14" borderId="0" xfId="0" applyFont="1" applyFill="1" applyAlignment="1">
      <alignment horizontal="center"/>
    </xf>
    <xf numFmtId="0" fontId="0" fillId="15" borderId="0" xfId="0" applyFill="1" applyAlignment="1">
      <alignment horizontal="center"/>
    </xf>
    <xf numFmtId="0" fontId="17" fillId="15" borderId="0" xfId="0" applyFont="1" applyFill="1" applyAlignment="1">
      <alignment horizontal="center"/>
    </xf>
  </cellXfs>
  <cellStyles count="4">
    <cellStyle name="Normal" xfId="0" builtinId="0"/>
    <cellStyle name="Normal 2" xfId="2"/>
    <cellStyle name="Normal 3" xfId="1"/>
    <cellStyle name="Pourcentage" xfId="3" builtinId="5"/>
  </cellStyles>
  <dxfs count="928">
    <dxf>
      <fill>
        <patternFill>
          <bgColor theme="5" tint="0.79998168889431442"/>
        </patternFill>
      </fill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numFmt numFmtId="167" formatCode="#,##0.0"/>
    </dxf>
    <dxf>
      <fill>
        <patternFill>
          <bgColor rgb="FFFFFF66"/>
        </patternFill>
      </fill>
    </dxf>
    <dxf>
      <numFmt numFmtId="167" formatCode="#,##0.0"/>
    </dxf>
    <dxf>
      <numFmt numFmtId="13" formatCode="0%"/>
    </dxf>
    <dxf>
      <numFmt numFmtId="13" formatCode="0%"/>
    </dxf>
    <dxf>
      <font>
        <color auto="1"/>
      </font>
    </dxf>
    <dxf>
      <fill>
        <patternFill>
          <bgColor theme="5" tint="0.79998168889431442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ill>
        <patternFill>
          <bgColor theme="5" tint="0.59999389629810485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numFmt numFmtId="13" formatCode="0%"/>
    </dxf>
    <dxf>
      <numFmt numFmtId="13" formatCode="0%"/>
    </dxf>
    <dxf>
      <numFmt numFmtId="13" formatCode="0%"/>
    </dxf>
    <dxf>
      <numFmt numFmtId="14" formatCode="0.00%"/>
    </dxf>
    <dxf>
      <numFmt numFmtId="13" formatCode="0%"/>
    </dxf>
    <dxf>
      <numFmt numFmtId="165" formatCode="0.0"/>
    </dxf>
    <dxf>
      <fill>
        <patternFill>
          <bgColor rgb="FFF2DCDB"/>
        </patternFill>
      </fill>
    </dxf>
    <dxf>
      <font>
        <color auto="1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numFmt numFmtId="13" formatCode="0%"/>
    </dxf>
    <dxf>
      <numFmt numFmtId="14" formatCode="0.00%"/>
    </dxf>
    <dxf>
      <numFmt numFmtId="165" formatCode="0.0"/>
    </dxf>
    <dxf>
      <numFmt numFmtId="165" formatCode="0.0"/>
    </dxf>
    <dxf>
      <numFmt numFmtId="13" formatCode="0%"/>
    </dxf>
    <dxf>
      <numFmt numFmtId="14" formatCode="0.00%"/>
    </dxf>
    <dxf>
      <numFmt numFmtId="165" formatCode="0.0"/>
    </dxf>
    <dxf>
      <numFmt numFmtId="165" formatCode="0.0"/>
    </dxf>
    <dxf>
      <numFmt numFmtId="13" formatCode="0%"/>
    </dxf>
    <dxf>
      <numFmt numFmtId="14" formatCode="0.00%"/>
    </dxf>
    <dxf>
      <numFmt numFmtId="13" formatCode="0%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4" formatCode="0.00%"/>
    </dxf>
    <dxf>
      <numFmt numFmtId="13" formatCode="0%"/>
    </dxf>
    <dxf>
      <numFmt numFmtId="14" formatCode="0.00%"/>
    </dxf>
    <dxf>
      <fill>
        <patternFill>
          <bgColor theme="5" tint="0.59999389629810485"/>
        </patternFill>
      </fill>
    </dxf>
    <dxf>
      <font>
        <color auto="1"/>
      </font>
    </dxf>
    <dxf>
      <fill>
        <patternFill>
          <bgColor rgb="FFF2DCDB"/>
        </patternFill>
      </fill>
    </dxf>
    <dxf>
      <fill>
        <patternFill>
          <bgColor rgb="FFF2DCDB"/>
        </patternFill>
      </fill>
    </dxf>
    <dxf>
      <fill>
        <patternFill>
          <bgColor rgb="FFF2DCDB"/>
        </patternFill>
      </fill>
    </dxf>
    <dxf>
      <numFmt numFmtId="13" formatCode="0%"/>
    </dxf>
    <dxf>
      <numFmt numFmtId="14" formatCode="0.00%"/>
    </dxf>
    <dxf>
      <numFmt numFmtId="13" formatCode="0%"/>
    </dxf>
    <dxf>
      <numFmt numFmtId="14" formatCode="0.00%"/>
    </dxf>
    <dxf>
      <font>
        <color auto="1"/>
      </font>
    </dxf>
    <dxf>
      <fill>
        <patternFill>
          <bgColor theme="5" tint="0.79998168889431442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numFmt numFmtId="14" formatCode="0.00%"/>
    </dxf>
    <dxf>
      <numFmt numFmtId="13" formatCode="0%"/>
    </dxf>
    <dxf>
      <font>
        <color auto="1"/>
      </font>
    </dxf>
    <dxf>
      <font>
        <color auto="1"/>
      </font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ont>
        <color auto="1"/>
      </font>
    </dxf>
    <dxf>
      <fill>
        <patternFill>
          <bgColor theme="5" tint="0.79998168889431442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numFmt numFmtId="13" formatCode="0%"/>
    </dxf>
    <dxf>
      <numFmt numFmtId="13" formatCode="0%"/>
    </dxf>
    <dxf>
      <numFmt numFmtId="14" formatCode="0.00%"/>
    </dxf>
    <dxf>
      <fill>
        <patternFill>
          <bgColor theme="5" tint="0.5999938962981048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2DCDB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numFmt numFmtId="166" formatCode="0.0%"/>
    </dxf>
    <dxf>
      <numFmt numFmtId="13" formatCode="0%"/>
    </dxf>
    <dxf>
      <fill>
        <patternFill patternType="solid">
          <bgColor theme="6" tint="-0.249977111117893"/>
        </patternFill>
      </fill>
    </dxf>
    <dxf>
      <fill>
        <patternFill patternType="solid">
          <bgColor theme="6" tint="-0.249977111117893"/>
        </patternFill>
      </fill>
    </dxf>
    <dxf>
      <fill>
        <patternFill patternType="solid">
          <bgColor theme="6" tint="-0.249977111117893"/>
        </patternFill>
      </fill>
    </dxf>
    <dxf>
      <fill>
        <patternFill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3" formatCode="0%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FF00"/>
        </patternFill>
      </fill>
    </dxf>
    <dxf>
      <numFmt numFmtId="167" formatCode="#,##0.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2DCDB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FFFF00"/>
        </patternFill>
      </fill>
    </dxf>
    <dxf>
      <numFmt numFmtId="167" formatCode="#,##0.0"/>
    </dxf>
    <dxf>
      <numFmt numFmtId="167" formatCode="#,##0.0"/>
    </dxf>
    <dxf>
      <numFmt numFmtId="167" formatCode="#,##0.0"/>
    </dxf>
    <dxf>
      <numFmt numFmtId="167" formatCode="#,##0.0"/>
    </dxf>
    <dxf>
      <numFmt numFmtId="167" formatCode="#,##0.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numFmt numFmtId="14" formatCode="0.00%"/>
    </dxf>
    <dxf>
      <fill>
        <patternFill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66" formatCode="0.0%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1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numFmt numFmtId="0" formatCode="General"/>
    </dxf>
    <dxf>
      <fill>
        <patternFill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rgb="FFF2DCDB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F2DCDB"/>
        </patternFill>
      </fill>
    </dxf>
    <dxf>
      <fill>
        <patternFill patternType="solid">
          <bgColor rgb="FFF2DCDB"/>
        </patternFill>
      </fill>
    </dxf>
    <dxf>
      <font>
        <sz val="8"/>
      </font>
    </dxf>
    <dxf>
      <font>
        <i/>
      </font>
    </dxf>
    <dxf>
      <font>
        <i/>
      </font>
    </dxf>
    <dxf>
      <font>
        <i/>
      </font>
    </dxf>
    <dxf>
      <fill>
        <patternFill patternType="solid">
          <bgColor rgb="FFC00000"/>
        </patternFill>
      </fill>
    </dxf>
    <dxf>
      <font>
        <color rgb="FFFFFF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numFmt numFmtId="13" formatCode="0%"/>
    </dxf>
    <dxf>
      <numFmt numFmtId="13" formatCode="0%"/>
    </dxf>
    <dxf>
      <numFmt numFmtId="167" formatCode="#,##0.0"/>
    </dxf>
    <dxf>
      <fill>
        <patternFill>
          <bgColor rgb="FFFFFF66"/>
        </patternFill>
      </fill>
    </dxf>
    <dxf>
      <numFmt numFmtId="167" formatCode="#,##0.0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ill>
        <patternFill>
          <bgColor theme="5" tint="0.79998168889431442"/>
        </patternFill>
      </fill>
    </dxf>
    <dxf>
      <numFmt numFmtId="13" formatCode="0%"/>
    </dxf>
    <dxf>
      <numFmt numFmtId="13" formatCode="0%"/>
    </dxf>
    <dxf>
      <numFmt numFmtId="13" formatCode="0%"/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0.59999389629810485"/>
        </patternFill>
      </fill>
    </dxf>
    <dxf>
      <numFmt numFmtId="13" formatCode="0%"/>
    </dxf>
    <dxf>
      <numFmt numFmtId="13" formatCode="0%"/>
    </dxf>
    <dxf>
      <numFmt numFmtId="165" formatCode="0.0"/>
    </dxf>
    <dxf>
      <numFmt numFmtId="13" formatCode="0%"/>
    </dxf>
    <dxf>
      <numFmt numFmtId="14" formatCode="0.00%"/>
    </dxf>
    <dxf>
      <numFmt numFmtId="14" formatCode="0.00%"/>
    </dxf>
    <dxf>
      <numFmt numFmtId="13" formatCode="0%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fill>
        <patternFill>
          <bgColor rgb="FFF2DCDB"/>
        </patternFill>
      </fill>
    </dxf>
    <dxf>
      <numFmt numFmtId="14" formatCode="0.00%"/>
    </dxf>
    <dxf>
      <numFmt numFmtId="13" formatCode="0%"/>
    </dxf>
    <dxf>
      <numFmt numFmtId="14" formatCode="0.00%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3" formatCode="0%"/>
    </dxf>
    <dxf>
      <numFmt numFmtId="14" formatCode="0.00%"/>
    </dxf>
    <dxf>
      <numFmt numFmtId="13" formatCode="0%"/>
    </dxf>
    <dxf>
      <numFmt numFmtId="165" formatCode="0.0"/>
    </dxf>
    <dxf>
      <numFmt numFmtId="165" formatCode="0.0"/>
    </dxf>
    <dxf>
      <numFmt numFmtId="14" formatCode="0.00%"/>
    </dxf>
    <dxf>
      <numFmt numFmtId="13" formatCode="0%"/>
    </dxf>
    <dxf>
      <numFmt numFmtId="165" formatCode="0.0"/>
    </dxf>
    <dxf>
      <numFmt numFmtId="165" formatCode="0.0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numFmt numFmtId="14" formatCode="0.00%"/>
    </dxf>
    <dxf>
      <numFmt numFmtId="13" formatCode="0%"/>
    </dxf>
    <dxf>
      <numFmt numFmtId="14" formatCode="0.00%"/>
    </dxf>
    <dxf>
      <numFmt numFmtId="13" formatCode="0%"/>
    </dxf>
    <dxf>
      <fill>
        <patternFill>
          <bgColor rgb="FFF2DCDB"/>
        </patternFill>
      </fill>
    </dxf>
    <dxf>
      <fill>
        <patternFill>
          <bgColor rgb="FFF2DCDB"/>
        </patternFill>
      </fill>
    </dxf>
    <dxf>
      <fill>
        <patternFill>
          <bgColor rgb="FFF2DCDB"/>
        </patternFill>
      </fill>
    </dxf>
    <dxf>
      <font>
        <color auto="1"/>
      </font>
    </dxf>
    <dxf>
      <fill>
        <patternFill>
          <bgColor theme="5" tint="0.59999389629810485"/>
        </patternFill>
      </fill>
    </dxf>
    <dxf>
      <numFmt numFmtId="13" formatCode="0%"/>
    </dxf>
    <dxf>
      <numFmt numFmtId="166" formatCode="0.0%"/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ont>
        <color auto="1"/>
      </font>
    </dxf>
    <dxf>
      <font>
        <color auto="1"/>
      </font>
    </dxf>
    <dxf>
      <numFmt numFmtId="13" formatCode="0%"/>
    </dxf>
    <dxf>
      <numFmt numFmtId="14" formatCode="0.00%"/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>
          <bgColor theme="5" tint="0.59999389629810485"/>
        </patternFill>
      </fill>
    </dxf>
    <dxf>
      <numFmt numFmtId="14" formatCode="0.00%"/>
    </dxf>
    <dxf>
      <numFmt numFmtId="13" formatCode="0%"/>
    </dxf>
    <dxf>
      <numFmt numFmtId="13" formatCode="0%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ill>
        <patternFill patternType="solid">
          <bgColor theme="5" tint="0.79998168889431442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0.79998168889431442"/>
        </patternFill>
      </fill>
    </dxf>
    <dxf>
      <font>
        <color auto="1"/>
      </font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numFmt numFmtId="13" formatCode="0%"/>
    </dxf>
    <dxf>
      <numFmt numFmtId="166" formatCode="0.0%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2DCDB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2DCDB"/>
        </patternFill>
      </fill>
    </dxf>
    <dxf>
      <fill>
        <patternFill patternType="solid">
          <bgColor theme="6" tint="-0.249977111117893"/>
        </patternFill>
      </fill>
    </dxf>
    <dxf>
      <fill>
        <patternFill patternType="solid">
          <bgColor theme="6" tint="-0.249977111117893"/>
        </patternFill>
      </fill>
    </dxf>
    <dxf>
      <fill>
        <patternFill patternType="solid">
          <bgColor theme="6" tint="-0.249977111117893"/>
        </patternFill>
      </fill>
    </dxf>
    <dxf>
      <numFmt numFmtId="13" formatCode="0%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numFmt numFmtId="167" formatCode="#,##0.0"/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67" formatCode="#,##0.0"/>
    </dxf>
    <dxf>
      <numFmt numFmtId="167" formatCode="#,##0.0"/>
    </dxf>
    <dxf>
      <numFmt numFmtId="167" formatCode="#,##0.0"/>
    </dxf>
    <dxf>
      <numFmt numFmtId="167" formatCode="#,##0.0"/>
    </dxf>
    <dxf>
      <numFmt numFmtId="167" formatCode="#,##0.0"/>
    </dxf>
    <dxf>
      <fill>
        <patternFill patternType="solid"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rgb="FFF2DCDB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2DCDB"/>
        </patternFill>
      </fill>
    </dxf>
    <dxf>
      <numFmt numFmtId="0" formatCode="General"/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numFmt numFmtId="166" formatCode="0.0%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2DCDB"/>
        </patternFill>
      </fill>
    </dxf>
    <dxf>
      <numFmt numFmtId="14" formatCode="0.00%"/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numFmt numFmtId="166" formatCode="0.0%"/>
    </dxf>
    <dxf>
      <numFmt numFmtId="166" formatCode="0.0%"/>
    </dxf>
    <dxf>
      <numFmt numFmtId="166" formatCode="0.0%"/>
    </dxf>
    <dxf>
      <numFmt numFmtId="166" formatCode="0.0%"/>
    </dxf>
    <dxf>
      <numFmt numFmtId="166" formatCode="0.0%"/>
    </dxf>
    <dxf>
      <numFmt numFmtId="166" formatCode="0.0%"/>
    </dxf>
    <dxf>
      <numFmt numFmtId="166" formatCode="0.0%"/>
    </dxf>
    <dxf>
      <numFmt numFmtId="14" formatCode="0.00%"/>
    </dxf>
    <dxf>
      <numFmt numFmtId="13" formatCode="0%"/>
    </dxf>
    <dxf>
      <numFmt numFmtId="13" formatCode="0%"/>
    </dxf>
    <dxf>
      <numFmt numFmtId="14" formatCode="0.00%"/>
    </dxf>
    <dxf>
      <alignment horizontal="center" readingOrder="0"/>
    </dxf>
    <dxf>
      <alignment horizontal="center" readingOrder="0"/>
    </dxf>
    <dxf>
      <numFmt numFmtId="14" formatCode="0.00%"/>
    </dxf>
    <dxf>
      <numFmt numFmtId="14" formatCode="0.00%"/>
    </dxf>
    <dxf>
      <numFmt numFmtId="166" formatCode="0.0%"/>
    </dxf>
    <dxf>
      <numFmt numFmtId="13" formatCode="0%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numFmt numFmtId="13" formatCode="0%"/>
    </dxf>
    <dxf>
      <numFmt numFmtId="13" formatCode="0%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rgb="FFF2DCDB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rgb="FFF2DCDB"/>
        </patternFill>
      </fill>
    </dxf>
    <dxf>
      <fill>
        <patternFill patternType="solid">
          <bgColor rgb="FFF2DCDB"/>
        </patternFill>
      </fill>
    </dxf>
    <dxf>
      <fill>
        <patternFill patternType="solid">
          <bgColor rgb="FFF2DCDB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/>
      </font>
    </dxf>
    <dxf>
      <font>
        <color rgb="FFFFFF00"/>
      </font>
    </dxf>
    <dxf>
      <fill>
        <patternFill patternType="solid">
          <bgColor rgb="FFC00000"/>
        </patternFill>
      </fill>
    </dxf>
    <dxf>
      <font>
        <i/>
      </font>
    </dxf>
    <dxf>
      <font>
        <i/>
      </font>
    </dxf>
    <dxf>
      <font>
        <i/>
      </font>
    </dxf>
    <dxf>
      <font>
        <sz val="8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2DCDB"/>
      <color rgb="FFFFFFCC"/>
      <color rgb="FFFFFF66"/>
      <color rgb="FFFFFF99"/>
      <color rgb="FF339966"/>
      <color rgb="FF99FF66"/>
      <color rgb="FFCC99FF"/>
      <color rgb="FF7E0000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14.xml"/><Relationship Id="rId21" Type="http://schemas.openxmlformats.org/officeDocument/2006/relationships/chartsheet" Target="chartsheets/sheet9.xml"/><Relationship Id="rId42" Type="http://schemas.openxmlformats.org/officeDocument/2006/relationships/chartsheet" Target="chartsheets/sheet24.xml"/><Relationship Id="rId47" Type="http://schemas.openxmlformats.org/officeDocument/2006/relationships/chartsheet" Target="chartsheets/sheet28.xml"/><Relationship Id="rId63" Type="http://schemas.openxmlformats.org/officeDocument/2006/relationships/worksheet" Target="worksheets/sheet26.xml"/><Relationship Id="rId68" Type="http://schemas.openxmlformats.org/officeDocument/2006/relationships/chartsheet" Target="chartsheets/sheet40.xml"/><Relationship Id="rId84" Type="http://schemas.openxmlformats.org/officeDocument/2006/relationships/chartsheet" Target="chartsheets/sheet52.xml"/><Relationship Id="rId89" Type="http://schemas.openxmlformats.org/officeDocument/2006/relationships/worksheet" Target="worksheets/sheet35.xml"/><Relationship Id="rId16" Type="http://schemas.openxmlformats.org/officeDocument/2006/relationships/chartsheet" Target="chartsheets/sheet5.xml"/><Relationship Id="rId11" Type="http://schemas.openxmlformats.org/officeDocument/2006/relationships/chartsheet" Target="chartsheets/sheet1.xml"/><Relationship Id="rId32" Type="http://schemas.openxmlformats.org/officeDocument/2006/relationships/chartsheet" Target="chartsheets/sheet16.xml"/><Relationship Id="rId37" Type="http://schemas.openxmlformats.org/officeDocument/2006/relationships/chartsheet" Target="chartsheets/sheet21.xml"/><Relationship Id="rId53" Type="http://schemas.openxmlformats.org/officeDocument/2006/relationships/chartsheet" Target="chartsheets/sheet32.xml"/><Relationship Id="rId58" Type="http://schemas.openxmlformats.org/officeDocument/2006/relationships/chartsheet" Target="chartsheets/sheet35.xml"/><Relationship Id="rId74" Type="http://schemas.openxmlformats.org/officeDocument/2006/relationships/worksheet" Target="worksheets/sheet30.xml"/><Relationship Id="rId79" Type="http://schemas.openxmlformats.org/officeDocument/2006/relationships/chartsheet" Target="chartsheets/sheet49.xml"/><Relationship Id="rId102" Type="http://schemas.microsoft.com/office/2007/relationships/slicerCache" Target="slicerCaches/slicerCach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36.xml"/><Relationship Id="rId95" Type="http://schemas.openxmlformats.org/officeDocument/2006/relationships/pivotCacheDefinition" Target="pivotCache/pivotCacheDefinition4.xml"/><Relationship Id="rId22" Type="http://schemas.openxmlformats.org/officeDocument/2006/relationships/worksheet" Target="worksheets/sheet13.xml"/><Relationship Id="rId27" Type="http://schemas.openxmlformats.org/officeDocument/2006/relationships/chartsheet" Target="chartsheets/sheet13.xml"/><Relationship Id="rId43" Type="http://schemas.openxmlformats.org/officeDocument/2006/relationships/chartsheet" Target="chartsheets/sheet25.xml"/><Relationship Id="rId48" Type="http://schemas.openxmlformats.org/officeDocument/2006/relationships/chartsheet" Target="chartsheets/sheet29.xml"/><Relationship Id="rId64" Type="http://schemas.openxmlformats.org/officeDocument/2006/relationships/chartsheet" Target="chartsheets/sheet38.xml"/><Relationship Id="rId69" Type="http://schemas.openxmlformats.org/officeDocument/2006/relationships/chartsheet" Target="chartsheets/sheet41.xml"/><Relationship Id="rId80" Type="http://schemas.openxmlformats.org/officeDocument/2006/relationships/worksheet" Target="worksheets/sheet31.xml"/><Relationship Id="rId85" Type="http://schemas.openxmlformats.org/officeDocument/2006/relationships/chartsheet" Target="chartsheets/sheet53.xml"/><Relationship Id="rId12" Type="http://schemas.openxmlformats.org/officeDocument/2006/relationships/chartsheet" Target="chartsheets/sheet2.xml"/><Relationship Id="rId17" Type="http://schemas.openxmlformats.org/officeDocument/2006/relationships/chartsheet" Target="chartsheets/sheet6.xml"/><Relationship Id="rId33" Type="http://schemas.openxmlformats.org/officeDocument/2006/relationships/chartsheet" Target="chartsheets/sheet17.xml"/><Relationship Id="rId38" Type="http://schemas.openxmlformats.org/officeDocument/2006/relationships/worksheet" Target="worksheets/sheet17.xml"/><Relationship Id="rId59" Type="http://schemas.openxmlformats.org/officeDocument/2006/relationships/chartsheet" Target="chartsheets/sheet36.xml"/><Relationship Id="rId103" Type="http://schemas.openxmlformats.org/officeDocument/2006/relationships/theme" Target="theme/theme1.xml"/><Relationship Id="rId20" Type="http://schemas.openxmlformats.org/officeDocument/2006/relationships/chartsheet" Target="chartsheets/sheet8.xml"/><Relationship Id="rId41" Type="http://schemas.openxmlformats.org/officeDocument/2006/relationships/chartsheet" Target="chartsheets/sheet23.xml"/><Relationship Id="rId54" Type="http://schemas.openxmlformats.org/officeDocument/2006/relationships/chartsheet" Target="chartsheets/sheet33.xml"/><Relationship Id="rId62" Type="http://schemas.openxmlformats.org/officeDocument/2006/relationships/worksheet" Target="worksheets/sheet25.xml"/><Relationship Id="rId70" Type="http://schemas.openxmlformats.org/officeDocument/2006/relationships/chartsheet" Target="chartsheets/sheet42.xml"/><Relationship Id="rId75" Type="http://schemas.openxmlformats.org/officeDocument/2006/relationships/chartsheet" Target="chartsheets/sheet45.xml"/><Relationship Id="rId83" Type="http://schemas.openxmlformats.org/officeDocument/2006/relationships/chartsheet" Target="chartsheets/sheet51.xml"/><Relationship Id="rId88" Type="http://schemas.openxmlformats.org/officeDocument/2006/relationships/worksheet" Target="worksheets/sheet34.xml"/><Relationship Id="rId91" Type="http://schemas.openxmlformats.org/officeDocument/2006/relationships/chartsheet" Target="chartsheets/sheet55.xml"/><Relationship Id="rId96" Type="http://schemas.openxmlformats.org/officeDocument/2006/relationships/pivotCacheDefinition" Target="pivotCache/pivotCacheDefinition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chartsheet" Target="chartsheets/sheet4.xml"/><Relationship Id="rId23" Type="http://schemas.openxmlformats.org/officeDocument/2006/relationships/chartsheet" Target="chartsheets/sheet10.xml"/><Relationship Id="rId28" Type="http://schemas.openxmlformats.org/officeDocument/2006/relationships/chartsheet" Target="chartsheets/sheet14.xml"/><Relationship Id="rId36" Type="http://schemas.openxmlformats.org/officeDocument/2006/relationships/chartsheet" Target="chartsheets/sheet20.xml"/><Relationship Id="rId49" Type="http://schemas.openxmlformats.org/officeDocument/2006/relationships/chartsheet" Target="chartsheets/sheet30.xml"/><Relationship Id="rId57" Type="http://schemas.openxmlformats.org/officeDocument/2006/relationships/chartsheet" Target="chartsheets/sheet34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16.xml"/><Relationship Id="rId44" Type="http://schemas.openxmlformats.org/officeDocument/2006/relationships/chartsheet" Target="chartsheets/sheet26.xml"/><Relationship Id="rId52" Type="http://schemas.openxmlformats.org/officeDocument/2006/relationships/chartsheet" Target="chartsheets/sheet31.xml"/><Relationship Id="rId60" Type="http://schemas.openxmlformats.org/officeDocument/2006/relationships/chartsheet" Target="chartsheets/sheet37.xml"/><Relationship Id="rId65" Type="http://schemas.openxmlformats.org/officeDocument/2006/relationships/worksheet" Target="worksheets/sheet27.xml"/><Relationship Id="rId73" Type="http://schemas.openxmlformats.org/officeDocument/2006/relationships/worksheet" Target="worksheets/sheet29.xml"/><Relationship Id="rId78" Type="http://schemas.openxmlformats.org/officeDocument/2006/relationships/chartsheet" Target="chartsheets/sheet48.xml"/><Relationship Id="rId81" Type="http://schemas.openxmlformats.org/officeDocument/2006/relationships/worksheet" Target="worksheets/sheet32.xml"/><Relationship Id="rId86" Type="http://schemas.openxmlformats.org/officeDocument/2006/relationships/chartsheet" Target="chartsheets/sheet54.xml"/><Relationship Id="rId94" Type="http://schemas.openxmlformats.org/officeDocument/2006/relationships/pivotCacheDefinition" Target="pivotCache/pivotCacheDefinition3.xml"/><Relationship Id="rId99" Type="http://schemas.openxmlformats.org/officeDocument/2006/relationships/pivotCacheDefinition" Target="pivotCache/pivotCacheDefinition8.xml"/><Relationship Id="rId101" Type="http://schemas.openxmlformats.org/officeDocument/2006/relationships/pivotCacheDefinition" Target="pivotCache/pivotCacheDefinition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1.xml"/><Relationship Id="rId18" Type="http://schemas.openxmlformats.org/officeDocument/2006/relationships/chartsheet" Target="chartsheets/sheet7.xml"/><Relationship Id="rId39" Type="http://schemas.openxmlformats.org/officeDocument/2006/relationships/worksheet" Target="worksheets/sheet18.xml"/><Relationship Id="rId34" Type="http://schemas.openxmlformats.org/officeDocument/2006/relationships/chartsheet" Target="chartsheets/sheet18.xml"/><Relationship Id="rId50" Type="http://schemas.openxmlformats.org/officeDocument/2006/relationships/worksheet" Target="worksheets/sheet20.xml"/><Relationship Id="rId55" Type="http://schemas.openxmlformats.org/officeDocument/2006/relationships/worksheet" Target="worksheets/sheet22.xml"/><Relationship Id="rId76" Type="http://schemas.openxmlformats.org/officeDocument/2006/relationships/chartsheet" Target="chartsheets/sheet46.xml"/><Relationship Id="rId97" Type="http://schemas.openxmlformats.org/officeDocument/2006/relationships/pivotCacheDefinition" Target="pivotCache/pivotCacheDefinition6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chartsheet" Target="chartsheets/sheet43.xml"/><Relationship Id="rId9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29" Type="http://schemas.openxmlformats.org/officeDocument/2006/relationships/chartsheet" Target="chartsheets/sheet15.xml"/><Relationship Id="rId24" Type="http://schemas.openxmlformats.org/officeDocument/2006/relationships/chartsheet" Target="chartsheets/sheet11.xml"/><Relationship Id="rId40" Type="http://schemas.openxmlformats.org/officeDocument/2006/relationships/chartsheet" Target="chartsheets/sheet22.xml"/><Relationship Id="rId45" Type="http://schemas.openxmlformats.org/officeDocument/2006/relationships/chartsheet" Target="chartsheets/sheet27.xml"/><Relationship Id="rId66" Type="http://schemas.openxmlformats.org/officeDocument/2006/relationships/worksheet" Target="worksheets/sheet28.xml"/><Relationship Id="rId87" Type="http://schemas.openxmlformats.org/officeDocument/2006/relationships/worksheet" Target="worksheets/sheet33.xml"/><Relationship Id="rId61" Type="http://schemas.openxmlformats.org/officeDocument/2006/relationships/worksheet" Target="worksheets/sheet24.xml"/><Relationship Id="rId82" Type="http://schemas.openxmlformats.org/officeDocument/2006/relationships/chartsheet" Target="chartsheets/sheet50.xml"/><Relationship Id="rId19" Type="http://schemas.openxmlformats.org/officeDocument/2006/relationships/worksheet" Target="worksheets/sheet12.xml"/><Relationship Id="rId14" Type="http://schemas.openxmlformats.org/officeDocument/2006/relationships/chartsheet" Target="chartsheets/sheet3.xml"/><Relationship Id="rId30" Type="http://schemas.openxmlformats.org/officeDocument/2006/relationships/worksheet" Target="worksheets/sheet15.xml"/><Relationship Id="rId35" Type="http://schemas.openxmlformats.org/officeDocument/2006/relationships/chartsheet" Target="chartsheets/sheet19.xml"/><Relationship Id="rId56" Type="http://schemas.openxmlformats.org/officeDocument/2006/relationships/worksheet" Target="worksheets/sheet23.xml"/><Relationship Id="rId77" Type="http://schemas.openxmlformats.org/officeDocument/2006/relationships/chartsheet" Target="chartsheets/sheet47.xml"/><Relationship Id="rId100" Type="http://schemas.openxmlformats.org/officeDocument/2006/relationships/pivotCacheDefinition" Target="pivotCache/pivotCacheDefinition9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21.xml"/><Relationship Id="rId72" Type="http://schemas.openxmlformats.org/officeDocument/2006/relationships/chartsheet" Target="chartsheets/sheet44.xml"/><Relationship Id="rId93" Type="http://schemas.openxmlformats.org/officeDocument/2006/relationships/pivotCacheDefinition" Target="pivotCache/pivotCacheDefinition2.xml"/><Relationship Id="rId98" Type="http://schemas.openxmlformats.org/officeDocument/2006/relationships/pivotCacheDefinition" Target="pivotCache/pivotCacheDefinition7.xml"/><Relationship Id="rId3" Type="http://schemas.openxmlformats.org/officeDocument/2006/relationships/worksheet" Target="worksheets/sheet3.xml"/><Relationship Id="rId25" Type="http://schemas.openxmlformats.org/officeDocument/2006/relationships/chartsheet" Target="chartsheets/sheet12.xml"/><Relationship Id="rId46" Type="http://schemas.openxmlformats.org/officeDocument/2006/relationships/worksheet" Target="worksheets/sheet19.xml"/><Relationship Id="rId67" Type="http://schemas.openxmlformats.org/officeDocument/2006/relationships/chartsheet" Target="chartsheets/sheet3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1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4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5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9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pivotSource>
    <c:name>[Statistiques CCA 2018.xlsx]Pivot-Prov!Tableau croisé dynamique1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Provenance des patients </a:t>
            </a:r>
          </a:p>
        </c:rich>
      </c:tx>
      <c:layout>
        <c:manualLayout>
          <c:xMode val="edge"/>
          <c:yMode val="edge"/>
          <c:x val="0.31935751635751547"/>
          <c:y val="2.2040819553017798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bestFit"/>
          <c:showLegendKey val="1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</c:pivotFmt>
      <c:pivotFmt>
        <c:idx val="10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'Pivot-Prov'!$B$3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'Pivot-Prov'!$A$4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'Pivot-Prov'!$B$4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89628928"/>
        <c:axId val="189030400"/>
      </c:barChart>
      <c:catAx>
        <c:axId val="1896289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030400"/>
        <c:crosses val="autoZero"/>
        <c:auto val="1"/>
        <c:lblAlgn val="ctr"/>
        <c:lblOffset val="100"/>
        <c:noMultiLvlLbl val="0"/>
      </c:catAx>
      <c:valAx>
        <c:axId val="189030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962892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2018.xlsx]Pivot-Prov!Tableau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Provenance</a:t>
            </a:r>
            <a:r>
              <a:rPr lang="fr-BE" baseline="0"/>
              <a:t> des patients </a:t>
            </a:r>
            <a:endParaRPr lang="fr-BE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dLbl>
          <c:idx val="0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</c:pivotFmt>
      <c:pivotFmt>
        <c:idx val="88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'Pivot-Prov'!$E$3:$E$4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'Pivot-Prov'!$D$5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'Pivot-Prov'!$E$5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"/>
        <c:overlap val="100"/>
        <c:axId val="189629952"/>
        <c:axId val="189032128"/>
      </c:barChart>
      <c:catAx>
        <c:axId val="189629952"/>
        <c:scaling>
          <c:orientation val="minMax"/>
        </c:scaling>
        <c:delete val="0"/>
        <c:axPos val="b"/>
        <c:minorGridlines/>
        <c:numFmt formatCode="General" sourceLinked="0"/>
        <c:majorTickMark val="none"/>
        <c:minorTickMark val="none"/>
        <c:tickLblPos val="nextTo"/>
        <c:crossAx val="189032128"/>
        <c:crosses val="autoZero"/>
        <c:auto val="1"/>
        <c:lblAlgn val="ctr"/>
        <c:lblOffset val="100"/>
        <c:noMultiLvlLbl val="0"/>
      </c:catAx>
      <c:valAx>
        <c:axId val="1890321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896299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ysClr val="window" lastClr="FFFFFF"/>
    </a:solidFill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2018.xlsx]Pivotr-Type Int!Tableau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par type d'intervention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1.8735300921723191E-2"/>
              <c:y val="-3.1185471566998624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1.45296149489336E-2"/>
              <c:y val="3.2670053755017195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7476709095981163"/>
          <c:y val="0.22421516667786598"/>
          <c:w val="0.45649212904663394"/>
          <c:h val="0.69946373761066472"/>
        </c:manualLayout>
      </c:layout>
      <c:pieChart>
        <c:varyColors val="1"/>
        <c:ser>
          <c:idx val="0"/>
          <c:order val="0"/>
          <c:tx>
            <c:strRef>
              <c:f>'Pivotr-Type Int'!$O$4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'Pivotr-Type Int'!$N$5:$N$6</c:f>
              <c:strCache>
                <c:ptCount val="1"/>
                <c:pt idx="0">
                  <c:v> </c:v>
                </c:pt>
              </c:strCache>
            </c:strRef>
          </c:cat>
          <c:val>
            <c:numRef>
              <c:f>'Pivotr-Type Int'!$O$5:$O$6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2018.xlsx]Pivotr-Type Int!Tableau croisé dynamique5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par Type  d'intervention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'Pivotr-Type Int'!$B$22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'Pivotr-Type Int'!$A$23:$A$24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'Pivotr-Type Int'!$B$23:$B$24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par types</a:t>
            </a:r>
            <a:r>
              <a:rPr lang="en-US" baseline="0"/>
              <a:t> d'interventions 2016</a:t>
            </a:r>
            <a:endParaRPr lang="en-US"/>
          </a:p>
        </c:rich>
      </c:tx>
      <c:layout>
        <c:manualLayout>
          <c:xMode val="edge"/>
          <c:yMode val="edge"/>
          <c:x val="0.21155215107671976"/>
          <c:y val="3.039026091575767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1 Pl</c:v>
              </c:pt>
              <c:pt idx="1">
                <c:v>1 V</c:v>
              </c:pt>
              <c:pt idx="2">
                <c:v>2 V ou plus</c:v>
              </c:pt>
              <c:pt idx="3">
                <c:v>Aorte</c:v>
              </c:pt>
              <c:pt idx="4">
                <c:v>Autre</c:v>
              </c:pt>
              <c:pt idx="5">
                <c:v>CABG</c:v>
              </c:pt>
              <c:pt idx="6">
                <c:v>CABG + 1V</c:v>
              </c:pt>
              <c:pt idx="7">
                <c:v>CABG + 2V</c:v>
              </c:pt>
              <c:pt idx="8">
                <c:v>HTX</c:v>
              </c:pt>
              <c:pt idx="9">
                <c:v>LVAD</c:v>
              </c:pt>
              <c:pt idx="10">
                <c:v>RVAD</c:v>
              </c:pt>
              <c:pt idx="11">
                <c:v>TVR</c:v>
              </c:pt>
            </c:strLit>
          </c:cat>
          <c:val>
            <c:numLit>
              <c:formatCode>General</c:formatCode>
              <c:ptCount val="12"/>
              <c:pt idx="0">
                <c:v>5</c:v>
              </c:pt>
              <c:pt idx="1">
                <c:v>17</c:v>
              </c:pt>
              <c:pt idx="2">
                <c:v>5</c:v>
              </c:pt>
              <c:pt idx="3">
                <c:v>4</c:v>
              </c:pt>
              <c:pt idx="4">
                <c:v>10</c:v>
              </c:pt>
              <c:pt idx="5">
                <c:v>81</c:v>
              </c:pt>
              <c:pt idx="6">
                <c:v>19</c:v>
              </c:pt>
              <c:pt idx="7">
                <c:v>0</c:v>
              </c:pt>
              <c:pt idx="8">
                <c:v>4</c:v>
              </c:pt>
              <c:pt idx="9">
                <c:v>2</c:v>
              </c:pt>
              <c:pt idx="10">
                <c:v>0</c:v>
              </c:pt>
              <c:pt idx="11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0062592"/>
        <c:axId val="189036160"/>
      </c:barChart>
      <c:catAx>
        <c:axId val="19006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036160"/>
        <c:crosses val="autoZero"/>
        <c:auto val="1"/>
        <c:lblAlgn val="ctr"/>
        <c:lblOffset val="100"/>
        <c:noMultiLvlLbl val="0"/>
      </c:catAx>
      <c:valAx>
        <c:axId val="189036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062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</c:spPr>
  <c:extLst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Répartition</a:t>
            </a:r>
            <a:r>
              <a:rPr lang="fr-BE" baseline="0"/>
              <a:t> par types d'interventions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1 Pl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</c:v>
              </c:pt>
              <c:pt idx="1">
                <c:v>0</c:v>
              </c:pt>
              <c:pt idx="2">
                <c:v>2</c:v>
              </c:pt>
              <c:pt idx="3">
                <c:v>1</c:v>
              </c:pt>
              <c:pt idx="4">
                <c:v>1</c:v>
              </c:pt>
            </c:numLit>
          </c:val>
        </c:ser>
        <c:ser>
          <c:idx val="1"/>
          <c:order val="1"/>
          <c:tx>
            <c:v>1 V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2</c:v>
              </c:pt>
              <c:pt idx="1">
                <c:v>2</c:v>
              </c:pt>
              <c:pt idx="2">
                <c:v>5</c:v>
              </c:pt>
              <c:pt idx="3">
                <c:v>3</c:v>
              </c:pt>
              <c:pt idx="4">
                <c:v>5</c:v>
              </c:pt>
            </c:numLit>
          </c:val>
        </c:ser>
        <c:ser>
          <c:idx val="2"/>
          <c:order val="2"/>
          <c:tx>
            <c:v>2 V ou plus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</c:v>
              </c:pt>
              <c:pt idx="1">
                <c:v>1</c:v>
              </c:pt>
              <c:pt idx="2">
                <c:v>3</c:v>
              </c:pt>
              <c:pt idx="3">
                <c:v>0</c:v>
              </c:pt>
              <c:pt idx="4">
                <c:v>0</c:v>
              </c:pt>
            </c:numLit>
          </c:val>
        </c:ser>
        <c:ser>
          <c:idx val="3"/>
          <c:order val="3"/>
          <c:tx>
            <c:v>Aorte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0</c:v>
              </c:pt>
              <c:pt idx="3">
                <c:v>2</c:v>
              </c:pt>
              <c:pt idx="4">
                <c:v>1</c:v>
              </c:pt>
            </c:numLit>
          </c:val>
        </c:ser>
        <c:ser>
          <c:idx val="4"/>
          <c:order val="4"/>
          <c:tx>
            <c:v>Autre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2</c:v>
              </c:pt>
              <c:pt idx="1">
                <c:v>2</c:v>
              </c:pt>
              <c:pt idx="2">
                <c:v>2</c:v>
              </c:pt>
              <c:pt idx="3">
                <c:v>1</c:v>
              </c:pt>
              <c:pt idx="4">
                <c:v>3</c:v>
              </c:pt>
            </c:numLit>
          </c:val>
        </c:ser>
        <c:ser>
          <c:idx val="5"/>
          <c:order val="5"/>
          <c:tx>
            <c:v>CABG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18</c:v>
              </c:pt>
              <c:pt idx="1">
                <c:v>17</c:v>
              </c:pt>
              <c:pt idx="2">
                <c:v>12</c:v>
              </c:pt>
              <c:pt idx="3">
                <c:v>15</c:v>
              </c:pt>
              <c:pt idx="4">
                <c:v>19</c:v>
              </c:pt>
            </c:numLit>
          </c:val>
        </c:ser>
        <c:ser>
          <c:idx val="6"/>
          <c:order val="6"/>
          <c:tx>
            <c:v>CABG + 1V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2</c:v>
              </c:pt>
              <c:pt idx="1">
                <c:v>4</c:v>
              </c:pt>
              <c:pt idx="2">
                <c:v>4</c:v>
              </c:pt>
              <c:pt idx="3">
                <c:v>6</c:v>
              </c:pt>
              <c:pt idx="4">
                <c:v>3</c:v>
              </c:pt>
            </c:numLit>
          </c:val>
        </c:ser>
        <c:ser>
          <c:idx val="7"/>
          <c:order val="7"/>
          <c:tx>
            <c:v>CABG + 2V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</c:ser>
        <c:ser>
          <c:idx val="8"/>
          <c:order val="8"/>
          <c:tx>
            <c:v>HTX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2</c:v>
              </c:pt>
              <c:pt idx="2">
                <c:v>1</c:v>
              </c:pt>
              <c:pt idx="3">
                <c:v>1</c:v>
              </c:pt>
              <c:pt idx="4">
                <c:v>0</c:v>
              </c:pt>
            </c:numLit>
          </c:val>
        </c:ser>
        <c:ser>
          <c:idx val="9"/>
          <c:order val="9"/>
          <c:tx>
            <c:v>LVAD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</c:v>
              </c:pt>
              <c:pt idx="1">
                <c:v>0</c:v>
              </c:pt>
              <c:pt idx="2">
                <c:v>1</c:v>
              </c:pt>
              <c:pt idx="3">
                <c:v>0</c:v>
              </c:pt>
              <c:pt idx="4">
                <c:v>0</c:v>
              </c:pt>
            </c:numLit>
          </c:val>
        </c:ser>
        <c:ser>
          <c:idx val="10"/>
          <c:order val="10"/>
          <c:tx>
            <c:v>RVAD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</c:ser>
        <c:ser>
          <c:idx val="11"/>
          <c:order val="11"/>
          <c:tx>
            <c:v>RVAO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</c:ser>
        <c:ser>
          <c:idx val="12"/>
          <c:order val="12"/>
          <c:tx>
            <c:v>(vide)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266368"/>
        <c:axId val="189037888"/>
      </c:barChart>
      <c:catAx>
        <c:axId val="190266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037888"/>
        <c:crosses val="autoZero"/>
        <c:auto val="1"/>
        <c:lblAlgn val="ctr"/>
        <c:lblOffset val="100"/>
        <c:noMultiLvlLbl val="0"/>
      </c:catAx>
      <c:valAx>
        <c:axId val="189037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266368"/>
        <c:crosses val="autoZero"/>
        <c:crossBetween val="between"/>
      </c:valAx>
      <c:spPr>
        <a:solidFill>
          <a:sysClr val="window" lastClr="FFFFFF"/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</c:sp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2018.xlsx]Pivotr-Type Int!Tableau croisé dynamique8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Interventions &gt; K400 2017-2018 </a:t>
            </a:r>
          </a:p>
        </c:rich>
      </c:tx>
      <c:layout>
        <c:manualLayout>
          <c:xMode val="edge"/>
          <c:yMode val="edge"/>
          <c:x val="0.26717657821168667"/>
          <c:y val="1.258426877223613E-2"/>
        </c:manualLayout>
      </c:layout>
      <c:overlay val="1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2.8596573763767761E-2"/>
          <c:y val="1.281282744195443E-2"/>
          <c:w val="0.81288794917810592"/>
          <c:h val="0.924090833493420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'Pivotr-Type Int'!$M$24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'Pivotr-Type Int'!$L$25:$L$37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'Pivotr-Type Int'!$M$25:$M$37</c:f>
              <c:numCache>
                <c:formatCode>General</c:formatCode>
                <c:ptCount val="12"/>
                <c:pt idx="0">
                  <c:v>27</c:v>
                </c:pt>
                <c:pt idx="1">
                  <c:v>29</c:v>
                </c:pt>
                <c:pt idx="2">
                  <c:v>30</c:v>
                </c:pt>
                <c:pt idx="3">
                  <c:v>29</c:v>
                </c:pt>
                <c:pt idx="4">
                  <c:v>32</c:v>
                </c:pt>
                <c:pt idx="5">
                  <c:v>21</c:v>
                </c:pt>
                <c:pt idx="6">
                  <c:v>13</c:v>
                </c:pt>
                <c:pt idx="7">
                  <c:v>19</c:v>
                </c:pt>
                <c:pt idx="8">
                  <c:v>25</c:v>
                </c:pt>
                <c:pt idx="9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112960"/>
        <c:axId val="194905216"/>
      </c:barChart>
      <c:catAx>
        <c:axId val="195112960"/>
        <c:scaling>
          <c:orientation val="minMax"/>
        </c:scaling>
        <c:delete val="0"/>
        <c:axPos val="b"/>
        <c:majorTickMark val="out"/>
        <c:minorTickMark val="none"/>
        <c:tickLblPos val="nextTo"/>
        <c:crossAx val="194905216"/>
        <c:crosses val="autoZero"/>
        <c:auto val="1"/>
        <c:lblAlgn val="ctr"/>
        <c:lblOffset val="100"/>
        <c:noMultiLvlLbl val="0"/>
      </c:catAx>
      <c:valAx>
        <c:axId val="194905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5112960"/>
        <c:crosses val="autoZero"/>
        <c:crossBetween val="between"/>
      </c:valAx>
      <c:spPr>
        <a:ln>
          <a:solidFill>
            <a:schemeClr val="accent1"/>
          </a:solidFill>
        </a:ln>
      </c:spPr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2018.xlsx]Pivot_Valves!Tableau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par type de valves </a:t>
            </a:r>
          </a:p>
        </c:rich>
      </c:tx>
      <c:layout>
        <c:manualLayout>
          <c:xMode val="edge"/>
          <c:yMode val="edge"/>
          <c:x val="0.3329432128676223"/>
          <c:y val="1.9953293239919817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</c:pivotFmts>
    <c:plotArea>
      <c:layout>
        <c:manualLayout>
          <c:layoutTarget val="inner"/>
          <c:xMode val="edge"/>
          <c:yMode val="edge"/>
          <c:x val="0.21029780471704398"/>
          <c:y val="0.22171711416049705"/>
          <c:w val="0.45714185218844727"/>
          <c:h val="0.69990504246574725"/>
        </c:manualLayout>
      </c:layout>
      <c:pieChart>
        <c:varyColors val="1"/>
        <c:ser>
          <c:idx val="0"/>
          <c:order val="0"/>
          <c:tx>
            <c:strRef>
              <c:f>Pivot_Valves!$K$4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</c:dLbls>
          <c:cat>
            <c:strRef>
              <c:f>Pivot_Valves!$J$5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Pivot_Valves!$K$5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2018.xlsx]Pivot_Valves!Tableau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Répartition</a:t>
            </a:r>
            <a:r>
              <a:rPr lang="fr-BE" baseline="0"/>
              <a:t> par de type de valves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Pivot_Valves!$B$3:$B$4</c:f>
              <c:strCache>
                <c:ptCount val="1"/>
                <c:pt idx="0">
                  <c:v> </c:v>
                </c:pt>
              </c:strCache>
            </c:strRef>
          </c:tx>
          <c:invertIfNegative val="0"/>
          <c:cat>
            <c:strRef>
              <c:f>Pivot_Valves!$A$5:$A$17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DECEMBRE</c:v>
                </c:pt>
                <c:pt idx="11">
                  <c:v>DÉCEMBRE</c:v>
                </c:pt>
              </c:strCache>
            </c:strRef>
          </c:cat>
          <c:val>
            <c:numRef>
              <c:f>Pivot_Valves!$B$5:$B$17</c:f>
              <c:numCache>
                <c:formatCode>General</c:formatCode>
                <c:ptCount val="12"/>
                <c:pt idx="0">
                  <c:v>27</c:v>
                </c:pt>
                <c:pt idx="1">
                  <c:v>29</c:v>
                </c:pt>
                <c:pt idx="2">
                  <c:v>30</c:v>
                </c:pt>
                <c:pt idx="3">
                  <c:v>29</c:v>
                </c:pt>
                <c:pt idx="4">
                  <c:v>32</c:v>
                </c:pt>
                <c:pt idx="5">
                  <c:v>21</c:v>
                </c:pt>
                <c:pt idx="6">
                  <c:v>13</c:v>
                </c:pt>
                <c:pt idx="7">
                  <c:v>20</c:v>
                </c:pt>
                <c:pt idx="8">
                  <c:v>25</c:v>
                </c:pt>
                <c:pt idx="9">
                  <c:v>32</c:v>
                </c:pt>
                <c:pt idx="10">
                  <c:v>2</c:v>
                </c:pt>
                <c:pt idx="11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axId val="188601856"/>
        <c:axId val="194908096"/>
      </c:barChart>
      <c:catAx>
        <c:axId val="188601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908096"/>
        <c:crosses val="autoZero"/>
        <c:auto val="1"/>
        <c:lblAlgn val="ctr"/>
        <c:lblOffset val="100"/>
        <c:noMultiLvlLbl val="0"/>
      </c:catAx>
      <c:valAx>
        <c:axId val="19490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8601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 délai intervention!Tableau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 délai intervention'!$H$49:$H$50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 délai intervention'!$G$51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 délai intervention'!$H$51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0194176"/>
        <c:axId val="194909824"/>
      </c:barChart>
      <c:catAx>
        <c:axId val="190194176"/>
        <c:scaling>
          <c:orientation val="minMax"/>
        </c:scaling>
        <c:delete val="0"/>
        <c:axPos val="b"/>
        <c:majorTickMark val="out"/>
        <c:minorTickMark val="none"/>
        <c:tickLblPos val="nextTo"/>
        <c:crossAx val="194909824"/>
        <c:crosses val="autoZero"/>
        <c:auto val="1"/>
        <c:lblAlgn val="ctr"/>
        <c:lblOffset val="100"/>
        <c:noMultiLvlLbl val="0"/>
      </c:catAx>
      <c:valAx>
        <c:axId val="19490982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01941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37"/>
    </mc:Choice>
    <mc:Fallback>
      <c:style val="37"/>
    </mc:Fallback>
  </mc:AlternateContent>
  <c:pivotSource>
    <c:name>[Statistiques CCA 2018.xlsx]Pivot délai intervention!Tableau croisé dynamique4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Statut en % du total des patients selon délai d'intervention</a:t>
            </a:r>
          </a:p>
        </c:rich>
      </c:tx>
      <c:overlay val="0"/>
    </c:title>
    <c:autoTitleDeleted val="0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layout>
            <c:manualLayout>
              <c:x val="0"/>
              <c:y val="-4.3336949674768137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-1.6532340316793486E-3"/>
              <c:y val="-3.4669559739814511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1.6532340316793486E-3"/>
              <c:y val="-3.755868971813249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6.061788089864325E-17"/>
              <c:y val="-3.178042976149674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1.6532340316793486E-3"/>
              <c:y val="-4.6226307143635487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-1.5154470224660812E-17"/>
              <c:y val="-5.200433960972176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>
            <c:manualLayout>
              <c:x val="-4.9597020950380459E-3"/>
              <c:y val="-0.2918021278101055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</c:pivotFmt>
      <c:pivotFmt>
        <c:idx val="10"/>
      </c:pivotFmt>
      <c:pivotFmt>
        <c:idx val="11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layout>
            <c:manualLayout>
              <c:x val="2.73612193710539E-3"/>
              <c:y val="-4.2020198811787892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</c:pivotFmt>
      <c:pivotFmt>
        <c:idx val="15"/>
        <c:dLbl>
          <c:idx val="0"/>
          <c:layout>
            <c:manualLayout>
              <c:x val="6.8403048427634746E-3"/>
              <c:y val="-3.9919188871198497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5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7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4.5331831267022664E-2"/>
          <c:y val="0.17572135777519263"/>
          <c:w val="0.79426302017017381"/>
          <c:h val="0.7342899049615597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'Pivot délai intervention'!$B$42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'Pivot délai intervention'!$A$43:$A$54</c:f>
              <c:multiLvlStrCache>
                <c:ptCount val="8"/>
                <c:lvl>
                  <c:pt idx="0">
                    <c:v>ALIVE</c:v>
                  </c:pt>
                  <c:pt idx="1">
                    <c:v>DECEASED</c:v>
                  </c:pt>
                  <c:pt idx="2">
                    <c:v>ALIVE</c:v>
                  </c:pt>
                  <c:pt idx="3">
                    <c:v>DECEASED</c:v>
                  </c:pt>
                  <c:pt idx="4">
                    <c:v>ALIVE</c:v>
                  </c:pt>
                  <c:pt idx="5">
                    <c:v>DECEASED</c:v>
                  </c:pt>
                  <c:pt idx="6">
                    <c:v>ALIVE</c:v>
                  </c:pt>
                  <c:pt idx="7">
                    <c:v>DECEASED</c:v>
                  </c:pt>
                </c:lvl>
                <c:lvl>
                  <c:pt idx="0">
                    <c:v>ELECTIVE</c:v>
                  </c:pt>
                  <c:pt idx="2">
                    <c:v>EMERGENCY</c:v>
                  </c:pt>
                  <c:pt idx="4">
                    <c:v>SALVAGE</c:v>
                  </c:pt>
                  <c:pt idx="6">
                    <c:v>URGENCY</c:v>
                  </c:pt>
                </c:lvl>
              </c:multiLvlStrCache>
            </c:multiLvlStrRef>
          </c:cat>
          <c:val>
            <c:numRef>
              <c:f>'Pivot délai intervention'!$B$43:$B$54</c:f>
              <c:numCache>
                <c:formatCode>0.0%</c:formatCode>
                <c:ptCount val="8"/>
                <c:pt idx="0">
                  <c:v>0.62403100775193798</c:v>
                </c:pt>
                <c:pt idx="1">
                  <c:v>1.937984496124031E-2</c:v>
                </c:pt>
                <c:pt idx="2">
                  <c:v>6.589147286821706E-2</c:v>
                </c:pt>
                <c:pt idx="3">
                  <c:v>1.937984496124031E-2</c:v>
                </c:pt>
                <c:pt idx="4">
                  <c:v>3.875968992248062E-3</c:v>
                </c:pt>
                <c:pt idx="5">
                  <c:v>3.875968992248062E-3</c:v>
                </c:pt>
                <c:pt idx="6">
                  <c:v>0.22480620155038761</c:v>
                </c:pt>
                <c:pt idx="7">
                  <c:v>3.875968992248062E-2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0196736"/>
        <c:axId val="194911552"/>
      </c:barChart>
      <c:catAx>
        <c:axId val="190196736"/>
        <c:scaling>
          <c:orientation val="minMax"/>
        </c:scaling>
        <c:delete val="0"/>
        <c:axPos val="b"/>
        <c:majorTickMark val="out"/>
        <c:minorTickMark val="none"/>
        <c:tickLblPos val="nextTo"/>
        <c:crossAx val="194911552"/>
        <c:crosses val="autoZero"/>
        <c:auto val="1"/>
        <c:lblAlgn val="ctr"/>
        <c:lblOffset val="100"/>
        <c:noMultiLvlLbl val="0"/>
      </c:catAx>
      <c:valAx>
        <c:axId val="194911552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1901967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 délai intervention!Tableau croisé dynamique7</c:name>
    <c:fmtId val="6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 délai intervention'!$B$33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'Pivot délai intervention'!$A$34:$A$37</c:f>
              <c:strCache>
                <c:ptCount val="4"/>
                <c:pt idx="0">
                  <c:v>ELECTIVE</c:v>
                </c:pt>
                <c:pt idx="1">
                  <c:v>EMERGENCY</c:v>
                </c:pt>
                <c:pt idx="2">
                  <c:v>SALVAGE</c:v>
                </c:pt>
                <c:pt idx="3">
                  <c:v>URGENCY</c:v>
                </c:pt>
              </c:strCache>
            </c:strRef>
          </c:cat>
          <c:val>
            <c:numRef>
              <c:f>'Pivot délai intervention'!$B$34:$B$37</c:f>
              <c:numCache>
                <c:formatCode>0.00%</c:formatCode>
                <c:ptCount val="4"/>
                <c:pt idx="0">
                  <c:v>0.64341085271317833</c:v>
                </c:pt>
                <c:pt idx="1">
                  <c:v>8.5271317829457363E-2</c:v>
                </c:pt>
                <c:pt idx="2">
                  <c:v>7.7519379844961239E-3</c:v>
                </c:pt>
                <c:pt idx="3">
                  <c:v>0.26356589147286824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% des DCD suivant "Délai intervention" 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v>Total</c:v>
          </c:tx>
          <c:explosion val="1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Lit>
              <c:ptCount val="4"/>
              <c:pt idx="0">
                <c:v>ELECTIVE</c:v>
              </c:pt>
              <c:pt idx="1">
                <c:v>EMERGENCY</c:v>
              </c:pt>
              <c:pt idx="2">
                <c:v>SALVAGE</c:v>
              </c:pt>
              <c:pt idx="3">
                <c:v>URGENCY</c:v>
              </c:pt>
            </c:strLit>
          </c:cat>
          <c:val>
            <c:numLit>
              <c:formatCode>General</c:formatCode>
              <c:ptCount val="4"/>
              <c:pt idx="0">
                <c:v>0.41666666666666669</c:v>
              </c:pt>
              <c:pt idx="1">
                <c:v>0.25</c:v>
              </c:pt>
              <c:pt idx="2">
                <c:v>8.3333333333333329E-2</c:v>
              </c:pt>
              <c:pt idx="3">
                <c:v>0.25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pivotSource>
    <c:name>[Statistiques CCA 2018.xlsx]Pivot_Survie!Tableau croisé dynamique3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vivants/décédés 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spPr>
          <a:solidFill>
            <a:schemeClr val="tx2">
              <a:lumMod val="40000"/>
              <a:lumOff val="60000"/>
            </a:schemeClr>
          </a:solidFill>
          <a:ln>
            <a:solidFill>
              <a:schemeClr val="accent1"/>
            </a:solidFill>
          </a:ln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4"/>
      </c:pivotFmt>
      <c:pivotFmt>
        <c:idx val="5"/>
      </c:pivotFmt>
      <c:pivotFmt>
        <c:idx val="6"/>
        <c:dLbl>
          <c:idx val="0"/>
          <c:delete val="1"/>
        </c:dLbl>
      </c:pivotFmt>
    </c:pivotFmts>
    <c:plotArea>
      <c:layout/>
      <c:pieChart>
        <c:varyColors val="1"/>
        <c:ser>
          <c:idx val="0"/>
          <c:order val="0"/>
          <c:tx>
            <c:strRef>
              <c:f>Pivot_Survie!$H$4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accent1"/>
              </a:solidFill>
            </a:ln>
          </c:spPr>
          <c:explosion val="25"/>
          <c:dPt>
            <c:idx val="1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Pivot_Survie!$G$5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Pivot_Survie!$H$5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2018.xlsx]Pivot_Survie!Tableau croisé dynamique3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</a:t>
            </a:r>
            <a:r>
              <a:rPr lang="en-US" baseline="0"/>
              <a:t>vivants/décédés 2016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99FF66"/>
          </a:solidFill>
        </c:spPr>
      </c:pivotFmt>
      <c:pivotFmt>
        <c:idx val="5"/>
        <c:spPr>
          <a:solidFill>
            <a:srgbClr val="7E00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lumMod val="75000"/>
            </a:schemeClr>
          </a:solidFill>
        </c:spPr>
      </c:pivotFmt>
      <c:pivotFmt>
        <c:idx val="7"/>
      </c:pivotFmt>
      <c:pivotFmt>
        <c:idx val="8"/>
        <c:spPr>
          <a:solidFill>
            <a:schemeClr val="accent1">
              <a:lumMod val="75000"/>
            </a:schemeClr>
          </a:solidFill>
        </c:spPr>
      </c:pivotFmt>
      <c:pivotFmt>
        <c:idx val="9"/>
        <c:spPr>
          <a:solidFill>
            <a:schemeClr val="accent1">
              <a:lumMod val="75000"/>
            </a:schemeClr>
          </a:solidFill>
        </c:spPr>
      </c:pivotFmt>
      <c:pivotFmt>
        <c:idx val="10"/>
        <c:spPr>
          <a:solidFill>
            <a:schemeClr val="accent1">
              <a:lumMod val="75000"/>
            </a:schemeClr>
          </a:solidFill>
        </c:spPr>
      </c:pivotFmt>
      <c:pivotFmt>
        <c:idx val="11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Pivot_Survie!$H$4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E0000"/>
            </a:solidFill>
          </c:spPr>
          <c:invertIfNegative val="0"/>
          <c:dPt>
            <c:idx val="0"/>
            <c:invertIfNegative val="0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Pivot_Survie!$G$5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Pivot_Survie!$H$5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7448704"/>
        <c:axId val="196612608"/>
      </c:barChart>
      <c:catAx>
        <c:axId val="1974487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612608"/>
        <c:crosses val="autoZero"/>
        <c:auto val="1"/>
        <c:lblAlgn val="ctr"/>
        <c:lblOffset val="100"/>
        <c:noMultiLvlLbl val="0"/>
      </c:catAx>
      <c:valAx>
        <c:axId val="196612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74487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2018.xlsx]Pivot_Survie!Tableau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Mortalité </a:t>
            </a:r>
          </a:p>
        </c:rich>
      </c:tx>
      <c:layout>
        <c:manualLayout>
          <c:xMode val="edge"/>
          <c:yMode val="edge"/>
          <c:x val="0.44052817330527938"/>
          <c:y val="1.6270905973266971E-3"/>
        </c:manualLayout>
      </c:layout>
      <c:overlay val="1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</c:pivotFmt>
      <c:pivotFmt>
        <c:idx val="10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Pivot_Survie!$B$3:$B$4</c:f>
              <c:strCache>
                <c:ptCount val="1"/>
                <c:pt idx="0">
                  <c:v>Total général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Pivot_Survie!$A$5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Pivot_Survie!$B$5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7450752"/>
        <c:axId val="196614336"/>
      </c:barChart>
      <c:catAx>
        <c:axId val="1974507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614336"/>
        <c:crosses val="autoZero"/>
        <c:auto val="1"/>
        <c:lblAlgn val="ctr"/>
        <c:lblOffset val="100"/>
        <c:noMultiLvlLbl val="0"/>
      </c:catAx>
      <c:valAx>
        <c:axId val="196614336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74507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CALCULS_USI!$E$3:$E$7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CALCULS_USI!$F$3:$F$7</c:f>
              <c:numCache>
                <c:formatCode>0.0</c:formatCode>
                <c:ptCount val="5"/>
                <c:pt idx="0">
                  <c:v>0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CALCULS_USI!$E$3:$E$7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CALCULS_USI!$G$3:$G$7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898240"/>
        <c:axId val="197197824"/>
      </c:barChart>
      <c:catAx>
        <c:axId val="197898240"/>
        <c:scaling>
          <c:orientation val="minMax"/>
        </c:scaling>
        <c:delete val="0"/>
        <c:axPos val="b"/>
        <c:majorTickMark val="out"/>
        <c:minorTickMark val="none"/>
        <c:tickLblPos val="nextTo"/>
        <c:crossAx val="197197824"/>
        <c:crosses val="autoZero"/>
        <c:auto val="1"/>
        <c:lblAlgn val="ctr"/>
        <c:lblOffset val="100"/>
        <c:noMultiLvlLbl val="0"/>
      </c:catAx>
      <c:valAx>
        <c:axId val="19719782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97898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USI (toutes interventions)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CALCULS_USI!$B$2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CALCULS_USI!$A$3:$A$7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CALCULS_USI!$B$3:$B$7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7878272"/>
        <c:axId val="197199552"/>
      </c:barChart>
      <c:lineChart>
        <c:grouping val="standard"/>
        <c:varyColors val="0"/>
        <c:ser>
          <c:idx val="1"/>
          <c:order val="1"/>
          <c:tx>
            <c:strRef>
              <c:f>CALCULS_USI!$C$2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66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CALCULS_USI!$A$3:$A$7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CALCULS_USI!$C$3:$C$7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878272"/>
        <c:axId val="197199552"/>
      </c:lineChart>
      <c:catAx>
        <c:axId val="197878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7199552"/>
        <c:crosses val="autoZero"/>
        <c:auto val="1"/>
        <c:lblAlgn val="ctr"/>
        <c:lblOffset val="100"/>
        <c:noMultiLvlLbl val="0"/>
      </c:catAx>
      <c:valAx>
        <c:axId val="197199552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787827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2018.xlsx]Pivot_USI!Tableau croisé dynamique3</c:name>
    <c:fmtId val="12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>
                <a:effectLst/>
              </a:rPr>
              <a:t>Moyenne nb de jours USI (toutes interventions)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60000"/>
                    <a:lumOff val="4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  <c:spPr>
          <a:solidFill>
            <a:schemeClr val="bg1">
              <a:lumMod val="85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6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99FF66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Pivot_USI!$C$4:$C$5</c:f>
              <c:strCache>
                <c:ptCount val="1"/>
                <c:pt idx="0">
                  <c:v>Moyenne de Nbr de j USI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Pivot_USI!$C$6</c:f>
              <c:numCache>
                <c:formatCode>#,##0.00</c:formatCode>
                <c:ptCount val="1"/>
              </c:numCache>
            </c:numRef>
          </c:val>
        </c:ser>
        <c:ser>
          <c:idx val="3"/>
          <c:order val="3"/>
          <c:tx>
            <c:strRef>
              <c:f>Pivot_USI!$E$4:$E$5</c:f>
              <c:strCache>
                <c:ptCount val="1"/>
                <c:pt idx="0">
                  <c:v>Écartype de Nbr de j USI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Pivot_USI!$E$6</c:f>
              <c:numCache>
                <c:formatCode>#,##0.00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901824"/>
        <c:axId val="197201856"/>
      </c:barChart>
      <c:lineChart>
        <c:grouping val="standard"/>
        <c:varyColors val="0"/>
        <c:ser>
          <c:idx val="0"/>
          <c:order val="0"/>
          <c:tx>
            <c:strRef>
              <c:f>Pivot_USI!$B$4:$B$5</c:f>
              <c:strCache>
                <c:ptCount val="1"/>
                <c:pt idx="0">
                  <c:v>Min de Nbr de j USI_RV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99FF66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Pivot_USI!$B$6</c:f>
              <c:numCache>
                <c:formatCode>General</c:formatCode>
                <c:ptCount val="1"/>
              </c:numCache>
            </c:numRef>
          </c:val>
          <c:smooth val="0"/>
        </c:ser>
        <c:ser>
          <c:idx val="2"/>
          <c:order val="2"/>
          <c:tx>
            <c:strRef>
              <c:f>Pivot_USI!$D$4:$D$5</c:f>
              <c:strCache>
                <c:ptCount val="1"/>
                <c:pt idx="0">
                  <c:v>Max de Nbr de j USI_RV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Pivot_USI!$D$6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901824"/>
        <c:axId val="197201856"/>
      </c:lineChart>
      <c:catAx>
        <c:axId val="1979018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7201856"/>
        <c:crosses val="autoZero"/>
        <c:auto val="1"/>
        <c:lblAlgn val="ctr"/>
        <c:lblOffset val="100"/>
        <c:noMultiLvlLbl val="0"/>
      </c:catAx>
      <c:valAx>
        <c:axId val="197201856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7901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Moyenne nb de jours USI (hors LVAD &amp; TX)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CALCULS_USI!$F$1:$F$2</c:f>
              <c:strCache>
                <c:ptCount val="1"/>
                <c:pt idx="0">
                  <c:v>Intervention-activité Moyenne de Nbr de j USI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CALCULS_USI!$E$3:$E$12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CALCULS_USI!$F$3:$F$12</c:f>
              <c:numCache>
                <c:formatCode>0.0</c:formatCode>
                <c:ptCount val="10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7924352"/>
        <c:axId val="197203584"/>
      </c:barChart>
      <c:lineChart>
        <c:grouping val="standard"/>
        <c:varyColors val="0"/>
        <c:ser>
          <c:idx val="1"/>
          <c:order val="1"/>
          <c:tx>
            <c:strRef>
              <c:f>CALCULS_USI!$G$1:$G$2</c:f>
              <c:strCache>
                <c:ptCount val="1"/>
                <c:pt idx="0">
                  <c:v>Exclu "LVAD" &amp; "TX" Médiane de Nbr de j USI</c:v>
                </c:pt>
              </c:strCache>
            </c:strRef>
          </c:tx>
          <c:marker>
            <c:symbol val="none"/>
          </c:marker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CALCULS_USI!$E$3:$E$12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CALCULS_USI!$G$3:$G$12</c:f>
              <c:numCache>
                <c:formatCode>0.00</c:formatCode>
                <c:ptCount val="10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924352"/>
        <c:axId val="197203584"/>
      </c:lineChart>
      <c:catAx>
        <c:axId val="1979243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7203584"/>
        <c:crosses val="autoZero"/>
        <c:auto val="1"/>
        <c:lblAlgn val="ctr"/>
        <c:lblOffset val="100"/>
        <c:noMultiLvlLbl val="0"/>
      </c:catAx>
      <c:valAx>
        <c:axId val="197203584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crossAx val="1979243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2018.xlsx]Pivot_USI!Tableau croisé dynamique4</c:name>
    <c:fmtId val="10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Moyenne nb de jours USI (hors</a:t>
            </a:r>
            <a:r>
              <a:rPr lang="fr-BE" baseline="0"/>
              <a:t> </a:t>
            </a:r>
            <a:r>
              <a:rPr lang="fr-BE"/>
              <a:t>LVAD</a:t>
            </a:r>
            <a:r>
              <a:rPr lang="fr-BE" baseline="0"/>
              <a:t> &amp; TX)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bg1"/>
                </a:gs>
                <a:gs pos="40000">
                  <a:srgbClr val="85C2FF"/>
                </a:gs>
                <a:gs pos="84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35000">
                  <a:srgbClr val="85C2FF"/>
                </a:gs>
                <a:gs pos="66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tx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solidFill>
            <a:schemeClr val="bg1">
              <a:lumMod val="85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8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9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Pivot_USI!$I$4:$I$5</c:f>
              <c:strCache>
                <c:ptCount val="1"/>
                <c:pt idx="0">
                  <c:v>Moyenne de Nbr de j USI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Pivot_USI!$I$6</c:f>
              <c:numCache>
                <c:formatCode>#,##0.0</c:formatCode>
                <c:ptCount val="1"/>
              </c:numCache>
            </c:numRef>
          </c:val>
        </c:ser>
        <c:ser>
          <c:idx val="3"/>
          <c:order val="3"/>
          <c:tx>
            <c:strRef>
              <c:f>Pivot_USI!$K$4:$K$5</c:f>
              <c:strCache>
                <c:ptCount val="1"/>
                <c:pt idx="0">
                  <c:v>Écartype de Nbr de j USI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Pivot_USI!$K$6</c:f>
              <c:numCache>
                <c:formatCode>#,##0.0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57984"/>
        <c:axId val="198238208"/>
      </c:barChart>
      <c:lineChart>
        <c:grouping val="standard"/>
        <c:varyColors val="0"/>
        <c:ser>
          <c:idx val="0"/>
          <c:order val="0"/>
          <c:tx>
            <c:strRef>
              <c:f>Pivot_USI!$H$4:$H$5</c:f>
              <c:strCache>
                <c:ptCount val="1"/>
                <c:pt idx="0">
                  <c:v>Min de Nbr de j USI_RV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Pivot_USI!$H$6</c:f>
              <c:numCache>
                <c:formatCode>General</c:formatCode>
                <c:ptCount val="1"/>
              </c:numCache>
            </c:numRef>
          </c:val>
          <c:smooth val="0"/>
        </c:ser>
        <c:ser>
          <c:idx val="2"/>
          <c:order val="2"/>
          <c:tx>
            <c:strRef>
              <c:f>Pivot_USI!$J$4:$J$5</c:f>
              <c:strCache>
                <c:ptCount val="1"/>
                <c:pt idx="0">
                  <c:v>Max de Nbr de j USI_RV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Pivot_USI!$J$6</c:f>
              <c:numCache>
                <c:formatCode>#,##0.0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57984"/>
        <c:axId val="198238208"/>
      </c:lineChart>
      <c:catAx>
        <c:axId val="198057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8238208"/>
        <c:crosses val="autoZero"/>
        <c:auto val="1"/>
        <c:lblAlgn val="ctr"/>
        <c:lblOffset val="100"/>
        <c:noMultiLvlLbl val="0"/>
      </c:catAx>
      <c:valAx>
        <c:axId val="198238208"/>
        <c:scaling>
          <c:orientation val="minMax"/>
        </c:scaling>
        <c:delete val="0"/>
        <c:axPos val="l"/>
        <c:majorGridlines/>
        <c:numFmt formatCode="#,##0.0" sourceLinked="1"/>
        <c:majorTickMark val="out"/>
        <c:minorTickMark val="none"/>
        <c:tickLblPos val="nextTo"/>
        <c:crossAx val="198057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USI (LVAD &amp; TX)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CALCULS_USI!$J$2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CALCULS_USI!$I$3:$I$7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CALCULS_USI!$J$3:$J$7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8059520"/>
        <c:axId val="198239936"/>
      </c:barChart>
      <c:lineChart>
        <c:grouping val="standard"/>
        <c:varyColors val="0"/>
        <c:ser>
          <c:idx val="1"/>
          <c:order val="1"/>
          <c:tx>
            <c:strRef>
              <c:f>CALCULS_USI!$K$2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CALCULS_USI!$I$3:$I$7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CALCULS_USI!$K$3:$K$7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59520"/>
        <c:axId val="198239936"/>
      </c:lineChart>
      <c:catAx>
        <c:axId val="1980595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8239936"/>
        <c:crosses val="autoZero"/>
        <c:auto val="1"/>
        <c:lblAlgn val="ctr"/>
        <c:lblOffset val="100"/>
        <c:noMultiLvlLbl val="0"/>
      </c:catAx>
      <c:valAx>
        <c:axId val="198239936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0595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2018.xlsx]Pivot_USI!Tableau croisé dynamique5</c:name>
    <c:fmtId val="10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USI (LVAD &amp; TX)</a:t>
            </a:r>
            <a:endParaRPr lang="fr-BE" sz="1800">
              <a:effectLst/>
            </a:endParaRPr>
          </a:p>
        </c:rich>
      </c:tx>
      <c:layout>
        <c:manualLayout>
          <c:xMode val="edge"/>
          <c:yMode val="edge"/>
          <c:x val="0.29635765952510312"/>
          <c:y val="0.10365291720216831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35000">
                  <a:srgbClr val="85C2FF"/>
                </a:gs>
                <a:gs pos="66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35000">
                  <a:srgbClr val="85C2FF"/>
                </a:gs>
                <a:gs pos="66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layout>
            <c:manualLayout>
              <c:x val="1.5003965256959821E-2"/>
              <c:y val="-2.08737865673403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layout>
            <c:manualLayout>
              <c:x val="2.4551943147752484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9"/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layout>
            <c:manualLayout>
              <c:x val="1.5003965256959821E-2"/>
              <c:y val="-2.08737865673403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layout>
            <c:manualLayout>
              <c:x val="9.5252160502160062E-3"/>
              <c:y val="-3.834378047153182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layout>
            <c:manualLayout>
              <c:x val="1.5003965256959821E-2"/>
              <c:y val="-2.08737865673403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layout>
            <c:manualLayout>
              <c:x val="9.5252160502160062E-3"/>
              <c:y val="-3.834378047153182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ln>
            <a:solidFill>
              <a:srgbClr val="00B05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9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0"/>
        <c:spPr>
          <a:solidFill>
            <a:schemeClr val="bg1">
              <a:lumMod val="75000"/>
            </a:schemeClr>
          </a:solidFill>
        </c:spPr>
        <c:marker>
          <c:symbol val="none"/>
        </c:marker>
        <c:dLbl>
          <c:idx val="0"/>
          <c:numFmt formatCode="#,##0.00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1"/>
      </c:pivotFmt>
      <c:pivotFmt>
        <c:idx val="22"/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Pivot_USI!$O$4:$O$5</c:f>
              <c:strCache>
                <c:ptCount val="1"/>
                <c:pt idx="0">
                  <c:v>Moyenne de Nbr de j USI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Pivot_USI!$O$6</c:f>
              <c:numCache>
                <c:formatCode>#,##0.00</c:formatCode>
                <c:ptCount val="1"/>
              </c:numCache>
            </c:numRef>
          </c:val>
        </c:ser>
        <c:ser>
          <c:idx val="3"/>
          <c:order val="3"/>
          <c:tx>
            <c:strRef>
              <c:f>Pivot_USI!$Q$4:$Q$5</c:f>
              <c:strCache>
                <c:ptCount val="1"/>
                <c:pt idx="0">
                  <c:v>Écartype de Nbr de j USI_RV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numFmt formatCode="#,##0.00" sourceLinked="0"/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Pivot_USI!$Q$6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61568"/>
        <c:axId val="198242240"/>
      </c:barChart>
      <c:lineChart>
        <c:grouping val="standard"/>
        <c:varyColors val="0"/>
        <c:ser>
          <c:idx val="0"/>
          <c:order val="0"/>
          <c:tx>
            <c:strRef>
              <c:f>Pivot_USI!$N$4:$N$5</c:f>
              <c:strCache>
                <c:ptCount val="1"/>
                <c:pt idx="0">
                  <c:v>Min de Nbr de j USI_RV2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dPt>
            <c:idx val="3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Pivot_USI!$N$6</c:f>
              <c:numCache>
                <c:formatCode>General</c:formatCode>
                <c:ptCount val="1"/>
              </c:numCache>
            </c:numRef>
          </c:val>
          <c:smooth val="0"/>
        </c:ser>
        <c:ser>
          <c:idx val="2"/>
          <c:order val="2"/>
          <c:tx>
            <c:strRef>
              <c:f>Pivot_USI!$P$4:$P$5</c:f>
              <c:strCache>
                <c:ptCount val="1"/>
                <c:pt idx="0">
                  <c:v>Max de Nbr de j USI_RV2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Pivot_USI!$P$6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1568"/>
        <c:axId val="198242240"/>
      </c:lineChart>
      <c:catAx>
        <c:axId val="198061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8242240"/>
        <c:crosses val="autoZero"/>
        <c:auto val="1"/>
        <c:lblAlgn val="ctr"/>
        <c:lblOffset val="100"/>
        <c:noMultiLvlLbl val="0"/>
      </c:catAx>
      <c:valAx>
        <c:axId val="19824224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8061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>
                <a:effectLst/>
              </a:rPr>
              <a:t>Moyenne nb jours d'hospitalisation (toutes interventions)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CALCULS_Hospi!$B$2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CALCULS_Hospi!$A$3:$A$7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CALCULS_Hospi!$B$3:$B$7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8772736"/>
        <c:axId val="198243968"/>
      </c:barChart>
      <c:lineChart>
        <c:grouping val="standard"/>
        <c:varyColors val="0"/>
        <c:ser>
          <c:idx val="1"/>
          <c:order val="1"/>
          <c:tx>
            <c:strRef>
              <c:f>CALCULS_Hospi!$C$2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66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CALCULS_Hospi!$A$3:$A$7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CALCULS_Hospi!$C$3:$C$7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72736"/>
        <c:axId val="198243968"/>
      </c:lineChart>
      <c:catAx>
        <c:axId val="1987727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8243968"/>
        <c:crosses val="autoZero"/>
        <c:auto val="1"/>
        <c:lblAlgn val="ctr"/>
        <c:lblOffset val="100"/>
        <c:noMultiLvlLbl val="0"/>
      </c:catAx>
      <c:valAx>
        <c:axId val="198243968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7727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2018.xlsx]Pivot_Hospi!Tableau croisé dynamique3</c:name>
    <c:fmtId val="13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solidFill>
            <a:schemeClr val="bg1">
              <a:lumMod val="85000"/>
            </a:schemeClr>
          </a:solidFill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339966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5.2662868727799475E-2"/>
          <c:y val="0.10595884053655782"/>
          <c:w val="0.74839044027744184"/>
          <c:h val="0.8002766054015455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Pivot_Hospi!$C$4:$C$5</c:f>
              <c:strCache>
                <c:ptCount val="1"/>
                <c:pt idx="0">
                  <c:v>Moyenne de Nbr de j hospi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Pivot_Hospi!$C$6</c:f>
              <c:numCache>
                <c:formatCode>#,##0.00</c:formatCode>
                <c:ptCount val="1"/>
              </c:numCache>
            </c:numRef>
          </c:val>
        </c:ser>
        <c:ser>
          <c:idx val="3"/>
          <c:order val="3"/>
          <c:tx>
            <c:strRef>
              <c:f>Pivot_Hospi!$E$4:$E$5</c:f>
              <c:strCache>
                <c:ptCount val="1"/>
                <c:pt idx="0">
                  <c:v>Écartype de Nbr de j hospi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Pivot_Hospi!$E$6</c:f>
              <c:numCache>
                <c:formatCode>#,##0.00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60544"/>
        <c:axId val="196886528"/>
      </c:barChart>
      <c:lineChart>
        <c:grouping val="standard"/>
        <c:varyColors val="0"/>
        <c:ser>
          <c:idx val="0"/>
          <c:order val="0"/>
          <c:tx>
            <c:strRef>
              <c:f>Pivot_Hospi!$B$4:$B$5</c:f>
              <c:strCache>
                <c:ptCount val="1"/>
                <c:pt idx="0">
                  <c:v>Min de Nbr de j hospi_RV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339966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Pivot_Hospi!$B$6</c:f>
              <c:numCache>
                <c:formatCode>General</c:formatCode>
                <c:ptCount val="1"/>
              </c:numCache>
            </c:numRef>
          </c:val>
          <c:smooth val="0"/>
        </c:ser>
        <c:ser>
          <c:idx val="2"/>
          <c:order val="2"/>
          <c:tx>
            <c:strRef>
              <c:f>Pivot_Hospi!$D$4:$D$5</c:f>
              <c:strCache>
                <c:ptCount val="1"/>
                <c:pt idx="0">
                  <c:v>Max de Nbr de j hospi_RV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Pivot_Hospi!$D$6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0544"/>
        <c:axId val="196886528"/>
      </c:lineChart>
      <c:catAx>
        <c:axId val="198060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886528"/>
        <c:crosses val="autoZero"/>
        <c:auto val="1"/>
        <c:lblAlgn val="ctr"/>
        <c:lblOffset val="100"/>
        <c:noMultiLvlLbl val="0"/>
      </c:catAx>
      <c:valAx>
        <c:axId val="196886528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8060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31"/>
    </mc:Choice>
    <mc:Fallback>
      <c:style val="3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Moyenne nb jours d'hospitalisation (Hors "LVAD"et "TX")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CALCULS_Hospi!$F$1:$F$2</c:f>
              <c:strCache>
                <c:ptCount val="1"/>
                <c:pt idx="0">
                  <c:v>Intervention-activité Moyenne de Nbr de j hospi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CALCULS_Hospi!$E$3:$E$12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CALCULS_Hospi!$F$3:$F$12</c:f>
              <c:numCache>
                <c:formatCode>0.0</c:formatCode>
                <c:ptCount val="10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9112704"/>
        <c:axId val="196888256"/>
      </c:barChart>
      <c:lineChart>
        <c:grouping val="standard"/>
        <c:varyColors val="0"/>
        <c:ser>
          <c:idx val="1"/>
          <c:order val="1"/>
          <c:tx>
            <c:strRef>
              <c:f>CALCULS_Hospi!$G$1:$G$2</c:f>
              <c:strCache>
                <c:ptCount val="1"/>
                <c:pt idx="0">
                  <c:v>Exclu "LVAD" &amp; "TX" Médiane de Nbr de j hospi</c:v>
                </c:pt>
              </c:strCache>
            </c:strRef>
          </c:tx>
          <c:marker>
            <c:symbol val="none"/>
          </c:marker>
          <c:dLbls>
            <c:dLbl>
              <c:idx val="4"/>
              <c:layout>
                <c:manualLayout>
                  <c:x val="-2.0974213304297395E-2"/>
                  <c:y val="2.3076147984677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2.370656131421206E-2"/>
                  <c:y val="5.2445790874267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CALCULS_Hospi!$E$3:$E$12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CALCULS_Hospi!$G$3:$G$12</c:f>
              <c:numCache>
                <c:formatCode>0.00</c:formatCode>
                <c:ptCount val="10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112704"/>
        <c:axId val="196888256"/>
      </c:lineChart>
      <c:catAx>
        <c:axId val="1991127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6888256"/>
        <c:crosses val="autoZero"/>
        <c:auto val="1"/>
        <c:lblAlgn val="ctr"/>
        <c:lblOffset val="100"/>
        <c:noMultiLvlLbl val="0"/>
      </c:catAx>
      <c:valAx>
        <c:axId val="196888256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crossAx val="1991127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2018.xlsx]Pivot_Hospi!Tableau croisé dynamique2</c:name>
    <c:fmtId val="9"/>
  </c:pivotSource>
  <c:chart>
    <c:title>
      <c:tx>
        <c:rich>
          <a:bodyPr/>
          <a:lstStyle/>
          <a:p>
            <a:pPr>
              <a:defRPr/>
            </a:pPr>
            <a:r>
              <a:rPr lang="fr-BE">
                <a:solidFill>
                  <a:schemeClr val="bg1"/>
                </a:solidFill>
              </a:rPr>
              <a:t>Moyenne et écart type nb de jours Hospi hors "LVAD"</a:t>
            </a:r>
            <a:r>
              <a:rPr lang="fr-BE" baseline="0">
                <a:solidFill>
                  <a:schemeClr val="bg1"/>
                </a:solidFill>
              </a:rPr>
              <a:t> &amp; "TX"</a:t>
            </a:r>
            <a:endParaRPr lang="fr-BE">
              <a:solidFill>
                <a:schemeClr val="bg1"/>
              </a:solidFill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1"/>
        <c:spPr>
          <a:solidFill>
            <a:schemeClr val="bg1">
              <a:lumMod val="75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2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00B05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3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Pivot_Hospi!$I$4:$I$5</c:f>
              <c:strCache>
                <c:ptCount val="1"/>
                <c:pt idx="0">
                  <c:v>Moyenne de Nbr de j hospi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Pivot_Hospi!$I$6</c:f>
              <c:numCache>
                <c:formatCode>#,##0.0</c:formatCode>
                <c:ptCount val="1"/>
              </c:numCache>
            </c:numRef>
          </c:val>
        </c:ser>
        <c:ser>
          <c:idx val="3"/>
          <c:order val="3"/>
          <c:tx>
            <c:strRef>
              <c:f>Pivot_Hospi!$K$4:$K$5</c:f>
              <c:strCache>
                <c:ptCount val="1"/>
                <c:pt idx="0">
                  <c:v>Écartype de Nbr de j hospi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Pivot_Hospi!$K$6</c:f>
              <c:numCache>
                <c:formatCode>#,##0.00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366144"/>
        <c:axId val="196890560"/>
      </c:barChart>
      <c:lineChart>
        <c:grouping val="standard"/>
        <c:varyColors val="0"/>
        <c:ser>
          <c:idx val="0"/>
          <c:order val="0"/>
          <c:tx>
            <c:strRef>
              <c:f>Pivot_Hospi!$H$4:$H$5</c:f>
              <c:strCache>
                <c:ptCount val="1"/>
                <c:pt idx="0">
                  <c:v>Min de Nbr de j hospi_RV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00B05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Pivot_Hospi!$H$6</c:f>
              <c:numCache>
                <c:formatCode>General</c:formatCode>
                <c:ptCount val="1"/>
              </c:numCache>
            </c:numRef>
          </c:val>
          <c:smooth val="0"/>
        </c:ser>
        <c:ser>
          <c:idx val="2"/>
          <c:order val="2"/>
          <c:tx>
            <c:strRef>
              <c:f>Pivot_Hospi!$J$4:$J$5</c:f>
              <c:strCache>
                <c:ptCount val="1"/>
                <c:pt idx="0">
                  <c:v>Max de Nbr de j hospi_RV2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Pivot_Hospi!$J$6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66144"/>
        <c:axId val="196890560"/>
      </c:lineChart>
      <c:catAx>
        <c:axId val="1993661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890560"/>
        <c:crosses val="autoZero"/>
        <c:auto val="1"/>
        <c:lblAlgn val="ctr"/>
        <c:lblOffset val="100"/>
        <c:noMultiLvlLbl val="0"/>
      </c:catAx>
      <c:valAx>
        <c:axId val="196890560"/>
        <c:scaling>
          <c:orientation val="minMax"/>
        </c:scaling>
        <c:delete val="0"/>
        <c:axPos val="l"/>
        <c:majorGridlines/>
        <c:numFmt formatCode="#,##0.0" sourceLinked="1"/>
        <c:majorTickMark val="out"/>
        <c:minorTickMark val="none"/>
        <c:tickLblPos val="nextTo"/>
        <c:crossAx val="1993661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d'hospitalisation ("LVAD" &amp; "TX")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CALCULS_Hospi!$J$2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CALCULS_Hospi!$I$3:$I$7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CALCULS_Hospi!$J$3:$J$7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9366656"/>
        <c:axId val="196892288"/>
      </c:barChart>
      <c:lineChart>
        <c:grouping val="standard"/>
        <c:varyColors val="0"/>
        <c:ser>
          <c:idx val="1"/>
          <c:order val="1"/>
          <c:tx>
            <c:strRef>
              <c:f>CALCULS_Hospi!$K$2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CALCULS_Hospi!$I$3:$I$7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CALCULS_Hospi!$K$3:$K$7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66656"/>
        <c:axId val="196892288"/>
      </c:lineChart>
      <c:catAx>
        <c:axId val="1993666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6892288"/>
        <c:crosses val="autoZero"/>
        <c:auto val="1"/>
        <c:lblAlgn val="ctr"/>
        <c:lblOffset val="100"/>
        <c:noMultiLvlLbl val="0"/>
      </c:catAx>
      <c:valAx>
        <c:axId val="196892288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93666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2018.xlsx]Pivot_Hospi!Tableau croisé dynamique1</c:name>
    <c:fmtId val="10"/>
  </c:pivotSource>
  <c:chart>
    <c:title>
      <c:tx>
        <c:rich>
          <a:bodyPr/>
          <a:lstStyle/>
          <a:p>
            <a:pPr>
              <a:defRPr sz="1800"/>
            </a:pP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Moyenne</a:t>
            </a:r>
            <a:r>
              <a:rPr lang="fr-BE" sz="1800" b="1" i="0" baseline="0">
                <a:solidFill>
                  <a:schemeClr val="bg1"/>
                </a:solidFill>
                <a:effectLst/>
              </a:rPr>
              <a:t> </a:t>
            </a: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nb de jours d'hospitalisation ("LVAD" &amp; "TX")</a:t>
            </a:r>
            <a:endParaRPr lang="fr-BE" sz="18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19812414963992436"/>
          <c:y val="9.5286904819152488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1"/>
        <c:spPr>
          <a:solidFill>
            <a:schemeClr val="bg1">
              <a:lumMod val="75000"/>
            </a:schemeClr>
          </a:solidFill>
        </c:spPr>
        <c:marker>
          <c:symbol val="none"/>
        </c:marker>
        <c:dLbl>
          <c:idx val="0"/>
          <c:spPr>
            <a:noFill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2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00B05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3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Pivot_Hospi!$O$4:$O$5</c:f>
              <c:strCache>
                <c:ptCount val="1"/>
                <c:pt idx="0">
                  <c:v>Moyenne de Nbr de j hospi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Pivot_Hospi!$O$6</c:f>
              <c:numCache>
                <c:formatCode>#,##0.00</c:formatCode>
                <c:ptCount val="1"/>
              </c:numCache>
            </c:numRef>
          </c:val>
        </c:ser>
        <c:ser>
          <c:idx val="3"/>
          <c:order val="3"/>
          <c:tx>
            <c:strRef>
              <c:f>Pivot_Hospi!$Q$4:$Q$5</c:f>
              <c:strCache>
                <c:ptCount val="1"/>
                <c:pt idx="0">
                  <c:v>Écartype de Nbr de j hospi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Pivot_Hospi!$Q$6</c:f>
              <c:numCache>
                <c:formatCode>#,##0.00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879296"/>
        <c:axId val="199966720"/>
      </c:barChart>
      <c:lineChart>
        <c:grouping val="standard"/>
        <c:varyColors val="0"/>
        <c:ser>
          <c:idx val="0"/>
          <c:order val="0"/>
          <c:tx>
            <c:strRef>
              <c:f>Pivot_Hospi!$N$4:$N$5</c:f>
              <c:strCache>
                <c:ptCount val="1"/>
                <c:pt idx="0">
                  <c:v>Min de Nbr de j hospi_RV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00B05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Pivot_Hospi!$N$6</c:f>
              <c:numCache>
                <c:formatCode>General</c:formatCode>
                <c:ptCount val="1"/>
              </c:numCache>
            </c:numRef>
          </c:val>
          <c:smooth val="0"/>
        </c:ser>
        <c:ser>
          <c:idx val="2"/>
          <c:order val="2"/>
          <c:tx>
            <c:strRef>
              <c:f>Pivot_Hospi!$P$4:$P$5</c:f>
              <c:strCache>
                <c:ptCount val="1"/>
                <c:pt idx="0">
                  <c:v>Max de Nbr de j hospi_RV2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Pivot_Hospi!$P$6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879296"/>
        <c:axId val="199966720"/>
      </c:lineChart>
      <c:catAx>
        <c:axId val="197879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66720"/>
        <c:crosses val="autoZero"/>
        <c:auto val="1"/>
        <c:lblAlgn val="ctr"/>
        <c:lblOffset val="100"/>
        <c:noMultiLvlLbl val="0"/>
      </c:catAx>
      <c:valAx>
        <c:axId val="19996672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7879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REPRISES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trendlineType val="linear"/>
            <c:dispRSqr val="0"/>
            <c:dispEq val="0"/>
          </c:trendline>
          <c:cat>
            <c:strRef>
              <c:f>'Pivot-Rév&lt;24h'!$A$25:$A$36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'Pivot-Rév&lt;24h'!$B$25:$B$36</c:f>
              <c:numCache>
                <c:formatCode>0%</c:formatCode>
                <c:ptCount val="12"/>
                <c:pt idx="0">
                  <c:v>0.08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708160"/>
        <c:axId val="199968448"/>
      </c:lineChart>
      <c:catAx>
        <c:axId val="199708160"/>
        <c:scaling>
          <c:orientation val="minMax"/>
        </c:scaling>
        <c:delete val="0"/>
        <c:axPos val="b"/>
        <c:majorTickMark val="out"/>
        <c:minorTickMark val="none"/>
        <c:tickLblPos val="nextTo"/>
        <c:crossAx val="199968448"/>
        <c:crosses val="autoZero"/>
        <c:auto val="1"/>
        <c:lblAlgn val="ctr"/>
        <c:lblOffset val="100"/>
        <c:noMultiLvlLbl val="0"/>
      </c:catAx>
      <c:valAx>
        <c:axId val="199968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99708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2018.xlsx]Pivot-Rév&lt;24h!Tableau croisé dynamique2</c:name>
    <c:fmtId val="14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%  de Reprises dans les 24h post op 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3"/>
      </c:pivotFmt>
      <c:pivotFmt>
        <c:idx val="4"/>
      </c:pivotFmt>
    </c:pivotFmts>
    <c:plotArea>
      <c:layout/>
      <c:pieChart>
        <c:varyColors val="1"/>
        <c:ser>
          <c:idx val="0"/>
          <c:order val="0"/>
          <c:tx>
            <c:strRef>
              <c:f>'Pivot-Rév&lt;24h'!$B$3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'Pivot-Rév&lt;24h'!$A$4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'Pivot-Rév&lt;24h'!$B$4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2018.xlsx]Pivot-Rév&lt;24h!Tableau croisé dynamique5</c:name>
    <c:fmtId val="19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Pourcentage de Révisions dans les 24h 2016</a:t>
            </a:r>
            <a:endParaRPr lang="fr-BE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'Pivot-Rév&lt;24h'!$B$10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'Pivot-Rév&lt;24h'!$A$11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'Pivot-Rév&lt;24h'!$B$11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038400"/>
        <c:axId val="199971328"/>
      </c:barChart>
      <c:catAx>
        <c:axId val="200038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71328"/>
        <c:crosses val="autoZero"/>
        <c:auto val="1"/>
        <c:lblAlgn val="ctr"/>
        <c:lblOffset val="100"/>
        <c:noMultiLvlLbl val="0"/>
      </c:catAx>
      <c:valAx>
        <c:axId val="19997132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00038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2018.xlsx]Pivot-Rév&lt;24h!Tableau croisé dynamique3</c:name>
    <c:fmtId val="14"/>
  </c:pivotSource>
  <c:chart>
    <c:title>
      <c:tx>
        <c:rich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r>
              <a:rPr lang="fr-BE">
                <a:solidFill>
                  <a:sysClr val="windowText" lastClr="000000"/>
                </a:solidFill>
              </a:rPr>
              <a:t>Révisions dans les 24h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21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64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9"/>
        <c:marker>
          <c:symbol val="none"/>
        </c:marker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'Pivot-Rév&lt;24h'!$E$3:$E$4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'Pivot-Rév&lt;24h'!$D$5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'Pivot-Rév&lt;24h'!$E$5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0201216"/>
        <c:axId val="199973056"/>
      </c:barChart>
      <c:catAx>
        <c:axId val="2002012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73056"/>
        <c:crosses val="autoZero"/>
        <c:auto val="1"/>
        <c:lblAlgn val="ctr"/>
        <c:lblOffset val="100"/>
        <c:noMultiLvlLbl val="0"/>
      </c:catAx>
      <c:valAx>
        <c:axId val="199973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0201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2018.xlsx]Pivot-Réhospi&lt;30j!Tableau croisé dynamique1</c:name>
    <c:fmtId val="1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de réhospitalisation dans les 30j post sortie (Hors LVAD et HTX) </a:t>
            </a:r>
            <a:endParaRPr lang="fr-BE"/>
          </a:p>
        </c:rich>
      </c:tx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6"/>
      </c:pivotFmt>
      <c:pivotFmt>
        <c:idx val="7"/>
        <c:dLbl>
          <c:idx val="0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9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NC 11; 4,7%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0"/>
      </c:pivotFmt>
      <c:pivotFmt>
        <c:idx val="11"/>
        <c:dLbl>
          <c:idx val="0"/>
          <c:tx>
            <c:rich>
              <a:bodyPr/>
              <a:lstStyle/>
              <a:p>
                <a:r>
                  <a:rPr lang="en-US"/>
                  <a:t>122; 91,73%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  <c:dLbl>
          <c:idx val="0"/>
          <c:layout>
            <c:manualLayout>
              <c:x val="-1.2036288434272697E-2"/>
              <c:y val="9.3565944350449404E-3"/>
            </c:manualLayout>
          </c:layout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37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38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39"/>
        <c:dLbl>
          <c:idx val="0"/>
          <c:tx>
            <c:rich>
              <a:bodyPr/>
              <a:lstStyle/>
              <a:p>
                <a:r>
                  <a:rPr lang="en-US"/>
                  <a:t>C  9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40"/>
        <c:dLbl>
          <c:idx val="0"/>
          <c:tx>
            <c:rich>
              <a:bodyPr/>
              <a:lstStyle/>
              <a:p>
                <a:r>
                  <a:rPr lang="en-US"/>
                  <a:t>C  9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41"/>
      </c:pivotFmt>
    </c:pivotFmts>
    <c:plotArea>
      <c:layout>
        <c:manualLayout>
          <c:layoutTarget val="inner"/>
          <c:xMode val="edge"/>
          <c:yMode val="edge"/>
          <c:x val="0.20226421977381889"/>
          <c:y val="0.22426174354218104"/>
          <c:w val="0.4554715561504607"/>
          <c:h val="0.69941318002324948"/>
        </c:manualLayout>
      </c:layout>
      <c:pieChart>
        <c:varyColors val="1"/>
        <c:ser>
          <c:idx val="0"/>
          <c:order val="0"/>
          <c:tx>
            <c:strRef>
              <c:f>'Pivot-Réhospi&lt;30j'!$B$6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C  9 3,8%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1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'Pivot-Réhospi&lt;30j'!$A$7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'Pivot-Réhospi&lt;30j'!$B$7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2018.xlsx]Pivot-Réhospi&lt;30j!Tableau croisé dynamique6</c:name>
    <c:fmtId val="13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Pourcentage</a:t>
            </a:r>
            <a:r>
              <a:rPr lang="fr-BE" baseline="0"/>
              <a:t> de réhospitalisation dans les 30 j  2016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'Pivot-Réhospi&lt;30j'!$B$16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'Pivot-Réhospi&lt;30j'!$A$17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'Pivot-Réhospi&lt;30j'!$B$17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906304"/>
        <c:axId val="200239360"/>
      </c:barChart>
      <c:catAx>
        <c:axId val="1999063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239360"/>
        <c:crosses val="autoZero"/>
        <c:auto val="1"/>
        <c:lblAlgn val="ctr"/>
        <c:lblOffset val="100"/>
        <c:noMultiLvlLbl val="0"/>
      </c:catAx>
      <c:valAx>
        <c:axId val="20023936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99063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2018.xlsx]Pivot-Réhospi&lt;30j!Tableau croisé dynamique4</c:name>
    <c:fmtId val="11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Réhospitalisation dans les 30 jours </a:t>
            </a:r>
            <a:r>
              <a:rPr lang="fr-BE" sz="1800" b="1" i="0" baseline="0">
                <a:solidFill>
                  <a:schemeClr val="bg1"/>
                </a:solidFill>
                <a:effectLst/>
              </a:rPr>
              <a:t>s 30j</a:t>
            </a:r>
            <a:endParaRPr lang="fr-BE">
              <a:solidFill>
                <a:schemeClr val="bg1"/>
              </a:solidFill>
              <a:effectLst/>
            </a:endParaRPr>
          </a:p>
        </c:rich>
      </c:tx>
      <c:layout>
        <c:manualLayout>
          <c:xMode val="edge"/>
          <c:yMode val="edge"/>
          <c:x val="0.27660440472132491"/>
          <c:y val="7.0649986462869713E-2"/>
        </c:manualLayout>
      </c:layout>
      <c:overlay val="1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>
            <a:gradFill>
              <a:gsLst>
                <a:gs pos="0">
                  <a:srgbClr val="00B050"/>
                </a:gs>
                <a:gs pos="58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>
            <a:gradFill>
              <a:gsLst>
                <a:gs pos="38000">
                  <a:srgbClr val="FF0000"/>
                </a:gs>
                <a:gs pos="77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FF0000"/>
          </a:solidFill>
        </c:spPr>
        <c:marker>
          <c:symbol val="none"/>
        </c:marker>
      </c:pivotFmt>
      <c:pivotFmt>
        <c:idx val="13"/>
        <c:spPr>
          <a:solidFill>
            <a:schemeClr val="accent6">
              <a:lumMod val="75000"/>
            </a:schemeClr>
          </a:solidFill>
        </c:spPr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  <c:dLbl>
          <c:idx val="0"/>
          <c:spPr>
            <a:noFill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8"/>
        <c:marker>
          <c:symbol val="none"/>
        </c:marker>
        <c:dLbl>
          <c:idx val="0"/>
          <c:spPr>
            <a:noFill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9"/>
        <c:marker>
          <c:symbol val="none"/>
        </c:marker>
        <c:dLbl>
          <c:idx val="0"/>
          <c:spPr>
            <a:gradFill>
              <a:gsLst>
                <a:gs pos="0">
                  <a:srgbClr val="339966"/>
                </a:gs>
                <a:gs pos="27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'Pivot-Réhospi&lt;30j'!$F$5:$F$7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'Pivot-Réhospi&lt;30j'!$E$8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'Pivot-Réhospi&lt;30j'!$F$8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423360"/>
        <c:axId val="200241088"/>
      </c:barChart>
      <c:catAx>
        <c:axId val="2014233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241088"/>
        <c:crosses val="autoZero"/>
        <c:auto val="1"/>
        <c:lblAlgn val="ctr"/>
        <c:lblOffset val="100"/>
        <c:noMultiLvlLbl val="0"/>
      </c:catAx>
      <c:valAx>
        <c:axId val="200241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1423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INFECTIONS</a:t>
            </a:r>
          </a:p>
        </c:rich>
      </c:tx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dLbl>
              <c:idx val="4"/>
              <c:layout>
                <c:manualLayout>
                  <c:x val="-4.166666666666672E-2"/>
                  <c:y val="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trendlineType val="linear"/>
            <c:dispRSqr val="0"/>
            <c:dispEq val="0"/>
          </c:trendline>
          <c:trendline>
            <c:trendlineType val="linear"/>
            <c:dispRSqr val="0"/>
            <c:dispEq val="0"/>
          </c:trendline>
          <c:cat>
            <c:strRef>
              <c:f>'Pivot-Inf'!$D$23:$D$34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'Pivot-Inf'!$E$23:$E$34</c:f>
              <c:numCache>
                <c:formatCode>0%</c:formatCode>
                <c:ptCount val="12"/>
                <c:pt idx="0">
                  <c:v>0.42307692307692307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05792"/>
        <c:axId val="200242816"/>
      </c:lineChart>
      <c:catAx>
        <c:axId val="199905792"/>
        <c:scaling>
          <c:orientation val="minMax"/>
        </c:scaling>
        <c:delete val="0"/>
        <c:axPos val="b"/>
        <c:majorTickMark val="out"/>
        <c:minorTickMark val="none"/>
        <c:tickLblPos val="nextTo"/>
        <c:crossAx val="200242816"/>
        <c:crosses val="autoZero"/>
        <c:auto val="1"/>
        <c:lblAlgn val="ctr"/>
        <c:lblOffset val="100"/>
        <c:noMultiLvlLbl val="0"/>
      </c:catAx>
      <c:valAx>
        <c:axId val="20024281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999057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2018.xlsx]Pivot-Inf (2)!Tableau croisé dynamique1</c:name>
    <c:fmtId val="14"/>
  </c:pivotSource>
  <c:chart>
    <c:title>
      <c:tx>
        <c:rich>
          <a:bodyPr/>
          <a:lstStyle/>
          <a:p>
            <a:pPr>
              <a:defRPr sz="1400"/>
            </a:pPr>
            <a:r>
              <a:rPr lang="fr-BE" sz="1400"/>
              <a:t>% d'infections post op. (Hors LVAD et HTX) 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6"/>
      </c:pivotFmt>
      <c:pivotFmt>
        <c:idx val="7"/>
        <c:dLbl>
          <c:idx val="0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en-US"/>
                  <a:t> 4; 3,01%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9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 7; 5,26%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0"/>
      </c:pivotFmt>
      <c:pivotFmt>
        <c:idx val="11"/>
        <c:dLbl>
          <c:idx val="0"/>
          <c:tx>
            <c:rich>
              <a:bodyPr/>
              <a:lstStyle/>
              <a:p>
                <a:r>
                  <a:rPr lang="en-US"/>
                  <a:t>122; 91,73%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  <c:dLbl>
          <c:idx val="0"/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37"/>
        <c:dLbl>
          <c:idx val="0"/>
          <c:tx>
            <c:rich>
              <a:bodyPr/>
              <a:lstStyle/>
              <a:p>
                <a:r>
                  <a:rPr lang="en-US"/>
                  <a:t> 4; 3,01%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8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 7; 5,26%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9"/>
        <c:dLbl>
          <c:idx val="0"/>
          <c:showLegendKey val="0"/>
          <c:showVal val="1"/>
          <c:showCatName val="1"/>
          <c:showSerName val="0"/>
          <c:showPercent val="1"/>
          <c:showBubbleSize val="0"/>
        </c:dLbl>
      </c:pivotFmt>
      <c:pivotFmt>
        <c:idx val="40"/>
        <c:dLbl>
          <c:idx val="0"/>
          <c:tx>
            <c:rich>
              <a:bodyPr/>
              <a:lstStyle/>
              <a:p>
                <a:r>
                  <a:rPr lang="en-US"/>
                  <a:t> 4; 3,01%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1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 7; 5,26%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3"/>
      </c:pivotFmt>
      <c:pivotFmt>
        <c:idx val="44"/>
      </c:pivotFmt>
      <c:pivotFmt>
        <c:idx val="45"/>
        <c:dLbl>
          <c:idx val="0"/>
          <c:tx>
            <c:rich>
              <a:bodyPr/>
              <a:lstStyle/>
              <a:p>
                <a:r>
                  <a:rPr lang="en-US"/>
                  <a:t>83%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</c:dLbl>
      </c:pivotFmt>
      <c:pivotFmt>
        <c:idx val="46"/>
        <c:dLbl>
          <c:idx val="0"/>
          <c:tx>
            <c:rich>
              <a:bodyPr/>
              <a:lstStyle/>
              <a:p>
                <a:r>
                  <a:rPr lang="en-US"/>
                  <a:t>83%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</c:dLbl>
      </c:pivotFmt>
      <c:pivotFmt>
        <c:idx val="47"/>
      </c:pivotFmt>
      <c:pivotFmt>
        <c:idx val="4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'Pivot-Inf (2)'!$B$6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'Pivot-Inf (2)'!$A$7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'Pivot-Inf (2)'!$B$7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2018.xlsx]Pivot-Inf!Tableau croisé dynamique4</c:name>
    <c:fmtId val="16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'Pivot-Inf'!$J$3:$J$4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'Pivot-Inf'!$I$5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'Pivot-Inf'!$J$5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075712"/>
        <c:axId val="201196096"/>
      </c:barChart>
      <c:catAx>
        <c:axId val="2010757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196096"/>
        <c:crosses val="autoZero"/>
        <c:auto val="1"/>
        <c:lblAlgn val="ctr"/>
        <c:lblOffset val="100"/>
        <c:noMultiLvlLbl val="0"/>
      </c:catAx>
      <c:valAx>
        <c:axId val="20119609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1075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2018.xlsx]Pivot-Inf!Tableau croisé dynamique2</c:name>
    <c:fmtId val="14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21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  <c:marker>
          <c:symbol val="none"/>
        </c:marker>
      </c:pivotFmt>
      <c:pivotFmt>
        <c:idx val="30"/>
      </c:pivotFmt>
      <c:pivotFmt>
        <c:idx val="31"/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6768684956765212E-2"/>
          <c:y val="6.4589897414243452E-2"/>
          <c:w val="0.84711605513167598"/>
          <c:h val="0.84164554852386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'Pivot-Inf'!$E$7:$E$8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'Pivot-Inf'!$D$9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'Pivot-Inf'!$E$9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2160640"/>
        <c:axId val="201197824"/>
      </c:barChart>
      <c:catAx>
        <c:axId val="202160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197824"/>
        <c:crosses val="autoZero"/>
        <c:auto val="1"/>
        <c:lblAlgn val="ctr"/>
        <c:lblOffset val="100"/>
        <c:noMultiLvlLbl val="0"/>
      </c:catAx>
      <c:valAx>
        <c:axId val="201197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2160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2018.xlsx]Pivot-Inf (2)!Tableau croisé dynamique3</c:name>
    <c:fmtId val="14"/>
  </c:pivotSource>
  <c:chart>
    <c:title>
      <c:tx>
        <c:rich>
          <a:bodyPr/>
          <a:lstStyle/>
          <a:p>
            <a:pPr>
              <a:defRPr sz="1800"/>
            </a:pPr>
            <a:r>
              <a:rPr lang="en-US" sz="1800" b="1" i="0" baseline="0">
                <a:effectLst/>
              </a:rPr>
              <a:t>Nb moyen d'infections par patient infecté</a:t>
            </a:r>
            <a:endParaRPr lang="fr-BE" sz="1800">
              <a:effectLst/>
            </a:endParaRPr>
          </a:p>
        </c:rich>
      </c:tx>
      <c:layout>
        <c:manualLayout>
          <c:xMode val="edge"/>
          <c:yMode val="edge"/>
          <c:x val="0.287297334770244"/>
          <c:y val="5.1365339808319511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854976"/>
        <c:axId val="201199552"/>
      </c:barChart>
      <c:catAx>
        <c:axId val="2018549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199552"/>
        <c:crosses val="autoZero"/>
        <c:auto val="1"/>
        <c:lblAlgn val="ctr"/>
        <c:lblOffset val="100"/>
        <c:noMultiLvlLbl val="0"/>
      </c:catAx>
      <c:valAx>
        <c:axId val="20119955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018549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AVC</a:t>
            </a:r>
          </a:p>
        </c:rich>
      </c:tx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0"/>
          </c:trendline>
          <c:cat>
            <c:strRef>
              <c:f>'Pivot-AVC'!$A$18:$A$29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'Pivot-AVC'!$B$18:$B$29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3.3333333333333333E-2</c:v>
                </c:pt>
                <c:pt idx="3">
                  <c:v>0</c:v>
                </c:pt>
                <c:pt idx="4">
                  <c:v>9.375E-2</c:v>
                </c:pt>
                <c:pt idx="5">
                  <c:v>4.7619047619047616E-2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857024"/>
        <c:axId val="201201280"/>
      </c:lineChart>
      <c:catAx>
        <c:axId val="201857024"/>
        <c:scaling>
          <c:orientation val="minMax"/>
        </c:scaling>
        <c:delete val="0"/>
        <c:axPos val="b"/>
        <c:majorTickMark val="out"/>
        <c:minorTickMark val="none"/>
        <c:tickLblPos val="nextTo"/>
        <c:crossAx val="201201280"/>
        <c:crosses val="autoZero"/>
        <c:auto val="1"/>
        <c:lblAlgn val="ctr"/>
        <c:lblOffset val="100"/>
        <c:noMultiLvlLbl val="0"/>
      </c:catAx>
      <c:valAx>
        <c:axId val="2012012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018570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pivotSource>
    <c:name>[Statistiques CCA 2018.xlsx]Pivot-AVC!Tableau croisé dynamique5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 de complications neurologiques post op (Hors LVAD et HTX)</a:t>
            </a:r>
          </a:p>
        </c:rich>
      </c:tx>
      <c:layout>
        <c:manualLayout>
          <c:xMode val="edge"/>
          <c:yMode val="edge"/>
          <c:x val="0.18321839080459773"/>
          <c:y val="0.11660859590186415"/>
        </c:manualLayout>
      </c:layout>
      <c:overlay val="0"/>
    </c:title>
    <c:autoTitleDeleted val="0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'Pivot-AVC'!$G$7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'Pivot-AVC'!$F$8:$F$9</c:f>
              <c:strCache>
                <c:ptCount val="1"/>
                <c:pt idx="0">
                  <c:v>Aucun</c:v>
                </c:pt>
              </c:strCache>
            </c:strRef>
          </c:cat>
          <c:val>
            <c:numRef>
              <c:f>'Pivot-AVC'!$G$8:$G$9</c:f>
              <c:numCache>
                <c:formatCode>0.0%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INFARCTUS MYOCARDE</a:t>
            </a:r>
          </a:p>
        </c:rich>
      </c:tx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0"/>
          </c:trendline>
          <c:cat>
            <c:strRef>
              <c:f>Pivot_IM!$A$18:$A$29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Pivot_IM!$B$18:$B$29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160128"/>
        <c:axId val="202064448"/>
      </c:lineChart>
      <c:catAx>
        <c:axId val="202160128"/>
        <c:scaling>
          <c:orientation val="minMax"/>
        </c:scaling>
        <c:delete val="0"/>
        <c:axPos val="b"/>
        <c:majorTickMark val="out"/>
        <c:minorTickMark val="none"/>
        <c:tickLblPos val="nextTo"/>
        <c:crossAx val="202064448"/>
        <c:crosses val="autoZero"/>
        <c:auto val="1"/>
        <c:lblAlgn val="ctr"/>
        <c:lblOffset val="100"/>
        <c:noMultiLvlLbl val="0"/>
      </c:catAx>
      <c:valAx>
        <c:axId val="202064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02160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pivotSource>
    <c:name>[Statistiques CCA 2018.xlsx]Pivot_IM!Tableau croisé dynamique8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d'infarctus du myocarde  post op (Hors LVADet HTX)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5.3941650740363797E-3"/>
              <c:y val="-3.7896139673560321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Pivot_IM!$G$8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Pivot_IM!$F$9:$F$10</c:f>
              <c:strCache>
                <c:ptCount val="1"/>
                <c:pt idx="0">
                  <c:v>Aucun</c:v>
                </c:pt>
              </c:strCache>
            </c:strRef>
          </c:cat>
          <c:val>
            <c:numRef>
              <c:f>Pivot_IM!$G$9:$G$10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2018.xlsx]Pivot-Transf&gt;48H!Tableau croisé dynamique1</c:name>
    <c:fmtId val="19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Patients transfusés &gt; 48h    </a:t>
            </a:r>
          </a:p>
        </c:rich>
      </c:tx>
      <c:layout>
        <c:manualLayout>
          <c:xMode val="edge"/>
          <c:yMode val="edge"/>
          <c:x val="0.35942999376009205"/>
          <c:y val="0.11815868696862636"/>
        </c:manualLayout>
      </c:layout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layout>
            <c:manualLayout>
              <c:x val="2.6664419830924539E-2"/>
              <c:y val="-1.6698536172299796E-2"/>
            </c:manualLayout>
          </c:layout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layout>
            <c:manualLayout>
              <c:x val="-5.9650696519080075E-3"/>
              <c:y val="-8.5030273564943634E-3"/>
            </c:manualLayout>
          </c:layout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</c:pivotFmt>
      <c:pivotFmt>
        <c:idx val="10"/>
        <c:dLbl>
          <c:idx val="0"/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"/>
      </c:pivotFmt>
      <c:pivotFmt>
        <c:idx val="12"/>
      </c:pivotFmt>
      <c:pivotFmt>
        <c:idx val="13"/>
        <c:dLbl>
          <c:idx val="0"/>
          <c:tx>
            <c:rich>
              <a:bodyPr/>
              <a:lstStyle/>
              <a:p>
                <a:fld id="{191D9D75-B788-48D7-9710-D78D68B22797}" type="VALUE">
                  <a:rPr lang="en-US" baseline="0"/>
                  <a:pPr/>
                  <a:t>[VALEUR]</a:t>
                </a:fld>
                <a:r>
                  <a:rPr lang="en-US" baseline="0"/>
                  <a:t>; </a:t>
                </a:r>
                <a:fld id="{444585A8-56BF-4EB7-980D-E9CAE77D79C7}" type="PERCENTAGE">
                  <a:rPr lang="en-US" baseline="0"/>
                  <a:pPr/>
                  <a:t>[POURCENTAGE]</a:t>
                </a:fld>
                <a:endParaRPr lang="en-US" baseline="0"/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14"/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'Pivot-Transf&gt;48H'!$B$5:$B$6</c:f>
              <c:strCache>
                <c:ptCount val="1"/>
                <c:pt idx="0">
                  <c:v>Nombre de Transfu &gt;24 h_RV8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'Pivot-Transf&gt;48H'!$A$7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'Pivot-Transf&gt;48H'!$B$7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'Pivot-Transf&gt;48H'!$C$5:$C$6</c:f>
              <c:strCache>
                <c:ptCount val="1"/>
                <c:pt idx="0">
                  <c:v>Somme de T &gt;24 h - nb trans</c:v>
                </c:pt>
              </c:strCache>
            </c:strRef>
          </c:tx>
          <c:cat>
            <c:strRef>
              <c:f>'Pivot-Transf&gt;48H'!$A$7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'Pivot-Transf&gt;48H'!$C$7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2018.xlsx]Pivot-Transf&gt;48H!Tableau croisé dynamique3</c:name>
    <c:fmtId val="20"/>
  </c:pivotSource>
  <c:chart>
    <c:title>
      <c:tx>
        <c:rich>
          <a:bodyPr/>
          <a:lstStyle/>
          <a:p>
            <a:pPr>
              <a:defRPr sz="1400"/>
            </a:pPr>
            <a:r>
              <a:rPr lang="fr-BE" sz="1400"/>
              <a:t>% Patients transfusés &gt; 48h per et post op. (Hors LVAD et HTX)</a:t>
            </a:r>
          </a:p>
        </c:rich>
      </c:tx>
      <c:layout>
        <c:manualLayout>
          <c:xMode val="edge"/>
          <c:yMode val="edge"/>
          <c:x val="0.31794871794871793"/>
          <c:y val="8.9362845392357448E-2"/>
        </c:manualLayout>
      </c:layout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4"/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'Pivot-Transf&gt;48H'!$B$36:$B$37</c:f>
              <c:strCache>
                <c:ptCount val="1"/>
                <c:pt idx="0">
                  <c:v>Nombre de Transfu &gt;24 h_RV8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'Pivot-Transf&gt;48H'!$A$38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'Pivot-Transf&gt;48H'!$B$38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'Pivot-Transf&gt;48H'!$C$36:$C$37</c:f>
              <c:strCache>
                <c:ptCount val="1"/>
                <c:pt idx="0">
                  <c:v>Somme de T &gt;24 h - nb trans</c:v>
                </c:pt>
              </c:strCache>
            </c:strRef>
          </c:tx>
          <c:cat>
            <c:strRef>
              <c:f>'Pivot-Transf&gt;48H'!$A$38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'Pivot-Transf&gt;48H'!$C$38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2018.xlsx]Pivot-Transf&gt;48H!Tableau croisé dynamique10</c:name>
    <c:fmtId val="15"/>
  </c:pivotSource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/>
              </a:rPr>
              <a:t>Pourcentage des patients transfusés &gt;24h   2016</a:t>
            </a:r>
            <a:endParaRPr lang="fr-BE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'Pivot-Transf&gt;48H'!$H$5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'Pivot-Transf&gt;48H'!$G$6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'Pivot-Transf&gt;48H'!$H$6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753472"/>
        <c:axId val="202070208"/>
      </c:barChart>
      <c:catAx>
        <c:axId val="203753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2070208"/>
        <c:crosses val="autoZero"/>
        <c:auto val="1"/>
        <c:lblAlgn val="ctr"/>
        <c:lblOffset val="100"/>
        <c:noMultiLvlLbl val="0"/>
      </c:catAx>
      <c:valAx>
        <c:axId val="20207020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3753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>
                <a:solidFill>
                  <a:sysClr val="windowText" lastClr="000000"/>
                </a:solidFill>
              </a:rPr>
              <a:t>Répartitions des patients transfusés &gt; 24h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spPr>
          <a:solidFill>
            <a:srgbClr val="99FF66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C000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6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</c:pivotFmt>
      <c:pivotFmt>
        <c:idx val="20"/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v>Nombre de Transfu &gt;24 h_RV2</c:v>
          </c:tx>
          <c:invertIfNegative val="0"/>
          <c:cat>
            <c:strLit>
              <c:ptCount val="2"/>
              <c:pt idx="0">
                <c:v>Aucune</c:v>
              </c:pt>
              <c:pt idx="1">
                <c:v>Transfusé</c:v>
              </c:pt>
            </c:strLit>
          </c:cat>
          <c:val>
            <c:numLit>
              <c:formatCode>General</c:formatCode>
              <c:ptCount val="2"/>
              <c:pt idx="0">
                <c:v>75</c:v>
              </c:pt>
              <c:pt idx="1">
                <c:v>20</c:v>
              </c:pt>
            </c:numLit>
          </c:val>
        </c:ser>
        <c:ser>
          <c:idx val="1"/>
          <c:order val="1"/>
          <c:tx>
            <c:v>Somme de T &gt;24 h - nb trans</c:v>
          </c:tx>
          <c:invertIfNegative val="0"/>
          <c:cat>
            <c:strLit>
              <c:ptCount val="2"/>
              <c:pt idx="0">
                <c:v>Aucune</c:v>
              </c:pt>
              <c:pt idx="1">
                <c:v>Transfusé</c:v>
              </c:pt>
            </c:strLit>
          </c:cat>
          <c:val>
            <c:numLit>
              <c:formatCode>General</c:formatCode>
              <c:ptCount val="2"/>
              <c:pt idx="0">
                <c:v>1</c:v>
              </c:pt>
              <c:pt idx="1">
                <c:v>57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087296"/>
        <c:axId val="204021760"/>
      </c:barChart>
      <c:catAx>
        <c:axId val="204087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1760"/>
        <c:crosses val="autoZero"/>
        <c:auto val="1"/>
        <c:lblAlgn val="ctr"/>
        <c:lblOffset val="100"/>
        <c:noMultiLvlLbl val="0"/>
      </c:catAx>
      <c:valAx>
        <c:axId val="204021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087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2018.xlsx]Pivot-Transf&gt;48H!Tableau croisé dynamique11</c:name>
    <c:fmtId val="19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9356144917437718E-2"/>
          <c:y val="6.4589897414243452E-2"/>
          <c:w val="0.78242614096016061"/>
          <c:h val="0.84164554852386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'Pivot-Transf&gt;48H'!$H$17:$H$18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'Pivot-Transf&gt;48H'!$G$19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'Pivot-Transf&gt;48H'!$H$19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089856"/>
        <c:axId val="204023488"/>
      </c:barChart>
      <c:catAx>
        <c:axId val="204089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3488"/>
        <c:crosses val="autoZero"/>
        <c:auto val="1"/>
        <c:lblAlgn val="ctr"/>
        <c:lblOffset val="100"/>
        <c:noMultiLvlLbl val="0"/>
      </c:catAx>
      <c:valAx>
        <c:axId val="20402348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4089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2018.xlsx]Pivot-Transf&gt;48H (2)!Tableau croisé dynamique6</c:name>
    <c:fmtId val="15"/>
  </c:pivotSource>
  <c:chart>
    <c:title>
      <c:tx>
        <c:rich>
          <a:bodyPr/>
          <a:lstStyle/>
          <a:p>
            <a:pPr>
              <a:defRPr sz="1800"/>
            </a:pPr>
            <a:r>
              <a:rPr lang="en-US" sz="1800"/>
              <a:t>Nb moyen de tranfusions</a:t>
            </a:r>
            <a:r>
              <a:rPr lang="en-US" sz="1800" baseline="0"/>
              <a:t> par patient transfusé &gt;24h</a:t>
            </a:r>
            <a:endParaRPr lang="en-US" sz="1800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'Pivot-Transf&gt;48H (2)'!$B$18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'Pivot-Transf&gt;48H (2)'!$A$19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 (2)'!$B$19</c:f>
              <c:numCache>
                <c:formatCode>0.0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3366912"/>
        <c:axId val="204025216"/>
      </c:barChart>
      <c:catAx>
        <c:axId val="2033669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5216"/>
        <c:crosses val="autoZero"/>
        <c:auto val="1"/>
        <c:lblAlgn val="ctr"/>
        <c:lblOffset val="100"/>
        <c:noMultiLvlLbl val="0"/>
      </c:catAx>
      <c:valAx>
        <c:axId val="20402521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03366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2018.xlsx]Pivot-Transf&lt;48H!Tableau croisé dynamique8</c:name>
    <c:fmtId val="15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Pourcentages de patients transfusés  &lt;24h   2016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369472"/>
        <c:axId val="204026944"/>
      </c:barChart>
      <c:catAx>
        <c:axId val="203369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6944"/>
        <c:crosses val="autoZero"/>
        <c:auto val="1"/>
        <c:lblAlgn val="ctr"/>
        <c:lblOffset val="100"/>
        <c:noMultiLvlLbl val="0"/>
      </c:catAx>
      <c:valAx>
        <c:axId val="20402694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3369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2018.xlsx]Pivot-Transf&lt;48H!Tableau croisé dynamique7</c:name>
    <c:fmtId val="13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Répartitions des patients transfusés &lt;24h</a:t>
            </a:r>
            <a:endParaRPr lang="fr-BE">
              <a:solidFill>
                <a:sysClr val="windowText" lastClr="000000"/>
              </a:solidFill>
              <a:effectLst/>
            </a:endParaRPr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tx1"/>
                </a:gs>
                <a:gs pos="2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</c:pivotFmts>
    <c:plotArea>
      <c:layout/>
      <c:barChart>
        <c:barDir val="col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434944"/>
        <c:axId val="204028096"/>
      </c:barChart>
      <c:catAx>
        <c:axId val="204434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8096"/>
        <c:crosses val="autoZero"/>
        <c:auto val="1"/>
        <c:lblAlgn val="ctr"/>
        <c:lblOffset val="100"/>
        <c:noMultiLvlLbl val="0"/>
      </c:catAx>
      <c:valAx>
        <c:axId val="20402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434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2018.xlsx]Pivot-Transf&lt;48H!Tableau croisé dynamique9</c:name>
    <c:fmtId val="1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2430211179183556E-2"/>
          <c:y val="6.6681400509997379E-2"/>
          <c:w val="0.78935207469841495"/>
          <c:h val="0.84164554852386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'Pivot-Transf&lt;48H'!$K$5:$K$6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'Pivot-Transf&lt;48H'!$J$7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'Pivot-Transf&lt;48H'!$K$7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908032"/>
        <c:axId val="203169792"/>
      </c:barChart>
      <c:catAx>
        <c:axId val="204908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169792"/>
        <c:crosses val="autoZero"/>
        <c:auto val="1"/>
        <c:lblAlgn val="ctr"/>
        <c:lblOffset val="100"/>
        <c:noMultiLvlLbl val="0"/>
      </c:catAx>
      <c:valAx>
        <c:axId val="20316979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4908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2018.xlsx]Pivot-Transf&lt;48H (2)!Tableau croisé dynamique6</c:name>
    <c:fmtId val="16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Nb moyen de tranfusions</a:t>
            </a:r>
            <a:r>
              <a:rPr lang="en-US" baseline="0"/>
              <a:t> par patient transfusé &lt;24 h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'Pivot-Transf&lt;48H (2)'!$B$24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'Pivot-Transf&lt;48H (2)'!$A$25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'Pivot-Transf&lt;48H (2)'!$B$25</c:f>
              <c:numCache>
                <c:formatCode>0.0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910080"/>
        <c:axId val="203171520"/>
      </c:barChart>
      <c:catAx>
        <c:axId val="2049100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171520"/>
        <c:crosses val="autoZero"/>
        <c:auto val="1"/>
        <c:lblAlgn val="ctr"/>
        <c:lblOffset val="100"/>
        <c:noMultiLvlLbl val="0"/>
      </c:catAx>
      <c:valAx>
        <c:axId val="20317152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049100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2018.xlsx]Pivot-Transf&lt;48H (2)!Tableau croisé dynamique1</c:name>
    <c:fmtId val="19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%</a:t>
            </a:r>
            <a:r>
              <a:rPr lang="en-US" sz="1400" baseline="0"/>
              <a:t> Patients transfusés &lt; 48h per et post op, (Hors LVAD et HTX)</a:t>
            </a:r>
            <a:endParaRPr lang="en-US" sz="1400"/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'Pivot-Transf&lt;48H (2)'!$B$7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'Pivot-Transf&lt;48H (2)'!$A$8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'Pivot-Transf&lt;48H (2)'!$B$8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pivotSource>
    <c:name>[Statistiques CCA 2018.xlsx]Pivot-Transf_Tout!Tableau croisé dynamique6</c:name>
    <c:fmtId val="25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% Patients transfusés  en per et post op  (Hors LVAD et HTX)</a:t>
            </a:r>
          </a:p>
          <a:p>
            <a:pPr>
              <a:defRPr sz="1400"/>
            </a:pPr>
            <a:r>
              <a:rPr lang="en-US" sz="1400"/>
              <a:t> </a:t>
            </a:r>
            <a:endParaRPr lang="fr-BE" sz="1400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3"/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'Pivot-Transf_Tout'!$B$6:$B$7</c:f>
              <c:strCache>
                <c:ptCount val="1"/>
                <c:pt idx="0">
                  <c:v>Nombre de Transfu_RV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'Pivot-Transf_Tout'!$A$8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'Pivot-Transf_Tout'!$B$8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'Pivot-Transf_Tout'!$C$6:$C$7</c:f>
              <c:strCache>
                <c:ptCount val="1"/>
                <c:pt idx="0">
                  <c:v>Somme de Transfu_Total_RV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'Pivot-Transf_Tout'!$A$8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'Pivot-Transf_Tout'!$C$8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sVisible val="1"/>
      </c14:pivotOptions>
    </c:ext>
  </c:extLst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2018.xlsx]Pivot-Transf_Tout!Tableau croisé dynamique8</c:name>
    <c:fmtId val="23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/>
              <a:t>Pourcentages de patients transfusés  global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'Pivot-Transf_Tout'!$B$16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'Pivot-Transf_Tout'!$A$17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'Pivot-Transf_Tout'!$B$17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3376"/>
        <c:axId val="203175552"/>
      </c:barChart>
      <c:catAx>
        <c:axId val="2047733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175552"/>
        <c:crosses val="autoZero"/>
        <c:auto val="1"/>
        <c:lblAlgn val="ctr"/>
        <c:lblOffset val="100"/>
        <c:noMultiLvlLbl val="0"/>
      </c:catAx>
      <c:valAx>
        <c:axId val="20317555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47733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2018.xlsx]Pivot-Transf_Tout!Tableau croisé dynamique7</c:name>
    <c:fmtId val="15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/>
              <a:t>Répartitions des patients transfusés global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'Pivot-Transf_Tout'!$F$5:$F$6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'Pivot-Transf_Tout'!$E$7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'Pivot-Transf_Tout'!$F$7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205956096"/>
        <c:axId val="203177280"/>
      </c:barChart>
      <c:catAx>
        <c:axId val="2059560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03177280"/>
        <c:crosses val="autoZero"/>
        <c:auto val="1"/>
        <c:lblAlgn val="ctr"/>
        <c:lblOffset val="100"/>
        <c:noMultiLvlLbl val="0"/>
      </c:catAx>
      <c:valAx>
        <c:axId val="2031772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0595609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2018.xlsx]Pivot-Transf_Tout!Tableau croisé dynamique9</c:name>
    <c:fmtId val="17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/>
              <a:t>Pourcentage des patients transfusés  global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'Pivot-Transf_Tout'!$K$5:$K$6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'Pivot-Transf_Tout'!$J$7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'Pivot-Transf_Tout'!$K$7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05958144"/>
        <c:axId val="206374016"/>
      </c:barChart>
      <c:catAx>
        <c:axId val="2059581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06374016"/>
        <c:crosses val="autoZero"/>
        <c:auto val="1"/>
        <c:lblAlgn val="ctr"/>
        <c:lblOffset val="100"/>
        <c:noMultiLvlLbl val="0"/>
      </c:catAx>
      <c:valAx>
        <c:axId val="206374016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crossAx val="20595814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2018.xlsx]Pivot-Transf_Tout (2)!Tableau croisé dynamique6</c:name>
    <c:fmtId val="18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Nb moyen de tranfusions par patient transfusé global 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'Pivot-Transf_Tout (2)'!$B$24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'Pivot-Transf_Tout (2)'!$A$25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 (2)'!$B$25</c:f>
              <c:numCache>
                <c:formatCode>#,##0.0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575744"/>
        <c:axId val="206375744"/>
      </c:barChart>
      <c:catAx>
        <c:axId val="2045757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6375744"/>
        <c:crosses val="autoZero"/>
        <c:auto val="1"/>
        <c:lblAlgn val="ctr"/>
        <c:lblOffset val="100"/>
        <c:noMultiLvlLbl val="0"/>
      </c:catAx>
      <c:valAx>
        <c:axId val="206375744"/>
        <c:scaling>
          <c:orientation val="minMax"/>
        </c:scaling>
        <c:delete val="0"/>
        <c:axPos val="l"/>
        <c:majorGridlines/>
        <c:numFmt formatCode="#,##0.0" sourceLinked="1"/>
        <c:majorTickMark val="out"/>
        <c:minorTickMark val="none"/>
        <c:tickLblPos val="nextTo"/>
        <c:crossAx val="204575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pivotSource>
    <c:name>[Statistiques CCA 2018.xlsx]Pivot_HT!Tableau croisé dynamique9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Cas discutés en  HT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Pivot_HT!$H$23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Pivot_HT!$G$24:$G$25</c:f>
              <c:strCache>
                <c:ptCount val="1"/>
                <c:pt idx="0">
                  <c:v>NON</c:v>
                </c:pt>
              </c:strCache>
            </c:strRef>
          </c:cat>
          <c:val>
            <c:numRef>
              <c:f>Pivot_HT!$H$24:$H$25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2018.xlsx]Pivot &gt;80 ans!Tableau croisé dynamique12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</a:t>
            </a:r>
            <a:r>
              <a:rPr lang="en-US" baseline="0"/>
              <a:t> patients &gt;80 ans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 &gt;80 ans'!$B$13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'Pivot &gt;80 ans'!$A$14:$A$16</c:f>
              <c:strCache>
                <c:ptCount val="2"/>
                <c:pt idx="0">
                  <c:v>(vide)</c:v>
                </c:pt>
                <c:pt idx="1">
                  <c:v> </c:v>
                </c:pt>
              </c:strCache>
            </c:strRef>
          </c:cat>
          <c:val>
            <c:numRef>
              <c:f>'Pivot &gt;80 ans'!$B$14:$B$16</c:f>
              <c:numCache>
                <c:formatCode>General</c:formatCode>
                <c:ptCount val="2"/>
                <c:pt idx="1">
                  <c:v>251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chart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12.bin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7030A0"/>
  </sheetPr>
  <sheetViews>
    <sheetView zoomScale="9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>
    <tabColor theme="4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>
    <tabColor theme="4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>
    <tabColor rgb="FF00206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>
    <tabColor theme="3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>
    <tabColor theme="4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>
    <tabColor rgb="FF00B050"/>
  </sheetPr>
  <sheetViews>
    <sheetView zoomScale="98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>
  <sheetPr>
    <tabColor rgb="FF00B05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>
  <sheetPr>
    <tabColor rgb="FFFF0000"/>
  </sheetPr>
  <sheetViews>
    <sheetView zoomScale="123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>
  <sheetPr>
    <tabColor rgb="FFFF0000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>
  <sheetPr>
    <tabColor rgb="FFFF0000"/>
  </sheetPr>
  <sheetViews>
    <sheetView zoomScale="123" workbookViewId="0" zoomToFit="1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>
  <sheetPr>
    <tabColor theme="9" tint="-0.249977111117893"/>
  </sheetPr>
  <sheetViews>
    <sheetView zoomScale="123" workbookViewId="0" zoomToFit="1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>
  <sheetPr>
    <tabColor theme="9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>
  <sheetPr>
    <tabColor theme="9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>
  <sheetPr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>
  <sheetPr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>
  <sheetPr>
    <tabColor rgb="FF7030A0"/>
  </sheetPr>
  <sheetViews>
    <sheetView zoomScale="123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>
  <sheetPr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>
  <sheetPr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>
  <sheetPr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04" workbookViewId="0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04" workbookViewId="0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>
  <sheetPr>
    <tabColor rgb="FF99FFCC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>
  <sheetPr>
    <tabColor rgb="FF99FFCC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>
  <sheetPr>
    <tabColor rgb="FF99FFCC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>
  <sheetPr>
    <tabColor theme="8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>
  <sheetPr>
    <tabColor theme="8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>
  <sheetPr>
    <tabColor theme="8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>
  <sheetPr>
    <tabColor theme="1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>
  <sheetPr>
    <tabColor theme="1"/>
  </sheetPr>
  <sheetViews>
    <sheetView zoomScale="104" workbookViewId="0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>
  <sheetPr>
    <tabColor theme="1"/>
  </sheetPr>
  <sheetViews>
    <sheetView zoomScale="101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>
  <sheetPr>
    <tabColor theme="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>
  <sheetPr>
    <tabColor rgb="FF00B0F0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>
  <sheetPr>
    <tabColor theme="5" tint="0.59999389629810485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>
  <sheetPr>
    <tabColor theme="5" tint="0.59999389629810485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>
  <sheetPr>
    <tabColor theme="6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>
  <sheetPr>
    <tabColor theme="6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>
  <sheetPr>
    <tabColor theme="6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>
  <sheetPr>
    <tabColor theme="6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>
  <sheetPr>
    <tabColor theme="6" tint="0.39997558519241921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>
  <sheetPr>
    <tabColor theme="0" tint="-0.249977111117893"/>
  </sheetPr>
  <sheetViews>
    <sheetView zoomScale="126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51.xml><?xml version="1.0" encoding="utf-8"?>
<chartsheet xmlns="http://schemas.openxmlformats.org/spreadsheetml/2006/main" xmlns:r="http://schemas.openxmlformats.org/officeDocument/2006/relationships">
  <sheetPr>
    <tabColor theme="0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>
  <sheetPr>
    <tabColor theme="0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>
  <sheetPr>
    <tabColor theme="0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>
  <sheetPr>
    <tabColor theme="0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>
  <sheetPr/>
  <sheetViews>
    <sheetView zoomScale="126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56</xdr:row>
      <xdr:rowOff>85725</xdr:rowOff>
    </xdr:from>
    <xdr:to>
      <xdr:col>3</xdr:col>
      <xdr:colOff>1143000</xdr:colOff>
      <xdr:row>69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Chirurgien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irurgie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95725" y="10753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4368" cy="6045868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 title="Interventions 2016-2017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328612</xdr:colOff>
      <xdr:row>27</xdr:row>
      <xdr:rowOff>185737</xdr:rowOff>
    </xdr:from>
    <xdr:to>
      <xdr:col>18</xdr:col>
      <xdr:colOff>457200</xdr:colOff>
      <xdr:row>57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19</xdr:row>
      <xdr:rowOff>119062</xdr:rowOff>
    </xdr:from>
    <xdr:to>
      <xdr:col>7</xdr:col>
      <xdr:colOff>523875</xdr:colOff>
      <xdr:row>34</xdr:row>
      <xdr:rowOff>4762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0.48132</cdr:x>
      <cdr:y>0.01797</cdr:y>
    </cdr:from>
    <cdr:to>
      <cdr:x>0.57968</cdr:x>
      <cdr:y>0.16856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474766" y="10914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0.39915</cdr:x>
      <cdr:y>0.02451</cdr:y>
    </cdr:from>
    <cdr:to>
      <cdr:x>0.69264</cdr:x>
      <cdr:y>0.09967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710780" y="148829"/>
          <a:ext cx="2728517" cy="4564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0.40982</cdr:x>
      <cdr:y>0.03268</cdr:y>
    </cdr:from>
    <cdr:to>
      <cdr:x>0.50818</cdr:x>
      <cdr:y>0.18327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3810000" y="19843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0.31163</cdr:x>
      <cdr:y>0.04248</cdr:y>
    </cdr:from>
    <cdr:to>
      <cdr:x>0.40999</cdr:x>
      <cdr:y>0.19307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2897187" y="25796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Moyenne nb jours d'hospitalisation (toutes interventions)</a:t>
          </a: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9296034" cy="605387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0.27641</cdr:x>
      <cdr:y>0.08497</cdr:y>
    </cdr:from>
    <cdr:to>
      <cdr:x>0.37477</cdr:x>
      <cdr:y>0.23556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569766" y="51593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Moyenne nb jours d'hospitalisation (Hors "LVAD"et</a:t>
          </a:r>
          <a:r>
            <a:rPr lang="fr-BE" sz="1800" b="1" baseline="0"/>
            <a:t> "TX")</a:t>
          </a:r>
          <a:endParaRPr lang="fr-BE" sz="1800" b="1"/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23</xdr:row>
      <xdr:rowOff>119062</xdr:rowOff>
    </xdr:from>
    <xdr:to>
      <xdr:col>7</xdr:col>
      <xdr:colOff>638175</xdr:colOff>
      <xdr:row>38</xdr:row>
      <xdr:rowOff>4762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0.68699</cdr:x>
      <cdr:y>0.79276</cdr:y>
    </cdr:from>
    <cdr:to>
      <cdr:x>0.93659</cdr:x>
      <cdr:y>0.94257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6387798" y="4800298"/>
          <a:ext cx="2320773" cy="907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0.6122</cdr:x>
      <cdr:y>0.73658</cdr:y>
    </cdr:from>
    <cdr:to>
      <cdr:x>0.97561</cdr:x>
      <cdr:y>0.8839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5692321" y="4460119"/>
          <a:ext cx="3379108" cy="892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BE" sz="1100"/>
            <a:t>C : cause cardiaque</a:t>
          </a:r>
        </a:p>
        <a:p xmlns:a="http://schemas.openxmlformats.org/drawingml/2006/main">
          <a:r>
            <a:rPr lang="fr-BE" sz="1100"/>
            <a:t>NC : cause</a:t>
          </a:r>
          <a:r>
            <a:rPr lang="fr-BE" sz="1100" baseline="0"/>
            <a:t> non cardiaque</a:t>
          </a:r>
          <a:endParaRPr lang="fr-BE" sz="1100"/>
        </a:p>
      </cdr:txBody>
    </cdr:sp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0.2444</cdr:x>
      <cdr:y>0.01471</cdr:y>
    </cdr:from>
    <cdr:to>
      <cdr:x>0.34275</cdr:x>
      <cdr:y>0.16529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272109" y="8929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22</xdr:row>
      <xdr:rowOff>4762</xdr:rowOff>
    </xdr:from>
    <xdr:to>
      <xdr:col>9</xdr:col>
      <xdr:colOff>1390650</xdr:colOff>
      <xdr:row>36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0.6561</cdr:x>
      <cdr:y>0.77903</cdr:y>
    </cdr:from>
    <cdr:to>
      <cdr:x>0.96992</cdr:x>
      <cdr:y>0.89139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6100536" y="4717143"/>
          <a:ext cx="2917976" cy="6803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0.66341</cdr:x>
      <cdr:y>0.77528</cdr:y>
    </cdr:from>
    <cdr:to>
      <cdr:x>0.97398</cdr:x>
      <cdr:y>0.93009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6168571" y="4694464"/>
          <a:ext cx="2887739" cy="9373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BE" sz="1100"/>
            <a:t>Défini par une ATB thérapie post opératoire</a:t>
          </a:r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0.3127</cdr:x>
      <cdr:y>0.02778</cdr:y>
    </cdr:from>
    <cdr:to>
      <cdr:x>0.41106</cdr:x>
      <cdr:y>0.17837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907109" y="168672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0.35112</cdr:x>
      <cdr:y>0</cdr:y>
    </cdr:from>
    <cdr:to>
      <cdr:x>0.44948</cdr:x>
      <cdr:y>0.15059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264297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 i="0"/>
            <a:t>Pourcentage</a:t>
          </a:r>
          <a:r>
            <a:rPr lang="fr-BE" sz="1800" b="1" i="0" baseline="0"/>
            <a:t> des patients infectés</a:t>
          </a:r>
          <a:endParaRPr lang="fr-BE" sz="1800" b="1" i="0"/>
        </a:p>
      </cdr:txBody>
    </cdr:sp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0.24546</cdr:x>
      <cdr:y>0.03922</cdr:y>
    </cdr:from>
    <cdr:to>
      <cdr:x>0.34382</cdr:x>
      <cdr:y>0.1898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282031" y="23812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0.22412</cdr:x>
      <cdr:y>0.05229</cdr:y>
    </cdr:from>
    <cdr:to>
      <cdr:x>0.32248</cdr:x>
      <cdr:y>0.20288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083594" y="317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                     Répartition</a:t>
          </a:r>
          <a:r>
            <a:rPr lang="fr-BE" sz="1800" b="1" baseline="0"/>
            <a:t> de patients infectés</a:t>
          </a:r>
          <a:endParaRPr lang="fr-BE" sz="18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16</xdr:row>
      <xdr:rowOff>123825</xdr:rowOff>
    </xdr:from>
    <xdr:to>
      <xdr:col>7</xdr:col>
      <xdr:colOff>104775</xdr:colOff>
      <xdr:row>30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4</xdr:row>
      <xdr:rowOff>57150</xdr:rowOff>
    </xdr:from>
    <xdr:to>
      <xdr:col>16</xdr:col>
      <xdr:colOff>704850</xdr:colOff>
      <xdr:row>38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16</xdr:row>
      <xdr:rowOff>85725</xdr:rowOff>
    </xdr:from>
    <xdr:to>
      <xdr:col>6</xdr:col>
      <xdr:colOff>1447800</xdr:colOff>
      <xdr:row>30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c:userShapes xmlns:c="http://schemas.openxmlformats.org/drawingml/2006/chart">
  <cdr:relSizeAnchor xmlns:cdr="http://schemas.openxmlformats.org/drawingml/2006/chartDrawing">
    <cdr:from>
      <cdr:x>0.27428</cdr:x>
      <cdr:y>0.0098</cdr:y>
    </cdr:from>
    <cdr:to>
      <cdr:x>0.3705</cdr:x>
      <cdr:y>0.18327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549922" y="59531"/>
          <a:ext cx="894556" cy="10533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Pourcentage des patients transfusés &gt;</a:t>
          </a:r>
          <a:r>
            <a:rPr lang="fr-BE" sz="1800" b="1" baseline="0"/>
            <a:t> 24 h</a:t>
          </a:r>
          <a:endParaRPr lang="fr-BE" sz="1800" b="1"/>
        </a:p>
      </cdr:txBody>
    </cdr:sp>
  </cdr:relSizeAnchor>
</c:userShapes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0.28175</cdr:x>
      <cdr:y>0.00654</cdr:y>
    </cdr:from>
    <cdr:to>
      <cdr:x>0.38011</cdr:x>
      <cdr:y>0.15712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619375" y="3968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Pourcentage des patients transfusés &lt;24H</a:t>
          </a:r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6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7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8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295274</xdr:colOff>
      <xdr:row>6</xdr:row>
      <xdr:rowOff>104774</xdr:rowOff>
    </xdr:from>
    <xdr:to>
      <xdr:col>14</xdr:col>
      <xdr:colOff>333375</xdr:colOff>
      <xdr:row>33</xdr:row>
      <xdr:rowOff>38099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Statistiques%20CCA%202017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igaux  Karen" refreshedDate="43052.659363773149" createdVersion="4" refreshedVersion="4" minRefreshableVersion="3" recordCount="299">
  <cacheSource type="worksheet">
    <worksheetSource ref="A1:BW309" sheet="Données " r:id="rId2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Blank="1"/>
    </cacheField>
    <cacheField name="Référence" numFmtId="0">
      <sharedItems containsBlank="1"/>
    </cacheField>
    <cacheField name="D/naissance" numFmtId="164">
      <sharedItems containsNonDate="0" containsDate="1" containsString="0" containsBlank="1" minDate="1924-11-06T00:00:00" maxDate="1998-07-04T00:00:00"/>
    </cacheField>
    <cacheField name="Age" numFmtId="1">
      <sharedItems containsSemiMixedTypes="0" containsString="0" containsNumber="1" minValue="0" maxValue="92.950684931506856"/>
    </cacheField>
    <cacheField name="Cardiogéria" numFmtId="1">
      <sharedItems containsBlank="1"/>
    </cacheField>
    <cacheField name="Référant" numFmtId="0">
      <sharedItems containsBlank="1"/>
    </cacheField>
    <cacheField name="Lieu activité" numFmtId="0">
      <sharedItems containsBlank="1"/>
    </cacheField>
    <cacheField name="Lieu activité2" numFmtId="0">
      <sharedItems containsBlank="1"/>
    </cacheField>
    <cacheField name="Chirurgien" numFmtId="0">
      <sharedItems containsBlank="1"/>
    </cacheField>
    <cacheField name="Sexe" numFmtId="0">
      <sharedItems containsBlank="1"/>
    </cacheField>
    <cacheField name="D/opératoire" numFmtId="164">
      <sharedItems containsNonDate="0" containsDate="1" containsString="0" containsBlank="1" minDate="2017-01-02T00:00:00" maxDate="2017-11-09T00:00:00"/>
    </cacheField>
    <cacheField name="Disc HT" numFmtId="0">
      <sharedItems containsNonDate="0" containsDate="1" containsString="0" containsBlank="1" minDate="2016-02-07T00:00:00" maxDate="2017-11-01T00:00:00"/>
    </cacheField>
    <cacheField name="Intervention" numFmtId="0">
      <sharedItems containsBlank="1"/>
    </cacheField>
    <cacheField name="Intervention-activité" numFmtId="0">
      <sharedItems containsBlank="1" count="12">
        <s v="2 V ou plus"/>
        <s v="CABG"/>
        <s v="1 V"/>
        <s v="CABG + 1V"/>
        <s v="Autre"/>
        <s v="1 Pl"/>
        <s v="LVAD"/>
        <s v="Aorte"/>
        <s v="HTX"/>
        <s v="CABG + 2 V"/>
        <m/>
        <s v="AVR" u="1"/>
      </sharedItems>
    </cacheField>
    <cacheField name="Intervention-activité par type" numFmtId="0">
      <sharedItems containsBlank="1" count="16">
        <s v="CABG + V, &gt;1 V"/>
        <s v="CABG"/>
        <s v="1 V"/>
        <s v="Autre"/>
        <s v="1 Pl"/>
        <s v="LVAD"/>
        <s v="HTX"/>
        <s v=" "/>
        <m u="1"/>
        <s v="Valve" u="1"/>
        <s v="LVAD/HTX" u="1"/>
        <s v="Combiné" u="1"/>
        <s v="AVR" u="1"/>
        <s v="MVP" u="1"/>
        <s v="TVR" u="1"/>
        <s v="MVR" u="1"/>
      </sharedItems>
    </cacheField>
    <cacheField name="intervention-valves" numFmtId="0">
      <sharedItems containsMixedTypes="1" containsNumber="1" containsInteger="1" minValue="0" maxValue="0"/>
    </cacheField>
    <cacheField name="valves - activité" numFmtId="0">
      <sharedItems containsMixedTypes="1" containsNumber="1" containsInteger="1" minValue="0" maxValue="0"/>
    </cacheField>
    <cacheField name="Lés. cor." numFmtId="0">
      <sharedItems containsString="0" containsBlank="1" containsNumber="1" containsInteger="1" minValue="1" maxValue="5"/>
    </cacheField>
    <cacheField name="Type RC" numFmtId="0">
      <sharedItems containsBlank="1"/>
    </cacheField>
    <cacheField name="Marque V" numFmtId="0">
      <sharedItems containsBlank="1"/>
    </cacheField>
    <cacheField name="Type V" numFmtId="0">
      <sharedItems containsBlank="1"/>
    </cacheField>
    <cacheField name="Taille V" numFmtId="0">
      <sharedItems containsBlank="1" containsMixedTypes="1" containsNumber="1" containsInteger="1" minValue="19" maxValue="37"/>
    </cacheField>
    <cacheField name="Date révision" numFmtId="164">
      <sharedItems containsNonDate="0" containsDate="1" containsString="0" containsBlank="1" minDate="2017-01-14T00:00:00" maxDate="2017-07-19T00:00:00"/>
    </cacheField>
    <cacheField name="Révision &lt; 24h" numFmtId="0">
      <sharedItems containsString="0" containsBlank="1" containsNumber="1" containsInteger="1" minValue="1" maxValue="2"/>
    </cacheField>
    <cacheField name="Révision &gt;24h" numFmtId="0">
      <sharedItems containsString="0" containsBlank="1" containsNumber="1" containsInteger="1" minValue="1" maxValue="2"/>
    </cacheField>
    <cacheField name="Redo" numFmtId="0">
      <sharedItems containsString="0" containsBlank="1" containsNumber="1" containsInteger="1" minValue="1" maxValue="2"/>
    </cacheField>
    <cacheField name="AVC" numFmtId="0">
      <sharedItems containsString="0" containsBlank="1" containsNumber="1" containsInteger="1" minValue="1" maxValue="1"/>
    </cacheField>
    <cacheField name="IM" numFmtId="0">
      <sharedItems containsNonDate="0" containsString="0" containsBlank="1"/>
    </cacheField>
    <cacheField name="Inf p.op" numFmtId="0">
      <sharedItems containsString="0" containsBlank="1" containsNumber="1" containsInteger="1" minValue="1" maxValue="1"/>
    </cacheField>
    <cacheField name="Transfu &lt;24 h" numFmtId="0">
      <sharedItems containsBlank="1"/>
    </cacheField>
    <cacheField name="T &lt;24 - nb trans" numFmtId="0">
      <sharedItems containsString="0" containsBlank="1" containsNumber="1" containsInteger="1" minValue="1" maxValue="36"/>
    </cacheField>
    <cacheField name="Transfu &gt;24 h" numFmtId="0">
      <sharedItems containsBlank="1"/>
    </cacheField>
    <cacheField name="T &gt;24 h - nb trans" numFmtId="0">
      <sharedItems containsString="0" containsBlank="1" containsNumber="1" containsInteger="1" minValue="1" maxValue="16"/>
    </cacheField>
    <cacheField name="T total" numFmtId="0">
      <sharedItems containsSemiMixedTypes="0" containsString="0" containsNumber="1" containsInteger="1" minValue="0" maxValue="46"/>
    </cacheField>
    <cacheField name="Retour salle" numFmtId="164">
      <sharedItems containsNonDate="0" containsDate="1" containsString="0" containsBlank="1" minDate="2017-01-04T00:00:00" maxDate="2017-11-01T00:00:00"/>
    </cacheField>
    <cacheField name="Nbr de j USI" numFmtId="0">
      <sharedItems containsSemiMixedTypes="0" containsString="0" containsNumber="1" containsInteger="1" minValue="-43047" maxValue="35"/>
    </cacheField>
    <cacheField name="Date de sortie" numFmtId="164">
      <sharedItems containsNonDate="0" containsDate="1" containsString="0" containsBlank="1" minDate="2017-01-09T00:00:00" maxDate="2017-11-11T00:00:00"/>
    </cacheField>
    <cacheField name="Nbr de j hospi" numFmtId="2">
      <sharedItems containsSemiMixedTypes="0" containsString="0" containsNumber="1" containsInteger="1" minValue="-43047" maxValue="43017"/>
    </cacheField>
    <cacheField name="Alive" numFmtId="0">
      <sharedItems containsBlank="1" count="7">
        <s v="ALIVE"/>
        <s v="DECEASED"/>
        <m/>
        <s v="Y" u="1"/>
        <s v="D" u="1"/>
        <s v="A" u="1"/>
        <s v="N" u="1"/>
      </sharedItems>
    </cacheField>
    <cacheField name="DCD Délai d'intervention" numFmtId="0">
      <sharedItems containsString="0" containsBlank="1" containsNumber="1" containsInteger="1" minValue="1" maxValue="4"/>
    </cacheField>
    <cacheField name="Délai intervention" numFmtId="0">
      <sharedItems/>
    </cacheField>
    <cacheField name="Destination" numFmtId="0">
      <sharedItems containsBlank="1"/>
    </cacheField>
    <cacheField name="Réhosp." numFmtId="0">
      <sharedItems containsNonDate="0" containsDate="1" containsString="0" containsBlank="1" minDate="2017-04-10T00:00:00" maxDate="2017-10-06T00:00:00"/>
    </cacheField>
    <cacheField name="Réhosp.&lt; 30 j" numFmtId="0">
      <sharedItems containsString="0" containsBlank="1" containsNumber="1" containsInteger="1" minValue="1" maxValue="1"/>
    </cacheField>
    <cacheField name="Cause réhospit" numFmtId="164">
      <sharedItems containsBlank="1"/>
    </cacheField>
    <cacheField name="Nom3" numFmtId="0">
      <sharedItems containsBlank="1"/>
    </cacheField>
    <cacheField name="RDV postop" numFmtId="0">
      <sharedItems containsDate="1" containsBlank="1" containsMixedTypes="1" minDate="2017-02-02T00:00:00" maxDate="2018-02-06T00:00:00"/>
    </cacheField>
    <cacheField name="Postopt imm" numFmtId="14">
      <sharedItems containsDate="1" containsBlank="1" containsMixedTypes="1" minDate="2017-01-18T00:00:00" maxDate="2017-11-14T00:00:00"/>
    </cacheField>
    <cacheField name="Statut 1" numFmtId="0">
      <sharedItems containsBlank="1"/>
    </cacheField>
    <cacheField name="Commentaires" numFmtId="0">
      <sharedItems containsBlank="1"/>
    </cacheField>
    <cacheField name="postop loint" numFmtId="0">
      <sharedItems containsDate="1" containsBlank="1" containsMixedTypes="1" minDate="2017-04-18T00:00:00" maxDate="2017-11-14T00:00:00"/>
    </cacheField>
    <cacheField name="Statut 2" numFmtId="0">
      <sharedItems containsBlank="1"/>
    </cacheField>
    <cacheField name="Commentaires4" numFmtId="0">
      <sharedItems containsBlank="1"/>
    </cacheField>
    <cacheField name="Inf p.op_RV" numFmtId="0">
      <sharedItems containsSemiMixedTypes="0" containsString="0" containsNumber="1" containsInteger="1" minValue="0" maxValue="1"/>
    </cacheField>
    <cacheField name="Transfu &lt;24 h_RV" numFmtId="0">
      <sharedItems containsSemiMixedTypes="0" containsString="0" containsNumber="1" containsInteger="1" minValue="0" maxValue="1"/>
    </cacheField>
    <cacheField name="Transfu &gt;24 h_RV" numFmtId="0">
      <sharedItems containsSemiMixedTypes="0" containsString="0" containsNumber="1" containsInteger="1" minValue="1" maxValue="1"/>
    </cacheField>
    <cacheField name="délai intervention5" numFmtId="0">
      <sharedItems containsBlank="1" count="6">
        <s v="ELECTIVE"/>
        <s v="EMERGENCY"/>
        <s v="URGENCY"/>
        <s v="SALVAGE"/>
        <s v="ALIVE"/>
        <m u="1"/>
      </sharedItems>
    </cacheField>
    <cacheField name="Inf p.op_RV6" numFmtId="0">
      <sharedItems/>
    </cacheField>
    <cacheField name="Transfu &lt;24 h_RV7" numFmtId="0">
      <sharedItems/>
    </cacheField>
    <cacheField name="Transfu &gt;24 h_RV8" numFmtId="0">
      <sharedItems/>
    </cacheField>
    <cacheField name="Révision &lt; 24h_RV" numFmtId="0">
      <sharedItems/>
    </cacheField>
    <cacheField name="Réhosp.&lt; 30 j_RV" numFmtId="0">
      <sharedItems/>
    </cacheField>
    <cacheField name="Nbr de j hospi_RV" numFmtId="0">
      <sharedItems containsMixedTypes="1" containsNumber="1" containsInteger="1" minValue="1" maxValue="82"/>
    </cacheField>
    <cacheField name="Nbr de j hospi_Hors_RV" numFmtId="0">
      <sharedItems containsMixedTypes="1" containsNumber="1" containsInteger="1" minValue="1" maxValue="82"/>
    </cacheField>
    <cacheField name="Nbr de j hospi_LVAD-TX_RV" numFmtId="0">
      <sharedItems containsMixedTypes="1" containsNumber="1" containsInteger="1" minValue="3" maxValue="47"/>
    </cacheField>
    <cacheField name="Nbr de j USI_RV" numFmtId="0">
      <sharedItems containsMixedTypes="1" containsNumber="1" containsInteger="1" minValue="1" maxValue="35"/>
    </cacheField>
    <cacheField name="Nbr de j USI_Hors_RV" numFmtId="0">
      <sharedItems containsMixedTypes="1" containsNumber="1" containsInteger="1" minValue="1" maxValue="35"/>
    </cacheField>
    <cacheField name="Nbr de j USI_LVAD-TX_RV" numFmtId="0">
      <sharedItems containsMixedTypes="1" containsNumber="1" containsInteger="1" minValue="3" maxValue="22"/>
    </cacheField>
    <cacheField name="Transfu_RV" numFmtId="0">
      <sharedItems/>
    </cacheField>
    <cacheField name="Transfu_Total_RV" numFmtId="0">
      <sharedItems containsMixedTypes="1" containsNumber="1" containsInteger="1" minValue="0" maxValue="46"/>
    </cacheField>
    <cacheField name="Lieu activité_Groupe" numFmtId="0">
      <sharedItems/>
    </cacheField>
    <cacheField name="AVC_RV" numFmtId="0">
      <sharedItems/>
    </cacheField>
    <cacheField name="IM_RV" numFmtId="0">
      <sharedItems/>
    </cacheField>
    <cacheField name="H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igaux  Karen" refreshedDate="43061.636172569444" createdVersion="4" refreshedVersion="4" minRefreshableVersion="3" recordCount="308">
  <cacheSource type="worksheet">
    <worksheetSource ref="A1:BW309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1">
      <sharedItems containsSemiMixedTypes="0" containsString="0" containsNumber="1" containsInteger="1" minValue="0" maxValue="0"/>
    </cacheField>
    <cacheField name="Cardiogéria" numFmtId="1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NonDate="0" containsString="0" containsBlank="1"/>
    </cacheField>
    <cacheField name="Intervention-activité" numFmtId="0">
      <sharedItems containsNonDate="0" containsString="0" containsBlank="1" count="1">
        <m/>
      </sharedItems>
    </cacheField>
    <cacheField name="Intervention-activité par type" numFmtId="0">
      <sharedItems count="1">
        <s v=" "/>
      </sharedItems>
    </cacheField>
    <cacheField name="intervention-valves" numFmtId="0">
      <sharedItems/>
    </cacheField>
    <cacheField name="valves - activité" numFmtId="0">
      <sharedItems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emiMixedTypes="0" containsString="0" containsNumber="1" containsInteger="1" minValue="0" maxValue="30"/>
    </cacheField>
    <cacheField name="Retour salle" numFmtId="164">
      <sharedItems containsNonDate="0" containsString="0" containsBlank="1"/>
    </cacheField>
    <cacheField name="Nbr de j USI" numFmtId="0">
      <sharedItems containsSemiMixedTypes="0" containsString="0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2">
      <sharedItems containsSemiMixedTypes="0" containsString="0" containsNumber="1" containsInteger="1" minValue="0" maxValue="0"/>
    </cacheField>
    <cacheField name="Alive" numFmtId="0">
      <sharedItems containsNonDate="0" containsBlank="1" count="3">
        <m/>
        <s v="ALIVE" u="1"/>
        <s v="DECEASED" u="1"/>
      </sharedItems>
    </cacheField>
    <cacheField name="DCD Délai d'intervention" numFmtId="0">
      <sharedItems containsNonDate="0" containsString="0" containsBlank="1"/>
    </cacheField>
    <cacheField name="Délai intervention" numFmtId="0">
      <sharedItems count="5">
        <s v=" "/>
        <s v="SALVAGE" u="1"/>
        <s v="ELECTIVE" u="1"/>
        <s v="URGENCY" u="1"/>
        <s v="EMERGENCY" u="1"/>
      </sharedItems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164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164">
      <sharedItems containsNonDate="0" containsString="0" containsBlank="1"/>
    </cacheField>
    <cacheField name="Postopt imm" numFmtId="14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emiMixedTypes="0" containsString="0" containsNumber="1" containsInteger="1" minValue="0" maxValue="0"/>
    </cacheField>
    <cacheField name="Transfu &lt;24 h_RV" numFmtId="0">
      <sharedItems containsSemiMixedTypes="0" containsString="0" containsNumber="1" containsInteger="1" minValue="0" maxValue="1"/>
    </cacheField>
    <cacheField name="Transfu &gt;24 h_RV" numFmtId="0">
      <sharedItems containsSemiMixedTypes="0" containsString="0" containsNumber="1" containsInteger="1" minValue="1" maxValue="1"/>
    </cacheField>
    <cacheField name="délai intervention5" numFmtId="0">
      <sharedItems/>
    </cacheField>
    <cacheField name="Inf p.op_RV6" numFmtId="0">
      <sharedItems/>
    </cacheField>
    <cacheField name="Transfu &lt;24 h_RV7" numFmtId="0">
      <sharedItems/>
    </cacheField>
    <cacheField name="Transfu &gt;24 h_RV8" numFmtId="0">
      <sharedItems/>
    </cacheField>
    <cacheField name="Révision &lt; 24h_RV" numFmtId="0">
      <sharedItems/>
    </cacheField>
    <cacheField name="Réhosp.&lt; 30 j_RV" numFmtId="0">
      <sharedItems/>
    </cacheField>
    <cacheField name="Nbr de j hospi_RV" numFmtId="0">
      <sharedItems/>
    </cacheField>
    <cacheField name="Nbr de j hospi_Hors_RV" numFmtId="0">
      <sharedItems/>
    </cacheField>
    <cacheField name="Nbr de j hospi_LVAD-TX_RV" numFmtId="0">
      <sharedItems/>
    </cacheField>
    <cacheField name="Nbr de j USI_RV" numFmtId="0">
      <sharedItems/>
    </cacheField>
    <cacheField name="Nbr de j USI_Hors_RV" numFmtId="0">
      <sharedItems/>
    </cacheField>
    <cacheField name="Nbr de j USI_LVAD-TX_RV" numFmtId="0">
      <sharedItems/>
    </cacheField>
    <cacheField name="Transfu_RV" numFmtId="0">
      <sharedItems/>
    </cacheField>
    <cacheField name="Transfu_Total_RV" numFmtId="0">
      <sharedItems containsMixedTypes="1" containsNumber="1" containsInteger="1" minValue="0" maxValue="30"/>
    </cacheField>
    <cacheField name="Lieu activité_Groupe" numFmtId="0">
      <sharedItems/>
    </cacheField>
    <cacheField name="AVC_RV" numFmtId="0">
      <sharedItems/>
    </cacheField>
    <cacheField name="IM_RV" numFmtId="0">
      <sharedItems count="1">
        <s v="Aucun"/>
      </sharedItems>
    </cacheField>
    <cacheField name="H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Rigaux  Karen" refreshedDate="43061.636172916667" createdVersion="4" refreshedVersion="4" minRefreshableVersion="3" recordCount="325">
  <cacheSource type="worksheet">
    <worksheetSource ref="A1:BW326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/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String="0" containsBlank="1" containsNumber="1" containsInteger="1" minValue="0" maxValue="0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/>
    </cacheField>
    <cacheField name="IM_RV" numFmtId="0">
      <sharedItems containsBlank="1"/>
    </cacheField>
    <cacheField name="H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Rigaux  Karen" refreshedDate="43061.636173032406" createdVersion="4" refreshedVersion="4" minRefreshableVersion="3" recordCount="314">
  <cacheSource type="worksheet">
    <worksheetSource ref="A1:BW315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 count="12">
        <m/>
        <s v="1 V"/>
        <s v="1 Pl"/>
        <s v="Aorte" u="1"/>
        <s v="CABG" u="1"/>
        <s v="LVAD" u="1"/>
        <s v="CABG + 2 V" u="1"/>
        <s v="Autre" u="1"/>
        <s v="CABG + 1V" u="1"/>
        <s v="2 V ou plus" u="1"/>
        <s v="AVR" u="1"/>
        <s v="HTX" u="1"/>
      </sharedItems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 count="4">
        <s v="Aucun"/>
        <m/>
        <s v="Aucune" u="1"/>
        <s v="AVC" u="1"/>
      </sharedItems>
    </cacheField>
    <cacheField name="IM_RV" numFmtId="0">
      <sharedItems containsBlank="1"/>
    </cacheField>
    <cacheField name="HT" numFmtId="0">
      <sharedItems containsBlank="1" count="3">
        <s v="NON"/>
        <m/>
        <s v="OUI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Rigaux  Karen" refreshedDate="43061.636173148145" createdVersion="4" refreshedVersion="4" minRefreshableVersion="3" recordCount="309">
  <cacheSource type="worksheet">
    <worksheetSource ref="A1:BW310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 count="4">
        <s v=" "/>
        <m/>
        <s v="" u="1"/>
        <s v="1" u="1"/>
      </sharedItems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NonDate="0" containsString="0" containsBlank="1"/>
    </cacheField>
    <cacheField name="Intervention-activité" numFmtId="0">
      <sharedItems containsNonDate="0" containsString="0" containsBlank="1"/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 count="4">
        <s v="Aucun"/>
        <m/>
        <s v="Aucune" u="1"/>
        <s v="AVC" u="1"/>
      </sharedItems>
    </cacheField>
    <cacheField name="IM_RV" numFmtId="0">
      <sharedItems containsBlank="1"/>
    </cacheField>
    <cacheField name="H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Rigaux  Karen" refreshedDate="43061.636173263891" createdVersion="4" refreshedVersion="4" minRefreshableVersion="3" recordCount="12">
  <cacheSource type="worksheet">
    <worksheetSource ref="H24:J36" sheet="Pivotr-Type Int"/>
  </cacheSource>
  <cacheFields count="3">
    <cacheField name="Nbre d'intervention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2017" numFmtId="0">
      <sharedItems containsString="0" containsBlank="1" containsNumber="1" containsInteger="1" minValue="13" maxValue="32"/>
    </cacheField>
    <cacheField name="2018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Rigaux  Karen" refreshedDate="43061.636173379629" createdVersion="4" refreshedVersion="4" minRefreshableVersion="3" recordCount="313">
  <cacheSource type="worksheet">
    <worksheetSource ref="A1:BW314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/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/>
    </cacheField>
    <cacheField name="IM_RV" numFmtId="0">
      <sharedItems containsBlank="1"/>
    </cacheField>
    <cacheField name="HT" numFmtId="0">
      <sharedItems containsBlank="1" count="3">
        <s v="NON"/>
        <m/>
        <s v="OUI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Rigaux  Karen" refreshedDate="43061.636173495368" createdVersion="4" refreshedVersion="4" minRefreshableVersion="3" recordCount="317">
  <cacheSource type="worksheet">
    <worksheetSource ref="A1:BW318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 count="4">
        <s v=" "/>
        <m/>
        <s v="" u="1"/>
        <s v="1" u="1"/>
      </sharedItems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/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/>
    </cacheField>
    <cacheField name="IM_RV" numFmtId="0">
      <sharedItems containsBlank="1"/>
    </cacheField>
    <cacheField name="H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Rigaux  Karen" refreshedDate="43061.636173611114" createdVersion="4" refreshedVersion="4" minRefreshableVersion="3" recordCount="311">
  <cacheSource type="worksheet">
    <worksheetSource ref="A1:BW312" sheet="Données "/>
  </cacheSource>
  <cacheFields count="75">
    <cacheField name="Mois" numFmtId="14">
      <sharedItems containsBlank="1" count="15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  <s v="AOUT " u="1"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 count="12">
        <m/>
        <s v="1 V"/>
        <s v="Aorte" u="1"/>
        <s v="CABG" u="1"/>
        <s v="LVAD" u="1"/>
        <s v="1 Pl" u="1"/>
        <s v="CABG + 2 V" u="1"/>
        <s v="Autre" u="1"/>
        <s v="CABG + 1V" u="1"/>
        <s v="2 V ou plus" u="1"/>
        <s v="AVR" u="1"/>
        <s v="HTX" u="1"/>
      </sharedItems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/>
    </cacheField>
    <cacheField name="IM_RV" numFmtId="0">
      <sharedItems containsBlank="1" count="3">
        <s v="Aucun"/>
        <m/>
        <s v="Aucune" u="1"/>
      </sharedItems>
    </cacheField>
    <cacheField name="H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OnLoad="1" refreshedBy="Rigaux  Karen" refreshedDate="43061.653105555553" createdVersion="3" refreshedVersion="4" minRefreshableVersion="3" recordCount="755">
  <cacheSource type="worksheet">
    <worksheetSource ref="A1:BT1048576" sheet="Données "/>
  </cacheSource>
  <cacheFields count="75">
    <cacheField name="Mois" numFmtId="14">
      <sharedItems containsDate="1" containsBlank="1" containsMixedTypes="1" minDate="2016-01-01T00:00:00" maxDate="2016-11-02T00:00:00" count="33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  <s v="OCT 2016" u="1"/>
        <s v="MARS 2016" u="1"/>
        <s v="AOUT 2016" u="1"/>
        <s v="AOUT16" u="1"/>
        <s v="JUIN 2016" u="1"/>
        <s v=" " u="1"/>
        <s v="SEPT 2016" u="1"/>
        <s v="JUIL 2016" u="1"/>
        <d v="2016-01-01T00:00:00" u="1"/>
        <s v="JANVIER 2016" u="1"/>
        <d v="2016-11-01T00:00:00" u="1"/>
        <s v="FEVRIER 2016" u="1"/>
        <s v="MAI 2016" u="1"/>
        <d v="2016-10-01T00:00:00" u="1"/>
        <s v="AVRIL 2016" u="1"/>
        <s v="AOUT " u="1"/>
        <s v="NOV 2016" u="1"/>
        <s v="DEC 2016" u="1"/>
        <s v="FÉVRIER" u="1"/>
      </sharedItems>
    </cacheField>
    <cacheField name="Nom" numFmtId="0">
      <sharedItems containsNonDate="0" containsString="0" containsBlank="1"/>
    </cacheField>
    <cacheField name="Référence" numFmtId="0">
      <sharedItems containsNonDate="0" containsBlank="1" count="556">
        <m/>
        <s v="390308MD01" u="1"/>
        <s v="450701FC09" u="1"/>
        <s v="650701MA03" u="1"/>
        <s v="450309FT02" u="1"/>
        <s v="430304MC01" u="1"/>
        <s v="491221MC01" u="1"/>
        <s v="591107FM02" u="1"/>
        <s v="930515MMAA" u="1"/>
        <s v="300822MT03" u="1"/>
        <s v="480712FM01" u="1"/>
        <s v="460526MBAA" u="1"/>
        <s v="710224MC02" u="1"/>
        <s v="630905MH01" u="1"/>
        <s v="490214FL01" u="1"/>
        <s v="740129FB07" u="1"/>
        <s v="360521MV03" u="1"/>
        <s v="460606MV01" u="1"/>
        <s v="380830MD01" u="1"/>
        <s v="430303MGAA" u="1"/>
        <s v="300410MF01" u="1"/>
        <s v="820518MBAA" u="1"/>
        <s v="371128MM02" u="1"/>
        <s v="490315MD02" u="1"/>
        <s v="430216MD01" u="1"/>
        <s v="650425FC02" u="1"/>
        <s v="300314FSAA" u="1"/>
        <s v="561108MB04" u="1"/>
        <s v="710607FFAA" u="1"/>
        <s v="340818FF02" u="1"/>
        <s v="361213MH01" u="1"/>
        <s v="221030MH01" u="1"/>
        <s v="650125MT01" u="1"/>
        <s v="350708MC03" u="1"/>
        <s v="550318MD01" u="1"/>
        <s v="511205ML01" u="1"/>
        <s v="380102FEAA" u="1"/>
        <s v="520615MV02" u="1"/>
        <s v="460801MM01" u="1"/>
        <s v="630112FPAA" u="1"/>
        <s v="430603FVAA" u="1"/>
        <s v="461017FR02" u="1"/>
        <s v="530909MB03" u="1"/>
        <s v="570613MR01" u="1"/>
        <s v="331231MD03" u="1"/>
        <s v="471028FV02" u="1"/>
        <s v="711202MD02" u="1"/>
        <s v="460927MM01" u="1"/>
        <s v="920507MG02" u="1"/>
        <s v="650504FGAA" u="1"/>
        <s v="470128MD03 " u="1"/>
        <s v="710205MM04" u="1"/>
        <s v="471031MM02" u="1"/>
        <s v="570403MD02" u="1"/>
        <s v="330711FB01" u="1"/>
        <s v="500222MV03 " u="1"/>
        <s v="640720MM01" u="1"/>
        <s v="381106MJ01" u="1"/>
        <s v="661227FA01" u="1"/>
        <s v="330513MD04" u="1"/>
        <s v="490413MD01" u="1"/>
        <s v="591126FV03" u="1"/>
        <s v="521019FVAA" u="1"/>
        <s v="480801MV02" u="1"/>
        <s v="421221MP01" u="1"/>
        <s v="570918MJ01" u="1"/>
        <s v="901227MA03" u="1"/>
        <s v="441231MV01 " u="1"/>
        <s v="480615FF02 " u="1"/>
        <s v="441012MB01" u="1"/>
        <s v="680813MBAA" u="1"/>
        <s v="490203MV03" u="1"/>
        <s v="450224MM01" u="1"/>
        <s v="571007MW02" u="1"/>
        <s v="340812MBAA" u="1"/>
        <s v="240730ML01 " u="1"/>
        <s v="461215FB01" u="1"/>
        <s v="720323MDAA" u="1"/>
        <s v="491105MG02" u="1"/>
        <s v="510101MM11" u="1"/>
        <s v="510720MB01" u="1"/>
        <s v="501122MCAA " u="1"/>
        <s v="390202FV01" u="1"/>
        <s v="410406FM01" u="1"/>
        <s v="380409MR02" u="1"/>
        <s v="580525MP01" u="1"/>
        <s v="361018MD03" u="1"/>
        <s v="501007MC01" u="1"/>
        <s v="361215MH01 " u="1"/>
        <s v="470630MC01" u="1"/>
        <s v="510701MK02" u="1"/>
        <s v="511120MU01" u="1"/>
        <s v="640829MG01" u="1"/>
        <s v="360326MB02" u="1"/>
        <s v="501229MB01" u="1"/>
        <s v="601006MA01 " u="1"/>
        <s v="521124FP01 " u="1"/>
        <s v="400806MKAA" u="1"/>
        <s v="540220MEAA" u="1"/>
        <s v="590224MD01 " u="1"/>
        <s v="351220MV04" u="1"/>
        <s v="470503MM02" u="1"/>
        <s v="510514MT01" u="1"/>
        <s v="550302MF03" u="1"/>
        <s v="430214MF01" u="1"/>
        <s v="451122MN01" u="1"/>
        <s v="291113ME01 " u="1"/>
        <s v="470408MBAA" u="1"/>
        <s v="800116FS04" u="1"/>
        <s v="510606MD07 " u="1"/>
        <s v="490623MT01" u="1"/>
        <s v="330629FE01" u="1"/>
        <s v="471206MG01" u="1"/>
        <s v="311012MG01" u="1"/>
        <s v="490311FF01" u="1"/>
        <s v="520329MH01 " u="1"/>
        <s v="560418FC04" u="1"/>
        <s v="620105MC01" u="1"/>
        <s v="660703FP01" u="1"/>
        <s v="440220FB01" u="1"/>
        <s v="421001FD03" u="1"/>
        <s v="480109MHAA" u="1"/>
        <s v="530821MA02 " u="1"/>
        <s v="580505MR03" u="1"/>
        <s v="520927MG01" u="1"/>
        <s v="420225FS03" u="1"/>
        <s v="541217FD04" u="1"/>
        <s v="561202MC02" u="1"/>
        <s v="450717MV07" u="1"/>
        <s v="350701MM16" u="1"/>
        <s v="470613MM02" u="1"/>
        <s v="511220MV03" u="1"/>
        <s v="560923FCAA" u="1"/>
        <s v="411222MN01" u="1"/>
        <s v="420225MS03" u="1"/>
        <s v="320816MP01" u="1"/>
        <s v="520104FB02 " u="1"/>
        <s v="520713MDAA" u="1"/>
        <s v="550203FP04" u="1"/>
        <s v="360706MB03" u="1"/>
        <s v="400417MZ01" u="1"/>
        <s v="400106MT02" u="1"/>
        <s v="441108FD06 " u="1"/>
        <s v="361110MD03" u="1"/>
        <s v="501017MPAA" u="1"/>
        <s v="531225FW01" u="1"/>
        <s v="300411MD09" u="1"/>
        <s v="540126ML02" u="1"/>
        <s v="360222MD04" u="1"/>
        <s v="580907MA02" u="1"/>
        <s v="660920MG01" u="1"/>
        <s v="620611MA02" u="1"/>
        <s v="321214MD03" u="1"/>
        <s v="361216MD01" u="1"/>
        <s v="370819MT04 " u="1"/>
        <s v="490728ML03 " u="1"/>
        <s v="371214FP01" u="1"/>
        <s v="680517ML07" u="1"/>
        <s v="380923MP01" u="1"/>
        <s v="520616MB02" u="1"/>
        <s v="460205MT01" u="1"/>
        <s v="481229FM03" u="1"/>
        <s v="560902MP01" u="1"/>
        <s v="460215MB01 " u="1"/>
        <s v="641210MC01" u="1"/>
        <s v="450701ME24" u="1"/>
        <s v="930313MG03" u="1"/>
        <s v="540606MFAA" u="1"/>
        <s v="450717FV02" u="1"/>
        <s v="590702FV03" u="1"/>
        <s v="390901FM02" u="1"/>
        <s v="511119FA01" u="1"/>
        <s v="530820FL01" u="1"/>
        <s v="410831FB01 " u="1"/>
        <s v="320324MD04" u="1"/>
        <s v="480317ML01" u="1"/>
        <s v="580629FC02" u="1"/>
        <s v="620328FL03" u="1"/>
        <s v="660305MD02" u="1"/>
        <s v="400406MS01" u="1"/>
        <s v="600714MA01" u="1"/>
        <s v="320203ML01" u="1"/>
        <s v="520102FE03" u="1"/>
        <s v="580101FE02" u="1"/>
        <s v="440831MDAA" u="1"/>
        <s v="380801MMAA" u="1"/>
        <s v="350602MV01" u="1"/>
        <s v="360101MM02" u="1"/>
        <s v="680720FQ01" u="1"/>
        <s v="300903FA01" u="1"/>
        <s v="350629FO01" u="1"/>
        <s v="420917MB04" u="1"/>
        <s v="380120MM03" u="1"/>
        <s v="420701MA22" u="1"/>
        <s v="801118ME02" u="1"/>
        <s v="360816MB01" u="1"/>
        <s v="520000FE08 " u="1"/>
        <s v="500927FA01" u="1"/>
        <s v="370924MM01" u="1"/>
        <s v="630516MG01" u="1"/>
        <s v="600321FGAA" u="1"/>
        <s v="280719ML04" u="1"/>
        <s v="520916MB04" u="1"/>
        <s v="460302MM04" u="1"/>
        <s v="480902MB03" u="1"/>
        <s v="741120ML01" u="1"/>
        <s v="520524FC01" u="1"/>
        <s v="600330FC01" u="1"/>
        <s v="480114MV03" u="1"/>
        <s v="500608ML04" u="1"/>
        <s v="380701MA30" u="1"/>
        <s v="581021MV04" u="1"/>
        <s v="480806MC02" u="1"/>
        <s v="560402MD01" u="1"/>
        <s v="420214FM01" u="1"/>
        <s v="290302MB04" u="1"/>
        <s v="390701MO02" u="1"/>
        <s v="510104MH03 " u="1"/>
        <s v="460807MS02" u="1"/>
        <s v="480906FS03" u="1"/>
        <s v="380715FD03" u="1"/>
        <s v="340308FN02" u="1"/>
        <s v="400401ML02" u="1"/>
        <s v="430117MC04" u="1"/>
        <s v="490701MH05" u="1"/>
        <s v="571126FR01" u="1"/>
        <s v="470804FG01" u="1"/>
        <s v="720916MR03" u="1"/>
        <s v="420309MV03" u="1"/>
        <s v="640928MB01" u="1"/>
        <s v="320526MD01" u="1"/>
        <s v="380323ME01" u="1"/>
        <s v="340829FS01" u="1"/>
        <s v="441116MV01" u="1"/>
        <s v="360522FD01" u="1"/>
        <s v="441103ML01 " u="1"/>
        <s v="510207MC05" u="1"/>
        <s v="631229MB02" u="1"/>
        <s v="350924MF01" u="1"/>
        <s v="410811MF01" u="1"/>
        <s v="510218FJ01" u="1"/>
        <s v="870331FLAA" u="1"/>
        <s v="460709MR01 " u="1"/>
        <s v="460615MD01" u="1"/>
        <s v="580701FB31" u="1"/>
        <s v="261031MV01" u="1"/>
        <s v="670325MB04" u="1"/>
        <s v="510000MK04" u="1"/>
        <s v="440718MT02" u="1"/>
        <s v="700128MN01" u="1"/>
        <s v="440704FD01" u="1"/>
        <s v="390727MP01" u="1"/>
        <s v="390701FB08" u="1"/>
        <s v="490109FL01" u="1"/>
        <s v="371010MS02" u="1"/>
        <s v="311003MS01" u="1"/>
        <s v="600609MM03" u="1"/>
        <s v="600113MN01" u="1"/>
        <s v="471031MD06" u="1"/>
        <s v="391127MD03" u="1"/>
        <s v="611126MC03" u="1"/>
        <s v="690426FB02" u="1"/>
        <s v="500101MRAA" u="1"/>
        <s v="651106MS01" u="1"/>
        <s v="351205MC01" u="1"/>
        <s v="630908MSAA" u="1"/>
        <s v="600530MD03" u="1"/>
        <s v="701017MW01" u="1"/>
        <s v="400629MM02" u="1"/>
        <s v="460518MN02" u="1"/>
        <s v="600619MM02" u="1"/>
        <s v="380408MO02" u="1"/>
        <s v="440926MS01" u="1"/>
        <s v="611015MWAA" u="1"/>
        <s v="350101MOAA" u="1"/>
        <s v="410606FMAA" u="1"/>
        <s v="241106MH01" u="1"/>
        <s v="470329MD05" u="1"/>
        <s v="470815MP01" u="1"/>
        <s v="571119ML01" u="1"/>
        <s v="450508FC03" u="1"/>
        <s v="350903FP02" u="1"/>
        <s v="300802MM06" u="1"/>
        <s v="381128MP01" u="1"/>
        <s v="480302MG02" u="1"/>
        <s v="380622FM01" u="1"/>
        <s v="430701MA27" u="1"/>
        <s v="610406MC04" u="1"/>
        <s v="590614MW01 " u="1"/>
        <s v="620817MR01 " u="1"/>
        <s v="670625MQ01" u="1"/>
        <s v="431114ML02" u="1"/>
        <s v="341103MDAA" u="1"/>
        <s v="631211MC02" u="1"/>
        <s v="700929MT03" u="1"/>
        <s v="520327FO01" u="1"/>
        <s v="550204MM06" u="1"/>
        <s v="510929MP01" u="1"/>
        <s v="590223MD03" u="1"/>
        <s v="660812MHAA" u="1"/>
        <s v="690108ME01" u="1"/>
        <s v="550309MPAB" u="1"/>
        <s v="540828MM02" u="1"/>
        <s v="660108MA01" u="1"/>
        <s v="420921MD03" u="1"/>
        <s v="980806FM01" u="1"/>
        <s v="661026FA01" u="1"/>
        <s v="340413FG01" u="1"/>
        <s v="590809MR02" u="1"/>
        <s v="510623MB04" u="1"/>
        <s v="350923MP01" u="1"/>
        <s v="530614MB02" u="1"/>
        <s v="490904MA01" u="1"/>
        <s v="571107MM01" u="1"/>
        <s v="591213MD01" u="1"/>
        <s v="390411MA01 " u="1"/>
        <s v="470628MVAA" u="1"/>
        <s v="690106MAAA" u="1"/>
        <s v="360101FC09" u="1"/>
        <s v="600812MT01" u="1"/>
        <s v="520804MS02 " u="1"/>
        <s v="650306MT02" u="1"/>
        <s v="390228FM01" u="1"/>
        <s v="630703FB02" u="1"/>
        <s v="600919MM02" u="1"/>
        <s v="380503FH03" u="1"/>
        <s v="440224FV01 " u="1"/>
        <s v="390428ML01" u="1"/>
        <s v="410129MM01" u="1"/>
        <s v="560402MSAA" u="1"/>
        <s v="410225ML01" u="1"/>
        <s v="430621MB02" u="1"/>
        <s v="430108FL02 " u="1"/>
        <s v="480804MV02" u="1"/>
        <s v="480816FV01" u="1"/>
        <s v="561002MJ03" u="1"/>
        <s v="580719FE01 " u="1"/>
        <s v="440514FW01" u="1"/>
        <s v="481024FJ02" u="1"/>
        <s v="381024FB01" u="1"/>
        <s v="470715MD07" u="1"/>
        <s v="500101MEAC" u="1"/>
        <s v="610302FD01" u="1"/>
        <s v="520923MM03" u="1"/>
        <s v="440724MF01" u="1"/>
        <s v="401017MB01" u="1"/>
        <s v="421016MB01" u="1"/>
        <s v="461104FB01" u="1"/>
        <s v="550829MR01" u="1"/>
        <s v="491128MF01" u="1"/>
        <s v="470217FV03" u="1"/>
        <s v="350623FD05" u="1"/>
        <s v="350613MC01" u="1"/>
        <s v="310613FS02" u="1"/>
        <s v="460901MV04" u="1"/>
        <s v="520923MM02" u="1"/>
        <s v="420630ML02 " u="1"/>
        <s v="600811MM01" u="1"/>
        <s v="500915FD03 " u="1"/>
        <s v="460329MCAA " u="1"/>
        <s v="330908MS04" u="1"/>
        <s v="490906FD06" u="1"/>
        <s v="560213FMAA" u="1"/>
        <s v="331222FC01 " u="1"/>
        <s v="360115MC04" u="1"/>
        <s v="340901MV03" u="1"/>
        <s v="380605MH01" u="1"/>
        <s v="460406MA01" u="1"/>
        <s v="541008FS01" u="1"/>
        <s v="790727MS02" u="1"/>
        <s v="520215MMAA" u="1"/>
        <s v="571130ME01" u="1"/>
        <s v="411218FD01 " u="1"/>
        <s v="490530MOAA" u="1"/>
        <s v="460725MG01" u="1"/>
        <s v="520330MH02" u="1"/>
        <s v="600111MB04" u="1"/>
        <s v="601129MB01" u="1"/>
        <s v="621118MR01" u="1"/>
        <s v="540819FW01" u="1"/>
        <s v="490906MD05" u="1"/>
        <s v="370809ML02" u="1"/>
        <s v="310807MS01" u="1"/>
        <s v="411207ML01 " u="1"/>
        <s v="710317MAAA" u="1"/>
        <s v="980703MG01" u="1"/>
        <s v="461108MS01" u="1"/>
        <s v="880830FF02" u="1"/>
        <s v="600328MEAA" u="1"/>
        <s v="570515MM03" u="1"/>
        <s v="511009MH03" u="1"/>
        <s v="471009MH01" u="1"/>
        <s v="550624FL02" u="1"/>
        <s v="430603MD01" u="1"/>
        <s v="540522MP02" u="1"/>
        <s v="421012MS03" u="1"/>
        <s v="601016FK01" u="1"/>
        <s v="410520MD02" u="1"/>
        <s v="430721MC01" u="1"/>
        <s v="591205FG01" u="1"/>
        <s v="540104MS02" u="1"/>
        <s v="710718ML02" u="1"/>
        <s v="570702MD01" u="1"/>
        <s v="330411MM01" u="1"/>
        <s v="511111MV01" u="1"/>
        <s v="800107MS02" u="1"/>
        <s v="530917MEAA " u="1"/>
        <s v="641101MD06" u="1"/>
        <s v="460616FB04" u="1"/>
        <s v="641201MC04" u="1"/>
        <s v="490215MO01" u="1"/>
        <s v="711008MP02" u="1"/>
        <s v="390425MD01 " u="1"/>
        <s v="370220MV01" u="1"/>
        <s v="330910MC02" u="1"/>
        <s v="430401FV03" u="1"/>
        <s v="470107MDAA" u="1"/>
        <s v="560908MH01" u="1"/>
        <s v="501204MD06" u="1"/>
        <s v="380527FJ01" u="1"/>
        <s v="560517FB01" u="1"/>
        <s v="501010MS02" u="1"/>
        <s v="631002MP03" u="1"/>
        <s v="480807MB05" u="1"/>
        <s v="410701MFAA " u="1"/>
        <s v="410404FRAA" u="1"/>
        <s v="401129FD01" u="1"/>
        <s v="381020FD01" u="1"/>
        <s v="570727MM02" u="1"/>
        <s v="570120MG01" u="1"/>
        <s v="460503FFAA" u="1"/>
        <s v="580424MR01" u="1"/>
        <s v="400613MA01" u="1"/>
        <s v="420124FD02" u="1"/>
        <s v="501012MD02" u="1"/>
        <s v="590221MG01" u="1"/>
        <s v="451126MH01" u="1"/>
        <s v="411011MP02" u="1"/>
        <s v="480331MC03" u="1"/>
        <s v="660224MS01" u="1"/>
        <s v="441116MM04" u="1"/>
        <s v="621208MB01 " u="1"/>
        <s v="301227FL02" u="1"/>
        <s v="390208MA01" u="1"/>
        <s v="811219FP02" u="1"/>
        <s v="590318FLAA" u="1"/>
        <s v="560307MD01" u="1"/>
        <s v="571005MMAA" u="1"/>
        <s v="600213MS01" u="1"/>
        <s v="470121FDAA" u="1"/>
        <s v="910201FCAA" u="1"/>
        <s v="630101FDAA" u="1"/>
        <s v="421120FD02" u="1"/>
        <s v="571017MB03" u="1"/>
        <s v="490214MV01 " u="1"/>
        <s v="300101MHAA" u="1"/>
        <s v="351110MP01" u="1"/>
        <s v="410120FV03 " u="1"/>
        <s v="660909MY01" u="1"/>
        <s v="580402MD04" u="1"/>
        <s v="501015MM02" u="1"/>
        <s v="430226MP01" u="1"/>
        <s v="370914ME01" u="1"/>
        <s v="490701MM10" u="1"/>
        <s v="441203MPAA" u="1"/>
        <s v="580424MD04" u="1"/>
        <s v="430315FDAA" u="1"/>
        <s v="380214FE01" u="1"/>
        <s v="430611FBAA" u="1"/>
        <s v="281214FM01" u="1"/>
        <s v="340413MWAA" u="1"/>
        <s v="530331MM02 " u="1"/>
        <s v="490603FP05" u="1"/>
        <s v="340728MC03" u="1"/>
        <s v="580426MD02" u="1"/>
        <s v="460324MD01" u="1"/>
        <s v="640513MC02" u="1"/>
        <s v="680503MS01" u="1"/>
        <s v="540420MC02" u="1"/>
        <s v="420822MA01" u="1"/>
        <s v="360516FL02" u="1"/>
        <s v="540322FD02" u="1"/>
        <s v="590701ME20" u="1"/>
        <s v="520621FD08" u="1"/>
        <s v="410101FA11" u="1"/>
        <s v="351006FC01" u="1"/>
        <s v="610716MRAA" u="1"/>
        <s v="440117MT02 " u="1"/>
        <s v="561209MF01" u="1"/>
        <s v="400511MC01" u="1"/>
        <s v="590819MG01" u="1"/>
        <s v="790517MH01" u="1"/>
        <s v="661202MAAA" u="1"/>
        <s v="610630FV02" u="1"/>
        <s v="680304MK01 " u="1"/>
        <s v="511112MMAA" u="1"/>
        <s v="641201ME01" u="1"/>
        <s v="470618MP01" u="1"/>
        <s v="560505MPAA" u="1"/>
        <s v="530101MC06" u="1"/>
        <s v="430425MV01 " u="1"/>
        <s v="490507FB04" u="1"/>
        <s v="341228FBAA" u="1"/>
        <s v="440205FBAA" u="1"/>
        <s v="650522MSAA" u="1"/>
        <s v="520613MD04" u="1"/>
        <s v="620301MM03" u="1"/>
        <s v="450111FD08" u="1"/>
        <s v="370922MT02 " u="1"/>
        <s v="530612MW01" u="1"/>
        <s v="630808MKAA" u="1"/>
        <s v="570420MDAA" u="1"/>
        <s v="610305MMAA" u="1"/>
        <s v="690223MB02" u="1"/>
        <s v="530203MB01" u="1"/>
        <s v="411106FK01" u="1"/>
        <s v="510402FA01" u="1"/>
        <s v="360628MM03" u="1"/>
        <s v="320329MV02" u="1"/>
        <s v="450804MSAA" u="1"/>
        <s v="460122MV01" u="1"/>
        <s v="460515FM01" u="1"/>
        <s v="400401FE01" u="1"/>
        <s v="390122MD06" u="1"/>
        <s v="890517MA01" u="1"/>
        <s v="370818MH01" u="1"/>
        <s v="540118FSAA" u="1"/>
        <s v="451014FL03" u="1"/>
        <s v="550626MLAA" u="1"/>
        <s v="420824MD05" u="1"/>
        <s v="600511MT02" u="1"/>
        <s v="720123MBAA" u="1"/>
        <s v="351026MD02" u="1"/>
        <s v="670811MG01" u="1"/>
        <s v="360615FAAA" u="1"/>
        <s v="390116FD01" u="1"/>
        <s v="720315MF02" u="1"/>
        <s v="430219FWAA" u="1"/>
        <s v="401029FDAA" u="1"/>
        <s v="351106MD01" u="1"/>
        <s v="330215FS01" u="1"/>
        <s v="500606MV06" u="1"/>
        <s v="380129MP01" u="1"/>
        <s v="440329MG02" u="1"/>
        <s v="440616MM01" u="1"/>
        <s v="330226FGAA" u="1"/>
        <s v="561201MG02" u="1"/>
        <s v="530211MS04" u="1"/>
        <s v="710418MB01" u="1"/>
        <s v="630324MP02 " u="1"/>
        <s v="541005MLAA" u="1"/>
        <s v="311027ML01" u="1"/>
        <s v="490825MLAA" u="1"/>
        <s v="430323MFAA" u="1"/>
        <s v="430425FDAA " u="1"/>
        <s v="400609FF01" u="1"/>
      </sharedItems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Blank="1" count="99">
        <m/>
        <s v="PREUMONT" u="1"/>
        <s v="CAILLEAU" u="1"/>
        <s v="NEURO" u="1"/>
        <s v="DEGAUTE" u="1"/>
        <s v="PAUCAR" u="1"/>
        <s v="EWALENKO" u="1"/>
        <s v="RIVIERE" u="1"/>
        <s v="HAGE" u="1"/>
        <s v="VELEZ" u="1"/>
        <s v="RENARD" u="1"/>
        <s v="ROUSSOULIERES" u="1"/>
        <s v="PATIENT" u="1"/>
        <s v="MED INT" u="1"/>
        <s v="PARENT" u="1"/>
        <s v="CREPLET" u="1"/>
        <s v="VANDERGOTEN" u="1"/>
        <s v="VAN DE BORNE" u="1"/>
        <s v="MENASSEL" u="1"/>
        <s v="LIPSKI" u="1"/>
        <s v="MISSOUNI" u="1"/>
        <s v="DE WACHTER" u="1"/>
        <s v="USI" u="1"/>
        <s v="SARTIEAUX" u="1"/>
        <s v="UC" u="1"/>
        <s v="SCHOLLIERS" u="1"/>
        <s v="ROGOWSKY" u="1"/>
        <s v="KHODADADI" u="1"/>
        <s v="VAN NOOTEN" u="1"/>
        <s v="KANKWENDA" u="1"/>
        <s v="BLANKOFF" u="1"/>
        <s v="PLEIN" u="1"/>
        <s v="CARDIO" u="1"/>
        <s v="DESCAMPS" u="1"/>
        <s v="NAJEM" u="1"/>
        <s v="ZENAGUI" u="1"/>
        <s v="HEDESHI" u="1"/>
        <s v="BONDUE" u="1"/>
        <s v="KNOOP" u="1"/>
        <s v="CASADO" u="1"/>
        <s v="LOMMEL" u="1"/>
        <s v="FERREIRA" u="1"/>
        <s v="GASSEVALIS" u="1"/>
        <s v="DEPAEPE" u="1"/>
        <s v="VISEUR" u="1"/>
        <s v="GASTRO" u="1"/>
        <s v="GASSAVELIS" u="1"/>
        <s v="ABDESSATER" u="1"/>
        <s v="GERAIN" u="1"/>
        <s v="MARCHAND" u="1"/>
        <s v="GHUYS" u="1"/>
        <s v="KERSTEN" u="1"/>
        <s v="EL MOURAD" u="1"/>
        <s v="DAYEH" u="1"/>
        <s v="GREGOIRE" u="1"/>
        <s v="KHOUZAM" u="1"/>
        <s v="PULBERE" u="1"/>
        <s v="DEREPPE" u="1"/>
        <s v="KOUZHAM" u="1"/>
        <s v="VACHIERY" u="1"/>
        <s v="PONSART" u="1"/>
        <s v="CONTU" u="1"/>
        <s v="DELATTE" u="1"/>
        <s v="CATEZ" u="1"/>
        <s v="VANDENBERGH" u="1"/>
        <s v="CARLIER" u="1"/>
        <s v="URGENCES" u="1"/>
        <s v="DEDOBBELEER" u="1"/>
        <s v="BERKENBOOM" u="1"/>
        <s v="PIRSON" u="1"/>
        <s v="VAD" u="1"/>
        <s v="ONGA" u="1"/>
        <s v="LEMOGOUM" u="1"/>
        <s v="BAROUD" u="1"/>
        <s v="CHAPELLE" u="1"/>
        <s v="SHITA" u="1"/>
        <s v="MIRICA" u="1"/>
        <s v="MANTIA" u="1"/>
        <s v="MT" u="1"/>
        <s v="MERVEILLE" u="1"/>
        <s v="DETHY" u="1"/>
        <s v="ADAM" u="1"/>
        <s v="MEDECINE INTERNE" u="1"/>
        <s v="???" u="1"/>
        <s v="DE WILDE" u="1"/>
        <s v="GERIATRIE" u="1"/>
        <s v="VANDERAUWERA" u="1"/>
        <s v="BAR" u="1"/>
        <s v="MAHIEU" u="1"/>
        <s v="RISOS" u="1"/>
        <s v="ABRAMOWICZ" u="1"/>
        <s v="BRAD" u="1"/>
        <s v="WEBER" u="1"/>
        <s v="KHALDI" u="1"/>
        <s v="MARCHAND " u="1"/>
        <s v="JAMART" u="1"/>
        <s v="DROOGMANS" u="1"/>
        <s v="LENAERS" u="1"/>
        <s v="KEFER" u="1"/>
      </sharedItems>
    </cacheField>
    <cacheField name="Lieu activité" numFmtId="0">
      <sharedItems containsNonDate="0" containsBlank="1" count="63">
        <m/>
        <s v="ERASME VASCULAIRE" u="1"/>
        <s v="ST-PIERRE" u="1"/>
        <s v="CAILLEAU" u="1"/>
        <s v="LIEGE" u="1"/>
        <s v="CHIREC PARC" u="1"/>
        <s v="ST-LUC" u="1"/>
        <s v="VALIDA" u="1"/>
        <s v="HAGE" u="1"/>
        <s v="NIVELLES" u="1"/>
        <s v="ERASME MI" u="1"/>
        <s v="AMBROISE PARE" u="1"/>
        <s v="PATIENT" u="1"/>
        <s v="CREPLET" u="1"/>
        <s v="MENASSEL" u="1"/>
        <s v="ERASME CARDIO" u="1"/>
        <s v="CHIREC BASILIQUE" u="1"/>
        <s v="CHIREC BRAINE" u="1"/>
        <s v="SARTIEAUX" u="1"/>
        <s v="ERASME URGENCES" u="1"/>
        <s v="CT" u="1"/>
        <s v="BRACOPS" u="1"/>
        <s v="BHC OTTIGNIES" u="1"/>
        <s v="ERASME PNEUMO" u="1"/>
        <s v="NAJEM" u="1"/>
        <s v="ZENAGUI" u="1"/>
        <s v="EPICURA HORNU" u="1"/>
        <s v="ERASME MED INT" u="1"/>
        <s v="ST-MICHEL" u="1"/>
        <s v="CHIREC EDITH" u="1"/>
        <s v="POLY ENGHIEN" u="1"/>
        <s v="DEPAEPE" u="1"/>
        <s v="VISEUR" u="1"/>
        <s v="GASSAVELIS" u="1"/>
        <s v="ERASME NEURO" u="1"/>
        <s v="ABDESSATER" u="1"/>
        <s v="ERASME GASTRO" u="1"/>
        <s v="CHIREC EDITH CAVELL" u="1"/>
        <s v="CHU CHARLEROI" u="1"/>
        <s v="GREGOIRE" u="1"/>
        <s v="KHOUZAM" u="1"/>
        <s v="LOTHIER" u="1"/>
        <s v="ERASME VAD" u="1"/>
        <s v="ERASME CHIR CAR" u="1"/>
        <s v="CHR HAUTE SENNE" u="1"/>
        <s v="CHIREC PARC LEOPOLD" u="1"/>
        <s v="????" u="1"/>
        <s v="CHU Liège" u="1"/>
        <s v="CHR Citadelle" u="1"/>
        <s v="CHAPELLE" u="1"/>
        <s v="MT" u="1"/>
        <s v="EPICURA BAUDOUR" u="1"/>
        <s v="CHIREC STE ANNE" u="1"/>
        <s v="CHR HUY" u="1"/>
        <s v="???" u="1"/>
        <s v="BRAD" u="1"/>
        <s v="ERASME USI" u="1"/>
        <s v="ERASME ETRANGER" u="1"/>
        <s v="CHWAPI TOURNAI" u="1"/>
        <s v="UZ JETTE" u="1"/>
        <s v="ERASME GERIATRIE" u="1"/>
        <s v="EPICURA ATH" u="1"/>
        <s v="JAMART" u="1"/>
      </sharedItems>
      <fieldGroup par="72"/>
    </cacheField>
    <cacheField name="Lieu activité2" numFmtId="0">
      <sharedItems containsNonDate="0" containsString="0" containsBlank="1"/>
    </cacheField>
    <cacheField name="Chirurgien" numFmtId="0">
      <sharedItems containsNonDate="0" containsBlank="1" count="6">
        <m/>
        <s v="FV" u="1"/>
        <s v="BE" u="1"/>
        <s v="MLC" u="1"/>
        <s v="GVN" u="1"/>
        <s v="MA" u="1"/>
      </sharedItems>
    </cacheField>
    <cacheField name="Sexe" numFmtId="0">
      <sharedItems containsNonDate="0" containsString="0" containsBlank="1"/>
    </cacheField>
    <cacheField name="D/opératoire" numFmtId="164">
      <sharedItems containsNonDate="0" containsDate="1" containsString="0" containsBlank="1" minDate="1905-01-01T00:00:00" maxDate="1905-01-01T00:00:00" count="1">
        <m/>
      </sharedItems>
      <fieldGroup par="73" base="11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/01/1905"/>
        </groupItems>
      </fieldGroup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 count="17">
        <m/>
        <s v="1 V"/>
        <s v="1 Pl"/>
        <s v="Aorte" u="1"/>
        <s v="CABG" u="1"/>
        <s v="LVAD" u="1"/>
        <s v="CABG + 2V" u="1"/>
        <s v="CABG + 2 V" u="1"/>
        <s v="TX" u="1"/>
        <s v="Autre" u="1"/>
        <s v="CABG + 1V" u="1"/>
        <s v="CABG + 1 V" u="1"/>
        <s v="RVAO" u="1"/>
        <s v="2 V ou plus" u="1"/>
        <s v="AVR" u="1"/>
        <s v="RVAD" u="1"/>
        <s v="HTX" u="1"/>
      </sharedItems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 containsMixedTypes="1" containsNumber="1" containsInteger="1" minValue="0" maxValue="0" count="3">
        <s v=" "/>
        <m/>
        <n v="0" u="1"/>
      </sharedItems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Blank="1" containsMixedTypes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Blank="1" count="7">
        <m/>
        <s v="Y" u="1"/>
        <s v="D" u="1"/>
        <s v="A" u="1"/>
        <s v="DECEASED" u="1"/>
        <s v="N" u="1"/>
        <s v="ALIVE" u="1"/>
      </sharedItems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Date="1" containsString="0" containsBlank="1" minDate="2016-06-24T00:00:00" maxDate="2016-07-07T00:00:00" count="5">
        <m/>
        <d v="2016-07-05T00:00:00" u="1"/>
        <d v="2016-07-06T00:00:00" u="1"/>
        <d v="2016-06-28T00:00:00" u="1"/>
        <d v="2016-06-24T00:00:00" u="1"/>
      </sharedItems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String="0" containsBlank="1" containsNumber="1" containsInteger="1" minValue="0" maxValue="0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 count="3">
        <s v="Aucune"/>
        <m/>
        <s v="Infection" u="1"/>
      </sharedItems>
    </cacheField>
    <cacheField name="Transfu &lt;24 h_RV7" numFmtId="0">
      <sharedItems containsBlank="1" count="3">
        <s v="Transfusion"/>
        <s v="Aucune"/>
        <m/>
      </sharedItems>
    </cacheField>
    <cacheField name="Transfu &gt;24 h_RV8" numFmtId="0">
      <sharedItems containsBlank="1" count="3">
        <s v="Aucune"/>
        <m/>
        <s v="Transfusé" u="1"/>
      </sharedItems>
    </cacheField>
    <cacheField name="Révision &lt; 24h_RV" numFmtId="0">
      <sharedItems containsBlank="1" count="3">
        <s v="NON"/>
        <m/>
        <s v="OUI" u="1"/>
      </sharedItems>
    </cacheField>
    <cacheField name="Réhosp.&lt; 30 j_RV" numFmtId="0">
      <sharedItems containsBlank="1" count="3">
        <s v="NON"/>
        <m/>
        <s v="OUI" u="1"/>
      </sharedItems>
    </cacheField>
    <cacheField name="Nbr de j hospi_RV" numFmtId="0">
      <sharedItems containsBlank="1" containsMixedTypes="1" containsNumber="1" containsInteger="1" minValue="1" maxValue="43059" count="81">
        <s v="Inconnu"/>
        <m/>
        <n v="7" u="1"/>
        <n v="3" u="1"/>
        <n v="43059" u="1"/>
        <n v="82" u="1"/>
        <n v="53" u="1"/>
        <n v="42500" u="1"/>
        <n v="68" u="1"/>
        <n v="29" u="1"/>
        <n v="19" u="1"/>
        <n v="42384" u="1"/>
        <n v="140" u="1"/>
        <n v="59" u="1"/>
        <n v="39" u="1"/>
        <n v="42501" u="1"/>
        <n v="67" u="1"/>
        <n v="42408" u="1"/>
        <n v="22" u="1"/>
        <n v="14" u="1"/>
        <n v="9" u="1"/>
        <n v="6" u="1"/>
        <n v="42863" u="1"/>
        <n v="1" u="1"/>
        <n v="45" u="1"/>
        <n v="42444" u="1"/>
        <n v="38" u="1"/>
        <n v="25" u="1"/>
        <n v="42468" u="1"/>
        <n v="42410" u="1"/>
        <n v="42480" u="1"/>
        <n v="42562" u="1"/>
        <n v="28" u="1"/>
        <n v="18" u="1"/>
        <n v="12" u="1"/>
        <n v="5" u="1"/>
        <n v="2" u="1"/>
        <n v="42982" u="1"/>
        <n v="57" u="1"/>
        <n v="37" u="1"/>
        <n v="50" u="1"/>
        <n v="42808" u="1"/>
        <n v="31" u="1"/>
        <n v="21" u="1"/>
        <n v="42983" u="1"/>
        <n v="42412" u="1"/>
        <n v="43" u="1"/>
        <n v="42436" u="1"/>
        <n v="42506" u="1"/>
        <n v="56" u="1"/>
        <n v="36" u="1"/>
        <n v="24" u="1"/>
        <n v="15" u="1"/>
        <n v="10" u="1"/>
        <n v="4" u="1"/>
        <n v="49" u="1"/>
        <n v="42437" u="1"/>
        <n v="42472" u="1"/>
        <n v="42" u="1"/>
        <n v="27" u="1"/>
        <n v="17" u="1"/>
        <n v="35" u="1"/>
        <n v="42380" u="1"/>
        <n v="48" u="1"/>
        <n v="30" u="1"/>
        <n v="20" u="1"/>
        <n v="13" u="1"/>
        <n v="8" u="1"/>
        <n v="42870" u="1"/>
        <n v="42777" u="1"/>
        <n v="41" u="1"/>
        <n v="34" u="1"/>
        <n v="42836" u="1"/>
        <n v="23" u="1"/>
        <n v="70" u="1"/>
        <n v="47" u="1"/>
        <n v="42802" u="1"/>
        <n v="40" u="1"/>
        <n v="26" u="1"/>
        <n v="16" u="1"/>
        <n v="11" u="1"/>
      </sharedItems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 containsMixedTypes="1" containsNumber="1" containsInteger="1" minValue="1" maxValue="42521" count="43">
        <s v="Inconnu"/>
        <m/>
        <n v="34" u="1"/>
        <n v="13" u="1"/>
        <n v="5" u="1"/>
        <n v="14" u="1"/>
        <n v="42405" u="1"/>
        <n v="42374" u="1"/>
        <n v="15" u="1"/>
        <n v="2" u="1"/>
        <n v="6" u="1"/>
        <n v="42494" u="1"/>
        <n v="16" u="1"/>
        <n v="17" u="1"/>
        <n v="50" u="1"/>
        <n v="19" u="1"/>
        <n v="7" u="1"/>
        <n v="42521" u="1"/>
        <n v="21" u="1"/>
        <n v="35" u="1"/>
        <n v="22" u="1"/>
        <n v="42377" u="1"/>
        <n v="1" u="1"/>
        <n v="23" u="1"/>
        <n v="3" u="1"/>
        <n v="8" u="1"/>
        <n v="39" u="1"/>
        <n v="24" u="1"/>
        <n v="42466" u="1"/>
        <n v="9" u="1"/>
        <n v="42404" u="1"/>
        <n v="27" u="1"/>
        <n v="10" u="1"/>
        <n v="28" u="1"/>
        <n v="42473" u="1"/>
        <n v="42493" u="1"/>
        <n v="29" u="1"/>
        <n v="42462" u="1"/>
        <n v="11" u="1"/>
        <n v="42431" u="1"/>
        <n v="4" u="1"/>
        <n v="12" u="1"/>
        <n v="32" u="1"/>
      </sharedItems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 count="4">
        <s v="Transfusé"/>
        <s v="Aucune"/>
        <m/>
        <e v="#REF!" u="1"/>
      </sharedItems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 count="21">
        <e v="#N/A"/>
        <m/>
        <s v="CHIREC" u="1"/>
        <s v="ST-MICHEL" u="1"/>
        <s v="CT" u="1"/>
        <s v="BHC OTTIGNIES" u="1"/>
        <s v="CHWAPI TOURNAI" u="1"/>
        <s v="PATIENT" u="1"/>
        <s v="MT" u="1"/>
        <s v="EPICURA" u="1"/>
        <s v="ST-LUC" u="1"/>
        <s v="VALIDA" u="1"/>
        <s v="UZ JETTE" u="1"/>
        <s v="AMBROISE PARE" u="1"/>
        <s v="CHU CHARLEROI" u="1"/>
        <s v="ERASME" u="1"/>
        <s v="ST PIERRE" u="1"/>
        <s v="NIVELLES" u="1"/>
        <s v="POLY ENGHIEN" u="1"/>
        <s v="BRACOPS" u="1"/>
        <s v="CHR HAUTE SENNE" u="1"/>
      </sharedItems>
    </cacheField>
    <cacheField name="Lieu activité2_2" numFmtId="0" databaseField="0">
      <fieldGroup base="7">
        <discretePr count="63">
          <x v="8"/>
          <x v="11"/>
          <x v="26"/>
          <x v="47"/>
          <x v="19"/>
          <x v="25"/>
          <x v="31"/>
          <x v="32"/>
          <x v="48"/>
          <x v="7"/>
          <x v="11"/>
          <x v="22"/>
          <x v="5"/>
          <x v="42"/>
          <x v="38"/>
          <x v="11"/>
          <x v="9"/>
          <x v="9"/>
          <x v="51"/>
          <x v="11"/>
          <x v="0"/>
          <x v="3"/>
          <x v="2"/>
          <x v="11"/>
          <x v="43"/>
          <x v="34"/>
          <x v="10"/>
          <x v="27"/>
          <x v="46"/>
          <x v="24"/>
          <x v="50"/>
          <x v="39"/>
          <x v="45"/>
          <x v="35"/>
          <x v="15"/>
          <x v="40"/>
          <x v="21"/>
          <x v="9"/>
          <x v="23"/>
          <x v="41"/>
          <x v="37"/>
          <x v="16"/>
          <x v="29"/>
          <x v="11"/>
          <x v="1"/>
          <x v="9"/>
          <x v="17"/>
          <x v="13"/>
          <x v="14"/>
          <x v="49"/>
          <x v="6"/>
          <x v="18"/>
          <x v="20"/>
          <x v="12"/>
          <x v="28"/>
          <x v="36"/>
          <x v="11"/>
          <x v="11"/>
          <x v="4"/>
          <x v="33"/>
          <x v="30"/>
          <x v="10"/>
          <x v="44"/>
        </discretePr>
        <groupItems count="52">
          <s v="CT"/>
          <s v="CHR HAUTE SENNE"/>
          <s v="BHC OTTIGNIES"/>
          <s v="BRACOPS"/>
          <s v="CHWAPI TOURNAI"/>
          <s v="PATIENT"/>
          <s v="MT"/>
          <s v="NIVELLES"/>
          <m/>
          <s v="Group1"/>
          <s v="Group2"/>
          <s v="Group3"/>
          <s v="CHR HUY"/>
          <s v="CHU Liège"/>
          <s v="CHR Citadelle"/>
          <s v="ERASME NEURO"/>
          <s v="LOTHIER"/>
          <s v="????"/>
          <s v="EPICURA BAUDOUR"/>
          <s v="LIEGE"/>
          <s v="CHIREC STE ANNE"/>
          <s v="ERASME GASTRO"/>
          <s v="AMBROISE PARE"/>
          <s v="CHU CHARLEROI"/>
          <s v="CHIREC EDITH"/>
          <s v="CHIREC PARC"/>
          <s v="ST-PIERRE"/>
          <s v="ERASME MED INT"/>
          <s v="???"/>
          <s v="ERASME VAD"/>
          <s v="ERASME GERIATRIE"/>
          <s v="ST-LUC"/>
          <s v="VALIDA"/>
          <s v="UZ JETTE"/>
          <s v="ZENAGUI"/>
          <s v="GASSAVELIS"/>
          <s v="BRAD"/>
          <s v="KHOUZAM"/>
          <s v="MENASSEL"/>
          <s v="DEPAEPE"/>
          <s v="ABDESSATER"/>
          <s v="GREGOIRE"/>
          <s v="CREPLET"/>
          <s v="NAJEM"/>
          <s v="JAMART"/>
          <s v="VISEUR"/>
          <s v="ST-MICHEL"/>
          <s v="CAILLEAU"/>
          <s v="HAGE"/>
          <s v="CHAPELLE"/>
          <s v="POLY ENGHIEN"/>
          <s v="SARTIEAUX"/>
        </groupItems>
      </fieldGroup>
    </cacheField>
    <cacheField name="Years" numFmtId="0" databaseField="0">
      <fieldGroup base="11">
        <rangePr groupBy="years" startDate="1905-01-01T00:00:00" endDate="1905-01-01T00:00:00"/>
        <groupItems count="3">
          <s v="&lt;1/01/1905"/>
          <s v="1905"/>
          <s v="&gt;1/01/1905"/>
        </groupItems>
      </fieldGroup>
    </cacheField>
    <cacheField name="Nb Tranfu par tranfusé &gt;24h" numFmtId="0" formula="'T &gt;24 h - nb trans'/'Transfu &gt;24 h_RV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9">
  <r>
    <x v="0"/>
    <s v="PLATEAUX "/>
    <s v="490603FP05"/>
    <d v="1949-06-03T00:00:00"/>
    <n v="67.630136986301366"/>
    <s v=" "/>
    <s v="ZENAGUI"/>
    <s v="ZENAGUI"/>
    <s v="CT"/>
    <s v="FV"/>
    <s v="F"/>
    <d v="2017-01-02T00:00:00"/>
    <d v="2016-11-29T00:00:00"/>
    <s v="AVR + MVR"/>
    <x v="0"/>
    <x v="0"/>
    <n v="0"/>
    <s v="2 V ou plus"/>
    <m/>
    <m/>
    <s v="Perceval/CE"/>
    <s v="B/B"/>
    <s v="19/25"/>
    <m/>
    <m/>
    <m/>
    <m/>
    <m/>
    <m/>
    <n v="1"/>
    <s v="5R/2Plaq/4Plas"/>
    <n v="11"/>
    <s v="4R"/>
    <n v="4"/>
    <n v="15"/>
    <d v="2017-01-19T00:00:00"/>
    <n v="17"/>
    <d v="2017-02-13T00:00:00"/>
    <n v="42"/>
    <x v="0"/>
    <n v="1"/>
    <s v="ELECTIVE"/>
    <s v="R"/>
    <m/>
    <m/>
    <m/>
    <s v="PLATEAUX "/>
    <d v="2017-03-21T00:00:00"/>
    <d v="2017-02-20T00:00:00"/>
    <s v="Y"/>
    <s v="lumbago en revali"/>
    <d v="2017-05-15T00:00:00"/>
    <s v="Y"/>
    <m/>
    <n v="1"/>
    <n v="1"/>
    <n v="1"/>
    <x v="0"/>
    <s v="Infection"/>
    <s v="Transfusion"/>
    <s v="Transfusé"/>
    <s v="NON"/>
    <s v="NON"/>
    <n v="42"/>
    <n v="42"/>
    <s v="Inconnu"/>
    <n v="17"/>
    <n v="17"/>
    <s v="Inconnu"/>
    <s v="Transfusé"/>
    <n v="15"/>
    <s v="CT"/>
    <s v="Aucun"/>
    <s v="Aucun"/>
    <s v="OUI"/>
  </r>
  <r>
    <x v="0"/>
    <s v="DECHAMPS"/>
    <s v="450111FD08"/>
    <d v="1945-01-11T00:00:00"/>
    <n v="72.027397260273972"/>
    <s v=" "/>
    <s v="GASSAVELIS"/>
    <s v="GASSAVELIS"/>
    <s v="CT"/>
    <s v="BE"/>
    <s v="F"/>
    <d v="2017-01-03T00:00:00"/>
    <d v="2016-12-13T00:00:00"/>
    <s v="CABG"/>
    <x v="1"/>
    <x v="1"/>
    <n v="0"/>
    <n v="0"/>
    <n v="1"/>
    <s v="OPCAB"/>
    <m/>
    <m/>
    <m/>
    <m/>
    <m/>
    <m/>
    <m/>
    <m/>
    <m/>
    <m/>
    <m/>
    <m/>
    <m/>
    <m/>
    <n v="0"/>
    <d v="2017-01-04T00:00:00"/>
    <n v="1"/>
    <d v="2017-01-09T00:00:00"/>
    <n v="6"/>
    <x v="0"/>
    <n v="1"/>
    <s v="ELECTIVE"/>
    <s v="D"/>
    <m/>
    <m/>
    <m/>
    <s v="DECHAMPS"/>
    <d v="2017-02-02T00:00:00"/>
    <d v="2017-01-18T00:00:00"/>
    <s v="Y"/>
    <m/>
    <d v="2017-05-10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T"/>
    <s v="Aucun"/>
    <s v="Aucun"/>
    <s v="OUI"/>
  </r>
  <r>
    <x v="0"/>
    <s v="NYS"/>
    <s v="340308FN02"/>
    <d v="1934-03-08T00:00:00"/>
    <n v="82.884931506849313"/>
    <s v="1"/>
    <s v="MENASSEL"/>
    <s v="CHIREC BRAINE"/>
    <s v="CHIREC BRAINE"/>
    <s v="FV"/>
    <s v="F"/>
    <d v="2017-01-04T00:00:00"/>
    <d v="2017-01-03T00:00:00"/>
    <s v="AVR + Myomectomie "/>
    <x v="2"/>
    <x v="2"/>
    <s v="AVR"/>
    <s v="AVR"/>
    <m/>
    <m/>
    <s v="CE"/>
    <s v="B "/>
    <n v="21"/>
    <m/>
    <m/>
    <m/>
    <m/>
    <m/>
    <m/>
    <m/>
    <s v="1R"/>
    <n v="1"/>
    <m/>
    <m/>
    <n v="1"/>
    <d v="2017-01-05T00:00:00"/>
    <n v="1"/>
    <d v="2017-01-11T00:00:00"/>
    <n v="7"/>
    <x v="0"/>
    <n v="1"/>
    <s v="ELECTIVE"/>
    <s v="D"/>
    <m/>
    <m/>
    <m/>
    <s v="NYS"/>
    <d v="2017-03-07T00:00:00"/>
    <d v="2017-01-18T00:00:00"/>
    <s v="Y"/>
    <m/>
    <d v="2017-05-08T00:00:00"/>
    <s v="Y"/>
    <s v="Message"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1"/>
    <s v="CHIREC"/>
    <s v="Aucun"/>
    <s v="Aucun"/>
    <s v="OUI"/>
  </r>
  <r>
    <x v="0"/>
    <s v="CHARLIER"/>
    <s v="641210MC01"/>
    <d v="1964-12-10T00:00:00"/>
    <n v="52.104109589041094"/>
    <s v=" "/>
    <s v="BRAD"/>
    <s v="BRAD"/>
    <s v="CT"/>
    <s v="BE"/>
    <s v="M"/>
    <d v="2017-01-04T00:00:00"/>
    <m/>
    <s v="CABG"/>
    <x v="1"/>
    <x v="1"/>
    <n v="0"/>
    <n v="0"/>
    <n v="1"/>
    <s v="OPCAB"/>
    <m/>
    <m/>
    <m/>
    <m/>
    <m/>
    <m/>
    <m/>
    <m/>
    <m/>
    <m/>
    <m/>
    <m/>
    <m/>
    <m/>
    <n v="0"/>
    <d v="2017-01-07T00:00:00"/>
    <n v="3"/>
    <d v="2017-01-11T00:00:00"/>
    <n v="7"/>
    <x v="0"/>
    <n v="3"/>
    <s v="EMERGENCY"/>
    <s v="D"/>
    <m/>
    <m/>
    <m/>
    <s v="CHARLIER"/>
    <d v="2017-02-02T00:00:00"/>
    <d v="2017-01-18T00:00:00"/>
    <s v="Y"/>
    <m/>
    <d v="2017-05-10T00:00:00"/>
    <s v="Y"/>
    <s v="Message"/>
    <n v="0"/>
    <n v="0"/>
    <n v="1"/>
    <x v="1"/>
    <s v="Aucune"/>
    <s v="Aucune"/>
    <s v="Aucune"/>
    <s v="NON"/>
    <s v="NON"/>
    <n v="7"/>
    <n v="7"/>
    <s v="Inconnu"/>
    <n v="3"/>
    <n v="3"/>
    <s v="Inconnu"/>
    <s v="Aucune"/>
    <n v="0"/>
    <s v="CT"/>
    <s v="Aucun"/>
    <s v="Aucun"/>
    <s v="NON"/>
  </r>
  <r>
    <x v="0"/>
    <s v="ATHANASOPOULOS"/>
    <s v="500927FA01"/>
    <d v="1950-09-27T00:00:00"/>
    <n v="66.320547945205476"/>
    <s v=" "/>
    <s v="DE WILDE"/>
    <s v="ERASME VASCULAIRE"/>
    <s v="ERASME VASCULAIRE"/>
    <s v="FV"/>
    <s v="F"/>
    <d v="2017-01-05T00:00:00"/>
    <d v="2016-12-27T00:00:00"/>
    <s v="AVR + Debranching"/>
    <x v="2"/>
    <x v="2"/>
    <s v="AVR"/>
    <s v="AVR"/>
    <m/>
    <m/>
    <s v="CE"/>
    <s v="B"/>
    <n v="23"/>
    <m/>
    <m/>
    <m/>
    <m/>
    <m/>
    <m/>
    <m/>
    <s v="1R"/>
    <n v="1"/>
    <m/>
    <m/>
    <n v="1"/>
    <d v="2017-01-06T00:00:00"/>
    <n v="1"/>
    <d v="2017-01-13T00:00:00"/>
    <n v="8"/>
    <x v="0"/>
    <n v="1"/>
    <s v="ELECTIVE"/>
    <s v="D"/>
    <m/>
    <m/>
    <m/>
    <s v="ATHANASOPOULOS"/>
    <d v="2017-03-07T00:00:00"/>
    <d v="2017-02-03T00:00:00"/>
    <s v="Y"/>
    <m/>
    <d v="2017-04-18T00:00:00"/>
    <s v="Y"/>
    <m/>
    <n v="0"/>
    <n v="1"/>
    <n v="1"/>
    <x v="0"/>
    <s v="Aucune"/>
    <s v="Transfusion"/>
    <s v="Aucune"/>
    <s v="NON"/>
    <s v="NON"/>
    <n v="8"/>
    <n v="8"/>
    <s v="Inconnu"/>
    <n v="1"/>
    <n v="1"/>
    <s v="Inconnu"/>
    <s v="Transfusé"/>
    <n v="1"/>
    <s v="ERASME"/>
    <s v="Aucun"/>
    <s v="Aucun"/>
    <s v="OUI"/>
  </r>
  <r>
    <x v="0"/>
    <s v="PELLETIER"/>
    <s v="441203MPAA"/>
    <d v="1944-12-03T00:00:00"/>
    <n v="72.142465753424659"/>
    <s v=" "/>
    <s v="ABDESSATER"/>
    <s v="CHR HAUTE SENNE"/>
    <s v="CHR HAUTE SENNE"/>
    <s v="BE"/>
    <s v="M"/>
    <d v="2017-01-06T00:00:00"/>
    <d v="2016-12-20T00:00:00"/>
    <s v="CABG"/>
    <x v="1"/>
    <x v="1"/>
    <n v="0"/>
    <n v="0"/>
    <n v="3"/>
    <s v="PC"/>
    <m/>
    <m/>
    <m/>
    <m/>
    <m/>
    <n v="1"/>
    <m/>
    <m/>
    <m/>
    <n v="1"/>
    <m/>
    <m/>
    <s v="3R"/>
    <n v="3"/>
    <n v="3"/>
    <d v="2017-01-07T00:00:00"/>
    <n v="1"/>
    <d v="2017-02-16T00:00:00"/>
    <n v="41"/>
    <x v="0"/>
    <n v="1"/>
    <s v="ELECTIVE"/>
    <s v="Soignies"/>
    <m/>
    <m/>
    <m/>
    <s v="PELLETIER"/>
    <d v="2017-03-17T00:00:00"/>
    <d v="2017-02-27T00:00:00"/>
    <s v="Y"/>
    <m/>
    <d v="2017-05-22T00:00:00"/>
    <s v="Y"/>
    <m/>
    <n v="1"/>
    <n v="1"/>
    <n v="1"/>
    <x v="0"/>
    <s v="Infection"/>
    <s v="Transfusion"/>
    <s v="Transfusé"/>
    <s v="NON"/>
    <s v="NON"/>
    <n v="41"/>
    <n v="41"/>
    <s v="Inconnu"/>
    <n v="1"/>
    <n v="1"/>
    <s v="Inconnu"/>
    <s v="Transfusé"/>
    <n v="3"/>
    <s v="CHR HAUTE SENNE"/>
    <s v="Aucun"/>
    <s v="Aucun"/>
    <s v="OUI"/>
  </r>
  <r>
    <x v="0"/>
    <s v="DEBONGNIE"/>
    <s v="330513MD04"/>
    <d v="1933-05-13T00:00:00"/>
    <n v="83.717808219178082"/>
    <s v="1"/>
    <s v="EL MOURAD"/>
    <s v="ERASME CARDIO"/>
    <s v="ERASME CARDIO"/>
    <s v="MLC"/>
    <s v="M"/>
    <d v="2017-01-09T00:00:00"/>
    <m/>
    <s v="CABG"/>
    <x v="1"/>
    <x v="1"/>
    <n v="0"/>
    <n v="0"/>
    <n v="2"/>
    <s v="PC"/>
    <m/>
    <m/>
    <m/>
    <m/>
    <m/>
    <m/>
    <m/>
    <m/>
    <m/>
    <n v="1"/>
    <m/>
    <m/>
    <s v="2R"/>
    <n v="2"/>
    <n v="2"/>
    <d v="2017-01-10T00:00:00"/>
    <n v="1"/>
    <d v="2017-02-15T00:00:00"/>
    <n v="37"/>
    <x v="0"/>
    <n v="2"/>
    <s v="URGENCY"/>
    <s v="R"/>
    <m/>
    <m/>
    <m/>
    <s v="DEBONGNIE"/>
    <d v="2017-03-16T00:00:00"/>
    <d v="2017-03-17T00:00:00"/>
    <s v="Y"/>
    <s v="Message"/>
    <d v="2017-05-22T00:00:00"/>
    <s v="Y"/>
    <s v="Message"/>
    <n v="1"/>
    <n v="1"/>
    <n v="1"/>
    <x v="2"/>
    <s v="Infection"/>
    <s v="Transfusion"/>
    <s v="Transfusé"/>
    <s v="NON"/>
    <s v="NON"/>
    <n v="37"/>
    <n v="37"/>
    <s v="Inconnu"/>
    <n v="1"/>
    <n v="1"/>
    <s v="Inconnu"/>
    <s v="Transfusé"/>
    <n v="2"/>
    <s v="ERASME"/>
    <s v="Aucun"/>
    <s v="Aucun"/>
    <s v="NON"/>
  </r>
  <r>
    <x v="0"/>
    <s v="SCHOONHEYT"/>
    <s v="330908MS04"/>
    <d v="1933-09-08T00:00:00"/>
    <n v="83.397260273972606"/>
    <s v="1"/>
    <s v="NAJEM"/>
    <s v="CHIREC BRAINE"/>
    <s v="CHIREC BRAINE"/>
    <s v="FV"/>
    <s v="M"/>
    <d v="2017-01-10T00:00:00"/>
    <d v="2017-01-03T00:00:00"/>
    <s v="AVR + CABG"/>
    <x v="3"/>
    <x v="0"/>
    <s v="CABG + V"/>
    <n v="0"/>
    <n v="2"/>
    <s v="PC"/>
    <s v="Perceval"/>
    <s v="B"/>
    <s v="XL"/>
    <m/>
    <m/>
    <m/>
    <m/>
    <m/>
    <m/>
    <m/>
    <m/>
    <m/>
    <s v="2R"/>
    <n v="2"/>
    <n v="2"/>
    <d v="2017-01-12T00:00:00"/>
    <n v="2"/>
    <d v="2017-01-18T00:00:00"/>
    <n v="8"/>
    <x v="0"/>
    <n v="1"/>
    <s v="ELECTIVE"/>
    <s v="D"/>
    <m/>
    <m/>
    <m/>
    <s v="SCHOONHEYT"/>
    <d v="2017-03-14T00:00:00"/>
    <d v="2017-01-25T00:00:00"/>
    <s v="Y"/>
    <m/>
    <d v="2017-05-10T00:00:00"/>
    <s v="Y"/>
    <m/>
    <n v="0"/>
    <n v="1"/>
    <n v="1"/>
    <x v="0"/>
    <s v="Aucune"/>
    <s v="Transfusion"/>
    <s v="Transfusé"/>
    <s v="NON"/>
    <s v="NON"/>
    <n v="8"/>
    <n v="8"/>
    <s v="Inconnu"/>
    <n v="2"/>
    <n v="2"/>
    <s v="Inconnu"/>
    <s v="Transfusé"/>
    <n v="2"/>
    <s v="CHIREC"/>
    <s v="Aucun"/>
    <s v="Aucun"/>
    <s v="OUI"/>
  </r>
  <r>
    <x v="0"/>
    <s v="DIAMANTIS"/>
    <s v="490315MD02"/>
    <d v="1949-03-15T00:00:00"/>
    <n v="67.873972602739727"/>
    <s v=" "/>
    <s v="GASSAVELIS"/>
    <s v="GASSAVELIS"/>
    <s v="CT"/>
    <s v="BE"/>
    <s v="M"/>
    <d v="2017-01-11T00:00:00"/>
    <m/>
    <s v="CABG"/>
    <x v="1"/>
    <x v="1"/>
    <n v="0"/>
    <n v="0"/>
    <n v="1"/>
    <s v="PC"/>
    <m/>
    <m/>
    <m/>
    <m/>
    <m/>
    <m/>
    <n v="1"/>
    <m/>
    <m/>
    <m/>
    <m/>
    <m/>
    <m/>
    <m/>
    <n v="0"/>
    <d v="2017-01-12T00:00:00"/>
    <n v="1"/>
    <d v="2017-01-20T00:00:00"/>
    <n v="9"/>
    <x v="0"/>
    <n v="3"/>
    <s v="EMERGENCY"/>
    <s v="D"/>
    <m/>
    <m/>
    <m/>
    <s v="DIAMANTIS"/>
    <d v="2017-02-10T00:00:00"/>
    <d v="2017-01-31T00:00:00"/>
    <s v="Y"/>
    <s v="Message"/>
    <d v="2017-05-03T00:00:00"/>
    <s v="Y"/>
    <s v="Message"/>
    <n v="0"/>
    <n v="0"/>
    <n v="1"/>
    <x v="1"/>
    <s v="Aucune"/>
    <s v="Aucune"/>
    <s v="Aucune"/>
    <s v="NON"/>
    <s v="NON"/>
    <n v="9"/>
    <n v="9"/>
    <s v="Inconnu"/>
    <n v="1"/>
    <n v="1"/>
    <s v="Inconnu"/>
    <s v="Aucune"/>
    <n v="0"/>
    <s v="CT"/>
    <s v="Aucun"/>
    <s v="Aucun"/>
    <s v="NON"/>
  </r>
  <r>
    <x v="0"/>
    <s v="LAGGOUNE"/>
    <s v="870331FLAA"/>
    <d v="1987-03-31T00:00:00"/>
    <n v="29.80821917808219"/>
    <s v=" "/>
    <s v="MISSOUNI"/>
    <s v="ERASME ETRANGER"/>
    <s v="ERASME ETRANGER"/>
    <s v="FV"/>
    <s v="F"/>
    <d v="2017-01-12T00:00:00"/>
    <m/>
    <s v="CIV"/>
    <x v="4"/>
    <x v="3"/>
    <n v="0"/>
    <n v="0"/>
    <m/>
    <m/>
    <m/>
    <m/>
    <m/>
    <m/>
    <m/>
    <m/>
    <n v="1"/>
    <m/>
    <m/>
    <m/>
    <m/>
    <m/>
    <m/>
    <m/>
    <n v="0"/>
    <d v="2017-01-17T00:00:00"/>
    <n v="5"/>
    <d v="2017-01-27T00:00:00"/>
    <n v="15"/>
    <x v="0"/>
    <n v="1"/>
    <s v="ELECTIVE"/>
    <s v="D"/>
    <m/>
    <m/>
    <m/>
    <s v="LAGGOUNE"/>
    <d v="2018-02-05T00:00:00"/>
    <s v="/"/>
    <s v="Y"/>
    <s v="Pas en Belgique"/>
    <s v="/"/>
    <s v="Y"/>
    <s v="Pas en Belgique"/>
    <n v="0"/>
    <n v="0"/>
    <n v="1"/>
    <x v="0"/>
    <s v="Aucune"/>
    <s v="Aucune"/>
    <s v="Aucune"/>
    <s v="NON"/>
    <s v="NON"/>
    <n v="15"/>
    <n v="15"/>
    <s v="Inconnu"/>
    <n v="5"/>
    <n v="5"/>
    <s v="Inconnu"/>
    <s v="Aucune"/>
    <n v="0"/>
    <s v="ERASME"/>
    <s v="Aucun"/>
    <s v="Aucun"/>
    <s v="NON"/>
  </r>
  <r>
    <x v="0"/>
    <s v="DEMEYER"/>
    <s v="541217FD04"/>
    <d v="1954-12-17T00:00:00"/>
    <n v="62.11780821917808"/>
    <s v=" "/>
    <s v="CATEZ"/>
    <s v="CHIREC BRAINE"/>
    <s v="CHIREC BRAINE"/>
    <s v="FV"/>
    <s v="F"/>
    <d v="2017-01-13T00:00:00"/>
    <d v="2017-01-03T00:00:00"/>
    <s v="MVP"/>
    <x v="5"/>
    <x v="4"/>
    <s v="MVP"/>
    <s v="MVP"/>
    <m/>
    <m/>
    <s v="Sorin"/>
    <m/>
    <n v="36"/>
    <m/>
    <m/>
    <m/>
    <m/>
    <m/>
    <m/>
    <m/>
    <s v="3R"/>
    <n v="3"/>
    <m/>
    <m/>
    <n v="3"/>
    <d v="2017-01-14T00:00:00"/>
    <n v="1"/>
    <d v="2017-01-19T00:00:00"/>
    <n v="6"/>
    <x v="0"/>
    <n v="1"/>
    <s v="ELECTIVE"/>
    <s v="D"/>
    <m/>
    <m/>
    <m/>
    <s v="DEMEYER"/>
    <d v="2017-03-07T00:00:00"/>
    <d v="2017-07-31T00:00:00"/>
    <s v="Y"/>
    <m/>
    <d v="2017-05-08T00:00:00"/>
    <s v="Y"/>
    <s v="Pas de messagerie gsm"/>
    <n v="0"/>
    <n v="1"/>
    <n v="1"/>
    <x v="0"/>
    <s v="Aucune"/>
    <s v="Transfusion"/>
    <s v="Aucune"/>
    <s v="NON"/>
    <s v="NON"/>
    <n v="6"/>
    <n v="6"/>
    <s v="Inconnu"/>
    <n v="1"/>
    <n v="1"/>
    <s v="Inconnu"/>
    <s v="Transfusé"/>
    <n v="3"/>
    <s v="CHIREC"/>
    <s v="Aucun"/>
    <s v="Aucun"/>
    <s v="OUI"/>
  </r>
  <r>
    <x v="0"/>
    <s v="VANDENBOSSCHE"/>
    <s v="490203MV03"/>
    <d v="1949-02-03T00:00:00"/>
    <n v="67.989041095890414"/>
    <s v=" "/>
    <s v="KHOUZAM"/>
    <s v="CHR HAUTE SENNE"/>
    <s v="CHR HAUTE SENNE"/>
    <s v="MLC"/>
    <s v="M"/>
    <d v="2017-01-13T00:00:00"/>
    <m/>
    <s v="CABG + ECMO"/>
    <x v="1"/>
    <x v="1"/>
    <n v="0"/>
    <n v="0"/>
    <n v="3"/>
    <s v="PC"/>
    <m/>
    <m/>
    <m/>
    <d v="2017-01-14T00:00:00"/>
    <n v="1"/>
    <m/>
    <m/>
    <m/>
    <m/>
    <n v="1"/>
    <s v="14R/4Plaq/18Plas"/>
    <n v="36"/>
    <s v="8R/2Plas"/>
    <n v="10"/>
    <n v="46"/>
    <d v="2017-02-06T00:00:00"/>
    <n v="24"/>
    <d v="2017-02-21T00:00:00"/>
    <n v="39"/>
    <x v="0"/>
    <n v="3"/>
    <s v="EMERGENCY"/>
    <s v="D"/>
    <m/>
    <m/>
    <m/>
    <s v="VANDENBOSSCHE"/>
    <d v="2017-03-23T00:00:00"/>
    <d v="2017-03-17T00:00:00"/>
    <s v="Y"/>
    <s v="tel invalide"/>
    <d v="2017-05-22T00:00:00"/>
    <s v="Y"/>
    <s v="tel invalide"/>
    <n v="1"/>
    <n v="1"/>
    <n v="1"/>
    <x v="1"/>
    <s v="Infection"/>
    <s v="Transfusion"/>
    <s v="Transfusé"/>
    <s v="OUI"/>
    <s v="NON"/>
    <n v="39"/>
    <n v="39"/>
    <s v="Inconnu"/>
    <n v="24"/>
    <n v="24"/>
    <s v="Inconnu"/>
    <s v="Transfusé"/>
    <n v="46"/>
    <s v="CHR HAUTE SENNE"/>
    <s v="Aucun"/>
    <s v="Aucun"/>
    <s v="NON"/>
  </r>
  <r>
    <x v="0"/>
    <s v="AJERAR M'SAOURI"/>
    <s v="511119FA01"/>
    <d v="1951-11-19T00:00:00"/>
    <n v="65.205479452054789"/>
    <s v=" "/>
    <s v="EL MOURAD"/>
    <s v="ERASME CARDIO"/>
    <s v="ERASME CARDIO"/>
    <s v="FV"/>
    <s v="F"/>
    <d v="2017-01-16T00:00:00"/>
    <d v="2016-10-11T00:00:00"/>
    <s v="CABG"/>
    <x v="1"/>
    <x v="1"/>
    <n v="0"/>
    <n v="0"/>
    <n v="4"/>
    <s v="PC"/>
    <m/>
    <m/>
    <m/>
    <m/>
    <m/>
    <m/>
    <m/>
    <m/>
    <m/>
    <m/>
    <s v="1R"/>
    <n v="1"/>
    <m/>
    <m/>
    <n v="1"/>
    <d v="2017-01-17T00:00:00"/>
    <n v="1"/>
    <d v="2017-02-04T00:00:00"/>
    <n v="19"/>
    <x v="0"/>
    <n v="1"/>
    <s v="ELECTIVE"/>
    <s v="D"/>
    <m/>
    <m/>
    <m/>
    <s v="AJERAR M'SAOURI"/>
    <d v="2017-03-21T00:00:00"/>
    <d v="2017-02-13T00:00:00"/>
    <s v="Y"/>
    <m/>
    <d v="2017-05-08T00:00:00"/>
    <s v="Y"/>
    <m/>
    <n v="0"/>
    <n v="1"/>
    <n v="1"/>
    <x v="0"/>
    <s v="Aucune"/>
    <s v="Transfusion"/>
    <s v="Aucune"/>
    <s v="NON"/>
    <s v="NON"/>
    <n v="19"/>
    <n v="19"/>
    <s v="Inconnu"/>
    <n v="1"/>
    <n v="1"/>
    <s v="Inconnu"/>
    <s v="Transfusé"/>
    <n v="1"/>
    <s v="ERASME"/>
    <s v="Aucun"/>
    <s v="Aucun"/>
    <s v="OUI"/>
  </r>
  <r>
    <x v="0"/>
    <s v="VAN CANG"/>
    <s v="390202FV01"/>
    <d v="1939-02-02T00:00:00"/>
    <n v="78.013698630136986"/>
    <s v=" "/>
    <s v="ZENAGUI"/>
    <s v="BRACOPS"/>
    <s v="BRACOPS"/>
    <s v="FV"/>
    <s v="F"/>
    <d v="2017-01-18T00:00:00"/>
    <d v="2016-12-13T00:00:00"/>
    <s v="CABG"/>
    <x v="1"/>
    <x v="1"/>
    <n v="0"/>
    <n v="0"/>
    <n v="2"/>
    <s v="OPCAB"/>
    <m/>
    <m/>
    <m/>
    <m/>
    <m/>
    <m/>
    <m/>
    <m/>
    <m/>
    <n v="1"/>
    <m/>
    <m/>
    <m/>
    <m/>
    <n v="0"/>
    <d v="2017-01-19T00:00:00"/>
    <n v="1"/>
    <d v="2017-01-31T00:00:00"/>
    <n v="13"/>
    <x v="0"/>
    <n v="1"/>
    <s v="ELECTIVE"/>
    <s v="R"/>
    <m/>
    <m/>
    <m/>
    <s v="VAN CANG"/>
    <d v="2017-03-14T00:00:00"/>
    <d v="2017-02-07T00:00:00"/>
    <s v="Y"/>
    <s v="Message"/>
    <d v="2017-05-10T00:00:00"/>
    <s v="Y"/>
    <m/>
    <n v="1"/>
    <n v="0"/>
    <n v="1"/>
    <x v="0"/>
    <s v="Infection"/>
    <s v="Aucune"/>
    <s v="Aucune"/>
    <s v="NON"/>
    <s v="NON"/>
    <n v="13"/>
    <n v="13"/>
    <s v="Inconnu"/>
    <n v="1"/>
    <n v="1"/>
    <s v="Inconnu"/>
    <s v="Aucune"/>
    <n v="0"/>
    <s v="BRACOPS"/>
    <s v="Aucun"/>
    <s v="Aucun"/>
    <s v="OUI"/>
  </r>
  <r>
    <x v="0"/>
    <s v="DOMBIER"/>
    <s v="520621FD08"/>
    <d v="1952-06-21T00:00:00"/>
    <n v="64.62465753424658"/>
    <s v=" "/>
    <s v="USI"/>
    <s v="CHU CHARLEROI"/>
    <s v="CHU CHARLEROI"/>
    <s v="GVN"/>
    <s v="F"/>
    <d v="2017-01-19T00:00:00"/>
    <m/>
    <s v="LVAD"/>
    <x v="6"/>
    <x v="5"/>
    <s v="LVAD/HTX"/>
    <n v="0"/>
    <m/>
    <m/>
    <m/>
    <m/>
    <m/>
    <m/>
    <m/>
    <m/>
    <m/>
    <m/>
    <m/>
    <m/>
    <m/>
    <m/>
    <m/>
    <m/>
    <n v="0"/>
    <d v="2017-02-04T00:00:00"/>
    <n v="16"/>
    <d v="2017-03-07T00:00:00"/>
    <n v="47"/>
    <x v="0"/>
    <n v="2"/>
    <s v="URGENCY"/>
    <s v="D"/>
    <m/>
    <m/>
    <m/>
    <s v="DOMBIER"/>
    <s v="/"/>
    <s v="/"/>
    <m/>
    <s v="LVAD"/>
    <s v="/"/>
    <m/>
    <s v="LVAD"/>
    <n v="0"/>
    <n v="0"/>
    <n v="1"/>
    <x v="2"/>
    <s v="Aucune"/>
    <s v="Aucune"/>
    <s v="Aucune"/>
    <s v="NON"/>
    <s v="NON"/>
    <n v="47"/>
    <s v="Inconnu"/>
    <n v="47"/>
    <n v="16"/>
    <s v="Inconnu"/>
    <n v="16"/>
    <s v="Aucune"/>
    <n v="0"/>
    <s v="CHU CHARLEROI"/>
    <s v="Aucun"/>
    <s v="Aucun"/>
    <s v="NON"/>
  </r>
  <r>
    <x v="0"/>
    <s v="RAVICINI"/>
    <s v="621118MR01"/>
    <d v="1962-11-18T00:00:00"/>
    <n v="54.208219178082189"/>
    <s v=" "/>
    <s v="GASSAVELIS"/>
    <s v="GASSAVELIS"/>
    <s v="CT"/>
    <s v="MLC"/>
    <s v="M"/>
    <d v="2017-01-19T00:00:00"/>
    <d v="2016-12-13T00:00:00"/>
    <s v="CABG"/>
    <x v="1"/>
    <x v="1"/>
    <n v="0"/>
    <n v="0"/>
    <n v="1"/>
    <s v="OPCAB"/>
    <m/>
    <m/>
    <m/>
    <m/>
    <m/>
    <m/>
    <m/>
    <m/>
    <m/>
    <m/>
    <m/>
    <m/>
    <m/>
    <m/>
    <n v="0"/>
    <d v="2017-01-22T00:00:00"/>
    <n v="3"/>
    <d v="2017-01-27T00:00:00"/>
    <n v="8"/>
    <x v="0"/>
    <n v="1"/>
    <s v="ELECTIVE"/>
    <s v="D"/>
    <m/>
    <m/>
    <m/>
    <s v="RAVICINI"/>
    <d v="2017-03-09T00:00:00"/>
    <d v="2017-02-03T00:00:00"/>
    <s v="Y"/>
    <m/>
    <d v="2017-05-02T00:00:00"/>
    <s v="Y"/>
    <m/>
    <n v="0"/>
    <n v="0"/>
    <n v="1"/>
    <x v="0"/>
    <s v="Aucune"/>
    <s v="Aucune"/>
    <s v="Aucune"/>
    <s v="NON"/>
    <s v="NON"/>
    <n v="8"/>
    <n v="8"/>
    <s v="Inconnu"/>
    <n v="3"/>
    <n v="3"/>
    <s v="Inconnu"/>
    <s v="Aucune"/>
    <n v="0"/>
    <s v="CT"/>
    <s v="Aucun"/>
    <s v="Aucun"/>
    <s v="OUI"/>
  </r>
  <r>
    <x v="0"/>
    <s v="MANZINI"/>
    <s v="360628MM03"/>
    <d v="1936-06-28T00:00:00"/>
    <n v="80.61917808219178"/>
    <s v="1"/>
    <s v="HEDESHI"/>
    <s v="CHR HAUTE SENNE"/>
    <s v="CHR HAUTE SENNE"/>
    <s v="FV"/>
    <s v="M"/>
    <d v="2017-01-20T00:00:00"/>
    <d v="2017-01-10T00:00:00"/>
    <s v="CABG"/>
    <x v="1"/>
    <x v="1"/>
    <n v="0"/>
    <n v="0"/>
    <n v="3"/>
    <s v="MIDCAB"/>
    <m/>
    <m/>
    <m/>
    <m/>
    <m/>
    <m/>
    <m/>
    <m/>
    <m/>
    <n v="1"/>
    <m/>
    <m/>
    <m/>
    <m/>
    <n v="0"/>
    <d v="2017-01-24T00:00:00"/>
    <n v="4"/>
    <d v="2017-02-03T00:00:00"/>
    <n v="14"/>
    <x v="0"/>
    <n v="1"/>
    <s v="ELECTIVE"/>
    <s v="R"/>
    <m/>
    <m/>
    <m/>
    <s v="MANZINI"/>
    <d v="2017-03-14T00:00:00"/>
    <d v="2017-02-13T00:00:00"/>
    <s v="Y"/>
    <s v="infection plaie jambe"/>
    <d v="2017-05-03T00:00:00"/>
    <s v="Y"/>
    <s v="injoignable"/>
    <n v="1"/>
    <n v="0"/>
    <n v="1"/>
    <x v="0"/>
    <s v="Infection"/>
    <s v="Aucune"/>
    <s v="Aucune"/>
    <s v="NON"/>
    <s v="NON"/>
    <n v="14"/>
    <n v="14"/>
    <s v="Inconnu"/>
    <n v="4"/>
    <n v="4"/>
    <s v="Inconnu"/>
    <s v="Aucune"/>
    <n v="0"/>
    <s v="CHR HAUTE SENNE"/>
    <s v="Aucun"/>
    <s v="Aucun"/>
    <s v="OUI"/>
  </r>
  <r>
    <x v="0"/>
    <s v="SEMAL"/>
    <s v="340829FS01"/>
    <d v="1934-08-29T00:00:00"/>
    <n v="82.460273972602735"/>
    <s v="1"/>
    <s v="ZENAGUI"/>
    <s v="BRACOPS"/>
    <s v="BRACOPS"/>
    <s v="FV"/>
    <s v="F"/>
    <d v="2017-01-23T00:00:00"/>
    <m/>
    <s v="CABG"/>
    <x v="1"/>
    <x v="1"/>
    <n v="0"/>
    <n v="0"/>
    <n v="3"/>
    <s v="OPCAB"/>
    <m/>
    <m/>
    <m/>
    <m/>
    <m/>
    <m/>
    <m/>
    <m/>
    <m/>
    <n v="1"/>
    <s v="1R/2Plas"/>
    <n v="3"/>
    <m/>
    <m/>
    <n v="3"/>
    <d v="2017-01-26T00:00:00"/>
    <n v="3"/>
    <d v="2017-02-03T00:00:00"/>
    <n v="11"/>
    <x v="0"/>
    <n v="1"/>
    <s v="ELECTIVE"/>
    <s v="D"/>
    <m/>
    <m/>
    <m/>
    <s v="SEMAL"/>
    <d v="2017-03-14T00:00:00"/>
    <d v="2017-02-13T00:00:00"/>
    <s v="Y"/>
    <m/>
    <d v="2017-05-08T00:00:00"/>
    <s v="Y"/>
    <m/>
    <n v="1"/>
    <n v="1"/>
    <n v="1"/>
    <x v="0"/>
    <s v="Infection"/>
    <s v="Transfusion"/>
    <s v="Aucune"/>
    <s v="NON"/>
    <s v="NON"/>
    <n v="11"/>
    <n v="11"/>
    <s v="Inconnu"/>
    <n v="3"/>
    <n v="3"/>
    <s v="Inconnu"/>
    <s v="Transfusé"/>
    <n v="3"/>
    <s v="BRACOPS"/>
    <s v="Aucun"/>
    <s v="Aucun"/>
    <s v="NON"/>
  </r>
  <r>
    <x v="0"/>
    <s v="REMY"/>
    <s v="460709MR01 "/>
    <d v="1946-07-09T00:00:00"/>
    <n v="70.594520547945208"/>
    <s v=" "/>
    <s v="NAJEM"/>
    <s v="CHIREC BRAINE"/>
    <s v="CHIREC BRAINE"/>
    <s v="FV"/>
    <s v="M"/>
    <d v="2017-01-24T00:00:00"/>
    <d v="2017-01-17T00:00:00"/>
    <s v="? (CABG)"/>
    <x v="1"/>
    <x v="1"/>
    <n v="0"/>
    <n v="0"/>
    <m/>
    <m/>
    <m/>
    <m/>
    <m/>
    <m/>
    <m/>
    <n v="1"/>
    <m/>
    <m/>
    <m/>
    <n v="1"/>
    <m/>
    <m/>
    <s v="1R"/>
    <n v="1"/>
    <n v="1"/>
    <d v="2017-01-25T00:00:00"/>
    <n v="1"/>
    <d v="2017-03-01T00:00:00"/>
    <n v="36"/>
    <x v="0"/>
    <n v="1"/>
    <s v="ELECTIVE"/>
    <s v="D"/>
    <m/>
    <m/>
    <m/>
    <s v="REMY"/>
    <d v="2017-03-28T00:00:00"/>
    <d v="2017-03-13T00:00:00"/>
    <s v="Y"/>
    <s v="très essoufflé- épenchement pulm"/>
    <d v="2017-06-09T00:00:00"/>
    <s v="Y"/>
    <s v="Message"/>
    <n v="1"/>
    <n v="1"/>
    <n v="1"/>
    <x v="0"/>
    <s v="Infection"/>
    <s v="Transfusion"/>
    <s v="Transfusé"/>
    <s v="NON"/>
    <s v="NON"/>
    <n v="36"/>
    <n v="36"/>
    <s v="Inconnu"/>
    <n v="1"/>
    <n v="1"/>
    <s v="Inconnu"/>
    <s v="Transfusé"/>
    <n v="1"/>
    <s v="CHIREC"/>
    <s v="Aucun"/>
    <s v="Aucun"/>
    <s v="OUI"/>
  </r>
  <r>
    <x v="0"/>
    <s v="TAVERNA"/>
    <s v="460205MT01"/>
    <d v="1946-02-05T00:00:00"/>
    <n v="71.019178082191786"/>
    <s v=" "/>
    <s v="KHOUZAM"/>
    <s v="KHOUZAM"/>
    <s v="CT"/>
    <s v="BE"/>
    <s v="M"/>
    <d v="2017-01-25T00:00:00"/>
    <d v="2017-01-24T00:00:00"/>
    <s v="AVR + CABG"/>
    <x v="3"/>
    <x v="0"/>
    <s v="CABG + V"/>
    <n v="0"/>
    <n v="2"/>
    <s v="PC"/>
    <s v="CE"/>
    <s v="B"/>
    <n v="27"/>
    <m/>
    <m/>
    <m/>
    <m/>
    <m/>
    <m/>
    <m/>
    <m/>
    <m/>
    <m/>
    <m/>
    <n v="0"/>
    <d v="2017-01-26T00:00:00"/>
    <n v="1"/>
    <d v="2017-02-01T00:00:00"/>
    <n v="7"/>
    <x v="0"/>
    <n v="1"/>
    <s v="ELECTIVE"/>
    <s v="D"/>
    <m/>
    <m/>
    <m/>
    <s v="TAVERNA"/>
    <d v="2017-03-03T00:00:00"/>
    <d v="2017-02-08T00:00:00"/>
    <s v="Y"/>
    <m/>
    <d v="2017-05-10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T"/>
    <s v="Aucun"/>
    <s v="Aucun"/>
    <s v="OUI"/>
  </r>
  <r>
    <x v="0"/>
    <s v="SCHOLLAERT"/>
    <s v="560402MSAA"/>
    <d v="1956-04-02T00:00:00"/>
    <n v="60.860273972602741"/>
    <s v=" "/>
    <s v="USI"/>
    <s v="CHU CHARLEROI"/>
    <s v="CHU CHARLEROI"/>
    <s v="FV"/>
    <s v="M"/>
    <d v="2017-01-26T00:00:00"/>
    <m/>
    <s v="CABG"/>
    <x v="1"/>
    <x v="1"/>
    <n v="0"/>
    <n v="0"/>
    <n v="4"/>
    <s v="PC"/>
    <m/>
    <m/>
    <m/>
    <m/>
    <m/>
    <m/>
    <m/>
    <m/>
    <m/>
    <n v="1"/>
    <s v="4R/4Plas/1Plaq"/>
    <n v="9"/>
    <m/>
    <m/>
    <n v="9"/>
    <d v="2017-02-03T00:00:00"/>
    <n v="8"/>
    <d v="2017-02-21T00:00:00"/>
    <n v="26"/>
    <x v="1"/>
    <n v="2"/>
    <s v="URGENCY"/>
    <s v="/"/>
    <m/>
    <m/>
    <m/>
    <s v="SCHOLLAERT"/>
    <s v="/"/>
    <d v="2017-02-21T00:00:00"/>
    <s v="N"/>
    <s v="DCD "/>
    <s v="/"/>
    <s v="N"/>
    <s v="DCD"/>
    <n v="1"/>
    <n v="1"/>
    <n v="1"/>
    <x v="2"/>
    <s v="Infection"/>
    <s v="Transfusion"/>
    <s v="Aucune"/>
    <s v="NON"/>
    <s v="NON"/>
    <n v="26"/>
    <n v="26"/>
    <s v="Inconnu"/>
    <n v="8"/>
    <n v="8"/>
    <s v="Inconnu"/>
    <s v="Transfusé"/>
    <n v="9"/>
    <s v="CHU CHARLEROI"/>
    <s v="Aucun"/>
    <s v="Aucun"/>
    <s v="NON"/>
  </r>
  <r>
    <x v="0"/>
    <s v="EL YOUSFI"/>
    <s v="380102FEAA"/>
    <d v="1938-01-02T00:00:00"/>
    <n v="79"/>
    <s v=" "/>
    <s v="MENASSEL"/>
    <s v="MENASSEL"/>
    <s v="CT"/>
    <s v="BE"/>
    <s v="F"/>
    <d v="2017-01-26T00:00:00"/>
    <d v="2017-01-10T00:00:00"/>
    <s v="CABG"/>
    <x v="1"/>
    <x v="1"/>
    <n v="0"/>
    <n v="0"/>
    <n v="3"/>
    <s v="OPCAB"/>
    <m/>
    <m/>
    <m/>
    <m/>
    <m/>
    <m/>
    <m/>
    <m/>
    <m/>
    <m/>
    <s v="1R"/>
    <n v="1"/>
    <m/>
    <m/>
    <n v="1"/>
    <d v="2017-01-27T00:00:00"/>
    <n v="1"/>
    <d v="2017-02-07T00:00:00"/>
    <n v="12"/>
    <x v="0"/>
    <n v="1"/>
    <s v="ELECTIVE"/>
    <s v="D"/>
    <m/>
    <m/>
    <m/>
    <s v="EL YOUSSI"/>
    <d v="2017-03-03T00:00:00"/>
    <d v="2017-02-13T00:00:00"/>
    <s v="Y"/>
    <m/>
    <d v="2017-06-09T00:00:00"/>
    <s v="Y"/>
    <s v="Message"/>
    <n v="0"/>
    <n v="1"/>
    <n v="1"/>
    <x v="0"/>
    <s v="Aucune"/>
    <s v="Transfusion"/>
    <s v="Aucune"/>
    <s v="NON"/>
    <s v="NON"/>
    <n v="12"/>
    <n v="12"/>
    <s v="Inconnu"/>
    <n v="1"/>
    <n v="1"/>
    <s v="Inconnu"/>
    <s v="Transfusé"/>
    <n v="1"/>
    <s v="CT"/>
    <s v="Aucun"/>
    <s v="Aucun"/>
    <s v="OUI"/>
  </r>
  <r>
    <x v="0"/>
    <s v="MUS"/>
    <s v="450224MM01"/>
    <d v="1945-02-24T00:00:00"/>
    <n v="71.972602739726028"/>
    <s v=" "/>
    <s v="ONGA"/>
    <s v="BRACOPS"/>
    <s v="BRACOPS"/>
    <s v="BE"/>
    <s v="M"/>
    <d v="2017-01-27T00:00:00"/>
    <d v="2017-01-24T00:00:00"/>
    <s v="CABG"/>
    <x v="1"/>
    <x v="1"/>
    <n v="0"/>
    <n v="0"/>
    <n v="3"/>
    <s v="PC"/>
    <m/>
    <m/>
    <m/>
    <m/>
    <m/>
    <m/>
    <m/>
    <m/>
    <m/>
    <m/>
    <s v="1R"/>
    <n v="1"/>
    <s v="2R"/>
    <n v="2"/>
    <n v="3"/>
    <d v="2017-01-28T00:00:00"/>
    <n v="1"/>
    <d v="2017-02-03T00:00:00"/>
    <n v="7"/>
    <x v="0"/>
    <n v="1"/>
    <s v="ELECTIVE"/>
    <s v="D"/>
    <m/>
    <m/>
    <m/>
    <s v="MUS"/>
    <d v="2017-03-03T00:00:00"/>
    <d v="2017-02-13T00:00:00"/>
    <s v="Y"/>
    <m/>
    <d v="2017-05-08T00:00:00"/>
    <s v="Y"/>
    <m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3"/>
    <s v="BRACOPS"/>
    <s v="Aucun"/>
    <s v="Aucun"/>
    <s v="OUI"/>
  </r>
  <r>
    <x v="0"/>
    <s v="VROMANT"/>
    <s v="350602MV01"/>
    <d v="1935-06-02T00:00:00"/>
    <n v="81.712328767123282"/>
    <s v="1"/>
    <s v="BONDUE"/>
    <s v="ERASME CARDIO"/>
    <s v="ERASME CARDIO"/>
    <s v="FV"/>
    <s v="M"/>
    <d v="2017-01-27T00:00:00"/>
    <d v="2016-12-20T00:00:00"/>
    <s v="CABG"/>
    <x v="1"/>
    <x v="1"/>
    <n v="0"/>
    <n v="0"/>
    <n v="3"/>
    <s v="PC"/>
    <m/>
    <m/>
    <m/>
    <m/>
    <m/>
    <m/>
    <m/>
    <m/>
    <m/>
    <n v="1"/>
    <m/>
    <m/>
    <m/>
    <m/>
    <n v="0"/>
    <d v="2017-01-28T00:00:00"/>
    <n v="1"/>
    <d v="2017-02-13T00:00:00"/>
    <n v="17"/>
    <x v="0"/>
    <n v="1"/>
    <s v="ELECTIVE"/>
    <s v="R?"/>
    <m/>
    <m/>
    <m/>
    <s v="VROMANT"/>
    <d v="2017-03-21T00:00:00"/>
    <d v="2017-02-20T00:00:00"/>
    <s v="Y"/>
    <m/>
    <d v="2017-05-17T00:00:00"/>
    <s v="Y"/>
    <s v="Message -annulé géria?"/>
    <n v="1"/>
    <n v="0"/>
    <n v="1"/>
    <x v="0"/>
    <s v="Infection"/>
    <s v="Aucune"/>
    <s v="Aucune"/>
    <s v="NON"/>
    <s v="NON"/>
    <n v="17"/>
    <n v="17"/>
    <s v="Inconnu"/>
    <n v="1"/>
    <n v="1"/>
    <s v="Inconnu"/>
    <s v="Aucune"/>
    <n v="0"/>
    <s v="ERASME"/>
    <s v="Aucun"/>
    <s v="Aucun"/>
    <s v="OUI"/>
  </r>
  <r>
    <x v="0"/>
    <s v="BOUCQ"/>
    <s v="740129FB07"/>
    <d v="1974-01-29T00:00:00"/>
    <n v="43.032876712328765"/>
    <s v=" "/>
    <s v="DESCAMPS"/>
    <s v="CHWAPI TOURNAI"/>
    <s v="CHWAPI TOURNAI"/>
    <s v="FV"/>
    <s v="F"/>
    <d v="2017-01-30T00:00:00"/>
    <d v="2017-01-24T00:00:00"/>
    <s v="EAP"/>
    <x v="4"/>
    <x v="3"/>
    <n v="0"/>
    <n v="0"/>
    <m/>
    <m/>
    <m/>
    <m/>
    <m/>
    <m/>
    <m/>
    <m/>
    <m/>
    <m/>
    <m/>
    <m/>
    <s v="1R"/>
    <n v="1"/>
    <m/>
    <m/>
    <n v="1"/>
    <d v="2017-01-31T00:00:00"/>
    <n v="1"/>
    <d v="2017-02-14T00:00:00"/>
    <n v="15"/>
    <x v="0"/>
    <n v="1"/>
    <s v="ELECTIVE"/>
    <s v="D"/>
    <m/>
    <m/>
    <m/>
    <s v="BOUCQ"/>
    <d v="2017-03-21T00:00:00"/>
    <d v="2017-02-27T00:00:00"/>
    <s v="Y"/>
    <m/>
    <m/>
    <m/>
    <m/>
    <n v="0"/>
    <n v="1"/>
    <n v="1"/>
    <x v="0"/>
    <s v="Aucune"/>
    <s v="Transfusion"/>
    <s v="Aucune"/>
    <s v="NON"/>
    <s v="NON"/>
    <n v="15"/>
    <n v="15"/>
    <s v="Inconnu"/>
    <n v="1"/>
    <n v="1"/>
    <s v="Inconnu"/>
    <s v="Transfusé"/>
    <n v="1"/>
    <s v="CHWAPI TOURNAI"/>
    <s v="Aucun"/>
    <s v="Aucun"/>
    <s v="OUI"/>
  </r>
  <r>
    <x v="0"/>
    <s v="SCHAYER"/>
    <s v="680503MS01"/>
    <d v="1968-05-03T00:00:00"/>
    <n v="48.780821917808218"/>
    <s v=" "/>
    <s v="LIPSKI"/>
    <s v="CHIREC EDITH CAVELL"/>
    <s v="CHIREC EDITH CAVELL"/>
    <s v="FV"/>
    <s v="M"/>
    <d v="2017-01-31T00:00:00"/>
    <d v="2017-01-31T00:00:00"/>
    <s v="CABG"/>
    <x v="1"/>
    <x v="1"/>
    <n v="0"/>
    <n v="0"/>
    <n v="3"/>
    <s v="PC"/>
    <m/>
    <m/>
    <m/>
    <m/>
    <m/>
    <m/>
    <m/>
    <m/>
    <m/>
    <m/>
    <m/>
    <m/>
    <m/>
    <m/>
    <n v="0"/>
    <d v="2017-02-01T00:00:00"/>
    <n v="1"/>
    <d v="2017-02-06T00:00:00"/>
    <n v="6"/>
    <x v="0"/>
    <n v="1"/>
    <s v="ELECTIVE"/>
    <s v="D"/>
    <m/>
    <m/>
    <m/>
    <s v="SCHAYER"/>
    <d v="2017-03-14T00:00:00"/>
    <d v="2017-02-14T00:00:00"/>
    <s v="Y"/>
    <m/>
    <d v="2017-05-08T00:00:00"/>
    <s v="Y"/>
    <s v="Message"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OUI"/>
  </r>
  <r>
    <x v="0"/>
    <s v="BAHEUX"/>
    <s v="401017MB01"/>
    <d v="1940-10-17T00:00:00"/>
    <n v="76.342465753424662"/>
    <s v=" "/>
    <s v="USI"/>
    <s v="ERASME USI"/>
    <s v="ERASME USI"/>
    <s v="BE"/>
    <s v="M"/>
    <d v="2017-01-31T00:00:00"/>
    <m/>
    <s v="CABG + ECMO"/>
    <x v="1"/>
    <x v="1"/>
    <n v="0"/>
    <n v="0"/>
    <n v="2"/>
    <s v="PC"/>
    <m/>
    <m/>
    <m/>
    <d v="2017-01-31T00:00:00"/>
    <n v="1"/>
    <m/>
    <m/>
    <m/>
    <m/>
    <n v="1"/>
    <s v="20R/13Plas/3Plaq"/>
    <n v="36"/>
    <s v="4R"/>
    <n v="4"/>
    <n v="40"/>
    <d v="2017-03-07T00:00:00"/>
    <n v="35"/>
    <d v="2017-03-07T00:00:00"/>
    <n v="35"/>
    <x v="0"/>
    <n v="2"/>
    <s v="URGENCY"/>
    <s v="R"/>
    <m/>
    <m/>
    <m/>
    <s v="BAHEUX"/>
    <s v="/"/>
    <d v="2017-04-11T00:00:00"/>
    <s v="Y"/>
    <m/>
    <d v="2017-07-12T00:00:00"/>
    <s v="Y"/>
    <m/>
    <n v="1"/>
    <n v="1"/>
    <n v="1"/>
    <x v="2"/>
    <s v="Infection"/>
    <s v="Transfusion"/>
    <s v="Transfusé"/>
    <s v="OUI"/>
    <s v="NON"/>
    <n v="35"/>
    <n v="35"/>
    <s v="Inconnu"/>
    <n v="35"/>
    <n v="35"/>
    <s v="Inconnu"/>
    <s v="Transfusé"/>
    <n v="40"/>
    <s v="ERASME"/>
    <s v="Aucun"/>
    <s v="Aucun"/>
    <s v="NON"/>
  </r>
  <r>
    <x v="1"/>
    <s v="MBU NE LETANG"/>
    <s v="380801MMAA"/>
    <d v="1938-08-01T00:00:00"/>
    <n v="78.558904109589037"/>
    <s v=" "/>
    <s v="ROGOWSKY"/>
    <s v="CHIREC PARC LEOPOLD"/>
    <s v="CHIREC PARC LEOPOLD"/>
    <s v="MA"/>
    <s v="M"/>
    <d v="2017-02-01T00:00:00"/>
    <d v="2017-01-24T00:00:00"/>
    <s v="AVR + CABG"/>
    <x v="3"/>
    <x v="0"/>
    <s v="CABG + V"/>
    <n v="0"/>
    <n v="3"/>
    <s v="PC"/>
    <s v="CE"/>
    <s v="B"/>
    <n v="23"/>
    <m/>
    <m/>
    <m/>
    <m/>
    <m/>
    <m/>
    <n v="1"/>
    <s v="2R/1Plaq/3Plas"/>
    <n v="6"/>
    <m/>
    <m/>
    <n v="6"/>
    <d v="2017-02-05T00:00:00"/>
    <n v="4"/>
    <d v="2017-02-14T00:00:00"/>
    <n v="13"/>
    <x v="0"/>
    <n v="1"/>
    <s v="ELECTIVE"/>
    <s v="D"/>
    <m/>
    <m/>
    <m/>
    <s v="MBU NE LETANG"/>
    <d v="2017-03-08T00:00:00"/>
    <d v="2017-02-27T00:00:00"/>
    <s v="Y"/>
    <s v="Message"/>
    <d v="2017-05-22T00:00:00"/>
    <s v="Y"/>
    <m/>
    <n v="1"/>
    <n v="1"/>
    <n v="1"/>
    <x v="0"/>
    <s v="Infection"/>
    <s v="Transfusion"/>
    <s v="Aucune"/>
    <s v="NON"/>
    <s v="NON"/>
    <n v="13"/>
    <n v="13"/>
    <s v="Inconnu"/>
    <n v="4"/>
    <n v="4"/>
    <s v="Inconnu"/>
    <s v="Transfusé"/>
    <n v="6"/>
    <s v="CHIREC"/>
    <s v="Aucun"/>
    <s v="Aucun"/>
    <s v="OUI"/>
  </r>
  <r>
    <x v="1"/>
    <s v="POLLAK"/>
    <s v="411011MP02"/>
    <d v="1941-10-11T00:00:00"/>
    <n v="75.364383561643834"/>
    <s v=" "/>
    <s v="DEPAEPE"/>
    <s v="DEPAEPE"/>
    <s v="CT"/>
    <s v="BE"/>
    <s v="M"/>
    <d v="2017-02-02T00:00:00"/>
    <d v="2017-01-17T00:00:00"/>
    <s v="CABG"/>
    <x v="1"/>
    <x v="1"/>
    <n v="0"/>
    <n v="0"/>
    <n v="3"/>
    <s v="PC"/>
    <m/>
    <m/>
    <m/>
    <m/>
    <m/>
    <m/>
    <m/>
    <m/>
    <m/>
    <m/>
    <s v="3R/2Plas"/>
    <n v="5"/>
    <m/>
    <m/>
    <n v="5"/>
    <d v="2017-02-03T00:00:00"/>
    <n v="1"/>
    <d v="2017-02-08T00:00:00"/>
    <n v="6"/>
    <x v="0"/>
    <n v="1"/>
    <s v="ELECTIVE"/>
    <s v="D"/>
    <m/>
    <m/>
    <m/>
    <s v="POLLAK"/>
    <d v="2017-03-03T00:00:00"/>
    <d v="2017-02-20T00:00:00"/>
    <s v="Y"/>
    <s v="Message"/>
    <d v="2017-05-15T00:00:00"/>
    <s v="Y"/>
    <m/>
    <n v="0"/>
    <n v="1"/>
    <n v="1"/>
    <x v="0"/>
    <s v="Aucune"/>
    <s v="Transfusion"/>
    <s v="Aucune"/>
    <s v="NON"/>
    <s v="NON"/>
    <n v="6"/>
    <n v="6"/>
    <s v="Inconnu"/>
    <n v="1"/>
    <n v="1"/>
    <s v="Inconnu"/>
    <s v="Transfusé"/>
    <n v="5"/>
    <s v="CT"/>
    <s v="Aucun"/>
    <s v="Aucun"/>
    <s v="OUI"/>
  </r>
  <r>
    <x v="1"/>
    <s v="ENGELS"/>
    <s v="571130ME01"/>
    <d v="1957-11-30T00:00:00"/>
    <n v="59.219178082191782"/>
    <s v=" "/>
    <s v="EL MOURAD"/>
    <s v="ERASME CARDIO"/>
    <s v="ERASME CARDIO"/>
    <s v="BE"/>
    <s v="M"/>
    <d v="2017-02-03T00:00:00"/>
    <d v="2016-10-25T00:00:00"/>
    <s v="CABG"/>
    <x v="1"/>
    <x v="1"/>
    <n v="0"/>
    <n v="0"/>
    <n v="1"/>
    <s v="MIDCAB"/>
    <m/>
    <m/>
    <m/>
    <m/>
    <m/>
    <m/>
    <m/>
    <m/>
    <m/>
    <m/>
    <s v="4R/1Plaq"/>
    <n v="5"/>
    <m/>
    <m/>
    <n v="5"/>
    <d v="2017-02-04T00:00:00"/>
    <n v="1"/>
    <d v="2017-02-08T00:00:00"/>
    <n v="5"/>
    <x v="0"/>
    <n v="1"/>
    <s v="ELECTIVE"/>
    <s v="D"/>
    <m/>
    <m/>
    <m/>
    <s v="ENGELS"/>
    <d v="2017-03-03T00:00:00"/>
    <d v="2017-02-20T00:00:00"/>
    <s v="Y"/>
    <m/>
    <d v="2017-05-15T00:00:00"/>
    <s v="Y"/>
    <m/>
    <n v="0"/>
    <n v="1"/>
    <n v="1"/>
    <x v="0"/>
    <s v="Aucune"/>
    <s v="Transfusion"/>
    <s v="Aucune"/>
    <s v="NON"/>
    <s v="NON"/>
    <n v="5"/>
    <n v="5"/>
    <s v="Inconnu"/>
    <n v="1"/>
    <n v="1"/>
    <s v="Inconnu"/>
    <s v="Transfusé"/>
    <n v="5"/>
    <s v="ERASME"/>
    <s v="Aucun"/>
    <s v="Aucun"/>
    <s v="OUI"/>
  </r>
  <r>
    <x v="1"/>
    <s v="AMRI"/>
    <s v="650701MA03"/>
    <d v="1965-07-01T00:00:00"/>
    <n v="51.632876712328766"/>
    <s v=" "/>
    <s v="URGENCES"/>
    <s v="ERASME URGENCES"/>
    <s v="ERASME URGENCES"/>
    <s v="MLC"/>
    <s v="M"/>
    <d v="2017-02-04T00:00:00"/>
    <m/>
    <s v="CABG"/>
    <x v="1"/>
    <x v="1"/>
    <n v="0"/>
    <n v="0"/>
    <n v="3"/>
    <s v="PC"/>
    <m/>
    <m/>
    <m/>
    <m/>
    <m/>
    <m/>
    <m/>
    <m/>
    <m/>
    <n v="1"/>
    <s v="1R"/>
    <n v="1"/>
    <s v="2R"/>
    <n v="2"/>
    <n v="3"/>
    <d v="2017-02-13T00:00:00"/>
    <n v="9"/>
    <d v="2017-02-21T00:00:00"/>
    <n v="17"/>
    <x v="0"/>
    <n v="3"/>
    <s v="EMERGENCY"/>
    <s v="D"/>
    <m/>
    <m/>
    <m/>
    <s v="AMRI"/>
    <d v="2017-03-16T00:00:00"/>
    <d v="2017-02-27T00:00:00"/>
    <s v="Y"/>
    <m/>
    <d v="2017-05-22T00:00:00"/>
    <s v="Y"/>
    <m/>
    <n v="1"/>
    <n v="1"/>
    <n v="1"/>
    <x v="1"/>
    <s v="Infection"/>
    <s v="Transfusion"/>
    <s v="Transfusé"/>
    <s v="NON"/>
    <s v="NON"/>
    <n v="17"/>
    <n v="17"/>
    <s v="Inconnu"/>
    <n v="9"/>
    <n v="9"/>
    <s v="Inconnu"/>
    <s v="Transfusé"/>
    <n v="3"/>
    <s v="ERASME"/>
    <s v="Aucun"/>
    <s v="Aucun"/>
    <s v="NON"/>
  </r>
  <r>
    <x v="1"/>
    <s v="VAN CUTSEM"/>
    <s v="470628MVAA"/>
    <d v="1947-06-28T00:00:00"/>
    <n v="69.660273972602738"/>
    <s v=" "/>
    <s v="DROOGMANS"/>
    <s v="UZ JETTE"/>
    <s v="UZ JETTE"/>
    <s v="MLC"/>
    <s v="M"/>
    <d v="2017-02-06T00:00:00"/>
    <m/>
    <s v="CABG"/>
    <x v="1"/>
    <x v="1"/>
    <n v="0"/>
    <n v="0"/>
    <n v="2"/>
    <s v="PC"/>
    <m/>
    <m/>
    <m/>
    <m/>
    <m/>
    <m/>
    <m/>
    <m/>
    <m/>
    <m/>
    <m/>
    <m/>
    <m/>
    <m/>
    <n v="0"/>
    <d v="2017-02-07T00:00:00"/>
    <n v="1"/>
    <d v="2017-02-13T00:00:00"/>
    <n v="7"/>
    <x v="0"/>
    <n v="2"/>
    <s v="URGENCY"/>
    <s v="D"/>
    <m/>
    <m/>
    <m/>
    <s v="VAN CUTSEM"/>
    <d v="2017-03-09T00:00:00"/>
    <d v="2017-02-20T00:00:00"/>
    <s v="Y"/>
    <m/>
    <d v="2017-05-22T00:00:00"/>
    <s v="Y"/>
    <m/>
    <n v="0"/>
    <n v="0"/>
    <n v="1"/>
    <x v="2"/>
    <s v="Aucune"/>
    <s v="Aucune"/>
    <s v="Aucune"/>
    <s v="NON"/>
    <s v="NON"/>
    <n v="7"/>
    <n v="7"/>
    <s v="Inconnu"/>
    <n v="1"/>
    <n v="1"/>
    <s v="Inconnu"/>
    <s v="Aucune"/>
    <n v="0"/>
    <s v="UZ JETTE"/>
    <s v="Aucun"/>
    <s v="Aucun"/>
    <s v="NON"/>
  </r>
  <r>
    <x v="1"/>
    <s v="BAOUI"/>
    <s v="690426FB02"/>
    <d v="1969-04-26T00:00:00"/>
    <n v="47.819178082191783"/>
    <s v=" "/>
    <s v="HEDESHI"/>
    <s v="CHR HAUTE SENNE"/>
    <s v="CHR HAUTE SENNE"/>
    <s v="BE"/>
    <s v="F"/>
    <d v="2017-02-07T00:00:00"/>
    <d v="2017-02-07T00:00:00"/>
    <s v="MYXOME"/>
    <x v="4"/>
    <x v="3"/>
    <n v="0"/>
    <n v="0"/>
    <m/>
    <m/>
    <m/>
    <m/>
    <m/>
    <m/>
    <m/>
    <m/>
    <m/>
    <m/>
    <m/>
    <n v="1"/>
    <m/>
    <m/>
    <m/>
    <m/>
    <n v="0"/>
    <d v="2017-02-08T00:00:00"/>
    <n v="1"/>
    <d v="2017-02-14T00:00:00"/>
    <n v="7"/>
    <x v="0"/>
    <n v="1"/>
    <s v="ELECTIVE"/>
    <s v="D"/>
    <m/>
    <m/>
    <m/>
    <s v="BAOUI"/>
    <d v="2017-03-17T00:00:00"/>
    <d v="2017-02-27T00:00:00"/>
    <s v="Y"/>
    <m/>
    <d v="2017-05-15T00:00:00"/>
    <s v="Y"/>
    <s v="Message"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CHR HAUTE SENNE"/>
    <s v="Aucun"/>
    <s v="Aucun"/>
    <s v="OUI"/>
  </r>
  <r>
    <x v="1"/>
    <s v="KROPEK"/>
    <s v="411106FK01"/>
    <d v="1941-11-06T00:00:00"/>
    <n v="75.30958904109589"/>
    <s v=" "/>
    <s v="LENAERS"/>
    <s v="ERASME CARDIO"/>
    <s v="ERASME CARDIO"/>
    <s v="BE"/>
    <s v="F"/>
    <d v="2017-02-08T00:00:00"/>
    <d v="2016-12-13T00:00:00"/>
    <s v="CABG"/>
    <x v="1"/>
    <x v="1"/>
    <n v="0"/>
    <n v="0"/>
    <n v="2"/>
    <s v="OPCAB"/>
    <m/>
    <m/>
    <m/>
    <m/>
    <m/>
    <m/>
    <m/>
    <m/>
    <m/>
    <m/>
    <s v="1R"/>
    <n v="1"/>
    <m/>
    <m/>
    <n v="1"/>
    <d v="2017-02-09T00:00:00"/>
    <n v="1"/>
    <d v="2017-02-17T00:00:00"/>
    <n v="9"/>
    <x v="0"/>
    <n v="1"/>
    <s v="ELECTIVE"/>
    <s v="D"/>
    <m/>
    <m/>
    <m/>
    <s v="KROPEK"/>
    <d v="2017-03-10T00:00:00"/>
    <d v="2017-02-27T00:00:00"/>
    <s v="Y"/>
    <m/>
    <d v="2017-05-17T00:00:00"/>
    <s v="Y"/>
    <m/>
    <n v="0"/>
    <n v="1"/>
    <n v="1"/>
    <x v="0"/>
    <s v="Aucune"/>
    <s v="Transfusion"/>
    <s v="Aucune"/>
    <s v="NON"/>
    <s v="NON"/>
    <n v="9"/>
    <n v="9"/>
    <s v="Inconnu"/>
    <n v="1"/>
    <n v="1"/>
    <s v="Inconnu"/>
    <s v="Transfusé"/>
    <n v="1"/>
    <s v="ERASME"/>
    <s v="Aucun"/>
    <s v="Aucun"/>
    <s v="OUI"/>
  </r>
  <r>
    <x v="1"/>
    <s v="ATMANI"/>
    <s v="661026FA01"/>
    <d v="1966-10-26T00:00:00"/>
    <n v="50.323287671232876"/>
    <s v=" "/>
    <s v="URGENCES"/>
    <s v="ST-PIERRE"/>
    <s v="ST-PIERRE"/>
    <s v="BE"/>
    <s v="F"/>
    <d v="2017-02-08T00:00:00"/>
    <d v="2016-02-07T00:00:00"/>
    <s v="CABG"/>
    <x v="1"/>
    <x v="1"/>
    <n v="0"/>
    <n v="0"/>
    <n v="2"/>
    <s v="PC"/>
    <m/>
    <m/>
    <m/>
    <m/>
    <m/>
    <m/>
    <m/>
    <m/>
    <m/>
    <m/>
    <m/>
    <m/>
    <m/>
    <m/>
    <n v="0"/>
    <d v="2017-02-10T00:00:00"/>
    <n v="2"/>
    <d v="2017-02-15T00:00:00"/>
    <n v="7"/>
    <x v="0"/>
    <n v="2"/>
    <s v="URGENCY"/>
    <s v="D"/>
    <m/>
    <m/>
    <m/>
    <s v="ATMANI"/>
    <d v="2017-03-17T00:00:00"/>
    <d v="2017-02-16T00:00:00"/>
    <s v="Y"/>
    <m/>
    <d v="2017-05-17T00:00:00"/>
    <s v="Y"/>
    <s v="D+ épaule G"/>
    <n v="0"/>
    <n v="0"/>
    <n v="1"/>
    <x v="2"/>
    <s v="Aucune"/>
    <s v="Aucune"/>
    <s v="Aucune"/>
    <s v="NON"/>
    <s v="NON"/>
    <n v="7"/>
    <n v="7"/>
    <s v="Inconnu"/>
    <n v="2"/>
    <n v="2"/>
    <s v="Inconnu"/>
    <s v="Aucune"/>
    <n v="0"/>
    <s v="ST PIERRE"/>
    <s v="Aucun"/>
    <s v="Aucun"/>
    <s v="OUI"/>
  </r>
  <r>
    <x v="1"/>
    <s v="DE SMEDT"/>
    <s v="550318MD01"/>
    <d v="1955-03-18T00:00:00"/>
    <n v="61.942465753424656"/>
    <s v=" "/>
    <s v="RENARD"/>
    <s v="ERASME CARDIO"/>
    <s v="ERASME CARDIO"/>
    <s v="BE"/>
    <s v="M"/>
    <d v="2017-02-09T00:00:00"/>
    <d v="2016-02-07T00:00:00"/>
    <s v="CABG"/>
    <x v="1"/>
    <x v="1"/>
    <n v="0"/>
    <n v="0"/>
    <n v="3"/>
    <s v="PC"/>
    <m/>
    <m/>
    <m/>
    <m/>
    <m/>
    <m/>
    <m/>
    <m/>
    <m/>
    <m/>
    <m/>
    <m/>
    <m/>
    <m/>
    <n v="0"/>
    <d v="2017-02-10T00:00:00"/>
    <n v="1"/>
    <d v="2017-02-17T00:00:00"/>
    <n v="8"/>
    <x v="0"/>
    <n v="1"/>
    <s v="ELECTIVE"/>
    <s v="D"/>
    <m/>
    <m/>
    <m/>
    <s v="DE SMEDT"/>
    <d v="2017-03-17T00:00:00"/>
    <d v="2017-01-27T00:00:00"/>
    <s v="Y"/>
    <s v="épisode de FA-sous corda"/>
    <d v="2017-05-22T00:00:00"/>
    <s v="Y"/>
    <s v="Message"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ERASME"/>
    <s v="Aucun"/>
    <s v="Aucun"/>
    <s v="OUI"/>
  </r>
  <r>
    <x v="1"/>
    <s v="CARTON DE TOURNAI"/>
    <s v="540420MC02"/>
    <d v="1954-04-20T00:00:00"/>
    <n v="62.854794520547948"/>
    <s v=" "/>
    <s v="PREUMONT"/>
    <s v="ERASME CARDIO"/>
    <s v="ERASME CARDIO"/>
    <s v="MLC"/>
    <s v="M"/>
    <d v="2017-02-10T00:00:00"/>
    <d v="2017-01-31T00:00:00"/>
    <s v="CABG"/>
    <x v="1"/>
    <x v="1"/>
    <n v="0"/>
    <n v="0"/>
    <n v="2"/>
    <s v="PC"/>
    <m/>
    <m/>
    <m/>
    <m/>
    <m/>
    <m/>
    <m/>
    <m/>
    <m/>
    <m/>
    <m/>
    <m/>
    <m/>
    <m/>
    <n v="0"/>
    <d v="2017-02-11T00:00:00"/>
    <n v="1"/>
    <d v="2017-02-17T00:00:00"/>
    <n v="7"/>
    <x v="0"/>
    <n v="1"/>
    <s v="ELECTIVE"/>
    <s v="D"/>
    <m/>
    <m/>
    <m/>
    <s v="CARTON DE TOURNAI"/>
    <d v="2017-03-09T00:00:00"/>
    <d v="2017-02-27T00:00:00"/>
    <s v="Y"/>
    <m/>
    <d v="2017-05-22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1"/>
    <s v="BORENHOLC"/>
    <s v="340812MBAA"/>
    <d v="1934-08-12T00:00:00"/>
    <n v="82.556164383561651"/>
    <s v="1"/>
    <s v="LIPSKI"/>
    <s v="CHIREC EDITH CAVELL"/>
    <s v="CHIREC EDITH CAVELL"/>
    <s v="BE"/>
    <s v="M"/>
    <d v="2017-02-10T00:00:00"/>
    <m/>
    <s v="AVR"/>
    <x v="2"/>
    <x v="2"/>
    <s v="AVR"/>
    <s v="AVR"/>
    <m/>
    <m/>
    <s v="CE"/>
    <s v="B"/>
    <n v="21"/>
    <m/>
    <m/>
    <m/>
    <m/>
    <m/>
    <m/>
    <m/>
    <s v="1 Plaq"/>
    <n v="1"/>
    <m/>
    <m/>
    <n v="1"/>
    <d v="2017-02-11T00:00:00"/>
    <n v="1"/>
    <d v="2017-02-28T00:00:00"/>
    <n v="18"/>
    <x v="0"/>
    <n v="2"/>
    <s v="URGENCY"/>
    <s v="R"/>
    <m/>
    <m/>
    <m/>
    <s v="BORENHOLC"/>
    <d v="2017-03-31T00:00:00"/>
    <d v="2017-03-13T00:00:00"/>
    <s v="Y"/>
    <s v="Cardiologue-"/>
    <d v="2017-06-09T00:00:00"/>
    <s v="Y"/>
    <s v="Message"/>
    <n v="0"/>
    <n v="1"/>
    <n v="1"/>
    <x v="2"/>
    <s v="Aucune"/>
    <s v="Transfusion"/>
    <s v="Aucune"/>
    <s v="NON"/>
    <s v="NON"/>
    <n v="18"/>
    <n v="18"/>
    <s v="Inconnu"/>
    <n v="1"/>
    <n v="1"/>
    <s v="Inconnu"/>
    <s v="Transfusé"/>
    <n v="1"/>
    <s v="CHIREC"/>
    <s v="Aucun"/>
    <s v="Aucun"/>
    <s v="NON"/>
  </r>
  <r>
    <x v="1"/>
    <s v="BENOUT"/>
    <s v="460526MBAA"/>
    <d v="1946-05-26T00:00:00"/>
    <n v="70.761643835616439"/>
    <s v=" "/>
    <s v="USI"/>
    <s v="ERASME USI"/>
    <s v="ERASME USI"/>
    <s v="GVN"/>
    <s v="M"/>
    <d v="2017-02-10T00:00:00"/>
    <m/>
    <s v="AVR + CABG"/>
    <x v="3"/>
    <x v="0"/>
    <s v="CABG + V"/>
    <n v="0"/>
    <n v="2"/>
    <s v="PC"/>
    <s v="Medtronic"/>
    <s v="M"/>
    <n v="23"/>
    <d v="2017-02-11T00:00:00"/>
    <n v="1"/>
    <m/>
    <m/>
    <m/>
    <m/>
    <m/>
    <s v="17R/18Plas/1Plaq"/>
    <n v="36"/>
    <m/>
    <m/>
    <n v="36"/>
    <d v="2017-02-11T00:00:00"/>
    <n v="1"/>
    <d v="2017-02-11T00:00:00"/>
    <n v="1"/>
    <x v="1"/>
    <n v="2"/>
    <s v="URGENCY"/>
    <s v="/"/>
    <m/>
    <m/>
    <m/>
    <s v="BENOUT"/>
    <s v="/"/>
    <d v="2017-02-11T00:00:00"/>
    <s v="N"/>
    <s v="DCD salle d'op"/>
    <s v="/"/>
    <s v="N"/>
    <s v="DCD salle d'op"/>
    <n v="0"/>
    <n v="1"/>
    <n v="1"/>
    <x v="2"/>
    <s v="Aucune"/>
    <s v="Transfusion"/>
    <s v="Aucune"/>
    <s v="OUI"/>
    <s v="NON"/>
    <n v="1"/>
    <n v="1"/>
    <s v="Inconnu"/>
    <n v="1"/>
    <n v="1"/>
    <s v="Inconnu"/>
    <s v="Transfusé"/>
    <n v="36"/>
    <s v="ERASME"/>
    <s v="Aucun"/>
    <s v="Aucun"/>
    <s v="NON"/>
  </r>
  <r>
    <x v="1"/>
    <s v="BOUCHET LANAT"/>
    <s v="520916MB04"/>
    <d v="1952-09-16T00:00:00"/>
    <n v="64.452054794520549"/>
    <s v=" "/>
    <s v="USI"/>
    <s v="ERASME USI"/>
    <s v="ERASME USI"/>
    <s v="BE"/>
    <s v="M"/>
    <d v="2017-02-12T00:00:00"/>
    <m/>
    <s v="CABG"/>
    <x v="1"/>
    <x v="1"/>
    <n v="0"/>
    <n v="0"/>
    <n v="3"/>
    <s v="PC"/>
    <m/>
    <m/>
    <m/>
    <m/>
    <m/>
    <m/>
    <m/>
    <m/>
    <m/>
    <m/>
    <s v="4R/1Plaq"/>
    <n v="5"/>
    <m/>
    <m/>
    <n v="5"/>
    <d v="2017-02-16T00:00:00"/>
    <n v="4"/>
    <d v="2017-02-16T00:00:00"/>
    <n v="4"/>
    <x v="1"/>
    <n v="3"/>
    <s v="EMERGENCY"/>
    <s v="/"/>
    <m/>
    <m/>
    <m/>
    <s v="BOUCHET LANAT"/>
    <s v="/"/>
    <d v="2017-02-16T00:00:00"/>
    <s v="N"/>
    <s v="DCD "/>
    <s v="/"/>
    <s v="N"/>
    <s v="DCD "/>
    <n v="0"/>
    <n v="1"/>
    <n v="1"/>
    <x v="1"/>
    <s v="Aucune"/>
    <s v="Transfusion"/>
    <s v="Aucune"/>
    <s v="NON"/>
    <s v="NON"/>
    <n v="4"/>
    <n v="4"/>
    <s v="Inconnu"/>
    <n v="4"/>
    <n v="4"/>
    <s v="Inconnu"/>
    <s v="Transfusé"/>
    <n v="5"/>
    <s v="ERASME"/>
    <s v="Aucun"/>
    <s v="Aucun"/>
    <s v="NON"/>
  </r>
  <r>
    <x v="1"/>
    <s v="GARCIA GARCIA"/>
    <s v="630516MG01"/>
    <d v="1963-05-16T00:00:00"/>
    <n v="53.786301369863011"/>
    <s v=" "/>
    <s v="GASSAVELIS"/>
    <s v="GASSAVELIS"/>
    <s v="CT"/>
    <s v="MLC"/>
    <s v="M"/>
    <d v="2017-02-13T00:00:00"/>
    <d v="2017-01-24T00:00:00"/>
    <s v="CABG"/>
    <x v="1"/>
    <x v="1"/>
    <n v="0"/>
    <n v="0"/>
    <n v="3"/>
    <s v="PC"/>
    <m/>
    <m/>
    <m/>
    <m/>
    <m/>
    <m/>
    <m/>
    <m/>
    <m/>
    <m/>
    <s v="1R/1Plaq"/>
    <n v="2"/>
    <m/>
    <m/>
    <n v="2"/>
    <d v="2017-02-16T00:00:00"/>
    <n v="3"/>
    <d v="2017-02-21T00:00:00"/>
    <n v="8"/>
    <x v="0"/>
    <n v="1"/>
    <s v="ELECTIVE"/>
    <s v="R"/>
    <m/>
    <m/>
    <m/>
    <s v="GARCIA GARCIA"/>
    <d v="2017-03-16T00:00:00"/>
    <d v="2017-03-13T00:00:00"/>
    <s v="Y"/>
    <m/>
    <d v="2017-05-22T00:00:00"/>
    <s v="Y"/>
    <m/>
    <n v="0"/>
    <n v="1"/>
    <n v="1"/>
    <x v="0"/>
    <s v="Aucune"/>
    <s v="Transfusion"/>
    <s v="Aucune"/>
    <s v="NON"/>
    <s v="NON"/>
    <n v="8"/>
    <n v="8"/>
    <s v="Inconnu"/>
    <n v="3"/>
    <n v="3"/>
    <s v="Inconnu"/>
    <s v="Transfusé"/>
    <n v="2"/>
    <s v="CT"/>
    <s v="Aucun"/>
    <s v="Aucun"/>
    <s v="OUI"/>
  </r>
  <r>
    <x v="1"/>
    <s v="BURTON"/>
    <s v="480902MB03"/>
    <d v="1948-09-02T00:00:00"/>
    <n v="68.498630136986307"/>
    <s v=" "/>
    <s v="MED INT"/>
    <s v="ERASME MED INT"/>
    <s v="ERASME MED INT"/>
    <s v="GVN"/>
    <s v="M"/>
    <d v="2017-02-14T00:00:00"/>
    <d v="2017-02-14T00:00:00"/>
    <s v="AVR + CABG"/>
    <x v="3"/>
    <x v="0"/>
    <s v="CABG + V"/>
    <n v="0"/>
    <n v="1"/>
    <s v="PC"/>
    <s v="CE"/>
    <s v="B"/>
    <n v="25"/>
    <m/>
    <m/>
    <m/>
    <m/>
    <m/>
    <m/>
    <m/>
    <s v="5R"/>
    <n v="5"/>
    <m/>
    <m/>
    <n v="5"/>
    <d v="2017-02-21T00:00:00"/>
    <n v="7"/>
    <d v="2017-02-21T00:00:00"/>
    <n v="7"/>
    <x v="0"/>
    <n v="1"/>
    <s v="ELECTIVE"/>
    <s v="Med Interne"/>
    <m/>
    <m/>
    <m/>
    <s v="BURTON"/>
    <s v="/"/>
    <d v="2017-03-13T00:00:00"/>
    <s v="Y"/>
    <s v="Tjs hospit"/>
    <d v="2017-06-09T00:00:00"/>
    <s v="Y"/>
    <s v="patient a annulé son rdv,,,"/>
    <n v="0"/>
    <n v="1"/>
    <n v="1"/>
    <x v="0"/>
    <s v="Aucune"/>
    <s v="Transfusion"/>
    <s v="Aucune"/>
    <s v="NON"/>
    <s v="NON"/>
    <n v="7"/>
    <n v="7"/>
    <s v="Inconnu"/>
    <n v="7"/>
    <n v="7"/>
    <s v="Inconnu"/>
    <s v="Transfusé"/>
    <n v="5"/>
    <s v="ERASME"/>
    <s v="Aucun"/>
    <s v="Aucun"/>
    <s v="OUI"/>
  </r>
  <r>
    <x v="1"/>
    <s v="SROUJI"/>
    <s v="450804MSAA"/>
    <d v="1945-08-04T00:00:00"/>
    <n v="71.583561643835623"/>
    <s v=" "/>
    <s v="DAYEH"/>
    <s v="CHIREC BASILIQUE"/>
    <s v="CHIREC BASILIQUE"/>
    <s v="BE"/>
    <s v="M"/>
    <d v="2017-02-15T00:00:00"/>
    <d v="2017-02-07T00:00:00"/>
    <s v="CABG "/>
    <x v="1"/>
    <x v="1"/>
    <n v="0"/>
    <n v="0"/>
    <n v="3"/>
    <s v="PC"/>
    <m/>
    <m/>
    <m/>
    <m/>
    <m/>
    <m/>
    <m/>
    <m/>
    <m/>
    <m/>
    <m/>
    <m/>
    <m/>
    <m/>
    <n v="0"/>
    <d v="2017-02-16T00:00:00"/>
    <n v="1"/>
    <d v="2017-02-22T00:00:00"/>
    <n v="7"/>
    <x v="0"/>
    <n v="1"/>
    <s v="ELECTIVE"/>
    <s v="D"/>
    <m/>
    <m/>
    <m/>
    <s v="SROUJI"/>
    <d v="2017-03-17T00:00:00"/>
    <d v="2017-03-13T00:00:00"/>
    <s v="Y"/>
    <m/>
    <d v="2017-06-13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1"/>
    <s v="DJOULDE"/>
    <s v="630101FDAA"/>
    <d v="1963-01-01T00:00:00"/>
    <n v="54.164383561643838"/>
    <s v=" "/>
    <s v="LEMOGOUM"/>
    <s v="ERASME CARDIO"/>
    <s v="ERASME CARDIO"/>
    <s v="GVN"/>
    <s v="F"/>
    <d v="2017-02-16T00:00:00"/>
    <d v="2017-02-14T00:00:00"/>
    <s v="BENTALL"/>
    <x v="7"/>
    <x v="3"/>
    <n v="0"/>
    <s v="Aorte"/>
    <m/>
    <m/>
    <s v="Medtronic"/>
    <s v="M"/>
    <s v="27/30"/>
    <m/>
    <m/>
    <m/>
    <m/>
    <m/>
    <m/>
    <n v="1"/>
    <s v="8R/3Plas/2Plaq"/>
    <n v="13"/>
    <m/>
    <m/>
    <n v="13"/>
    <d v="2017-02-20T00:00:00"/>
    <n v="4"/>
    <d v="2017-03-01T00:00:00"/>
    <n v="13"/>
    <x v="0"/>
    <n v="1"/>
    <s v="ELECTIVE"/>
    <s v="D"/>
    <m/>
    <m/>
    <m/>
    <s v="DJOULDE"/>
    <s v="/"/>
    <d v="2017-03-13T00:00:00"/>
    <s v="Y"/>
    <m/>
    <s v="/"/>
    <m/>
    <s v="Pas en Belgique"/>
    <n v="1"/>
    <n v="1"/>
    <n v="1"/>
    <x v="0"/>
    <s v="Infection"/>
    <s v="Transfusion"/>
    <s v="Aucune"/>
    <s v="NON"/>
    <s v="NON"/>
    <n v="13"/>
    <n v="13"/>
    <s v="Inconnu"/>
    <n v="4"/>
    <n v="4"/>
    <s v="Inconnu"/>
    <s v="Transfusé"/>
    <n v="13"/>
    <s v="ERASME"/>
    <s v="Aucun"/>
    <s v="Aucun"/>
    <s v="OUI"/>
  </r>
  <r>
    <x v="1"/>
    <s v="HAMMOU"/>
    <s v="490701MH05"/>
    <d v="1949-07-01T00:00:00"/>
    <n v="67.679452054794524"/>
    <s v=" "/>
    <s v="JAMART"/>
    <s v="ERASME CARDIO"/>
    <s v="ERASME CARDIO"/>
    <s v="MLC"/>
    <s v="M"/>
    <d v="2017-02-17T00:00:00"/>
    <d v="2016-12-06T00:00:00"/>
    <s v="CABG"/>
    <x v="1"/>
    <x v="1"/>
    <n v="0"/>
    <n v="0"/>
    <n v="2"/>
    <s v="PC"/>
    <m/>
    <m/>
    <m/>
    <m/>
    <m/>
    <m/>
    <m/>
    <m/>
    <m/>
    <m/>
    <m/>
    <m/>
    <m/>
    <m/>
    <n v="0"/>
    <d v="2017-02-18T00:00:00"/>
    <n v="1"/>
    <d v="2017-02-24T00:00:00"/>
    <n v="7"/>
    <x v="0"/>
    <n v="1"/>
    <s v="ELECTIVE"/>
    <s v="D"/>
    <m/>
    <m/>
    <m/>
    <s v="HAMMOU"/>
    <d v="2017-03-23T00:00:00"/>
    <d v="2017-03-13T00:00:00"/>
    <s v="Y"/>
    <m/>
    <d v="2017-06-06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1"/>
    <s v="BAILLY"/>
    <s v="680813MBAA"/>
    <d v="1968-08-13T00:00:00"/>
    <n v="48.547945205479451"/>
    <s v=" "/>
    <s v="USI"/>
    <s v="ERASME USI"/>
    <s v="ERASME USI"/>
    <s v="BE"/>
    <s v="M"/>
    <d v="2017-02-17T00:00:00"/>
    <m/>
    <s v="HTX + ECMO"/>
    <x v="8"/>
    <x v="6"/>
    <s v="LVAD/HTX"/>
    <n v="0"/>
    <m/>
    <m/>
    <m/>
    <m/>
    <m/>
    <d v="2017-02-18T00:00:00"/>
    <n v="1"/>
    <n v="2"/>
    <m/>
    <m/>
    <m/>
    <m/>
    <m/>
    <m/>
    <m/>
    <m/>
    <n v="0"/>
    <d v="2017-02-24T00:00:00"/>
    <n v="7"/>
    <d v="2017-03-24T00:00:00"/>
    <n v="35"/>
    <x v="0"/>
    <n v="2"/>
    <s v="URGENCY"/>
    <s v="D"/>
    <m/>
    <m/>
    <m/>
    <s v="BAILLY"/>
    <s v="/"/>
    <s v="/"/>
    <m/>
    <s v="HTX"/>
    <s v="/"/>
    <m/>
    <s v="HTX"/>
    <n v="0"/>
    <n v="0"/>
    <n v="1"/>
    <x v="2"/>
    <s v="Aucune"/>
    <s v="Aucune"/>
    <s v="Aucune"/>
    <s v="OUI"/>
    <s v="NON"/>
    <n v="35"/>
    <s v="Inconnu"/>
    <n v="35"/>
    <n v="7"/>
    <s v="Inconnu"/>
    <n v="7"/>
    <s v="Aucune"/>
    <n v="0"/>
    <s v="ERASME"/>
    <s v="Aucun"/>
    <s v="Aucun"/>
    <s v="NON"/>
  </r>
  <r>
    <x v="1"/>
    <s v="VANHAVERBEKE"/>
    <s v="610630FV02"/>
    <d v="1961-06-30T00:00:00"/>
    <n v="55.682191780821917"/>
    <s v=" "/>
    <s v="VACHIERY"/>
    <s v="ERASME CARDIO"/>
    <s v="ERASME CARDIO"/>
    <s v="GVN"/>
    <s v="F"/>
    <d v="2017-02-20T00:00:00"/>
    <m/>
    <s v="HTX + ECMO"/>
    <x v="8"/>
    <x v="6"/>
    <s v="LVAD/HTX"/>
    <n v="0"/>
    <m/>
    <m/>
    <m/>
    <m/>
    <m/>
    <d v="2017-02-20T00:00:00"/>
    <n v="1"/>
    <n v="1"/>
    <m/>
    <m/>
    <m/>
    <m/>
    <m/>
    <m/>
    <m/>
    <m/>
    <n v="0"/>
    <d v="2017-03-14T00:00:00"/>
    <n v="22"/>
    <d v="2017-03-14T00:00:00"/>
    <n v="22"/>
    <x v="1"/>
    <n v="2"/>
    <s v="URGENCY"/>
    <s v="DCD usi"/>
    <m/>
    <m/>
    <m/>
    <s v="VANHAVERBEKE"/>
    <s v="/"/>
    <d v="2017-03-14T00:00:00"/>
    <s v="N"/>
    <s v="HTX- DCD"/>
    <s v="/"/>
    <s v="N"/>
    <s v="DCD "/>
    <n v="0"/>
    <n v="0"/>
    <n v="1"/>
    <x v="2"/>
    <s v="Aucune"/>
    <s v="Aucune"/>
    <s v="Aucune"/>
    <s v="OUI"/>
    <s v="NON"/>
    <n v="22"/>
    <s v="Inconnu"/>
    <n v="22"/>
    <n v="22"/>
    <s v="Inconnu"/>
    <n v="22"/>
    <s v="Aucune"/>
    <n v="0"/>
    <s v="ERASME"/>
    <s v="Aucun"/>
    <s v="Aucun"/>
    <s v="NON"/>
  </r>
  <r>
    <x v="1"/>
    <s v="PIERSOUL"/>
    <s v="811219FP02"/>
    <d v="1981-12-19T00:00:00"/>
    <n v="35.197260273972603"/>
    <s v=" "/>
    <s v="MIRICA"/>
    <s v="ERASME CARDIO"/>
    <s v="ERASME CARDIO"/>
    <s v="MLC"/>
    <s v="F"/>
    <d v="2017-02-20T00:00:00"/>
    <m/>
    <s v="MYXOME"/>
    <x v="4"/>
    <x v="3"/>
    <n v="0"/>
    <n v="0"/>
    <m/>
    <m/>
    <m/>
    <m/>
    <m/>
    <m/>
    <m/>
    <m/>
    <m/>
    <m/>
    <m/>
    <m/>
    <s v="1R"/>
    <n v="1"/>
    <m/>
    <m/>
    <n v="1"/>
    <d v="2017-02-21T00:00:00"/>
    <n v="1"/>
    <d v="2017-02-27T00:00:00"/>
    <n v="7"/>
    <x v="0"/>
    <n v="1"/>
    <s v="ELECTIVE"/>
    <s v="D"/>
    <m/>
    <m/>
    <m/>
    <s v="PIERSOUL"/>
    <d v="2017-03-30T00:00:00"/>
    <d v="2017-03-06T00:00:00"/>
    <s v="Y"/>
    <s v="péricardite sèche"/>
    <d v="2017-06-02T00:00:00"/>
    <s v="Y"/>
    <m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1"/>
    <s v="ERASME"/>
    <s v="Aucun"/>
    <s v="Aucun"/>
    <s v="NON"/>
  </r>
  <r>
    <x v="1"/>
    <s v="WALCKIERS"/>
    <s v="340413MWAA"/>
    <d v="1934-04-13T00:00:00"/>
    <n v="82.917808219178085"/>
    <s v="1"/>
    <s v="BAR"/>
    <s v="CHIREC EDITH CAVELL"/>
    <s v="CHIREC EDITH CAVELL"/>
    <s v="BE"/>
    <s v="M"/>
    <d v="2017-02-21T00:00:00"/>
    <d v="2017-02-21T00:00:00"/>
    <s v="AVR + CABG"/>
    <x v="3"/>
    <x v="0"/>
    <s v="CABG + V"/>
    <n v="0"/>
    <n v="2"/>
    <s v="PC"/>
    <s v="CE"/>
    <s v="B"/>
    <n v="23"/>
    <d v="2017-02-22T00:00:00"/>
    <n v="1"/>
    <m/>
    <m/>
    <m/>
    <m/>
    <m/>
    <s v="9R/6Plas/3Plaq"/>
    <n v="18"/>
    <s v="1R"/>
    <n v="1"/>
    <n v="19"/>
    <d v="2017-02-24T00:00:00"/>
    <n v="3"/>
    <d v="2017-03-03T00:00:00"/>
    <n v="10"/>
    <x v="0"/>
    <n v="2"/>
    <s v="URGENCY"/>
    <s v="D"/>
    <m/>
    <m/>
    <m/>
    <s v="WALCKIERS"/>
    <d v="2017-03-31T00:00:00"/>
    <d v="2017-03-10T00:00:00"/>
    <s v="Y"/>
    <s v="Cardiologue ?"/>
    <d v="2017-06-02T00:00:00"/>
    <s v="Y"/>
    <m/>
    <n v="0"/>
    <n v="1"/>
    <n v="1"/>
    <x v="2"/>
    <s v="Aucune"/>
    <s v="Transfusion"/>
    <s v="Transfusé"/>
    <s v="OUI"/>
    <s v="NON"/>
    <n v="10"/>
    <n v="10"/>
    <s v="Inconnu"/>
    <n v="3"/>
    <n v="3"/>
    <s v="Inconnu"/>
    <s v="Transfusé"/>
    <n v="19"/>
    <s v="CHIREC"/>
    <s v="Aucun"/>
    <s v="Aucun"/>
    <s v="OUI"/>
  </r>
  <r>
    <x v="1"/>
    <s v="D'OLIVIER"/>
    <s v="320324MD04"/>
    <d v="1932-03-24T00:00:00"/>
    <n v="84.975342465753428"/>
    <s v="1"/>
    <s v="CARDIO"/>
    <s v="ERASME CARDIO"/>
    <s v="ERASME CARDIO"/>
    <s v="GVN"/>
    <s v="M"/>
    <d v="2017-02-22T00:00:00"/>
    <d v="2017-02-21T00:00:00"/>
    <s v="AVR + MVP"/>
    <x v="0"/>
    <x v="0"/>
    <n v="0"/>
    <s v="2 V ou plus"/>
    <m/>
    <m/>
    <s v="Medtronic"/>
    <s v="M"/>
    <n v="23"/>
    <d v="2017-02-23T00:00:00"/>
    <n v="1"/>
    <m/>
    <n v="1"/>
    <m/>
    <m/>
    <m/>
    <s v="7R/6Plas/1Plaq"/>
    <n v="14"/>
    <s v="1R/1Plq"/>
    <n v="2"/>
    <n v="16"/>
    <d v="2017-02-28T00:00:00"/>
    <n v="6"/>
    <d v="2017-03-24T00:00:00"/>
    <n v="30"/>
    <x v="0"/>
    <n v="2"/>
    <s v="URGENCY"/>
    <s v="D"/>
    <m/>
    <m/>
    <m/>
    <s v="D'OLIVIER"/>
    <s v="/"/>
    <d v="2017-03-31T00:00:00"/>
    <s v="Y"/>
    <m/>
    <d v="2017-06-30T00:00:00"/>
    <s v="Y"/>
    <s v="Message"/>
    <n v="0"/>
    <n v="1"/>
    <n v="1"/>
    <x v="2"/>
    <s v="Aucune"/>
    <s v="Transfusion"/>
    <s v="Transfusé"/>
    <s v="OUI"/>
    <s v="NON"/>
    <n v="30"/>
    <n v="30"/>
    <s v="Inconnu"/>
    <n v="6"/>
    <n v="6"/>
    <s v="Inconnu"/>
    <s v="Transfusé"/>
    <n v="16"/>
    <s v="ERASME"/>
    <s v="Aucun"/>
    <s v="Aucun"/>
    <s v="OUI"/>
  </r>
  <r>
    <x v="1"/>
    <s v="LOZANO E IBA"/>
    <s v="360516FL02"/>
    <d v="1936-05-16T00:00:00"/>
    <n v="80.830136986301369"/>
    <s v="1"/>
    <s v="ABDESSATER"/>
    <s v="ABDESSATER"/>
    <s v="CT"/>
    <s v="BE"/>
    <s v="F"/>
    <d v="2017-02-23T00:00:00"/>
    <d v="2017-02-14T00:00:00"/>
    <s v="AVR"/>
    <x v="2"/>
    <x v="2"/>
    <s v="AVR"/>
    <s v="AVR"/>
    <m/>
    <m/>
    <s v="CE"/>
    <s v="B"/>
    <n v="21"/>
    <m/>
    <m/>
    <m/>
    <m/>
    <m/>
    <m/>
    <m/>
    <m/>
    <m/>
    <m/>
    <m/>
    <n v="0"/>
    <d v="2017-02-24T00:00:00"/>
    <n v="1"/>
    <d v="2017-03-03T00:00:00"/>
    <n v="8"/>
    <x v="0"/>
    <n v="1"/>
    <s v="ELECTIVE"/>
    <s v="D"/>
    <m/>
    <m/>
    <m/>
    <s v="LOZANO E IBA"/>
    <d v="2017-03-31T00:00:00"/>
    <d v="2017-03-10T00:00:00"/>
    <s v="Y"/>
    <m/>
    <d v="2017-06-09T00:00:00"/>
    <s v="Y"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CT"/>
    <s v="Aucun"/>
    <s v="Aucun"/>
    <s v="OUI"/>
  </r>
  <r>
    <x v="1"/>
    <s v="MACKOWIAK"/>
    <s v="390901FM02"/>
    <d v="1939-09-01T00:00:00"/>
    <n v="77.536986301369865"/>
    <s v=" "/>
    <s v="BERKENBOOM"/>
    <s v="ERASME CARDIO"/>
    <s v="ERASME CARDIO"/>
    <s v="MLC"/>
    <s v="F"/>
    <d v="2017-02-24T00:00:00"/>
    <m/>
    <s v="CABG"/>
    <x v="1"/>
    <x v="1"/>
    <n v="0"/>
    <n v="0"/>
    <n v="2"/>
    <s v="PC"/>
    <m/>
    <m/>
    <m/>
    <m/>
    <m/>
    <m/>
    <m/>
    <m/>
    <m/>
    <m/>
    <s v="2R"/>
    <n v="2"/>
    <m/>
    <m/>
    <n v="2"/>
    <d v="2017-02-28T00:00:00"/>
    <n v="4"/>
    <d v="2017-03-03T00:00:00"/>
    <n v="7"/>
    <x v="1"/>
    <n v="2"/>
    <s v="URGENCY"/>
    <s v="D"/>
    <m/>
    <m/>
    <m/>
    <s v="MACKOWIAK"/>
    <d v="2017-04-06T00:00:00"/>
    <d v="2017-03-10T00:00:00"/>
    <s v="Y"/>
    <m/>
    <d v="2017-06-02T00:00:00"/>
    <s v="N"/>
    <s v="DCD "/>
    <n v="0"/>
    <n v="1"/>
    <n v="1"/>
    <x v="2"/>
    <s v="Aucune"/>
    <s v="Transfusion"/>
    <s v="Aucune"/>
    <s v="NON"/>
    <s v="NON"/>
    <n v="7"/>
    <n v="7"/>
    <s v="Inconnu"/>
    <n v="4"/>
    <n v="4"/>
    <s v="Inconnu"/>
    <s v="Transfusé"/>
    <n v="2"/>
    <s v="ERASME"/>
    <s v="Aucun"/>
    <s v="Aucun"/>
    <s v="NON"/>
  </r>
  <r>
    <x v="1"/>
    <s v="QUEIROS PINTO"/>
    <s v="680720FQ01"/>
    <d v="1968-07-20T00:00:00"/>
    <n v="48.641095890410959"/>
    <s v=" "/>
    <s v="DESCAMPS"/>
    <s v="CHWAPI TOURNAI"/>
    <s v="CHWAPI TOURNAI"/>
    <s v="BE"/>
    <s v="F"/>
    <d v="2017-02-25T00:00:00"/>
    <d v="2017-02-21T00:00:00"/>
    <s v="CABG"/>
    <x v="1"/>
    <x v="1"/>
    <n v="0"/>
    <n v="0"/>
    <n v="2"/>
    <s v="PC"/>
    <m/>
    <m/>
    <m/>
    <m/>
    <m/>
    <m/>
    <m/>
    <m/>
    <m/>
    <m/>
    <s v="1R"/>
    <n v="1"/>
    <m/>
    <m/>
    <n v="1"/>
    <d v="2017-03-01T00:00:00"/>
    <n v="4"/>
    <d v="2017-03-07T00:00:00"/>
    <n v="10"/>
    <x v="0"/>
    <n v="2"/>
    <s v="URGENCY"/>
    <s v="D"/>
    <m/>
    <m/>
    <m/>
    <s v="QUEIROS PINTO"/>
    <d v="2017-04-14T00:00:00"/>
    <d v="2017-03-17T00:00:00"/>
    <s v="Y"/>
    <m/>
    <d v="2017-06-09T00:00:00"/>
    <s v="Y"/>
    <s v="Message"/>
    <n v="0"/>
    <n v="1"/>
    <n v="1"/>
    <x v="2"/>
    <s v="Aucune"/>
    <s v="Transfusion"/>
    <s v="Aucune"/>
    <s v="NON"/>
    <s v="NON"/>
    <n v="8"/>
    <n v="8"/>
    <s v="Inconnu"/>
    <n v="2"/>
    <n v="2"/>
    <s v="Inconnu"/>
    <s v="Transfusé"/>
    <n v="1"/>
    <s v="CHWAPI TOURNAI"/>
    <s v="Aucun"/>
    <s v="Aucun"/>
    <s v="OUI"/>
  </r>
  <r>
    <x v="1"/>
    <s v="PANDUCCIO"/>
    <s v="550309MPAB"/>
    <d v="1955-03-09T00:00:00"/>
    <n v="62.016438356164386"/>
    <s v=" "/>
    <s v="ROGOWSKY"/>
    <s v="CHIREC PARC LEOPOLD"/>
    <s v="CHIREC PARC LEOPOLD"/>
    <s v="MLC"/>
    <s v="M"/>
    <d v="2017-02-27T00:00:00"/>
    <d v="2017-02-21T00:00:00"/>
    <s v="CABG"/>
    <x v="1"/>
    <x v="1"/>
    <n v="0"/>
    <n v="0"/>
    <n v="3"/>
    <s v="PC"/>
    <m/>
    <m/>
    <m/>
    <m/>
    <m/>
    <m/>
    <m/>
    <m/>
    <m/>
    <m/>
    <m/>
    <m/>
    <m/>
    <m/>
    <n v="0"/>
    <d v="2017-02-28T00:00:00"/>
    <n v="1"/>
    <d v="2017-03-06T00:00:00"/>
    <n v="7"/>
    <x v="0"/>
    <n v="1"/>
    <s v="ELECTIVE"/>
    <s v="D"/>
    <m/>
    <m/>
    <m/>
    <s v="PANDUCCIO"/>
    <d v="2017-04-06T00:00:00"/>
    <d v="2017-03-13T00:00:00"/>
    <s v="Y"/>
    <m/>
    <d v="2017-06-06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1"/>
    <s v="FRAGAPANE"/>
    <s v="460503FFAA"/>
    <d v="1946-05-03T00:00:00"/>
    <n v="70.871232876712327"/>
    <s v=" "/>
    <s v="KHOUZAM"/>
    <s v="CHR HAUTE SENNE"/>
    <s v="CHR HAUTE SENNE"/>
    <s v="BE"/>
    <s v="F"/>
    <d v="2017-02-27T00:00:00"/>
    <d v="2017-03-07T00:00:00"/>
    <s v="CABG"/>
    <x v="1"/>
    <x v="1"/>
    <n v="0"/>
    <n v="0"/>
    <n v="4"/>
    <s v="PC"/>
    <m/>
    <m/>
    <m/>
    <m/>
    <m/>
    <m/>
    <m/>
    <m/>
    <m/>
    <m/>
    <s v="4R"/>
    <n v="4"/>
    <m/>
    <m/>
    <n v="4"/>
    <d v="2017-03-02T00:00:00"/>
    <n v="3"/>
    <d v="2017-03-13T00:00:00"/>
    <n v="14"/>
    <x v="0"/>
    <n v="1"/>
    <s v="ELECTIVE"/>
    <s v="Soignies"/>
    <m/>
    <m/>
    <m/>
    <s v="FRAGAPANE"/>
    <d v="2017-04-21T00:00:00"/>
    <d v="2017-04-24T00:00:00"/>
    <s v="Y"/>
    <m/>
    <d v="2017-06-27T00:00:00"/>
    <s v="Y"/>
    <m/>
    <n v="0"/>
    <n v="1"/>
    <n v="1"/>
    <x v="0"/>
    <s v="Aucune"/>
    <s v="Transfusion"/>
    <s v="Aucune"/>
    <s v="NON"/>
    <s v="NON"/>
    <n v="14"/>
    <n v="14"/>
    <s v="Inconnu"/>
    <n v="3"/>
    <n v="3"/>
    <s v="Inconnu"/>
    <s v="Transfusé"/>
    <n v="4"/>
    <s v="CHR HAUTE SENNE"/>
    <s v="Aucun"/>
    <s v="Aucun"/>
    <s v="OUI"/>
  </r>
  <r>
    <x v="1"/>
    <s v="BOOTH"/>
    <s v="470408MBAA"/>
    <d v="1947-04-08T00:00:00"/>
    <n v="69.942465753424656"/>
    <s v=" "/>
    <s v="MENASSEL"/>
    <s v="CHIREC BRAINE"/>
    <s v="CHIREC BRAINE"/>
    <s v="GVN"/>
    <s v="M"/>
    <d v="2017-02-28T00:00:00"/>
    <d v="2017-02-21T00:00:00"/>
    <s v="CABG"/>
    <x v="1"/>
    <x v="1"/>
    <n v="0"/>
    <n v="0"/>
    <n v="4"/>
    <s v="PC"/>
    <m/>
    <m/>
    <m/>
    <m/>
    <m/>
    <m/>
    <m/>
    <m/>
    <m/>
    <m/>
    <m/>
    <m/>
    <m/>
    <m/>
    <n v="0"/>
    <d v="2017-03-04T00:00:00"/>
    <n v="4"/>
    <d v="2017-03-11T00:00:00"/>
    <n v="11"/>
    <x v="0"/>
    <n v="1"/>
    <s v="ELECTIVE"/>
    <s v="D"/>
    <m/>
    <m/>
    <m/>
    <s v="BOOTH"/>
    <d v="2017-04-10T00:00:00"/>
    <d v="2017-03-17T00:00:00"/>
    <s v="Y"/>
    <m/>
    <d v="2017-06-09T00:00:00"/>
    <s v="Y"/>
    <m/>
    <n v="0"/>
    <n v="0"/>
    <n v="1"/>
    <x v="0"/>
    <s v="Aucune"/>
    <s v="Aucune"/>
    <s v="Aucune"/>
    <s v="NON"/>
    <s v="NON"/>
    <n v="11"/>
    <n v="11"/>
    <s v="Inconnu"/>
    <n v="4"/>
    <n v="4"/>
    <s v="Inconnu"/>
    <s v="Aucune"/>
    <n v="0"/>
    <s v="CHIREC"/>
    <s v="Aucun"/>
    <s v="Aucun"/>
    <s v="OUI"/>
  </r>
  <r>
    <x v="2"/>
    <s v="DE GREEF"/>
    <s v="300411MD09"/>
    <d v="1930-04-11T00:00:00"/>
    <n v="86.947945205479456"/>
    <s v="1"/>
    <s v="DEPAEPE"/>
    <s v="BRACOPS"/>
    <s v="BRACOPS"/>
    <s v="GVN"/>
    <s v="M"/>
    <d v="2017-03-01T00:00:00"/>
    <d v="2017-02-14T00:00:00"/>
    <s v="AVR + CABG"/>
    <x v="3"/>
    <x v="0"/>
    <s v="CABG + V"/>
    <n v="0"/>
    <n v="2"/>
    <s v="PC"/>
    <s v="CE"/>
    <s v="B"/>
    <n v="21"/>
    <d v="2017-03-01T00:00:00"/>
    <n v="1"/>
    <m/>
    <m/>
    <m/>
    <m/>
    <n v="1"/>
    <s v="5R/4Plas/2Plaq"/>
    <n v="11"/>
    <m/>
    <m/>
    <n v="11"/>
    <d v="2017-03-03T00:00:00"/>
    <n v="2"/>
    <d v="2017-03-22T00:00:00"/>
    <n v="21"/>
    <x v="0"/>
    <n v="1"/>
    <s v="ELECTIVE"/>
    <s v="R"/>
    <m/>
    <m/>
    <m/>
    <s v="DE GREEF"/>
    <d v="2017-04-26T00:00:00"/>
    <d v="2017-03-29T00:00:00"/>
    <s v="Y"/>
    <m/>
    <d v="2017-06-23T00:00:00"/>
    <s v="Y"/>
    <m/>
    <n v="1"/>
    <n v="1"/>
    <n v="1"/>
    <x v="0"/>
    <s v="Infection"/>
    <s v="Transfusion"/>
    <s v="Aucune"/>
    <s v="OUI"/>
    <s v="NON"/>
    <n v="21"/>
    <n v="21"/>
    <s v="Inconnu"/>
    <n v="2"/>
    <n v="2"/>
    <s v="Inconnu"/>
    <s v="Transfusé"/>
    <n v="11"/>
    <s v="BRACOPS"/>
    <s v="Aucun"/>
    <s v="Aucun"/>
    <s v="OUI"/>
  </r>
  <r>
    <x v="2"/>
    <s v="GORDENNE"/>
    <s v="520927MG01"/>
    <d v="1952-09-27T00:00:00"/>
    <n v="64.473972602739721"/>
    <s v=" "/>
    <s v="LEMOGOUM"/>
    <s v="ERASME CARDIO"/>
    <s v="ERASME CARDIO"/>
    <s v="BE"/>
    <s v="M"/>
    <d v="2017-03-03T00:00:00"/>
    <d v="2017-02-28T00:00:00"/>
    <s v="AVR + CABG"/>
    <x v="3"/>
    <x v="0"/>
    <s v="CABG + V"/>
    <n v="0"/>
    <n v="2"/>
    <s v="PC"/>
    <s v="CE"/>
    <s v="B"/>
    <n v="25"/>
    <m/>
    <m/>
    <m/>
    <m/>
    <m/>
    <m/>
    <n v="1"/>
    <s v="2Plas/1Plaq"/>
    <n v="3"/>
    <s v="1R"/>
    <n v="1"/>
    <n v="4"/>
    <d v="2017-04-06T00:00:00"/>
    <n v="34"/>
    <d v="2017-05-10T00:00:00"/>
    <n v="68"/>
    <x v="0"/>
    <n v="1"/>
    <s v="ELECTIVE"/>
    <s v="D"/>
    <m/>
    <m/>
    <m/>
    <s v="GORDENNE"/>
    <d v="2017-06-09T00:00:00"/>
    <d v="2017-05-17T00:00:00"/>
    <s v="Y"/>
    <m/>
    <d v="2017-08-08T00:00:00"/>
    <s v="Y"/>
    <m/>
    <n v="1"/>
    <n v="1"/>
    <n v="1"/>
    <x v="0"/>
    <s v="Infection"/>
    <s v="Transfusion"/>
    <s v="Transfusé"/>
    <s v="NON"/>
    <s v="NON"/>
    <n v="68"/>
    <n v="68"/>
    <s v="Inconnu"/>
    <n v="34"/>
    <n v="34"/>
    <s v="Inconnu"/>
    <s v="Transfusé"/>
    <n v="4"/>
    <s v="ERASME"/>
    <s v="Aucun"/>
    <s v="Aucun"/>
    <s v="OUI"/>
  </r>
  <r>
    <x v="2"/>
    <s v="ALGOET"/>
    <s v="490904MA01"/>
    <d v="1949-09-04T00:00:00"/>
    <n v="67.547945205479451"/>
    <s v=" "/>
    <s v="HEDESHI"/>
    <s v="CHR HAUTE SENNE"/>
    <s v="CT"/>
    <s v="MLC"/>
    <s v="M"/>
    <d v="2017-03-06T00:00:00"/>
    <d v="2017-02-28T00:00:00"/>
    <s v="CABG + MYXOME"/>
    <x v="1"/>
    <x v="1"/>
    <n v="0"/>
    <n v="0"/>
    <n v="2"/>
    <s v="PC"/>
    <m/>
    <m/>
    <m/>
    <m/>
    <m/>
    <m/>
    <m/>
    <m/>
    <m/>
    <n v="1"/>
    <m/>
    <m/>
    <m/>
    <m/>
    <n v="0"/>
    <d v="2017-03-07T00:00:00"/>
    <n v="1"/>
    <d v="2017-03-14T00:00:00"/>
    <n v="8"/>
    <x v="0"/>
    <n v="1"/>
    <s v="ELECTIVE"/>
    <s v="D"/>
    <m/>
    <m/>
    <m/>
    <s v="ALGOET"/>
    <d v="2017-04-20T00:00:00"/>
    <d v="2017-03-22T00:00:00"/>
    <s v="Y"/>
    <m/>
    <d v="2017-06-13T00:00:00"/>
    <s v="Y"/>
    <m/>
    <n v="1"/>
    <n v="0"/>
    <n v="1"/>
    <x v="0"/>
    <s v="Infection"/>
    <s v="Aucune"/>
    <s v="Aucune"/>
    <s v="NON"/>
    <s v="NON"/>
    <n v="8"/>
    <n v="8"/>
    <s v="Inconnu"/>
    <n v="1"/>
    <n v="1"/>
    <s v="Inconnu"/>
    <s v="Aucune"/>
    <n v="0"/>
    <s v="CT"/>
    <s v="Aucun"/>
    <s v="Aucun"/>
    <s v="OUI"/>
  </r>
  <r>
    <x v="2"/>
    <s v="HEUGENS"/>
    <s v="630905MH01"/>
    <d v="1963-09-05T00:00:00"/>
    <n v="53.539726027397258"/>
    <s v=" "/>
    <s v="HEDESHI"/>
    <s v="CHR HAUTE SENNE"/>
    <s v="CHR HAUTE SENNE"/>
    <s v="FV"/>
    <s v="M"/>
    <d v="2017-03-07T00:00:00"/>
    <d v="2017-02-28T00:00:00"/>
    <s v="MVP + TVP"/>
    <x v="0"/>
    <x v="0"/>
    <n v="0"/>
    <s v="2 V ou plus"/>
    <m/>
    <m/>
    <s v="Memo 3D/CE"/>
    <m/>
    <s v="34/34"/>
    <m/>
    <m/>
    <m/>
    <m/>
    <m/>
    <m/>
    <m/>
    <m/>
    <m/>
    <m/>
    <m/>
    <n v="0"/>
    <d v="2017-03-10T00:00:00"/>
    <n v="3"/>
    <d v="2017-03-21T00:00:00"/>
    <n v="14"/>
    <x v="0"/>
    <n v="1"/>
    <s v="ELECTIVE"/>
    <s v="D"/>
    <m/>
    <m/>
    <m/>
    <s v="HEUGENS"/>
    <d v="2017-04-18T00:00:00"/>
    <d v="2017-03-31T00:00:00"/>
    <s v="Y"/>
    <m/>
    <d v="2017-06-19T00:00:00"/>
    <s v="Y"/>
    <s v="Message"/>
    <n v="0"/>
    <n v="0"/>
    <n v="1"/>
    <x v="0"/>
    <s v="Aucune"/>
    <s v="Aucune"/>
    <s v="Aucune"/>
    <s v="NON"/>
    <s v="NON"/>
    <n v="14"/>
    <n v="14"/>
    <s v="Inconnu"/>
    <n v="3"/>
    <n v="3"/>
    <s v="Inconnu"/>
    <s v="Aucune"/>
    <n v="0"/>
    <s v="CHR HAUTE SENNE"/>
    <s v="Aucun"/>
    <s v="Aucun"/>
    <s v="OUI"/>
  </r>
  <r>
    <x v="2"/>
    <s v="EL MAYMOUNI"/>
    <s v="450701ME24"/>
    <d v="1945-07-01T00:00:00"/>
    <n v="71.731506849315068"/>
    <s v=" "/>
    <s v="URGENCES"/>
    <s v="ERASME URGENCES"/>
    <s v="ERASME URGENCES"/>
    <s v="BE"/>
    <s v="M"/>
    <d v="2017-03-07T00:00:00"/>
    <d v="2017-03-07T00:00:00"/>
    <s v="CABG"/>
    <x v="1"/>
    <x v="1"/>
    <n v="0"/>
    <n v="0"/>
    <n v="3"/>
    <s v="PC"/>
    <m/>
    <m/>
    <m/>
    <m/>
    <m/>
    <m/>
    <m/>
    <m/>
    <m/>
    <n v="1"/>
    <s v="1R"/>
    <n v="1"/>
    <m/>
    <m/>
    <n v="1"/>
    <d v="2017-03-08T00:00:00"/>
    <n v="1"/>
    <d v="2017-03-14T00:00:00"/>
    <n v="7"/>
    <x v="0"/>
    <n v="3"/>
    <s v="EMERGENCY"/>
    <s v="D"/>
    <m/>
    <m/>
    <m/>
    <s v="EL MAYMOUNI"/>
    <d v="2017-04-14T00:00:00"/>
    <d v="2017-03-22T00:00:00"/>
    <s v="Y"/>
    <s v="pas de cardiologue- Message"/>
    <d v="2017-06-13T00:00:00"/>
    <s v="Y"/>
    <s v="Message"/>
    <n v="1"/>
    <n v="1"/>
    <n v="1"/>
    <x v="1"/>
    <s v="Infection"/>
    <s v="Transfusion"/>
    <s v="Aucune"/>
    <s v="NON"/>
    <s v="NON"/>
    <n v="7"/>
    <n v="7"/>
    <s v="Inconnu"/>
    <n v="1"/>
    <n v="1"/>
    <s v="Inconnu"/>
    <s v="Transfusé"/>
    <n v="1"/>
    <s v="ERASME"/>
    <s v="Aucun"/>
    <s v="Aucun"/>
    <s v="OUI"/>
  </r>
  <r>
    <x v="2"/>
    <s v="CUCCA"/>
    <s v="350613MC01"/>
    <d v="1935-06-13T00:00:00"/>
    <n v="81.791780821917811"/>
    <s v="1"/>
    <s v="HEDESHI"/>
    <s v="CHR HAUTE SENNE"/>
    <s v="CHR HAUTE SENNE"/>
    <s v="FV"/>
    <s v="M"/>
    <d v="2017-03-08T00:00:00"/>
    <d v="2017-02-28T00:00:00"/>
    <s v="? (AVR)"/>
    <x v="2"/>
    <x v="2"/>
    <s v="AVR"/>
    <s v="AVR"/>
    <m/>
    <m/>
    <m/>
    <m/>
    <m/>
    <m/>
    <m/>
    <m/>
    <m/>
    <m/>
    <m/>
    <m/>
    <m/>
    <m/>
    <m/>
    <m/>
    <n v="0"/>
    <d v="2017-03-09T00:00:00"/>
    <n v="1"/>
    <d v="2017-03-16T00:00:00"/>
    <n v="8"/>
    <x v="0"/>
    <n v="1"/>
    <s v="ELECTIVE"/>
    <s v="D"/>
    <m/>
    <m/>
    <m/>
    <s v="CUCCA"/>
    <d v="2017-04-18T00:00:00"/>
    <d v="2017-03-27T00:00:00"/>
    <s v="Y"/>
    <s v="a eu suivi gériatrique ?"/>
    <d v="2017-06-16T00:00:00"/>
    <s v="Y"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CHR HAUTE SENNE"/>
    <s v="Aucun"/>
    <s v="Aucun"/>
    <s v="OUI"/>
  </r>
  <r>
    <x v="2"/>
    <s v="BOURGIGNONT"/>
    <s v="440220FB01"/>
    <d v="1944-02-20T00:00:00"/>
    <n v="73.095890410958901"/>
    <s v=" "/>
    <s v="PREUMONT"/>
    <s v="ERASME CARDIO"/>
    <s v="ERASME CARDIO"/>
    <s v="FV"/>
    <s v="F"/>
    <d v="2017-03-08T00:00:00"/>
    <m/>
    <s v="? (CABG)"/>
    <x v="1"/>
    <x v="1"/>
    <n v="0"/>
    <n v="0"/>
    <m/>
    <m/>
    <m/>
    <m/>
    <m/>
    <m/>
    <m/>
    <m/>
    <m/>
    <m/>
    <m/>
    <m/>
    <s v="1R"/>
    <n v="1"/>
    <m/>
    <m/>
    <n v="1"/>
    <d v="2017-03-09T00:00:00"/>
    <n v="1"/>
    <d v="2017-03-16T00:00:00"/>
    <n v="8"/>
    <x v="0"/>
    <n v="2"/>
    <s v="URGENCY"/>
    <s v="D"/>
    <m/>
    <m/>
    <m/>
    <s v="BOURGIGNONT"/>
    <d v="2017-04-18T00:00:00"/>
    <d v="2017-03-27T00:00:00"/>
    <s v="Y"/>
    <m/>
    <d v="2017-06-16T00:00:00"/>
    <s v="Y"/>
    <m/>
    <n v="0"/>
    <n v="1"/>
    <n v="1"/>
    <x v="2"/>
    <s v="Aucune"/>
    <s v="Transfusion"/>
    <s v="Aucune"/>
    <s v="NON"/>
    <s v="NON"/>
    <n v="8"/>
    <n v="8"/>
    <s v="Inconnu"/>
    <n v="1"/>
    <n v="1"/>
    <s v="Inconnu"/>
    <s v="Transfusé"/>
    <n v="1"/>
    <s v="ERASME"/>
    <s v="Aucun"/>
    <s v="Aucun"/>
    <s v="NON"/>
  </r>
  <r>
    <x v="2"/>
    <s v="MALKA"/>
    <s v="360101MM02"/>
    <d v="1936-01-01T00:00:00"/>
    <n v="81.238356164383561"/>
    <s v="1"/>
    <s v="URGENCES"/>
    <s v="ERASME URGENCES"/>
    <s v="ERASME URGENCES"/>
    <s v="BE"/>
    <s v="M"/>
    <d v="2017-03-08T00:00:00"/>
    <m/>
    <s v="AVR + MVP"/>
    <x v="0"/>
    <x v="0"/>
    <n v="0"/>
    <s v="2 V ou plus"/>
    <m/>
    <m/>
    <s v="CE"/>
    <s v="B"/>
    <n v="25"/>
    <m/>
    <m/>
    <m/>
    <m/>
    <m/>
    <m/>
    <m/>
    <m/>
    <m/>
    <m/>
    <m/>
    <n v="0"/>
    <d v="2017-03-08T00:00:00"/>
    <n v="0"/>
    <d v="2017-03-08T00:00:00"/>
    <n v="0"/>
    <x v="1"/>
    <n v="4"/>
    <s v="SALVAGE"/>
    <s v="/"/>
    <m/>
    <m/>
    <m/>
    <s v="MALKA"/>
    <s v="/"/>
    <d v="2017-03-08T00:00:00"/>
    <s v="N"/>
    <s v="DCD salle d'op"/>
    <s v="/"/>
    <s v="N"/>
    <s v="DCD salle d'op"/>
    <n v="0"/>
    <n v="0"/>
    <n v="1"/>
    <x v="3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2"/>
    <s v="CROMMELYNCK"/>
    <s v="610406MC04"/>
    <d v="1961-04-06T00:00:00"/>
    <n v="55.972602739726028"/>
    <s v=" "/>
    <s v="GREGOIRE"/>
    <s v="GREGOIRE"/>
    <s v="CT"/>
    <s v="FV"/>
    <s v="M"/>
    <d v="2017-03-13T00:00:00"/>
    <d v="2017-03-07T00:00:00"/>
    <s v="AVR + CABG"/>
    <x v="3"/>
    <x v="0"/>
    <s v="CABG + V"/>
    <n v="0"/>
    <n v="3"/>
    <s v="PC"/>
    <s v="Medtronic"/>
    <s v="M"/>
    <n v="25"/>
    <m/>
    <m/>
    <m/>
    <m/>
    <m/>
    <m/>
    <n v="1"/>
    <m/>
    <m/>
    <m/>
    <m/>
    <n v="0"/>
    <d v="2017-03-14T00:00:00"/>
    <n v="1"/>
    <d v="2017-03-20T00:00:00"/>
    <n v="7"/>
    <x v="0"/>
    <n v="1"/>
    <s v="ELECTIVE"/>
    <s v="D"/>
    <m/>
    <m/>
    <m/>
    <s v="CROMMELYNCK"/>
    <d v="2017-04-18T00:00:00"/>
    <d v="2017-03-27T00:00:00"/>
    <s v="Y"/>
    <m/>
    <d v="2017-06-19T00:00:00"/>
    <s v="Y"/>
    <s v="Message"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CT"/>
    <s v="Aucun"/>
    <s v="Aucun"/>
    <s v="OUI"/>
  </r>
  <r>
    <x v="2"/>
    <s v="BERKANI"/>
    <s v="820518MBAA"/>
    <d v="1982-05-18T00:00:00"/>
    <n v="34.846575342465755"/>
    <s v=" "/>
    <s v="MISSOUNI"/>
    <s v="ERASME ETRANGER"/>
    <s v="ERASME ETRANGER"/>
    <s v="FV"/>
    <s v="M"/>
    <d v="2017-03-14T00:00:00"/>
    <d v="2017-03-07T00:00:00"/>
    <s v="? (FALLOT)"/>
    <x v="4"/>
    <x v="3"/>
    <n v="0"/>
    <n v="0"/>
    <m/>
    <m/>
    <m/>
    <m/>
    <m/>
    <m/>
    <m/>
    <m/>
    <m/>
    <m/>
    <m/>
    <m/>
    <s v="1R/3Plas/1Plaq"/>
    <n v="5"/>
    <m/>
    <m/>
    <n v="5"/>
    <d v="2017-03-15T00:00:00"/>
    <n v="1"/>
    <d v="2017-03-24T00:00:00"/>
    <n v="10"/>
    <x v="0"/>
    <n v="1"/>
    <s v="ELECTIVE"/>
    <s v="D"/>
    <m/>
    <m/>
    <m/>
    <s v="BERKANI"/>
    <s v="/"/>
    <s v="/"/>
    <s v="Y"/>
    <s v="Pas en Belgique"/>
    <s v="/"/>
    <m/>
    <s v="Pas en Belgique"/>
    <n v="0"/>
    <n v="1"/>
    <n v="1"/>
    <x v="0"/>
    <s v="Aucune"/>
    <s v="Transfusion"/>
    <s v="Aucune"/>
    <s v="NON"/>
    <s v="NON"/>
    <n v="10"/>
    <n v="10"/>
    <s v="Inconnu"/>
    <n v="1"/>
    <n v="1"/>
    <s v="Inconnu"/>
    <s v="Transfusé"/>
    <n v="5"/>
    <s v="ERASME"/>
    <s v="Aucun"/>
    <s v="Aucun"/>
    <s v="OUI"/>
  </r>
  <r>
    <x v="2"/>
    <s v="BELLIT"/>
    <s v="580701FB31"/>
    <d v="1958-07-01T00:00:00"/>
    <n v="58.745205479452054"/>
    <s v=" "/>
    <s v="ONGA"/>
    <s v="BRACOPS"/>
    <s v="BRACOPS"/>
    <s v="BE"/>
    <s v="F"/>
    <d v="2017-03-15T00:00:00"/>
    <d v="2017-03-14T00:00:00"/>
    <s v="CABG"/>
    <x v="1"/>
    <x v="1"/>
    <n v="0"/>
    <n v="0"/>
    <n v="3"/>
    <s v="PC"/>
    <m/>
    <m/>
    <m/>
    <m/>
    <m/>
    <m/>
    <m/>
    <m/>
    <m/>
    <n v="1"/>
    <s v="1R"/>
    <n v="1"/>
    <m/>
    <m/>
    <n v="1"/>
    <d v="2017-03-17T00:00:00"/>
    <n v="2"/>
    <d v="2017-03-24T00:00:00"/>
    <n v="9"/>
    <x v="0"/>
    <n v="1"/>
    <s v="ELECTIVE"/>
    <s v="D"/>
    <m/>
    <m/>
    <m/>
    <s v="BELLIT"/>
    <d v="2017-04-21T00:00:00"/>
    <d v="2017-03-31T00:00:00"/>
    <s v="Y"/>
    <s v="Message"/>
    <d v="2017-06-23T00:00:00"/>
    <s v="Y"/>
    <m/>
    <n v="1"/>
    <n v="1"/>
    <n v="1"/>
    <x v="0"/>
    <s v="Infection"/>
    <s v="Transfusion"/>
    <s v="Aucune"/>
    <s v="NON"/>
    <s v="NON"/>
    <n v="9"/>
    <n v="9"/>
    <s v="Inconnu"/>
    <n v="2"/>
    <n v="2"/>
    <s v="Inconnu"/>
    <s v="Transfusé"/>
    <n v="1"/>
    <s v="BRACOPS"/>
    <s v="Aucun"/>
    <s v="Aucun"/>
    <s v="OUI"/>
  </r>
  <r>
    <x v="2"/>
    <s v="MEURICE"/>
    <s v="410606FMAA"/>
    <d v="1941-06-06T00:00:00"/>
    <n v="75.827397260273969"/>
    <s v=" "/>
    <s v="HEDESHI"/>
    <s v="CHR HAUTE SENNE"/>
    <s v="CHR HAUTE SENNE"/>
    <s v="BE"/>
    <s v="F"/>
    <d v="2017-03-16T00:00:00"/>
    <d v="2017-03-14T00:00:00"/>
    <s v="CABG"/>
    <x v="1"/>
    <x v="1"/>
    <n v="0"/>
    <n v="0"/>
    <n v="3"/>
    <s v="PC"/>
    <m/>
    <m/>
    <m/>
    <m/>
    <m/>
    <m/>
    <m/>
    <m/>
    <m/>
    <n v="1"/>
    <s v="5R/2Plas"/>
    <n v="7"/>
    <s v="1R"/>
    <n v="1"/>
    <n v="8"/>
    <d v="2017-03-19T00:00:00"/>
    <n v="3"/>
    <d v="2017-04-07T00:00:00"/>
    <n v="22"/>
    <x v="0"/>
    <n v="2"/>
    <s v="URGENCY"/>
    <s v="Soignies"/>
    <m/>
    <m/>
    <m/>
    <s v="MEURICE"/>
    <d v="2017-04-28T00:00:00"/>
    <d v="2017-05-10T00:00:00"/>
    <s v="Y"/>
    <s v="jamais de réponse,,,en Revali ?"/>
    <d v="2017-07-12T00:00:00"/>
    <s v="Y"/>
    <m/>
    <n v="1"/>
    <n v="1"/>
    <n v="1"/>
    <x v="2"/>
    <s v="Infection"/>
    <s v="Transfusion"/>
    <s v="Transfusé"/>
    <s v="NON"/>
    <s v="NON"/>
    <n v="22"/>
    <n v="22"/>
    <s v="Inconnu"/>
    <n v="3"/>
    <n v="3"/>
    <s v="Inconnu"/>
    <s v="Transfusé"/>
    <n v="8"/>
    <s v="CHR HAUTE SENNE"/>
    <s v="Aucun"/>
    <s v="Aucun"/>
    <s v="OUI"/>
  </r>
  <r>
    <x v="2"/>
    <s v="GRYMONPREZ"/>
    <s v="471206MG01"/>
    <d v="1947-12-06T00:00:00"/>
    <n v="69.326027397260276"/>
    <s v=" "/>
    <s v="CREPLET"/>
    <s v="CREPLET"/>
    <s v="CT"/>
    <s v="FV"/>
    <s v="M"/>
    <d v="2017-03-17T00:00:00"/>
    <d v="2017-03-14T00:00:00"/>
    <s v="CABG + PM"/>
    <x v="1"/>
    <x v="1"/>
    <n v="0"/>
    <n v="0"/>
    <n v="5"/>
    <s v="PC"/>
    <m/>
    <m/>
    <m/>
    <m/>
    <m/>
    <m/>
    <m/>
    <m/>
    <m/>
    <m/>
    <m/>
    <m/>
    <m/>
    <m/>
    <n v="0"/>
    <d v="2017-03-19T00:00:00"/>
    <n v="2"/>
    <d v="2017-03-24T00:00:00"/>
    <n v="7"/>
    <x v="0"/>
    <n v="1"/>
    <s v="ELECTIVE"/>
    <s v="D"/>
    <m/>
    <m/>
    <m/>
    <s v="GRYMONPREZ"/>
    <d v="2017-04-25T00:00:00"/>
    <d v="2017-03-31T00:00:00"/>
    <s v="Y"/>
    <m/>
    <d v="2017-06-23T00:00:00"/>
    <s v="Y"/>
    <m/>
    <n v="0"/>
    <n v="0"/>
    <n v="1"/>
    <x v="0"/>
    <s v="Aucune"/>
    <s v="Aucune"/>
    <s v="Aucune"/>
    <s v="NON"/>
    <s v="NON"/>
    <n v="7"/>
    <n v="7"/>
    <s v="Inconnu"/>
    <n v="2"/>
    <n v="2"/>
    <s v="Inconnu"/>
    <s v="Aucune"/>
    <n v="0"/>
    <s v="CT"/>
    <s v="Aucun"/>
    <s v="Aucun"/>
    <s v="OUI"/>
  </r>
  <r>
    <x v="2"/>
    <s v="OVERLOOP"/>
    <s v="490215MO01"/>
    <d v="1949-02-15T00:00:00"/>
    <n v="68.128767123287673"/>
    <s v=" "/>
    <s v="URGENCES"/>
    <s v="ERASME URGENCES"/>
    <s v="ERASME URGENCES"/>
    <s v="BE"/>
    <s v="M"/>
    <d v="2017-03-17T00:00:00"/>
    <m/>
    <s v="CABG"/>
    <x v="1"/>
    <x v="1"/>
    <n v="0"/>
    <n v="0"/>
    <n v="3"/>
    <s v="PC"/>
    <m/>
    <m/>
    <m/>
    <m/>
    <m/>
    <m/>
    <m/>
    <m/>
    <m/>
    <m/>
    <s v="2R"/>
    <n v="2"/>
    <m/>
    <m/>
    <n v="2"/>
    <d v="2017-03-20T00:00:00"/>
    <n v="3"/>
    <d v="2017-03-24T00:00:00"/>
    <n v="7"/>
    <x v="0"/>
    <n v="3"/>
    <s v="EMERGENCY"/>
    <s v="D"/>
    <m/>
    <m/>
    <m/>
    <s v="OVERLOOP"/>
    <d v="2017-04-21T00:00:00"/>
    <d v="2017-03-31T00:00:00"/>
    <s v="Y"/>
    <m/>
    <d v="2017-06-23T00:00:00"/>
    <s v="Y"/>
    <m/>
    <n v="0"/>
    <n v="1"/>
    <n v="1"/>
    <x v="1"/>
    <s v="Aucune"/>
    <s v="Transfusion"/>
    <s v="Aucune"/>
    <s v="NON"/>
    <s v="NON"/>
    <n v="7"/>
    <n v="7"/>
    <s v="Inconnu"/>
    <n v="3"/>
    <n v="3"/>
    <s v="Inconnu"/>
    <s v="Transfusé"/>
    <n v="2"/>
    <s v="ERASME"/>
    <s v="Aucun"/>
    <s v="Aucun"/>
    <s v="NON"/>
  </r>
  <r>
    <x v="2"/>
    <s v="MAILLARD"/>
    <s v="591107FM02"/>
    <d v="1959-11-07T00:00:00"/>
    <n v="57.402739726027399"/>
    <s v=" "/>
    <s v="ROUSSOULIERES"/>
    <s v="ERASME VAD"/>
    <s v="ERASME VAD"/>
    <s v="FV"/>
    <s v="F"/>
    <d v="2017-03-19T00:00:00"/>
    <m/>
    <s v="HTX  "/>
    <x v="8"/>
    <x v="6"/>
    <s v="LVAD/HTX"/>
    <n v="0"/>
    <m/>
    <m/>
    <m/>
    <m/>
    <m/>
    <m/>
    <m/>
    <m/>
    <m/>
    <m/>
    <m/>
    <m/>
    <m/>
    <m/>
    <m/>
    <m/>
    <n v="0"/>
    <d v="2017-03-27T00:00:00"/>
    <n v="8"/>
    <d v="2017-04-05T00:00:00"/>
    <n v="17"/>
    <x v="0"/>
    <n v="2"/>
    <s v="URGENCY"/>
    <s v="D"/>
    <m/>
    <m/>
    <m/>
    <s v="MAILLARD"/>
    <s v="/"/>
    <s v="/"/>
    <m/>
    <s v="HTX"/>
    <s v="/"/>
    <m/>
    <s v="HTX"/>
    <n v="0"/>
    <n v="0"/>
    <n v="1"/>
    <x v="2"/>
    <s v="Aucune"/>
    <s v="Aucune"/>
    <s v="Aucune"/>
    <s v="NON"/>
    <s v="NON"/>
    <n v="17"/>
    <s v="Inconnu"/>
    <n v="17"/>
    <n v="8"/>
    <s v="Inconnu"/>
    <n v="8"/>
    <s v="Aucune"/>
    <n v="0"/>
    <s v="ERASME"/>
    <s v="Aucun"/>
    <s v="Aucun"/>
    <s v="NON"/>
  </r>
  <r>
    <x v="2"/>
    <s v="CERNOVS"/>
    <s v="510207MC05"/>
    <d v="1951-02-07T00:00:00"/>
    <n v="66.158904109589045"/>
    <s v=" "/>
    <s v="DE WILDE"/>
    <s v="ERASME VASCULAIRE"/>
    <s v="ERASME VASCULAIRE"/>
    <s v="MA"/>
    <s v="M"/>
    <d v="2017-03-20T00:00:00"/>
    <d v="2017-03-14T00:00:00"/>
    <s v="AVR + CABG"/>
    <x v="0"/>
    <x v="0"/>
    <n v="0"/>
    <s v="2 V ou plus"/>
    <n v="2"/>
    <s v="PC"/>
    <s v="CE"/>
    <s v="B"/>
    <n v="21"/>
    <m/>
    <m/>
    <m/>
    <m/>
    <n v="1"/>
    <m/>
    <m/>
    <s v="2R"/>
    <n v="2"/>
    <m/>
    <m/>
    <n v="2"/>
    <d v="2017-03-26T00:00:00"/>
    <n v="6"/>
    <d v="2017-03-30T00:00:00"/>
    <n v="10"/>
    <x v="0"/>
    <n v="1"/>
    <s v="ELECTIVE"/>
    <s v="D"/>
    <m/>
    <m/>
    <m/>
    <s v="CERNOVS"/>
    <d v="2017-04-24T00:00:00"/>
    <d v="2017-04-07T00:00:00"/>
    <s v="Y"/>
    <m/>
    <d v="2017-06-30T00:00:00"/>
    <s v="Y"/>
    <m/>
    <n v="0"/>
    <n v="1"/>
    <n v="1"/>
    <x v="0"/>
    <s v="Aucune"/>
    <s v="Transfusion"/>
    <s v="Aucune"/>
    <s v="NON"/>
    <s v="NON"/>
    <n v="10"/>
    <n v="10"/>
    <s v="Inconnu"/>
    <n v="6"/>
    <n v="6"/>
    <s v="Inconnu"/>
    <s v="Transfusé"/>
    <n v="2"/>
    <s v="ERASME"/>
    <s v="AVC"/>
    <s v="Aucun"/>
    <s v="OUI"/>
  </r>
  <r>
    <x v="2"/>
    <s v="DEVROEDE"/>
    <s v="580402MD04"/>
    <d v="1958-04-02T00:00:00"/>
    <n v="59.010958904109586"/>
    <s v=" "/>
    <s v="HEDESHI"/>
    <s v="CHR HAUTE SENNE"/>
    <s v="CHR HAUTE SENNE"/>
    <s v="FV"/>
    <s v="M"/>
    <d v="2017-03-22T00:00:00"/>
    <d v="2017-03-14T00:00:00"/>
    <s v="MVP  "/>
    <x v="5"/>
    <x v="4"/>
    <s v="MVP"/>
    <s v="MVP"/>
    <m/>
    <m/>
    <m/>
    <m/>
    <m/>
    <m/>
    <m/>
    <m/>
    <m/>
    <m/>
    <m/>
    <m/>
    <m/>
    <m/>
    <m/>
    <m/>
    <n v="0"/>
    <d v="2017-03-23T00:00:00"/>
    <n v="1"/>
    <d v="2017-03-29T00:00:00"/>
    <n v="7"/>
    <x v="0"/>
    <n v="1"/>
    <s v="ELECTIVE"/>
    <s v="D"/>
    <d v="2017-04-10T00:00:00"/>
    <n v="1"/>
    <s v="C"/>
    <s v="DEVROEDE"/>
    <d v="2017-05-02T00:00:00"/>
    <d v="2017-04-05T00:00:00"/>
    <s v="Y"/>
    <s v="paresthésie bras- D+dos-kiné?"/>
    <d v="2017-06-27T00:00:00"/>
    <s v="Y"/>
    <m/>
    <n v="0"/>
    <n v="0"/>
    <n v="1"/>
    <x v="0"/>
    <s v="Aucune"/>
    <s v="Aucune"/>
    <s v="Aucune"/>
    <s v="NON"/>
    <s v="OUI"/>
    <n v="7"/>
    <n v="7"/>
    <s v="Inconnu"/>
    <n v="1"/>
    <n v="1"/>
    <s v="Inconnu"/>
    <s v="Aucune"/>
    <n v="0"/>
    <s v="CHR HAUTE SENNE"/>
    <s v="Aucun"/>
    <s v="Aucun"/>
    <s v="OUI"/>
  </r>
  <r>
    <x v="2"/>
    <s v="PEREMANS"/>
    <s v="390727MP01"/>
    <d v="1939-07-27T00:00:00"/>
    <n v="77.706849315068496"/>
    <s v=" "/>
    <s v="BERKENBOOM"/>
    <s v="ERASME CARDIO"/>
    <s v="ERASME CARDIO"/>
    <s v="MLC"/>
    <s v="M"/>
    <d v="2017-03-22T00:00:00"/>
    <d v="2017-03-14T00:00:00"/>
    <s v="CABG"/>
    <x v="1"/>
    <x v="1"/>
    <n v="0"/>
    <n v="0"/>
    <n v="3"/>
    <s v="PC"/>
    <m/>
    <m/>
    <m/>
    <m/>
    <m/>
    <m/>
    <m/>
    <m/>
    <m/>
    <n v="1"/>
    <m/>
    <m/>
    <m/>
    <m/>
    <n v="0"/>
    <d v="2017-03-23T00:00:00"/>
    <n v="1"/>
    <d v="2017-03-30T00:00:00"/>
    <n v="8"/>
    <x v="0"/>
    <n v="1"/>
    <s v="ELECTIVE"/>
    <s v="D"/>
    <m/>
    <m/>
    <m/>
    <s v="PEREMANS"/>
    <d v="2017-04-27T00:00:00"/>
    <d v="2017-04-07T00:00:00"/>
    <s v="Y"/>
    <m/>
    <d v="2017-06-30T00:00:00"/>
    <s v="Y"/>
    <m/>
    <n v="1"/>
    <n v="0"/>
    <n v="1"/>
    <x v="0"/>
    <s v="Infection"/>
    <s v="Aucune"/>
    <s v="Aucune"/>
    <s v="NON"/>
    <s v="NON"/>
    <n v="8"/>
    <n v="8"/>
    <s v="Inconnu"/>
    <n v="1"/>
    <n v="1"/>
    <s v="Inconnu"/>
    <s v="Aucune"/>
    <n v="0"/>
    <s v="ERASME"/>
    <s v="Aucun"/>
    <s v="Aucun"/>
    <s v="OUI"/>
  </r>
  <r>
    <x v="2"/>
    <s v="CRASSAERT"/>
    <s v="340728MC03"/>
    <d v="1934-07-28T00:00:00"/>
    <n v="82.709589041095896"/>
    <s v="1"/>
    <s v="BERKENBOOM"/>
    <s v="ERASME CARDIO"/>
    <s v="ERASME CARDIO"/>
    <s v="FV"/>
    <s v="M"/>
    <d v="2017-03-23T00:00:00"/>
    <m/>
    <s v="? (MVP + CABG)"/>
    <x v="3"/>
    <x v="0"/>
    <s v="CABG + V"/>
    <n v="0"/>
    <m/>
    <m/>
    <m/>
    <m/>
    <m/>
    <m/>
    <m/>
    <m/>
    <m/>
    <m/>
    <m/>
    <m/>
    <m/>
    <m/>
    <m/>
    <m/>
    <n v="0"/>
    <d v="2017-03-26T00:00:00"/>
    <n v="3"/>
    <d v="2017-04-04T00:00:00"/>
    <n v="12"/>
    <x v="0"/>
    <n v="2"/>
    <s v="URGENCY"/>
    <s v="D"/>
    <m/>
    <m/>
    <m/>
    <s v="CRASSAERT"/>
    <d v="2017-05-02T00:00:00"/>
    <d v="2017-04-11T00:00:00"/>
    <s v="Y"/>
    <s v="pas de cardio"/>
    <d v="2017-07-12T00:00:00"/>
    <s v="Y"/>
    <m/>
    <n v="0"/>
    <n v="0"/>
    <n v="1"/>
    <x v="2"/>
    <s v="Aucune"/>
    <s v="Aucune"/>
    <s v="Aucune"/>
    <s v="NON"/>
    <s v="NON"/>
    <n v="12"/>
    <n v="12"/>
    <s v="Inconnu"/>
    <n v="3"/>
    <n v="3"/>
    <s v="Inconnu"/>
    <s v="Aucune"/>
    <n v="0"/>
    <s v="ERASME"/>
    <s v="Aucun"/>
    <s v="Aucun"/>
    <s v="NON"/>
  </r>
  <r>
    <x v="2"/>
    <s v="DE JESUS ALVES"/>
    <s v="610302FD01"/>
    <d v="1961-03-02T00:00:00"/>
    <n v="56.095890410958901"/>
    <s v=" "/>
    <s v="UC"/>
    <s v="ERASME CARDIO"/>
    <s v="ERASME CARDIO"/>
    <s v="BE"/>
    <s v="F"/>
    <d v="2017-03-23T00:00:00"/>
    <d v="2017-03-21T00:00:00"/>
    <s v="AVR"/>
    <x v="2"/>
    <x v="2"/>
    <s v="AVR"/>
    <s v="AVR"/>
    <m/>
    <m/>
    <s v="CE"/>
    <s v="B"/>
    <n v="19"/>
    <m/>
    <m/>
    <m/>
    <m/>
    <m/>
    <m/>
    <m/>
    <m/>
    <m/>
    <s v="2R"/>
    <n v="2"/>
    <n v="2"/>
    <d v="2017-04-05T00:00:00"/>
    <n v="13"/>
    <d v="2017-04-26T00:00:00"/>
    <n v="34"/>
    <x v="0"/>
    <n v="2"/>
    <s v="URGENCY"/>
    <s v="D"/>
    <m/>
    <m/>
    <m/>
    <s v="DE JESUS ALVES"/>
    <s v="/"/>
    <d v="2017-06-02T00:00:00"/>
    <s v="Y"/>
    <m/>
    <d v="2017-09-11T00:00:00"/>
    <s v="Y"/>
    <m/>
    <n v="0"/>
    <n v="1"/>
    <n v="1"/>
    <x v="2"/>
    <s v="Aucune"/>
    <s v="Transfusion"/>
    <s v="Transfusé"/>
    <s v="NON"/>
    <s v="NON"/>
    <n v="34"/>
    <n v="34"/>
    <s v="Inconnu"/>
    <n v="13"/>
    <n v="13"/>
    <s v="Inconnu"/>
    <s v="Transfusé"/>
    <n v="2"/>
    <s v="ERASME"/>
    <s v="Aucun"/>
    <s v="Aucun"/>
    <s v="OUI"/>
  </r>
  <r>
    <x v="2"/>
    <s v="COHEN"/>
    <s v="480331MC03"/>
    <d v="1948-03-31T00:00:00"/>
    <n v="69.024657534246572"/>
    <s v=" "/>
    <s v="URGENCES"/>
    <s v="ERASME URGENCES"/>
    <s v="ERASME URGENCES"/>
    <s v="FV"/>
    <s v="M"/>
    <d v="2017-03-23T00:00:00"/>
    <m/>
    <s v="CDA"/>
    <x v="4"/>
    <x v="3"/>
    <n v="0"/>
    <n v="0"/>
    <m/>
    <m/>
    <m/>
    <m/>
    <m/>
    <m/>
    <m/>
    <m/>
    <m/>
    <m/>
    <m/>
    <n v="1"/>
    <s v="11R/12Plas/3Plaq"/>
    <n v="26"/>
    <s v="5R"/>
    <n v="5"/>
    <n v="31"/>
    <d v="2017-04-15T00:00:00"/>
    <n v="23"/>
    <d v="2017-06-13T00:00:00"/>
    <n v="82"/>
    <x v="0"/>
    <n v="3"/>
    <s v="EMERGENCY"/>
    <s v="D"/>
    <m/>
    <m/>
    <m/>
    <s v="COHEN"/>
    <d v="2017-07-18T00:00:00"/>
    <d v="2017-06-23T00:00:00"/>
    <s v="Y"/>
    <m/>
    <d v="2017-09-11T00:00:00"/>
    <s v="Y"/>
    <m/>
    <n v="1"/>
    <n v="1"/>
    <n v="1"/>
    <x v="1"/>
    <s v="Infection"/>
    <s v="Transfusion"/>
    <s v="Transfusé"/>
    <s v="NON"/>
    <s v="NON"/>
    <n v="82"/>
    <n v="82"/>
    <s v="Inconnu"/>
    <n v="23"/>
    <n v="23"/>
    <s v="Inconnu"/>
    <s v="Transfusé"/>
    <n v="31"/>
    <s v="ERASME"/>
    <s v="Aucun"/>
    <s v="Aucun"/>
    <s v="NON"/>
  </r>
  <r>
    <x v="2"/>
    <s v="FERREIRA DA SILVA"/>
    <s v="540606MFAA"/>
    <d v="1954-06-06T00:00:00"/>
    <n v="62.841095890410962"/>
    <s v=" "/>
    <s v="EL MOURAD"/>
    <s v="ERASME CARDIO"/>
    <s v="ERASME CARDIO"/>
    <s v="MLC"/>
    <s v="M"/>
    <d v="2017-03-24T00:00:00"/>
    <d v="2017-03-14T00:00:00"/>
    <s v="CABG"/>
    <x v="1"/>
    <x v="1"/>
    <n v="0"/>
    <n v="0"/>
    <n v="3"/>
    <s v="PC"/>
    <m/>
    <m/>
    <m/>
    <m/>
    <m/>
    <m/>
    <m/>
    <m/>
    <m/>
    <m/>
    <s v="3R/2Plas/1Plaq"/>
    <n v="6"/>
    <m/>
    <m/>
    <n v="6"/>
    <d v="2017-03-25T00:00:00"/>
    <n v="1"/>
    <d v="2017-03-31T00:00:00"/>
    <n v="7"/>
    <x v="0"/>
    <n v="1"/>
    <s v="ELECTIVE"/>
    <s v="D"/>
    <m/>
    <m/>
    <m/>
    <s v="FERREIRA DA SILVA"/>
    <d v="2017-05-04T00:00:00"/>
    <d v="2017-04-07T00:00:00"/>
    <s v="Y"/>
    <s v="pas de cardio- Message"/>
    <d v="2017-06-30T00:00:00"/>
    <s v="Y"/>
    <m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6"/>
    <s v="ERASME"/>
    <s v="Aucun"/>
    <s v="Aucun"/>
    <s v="OUI"/>
  </r>
  <r>
    <x v="2"/>
    <s v="MOEDBECK"/>
    <s v="470613MM02"/>
    <d v="1947-06-13T00:00:00"/>
    <n v="69.835616438356169"/>
    <s v=" "/>
    <s v="LENAERS"/>
    <s v="ERASME CARDIO"/>
    <s v="ERASME CARDIO"/>
    <s v="FV"/>
    <s v="M"/>
    <d v="2017-03-27T00:00:00"/>
    <d v="2017-03-21T00:00:00"/>
    <s v="MVP"/>
    <x v="5"/>
    <x v="4"/>
    <s v="MVP"/>
    <s v="MVP"/>
    <m/>
    <m/>
    <s v="CE"/>
    <m/>
    <n v="34"/>
    <m/>
    <m/>
    <m/>
    <m/>
    <m/>
    <m/>
    <n v="1"/>
    <m/>
    <m/>
    <m/>
    <m/>
    <n v="0"/>
    <d v="2017-03-28T00:00:00"/>
    <n v="1"/>
    <d v="2017-04-03T00:00:00"/>
    <n v="7"/>
    <x v="0"/>
    <n v="1"/>
    <s v="ELECTIVE"/>
    <s v="D"/>
    <m/>
    <m/>
    <m/>
    <s v="MOEDBECK"/>
    <d v="2017-05-02T00:00:00"/>
    <d v="2017-04-11T00:00:00"/>
    <s v="Y"/>
    <m/>
    <d v="2017-07-11T00:00:00"/>
    <s v="Y"/>
    <m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2"/>
    <s v="SCHITTEKATTE"/>
    <s v="540104MS02"/>
    <d v="1954-01-04T00:00:00"/>
    <n v="63.268493150684932"/>
    <s v=" "/>
    <s v="RENARD"/>
    <s v="ERASME CARDIO"/>
    <s v="ERASME CARDIO"/>
    <s v="FV"/>
    <s v="M"/>
    <d v="2017-03-27T00:00:00"/>
    <d v="2017-03-14T00:00:00"/>
    <s v="LVAD"/>
    <x v="6"/>
    <x v="5"/>
    <s v="LVAD/HTX"/>
    <n v="0"/>
    <m/>
    <m/>
    <m/>
    <m/>
    <m/>
    <m/>
    <m/>
    <m/>
    <m/>
    <m/>
    <m/>
    <m/>
    <m/>
    <m/>
    <m/>
    <m/>
    <n v="0"/>
    <d v="2017-04-05T00:00:00"/>
    <n v="9"/>
    <d v="2017-04-11T00:00:00"/>
    <n v="15"/>
    <x v="0"/>
    <n v="2"/>
    <s v="URGENCY"/>
    <s v="D"/>
    <m/>
    <m/>
    <m/>
    <s v="SCHITTEKATTE"/>
    <s v="/"/>
    <s v="/"/>
    <m/>
    <s v="LVAD"/>
    <s v="/"/>
    <m/>
    <s v="LVAD"/>
    <n v="0"/>
    <n v="0"/>
    <n v="1"/>
    <x v="2"/>
    <s v="Aucune"/>
    <s v="Aucune"/>
    <s v="Aucune"/>
    <s v="NON"/>
    <s v="NON"/>
    <n v="15"/>
    <s v="Inconnu"/>
    <n v="15"/>
    <n v="9"/>
    <s v="Inconnu"/>
    <n v="9"/>
    <s v="Aucune"/>
    <n v="0"/>
    <s v="ERASME"/>
    <s v="Aucun"/>
    <s v="Aucun"/>
    <s v="OUI"/>
  </r>
  <r>
    <x v="2"/>
    <s v="EEMBEECK"/>
    <s v="600328MEAA"/>
    <d v="1960-03-28T00:00:00"/>
    <n v="57.038356164383565"/>
    <s v=" "/>
    <s v="UC"/>
    <s v="ERASME CARDIO"/>
    <s v="ERASME CARDIO"/>
    <s v="FV"/>
    <s v="M"/>
    <d v="2017-03-28T00:00:00"/>
    <d v="2017-03-14T00:00:00"/>
    <s v="CABG"/>
    <x v="1"/>
    <x v="1"/>
    <n v="0"/>
    <n v="0"/>
    <n v="3"/>
    <s v="PC"/>
    <m/>
    <m/>
    <m/>
    <m/>
    <m/>
    <m/>
    <n v="1"/>
    <m/>
    <m/>
    <n v="1"/>
    <s v="4R"/>
    <n v="4"/>
    <m/>
    <m/>
    <n v="4"/>
    <d v="2017-04-01T00:00:00"/>
    <n v="4"/>
    <d v="2017-04-12T00:00:00"/>
    <n v="15"/>
    <x v="0"/>
    <n v="1"/>
    <s v="ELECTIVE"/>
    <s v="D"/>
    <m/>
    <m/>
    <m/>
    <s v="EEMBEECK"/>
    <d v="2017-05-09T00:00:00"/>
    <d v="2017-04-24T00:00:00"/>
    <s v="Y"/>
    <m/>
    <d v="2017-07-12T00:00:00"/>
    <s v="Y"/>
    <m/>
    <n v="1"/>
    <n v="1"/>
    <n v="1"/>
    <x v="0"/>
    <s v="Infection"/>
    <s v="Transfusion"/>
    <s v="Aucune"/>
    <s v="NON"/>
    <s v="NON"/>
    <n v="15"/>
    <n v="15"/>
    <s v="Inconnu"/>
    <n v="4"/>
    <n v="4"/>
    <s v="Inconnu"/>
    <s v="Transfusé"/>
    <n v="4"/>
    <s v="ERASME"/>
    <s v="Aucun"/>
    <s v="Aucun"/>
    <s v="OUI"/>
  </r>
  <r>
    <x v="2"/>
    <s v="RAYAPEN"/>
    <s v="571126FR01"/>
    <d v="1957-11-26T00:00:00"/>
    <n v="59.37808219178082"/>
    <s v=" "/>
    <s v="ABRAMOWICZ"/>
    <s v="ERASME CARDIO"/>
    <s v="ERASME CARDIO"/>
    <s v="FV"/>
    <s v="F"/>
    <d v="2017-03-29T00:00:00"/>
    <d v="2017-03-21T00:00:00"/>
    <s v="TVR"/>
    <x v="2"/>
    <x v="2"/>
    <s v="TVR"/>
    <s v="TVR"/>
    <m/>
    <m/>
    <s v="CE"/>
    <s v="B"/>
    <n v="29"/>
    <m/>
    <m/>
    <m/>
    <n v="2"/>
    <m/>
    <m/>
    <m/>
    <s v="3R"/>
    <n v="3"/>
    <s v="1R"/>
    <n v="1"/>
    <n v="4"/>
    <d v="2017-04-06T00:00:00"/>
    <n v="8"/>
    <d v="2017-04-14T00:00:00"/>
    <n v="16"/>
    <x v="0"/>
    <n v="1"/>
    <s v="ELECTIVE"/>
    <s v="D"/>
    <m/>
    <m/>
    <m/>
    <s v="RAYAPEN"/>
    <d v="2017-05-09T00:00:00"/>
    <d v="2017-04-24T00:00:00"/>
    <s v="Y"/>
    <s v="Message"/>
    <d v="2017-08-02T00:00:00"/>
    <s v="Y"/>
    <m/>
    <n v="0"/>
    <n v="1"/>
    <n v="1"/>
    <x v="0"/>
    <s v="Aucune"/>
    <s v="Transfusion"/>
    <s v="Transfusé"/>
    <s v="NON"/>
    <s v="NON"/>
    <n v="16"/>
    <n v="16"/>
    <s v="Inconnu"/>
    <n v="8"/>
    <n v="8"/>
    <s v="Inconnu"/>
    <s v="Transfusé"/>
    <n v="4"/>
    <s v="ERASME"/>
    <s v="Aucun"/>
    <s v="Aucun"/>
    <s v="OUI"/>
  </r>
  <r>
    <x v="2"/>
    <s v="VERHIMST"/>
    <s v="460122MV01"/>
    <d v="1946-01-22T00:00:00"/>
    <n v="71.232876712328761"/>
    <s v=" "/>
    <s v="DEDOBBELEER"/>
    <s v="ERASME CARDIO"/>
    <s v="ERASME CARDIO"/>
    <s v="FV"/>
    <s v="M"/>
    <d v="2017-03-30T00:00:00"/>
    <d v="2017-03-21T00:00:00"/>
    <s v="AVR"/>
    <x v="2"/>
    <x v="2"/>
    <s v="AVR"/>
    <s v="AVR"/>
    <m/>
    <m/>
    <s v="CE"/>
    <s v="B"/>
    <n v="27"/>
    <m/>
    <m/>
    <m/>
    <m/>
    <m/>
    <m/>
    <m/>
    <m/>
    <m/>
    <m/>
    <m/>
    <n v="0"/>
    <d v="2017-03-31T00:00:00"/>
    <n v="1"/>
    <d v="2017-04-06T00:00:00"/>
    <n v="7"/>
    <x v="0"/>
    <n v="1"/>
    <s v="ELECTIVE"/>
    <s v="D"/>
    <m/>
    <m/>
    <m/>
    <s v="VERHIMST"/>
    <d v="2017-05-09T00:00:00"/>
    <d v="2017-04-18T00:00:00"/>
    <s v="Y"/>
    <m/>
    <d v="2017-07-12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2"/>
    <s v="CHENTOUF"/>
    <s v="650425FC02"/>
    <d v="1965-04-25T00:00:00"/>
    <n v="51.964383561643835"/>
    <s v=" "/>
    <s v="VAN DE BORNE"/>
    <s v="ERASME CARDIO"/>
    <s v="ERASME CARDIO"/>
    <s v="BE"/>
    <s v="F"/>
    <d v="2017-03-30T00:00:00"/>
    <d v="2017-03-21T00:00:00"/>
    <s v="AVR"/>
    <x v="2"/>
    <x v="2"/>
    <s v="AVR"/>
    <s v="AVR"/>
    <m/>
    <m/>
    <s v="ATS"/>
    <s v="M"/>
    <n v="21"/>
    <m/>
    <m/>
    <m/>
    <m/>
    <m/>
    <m/>
    <n v="1"/>
    <s v="1R"/>
    <n v="1"/>
    <s v="1R"/>
    <n v="1"/>
    <n v="2"/>
    <d v="2017-04-03T00:00:00"/>
    <n v="4"/>
    <d v="2017-04-11T00:00:00"/>
    <n v="12"/>
    <x v="0"/>
    <n v="1"/>
    <s v="ELECTIVE"/>
    <s v="D"/>
    <m/>
    <m/>
    <m/>
    <s v="CHENTOUF"/>
    <d v="2017-05-12T00:00:00"/>
    <d v="2017-04-18T00:00:00"/>
    <s v="Y"/>
    <m/>
    <d v="2017-07-11T00:00:00"/>
    <s v="Y"/>
    <m/>
    <n v="1"/>
    <n v="1"/>
    <n v="1"/>
    <x v="0"/>
    <s v="Infection"/>
    <s v="Transfusion"/>
    <s v="Transfusé"/>
    <s v="NON"/>
    <s v="NON"/>
    <n v="12"/>
    <n v="12"/>
    <s v="Inconnu"/>
    <n v="4"/>
    <n v="4"/>
    <s v="Inconnu"/>
    <s v="Transfusé"/>
    <n v="2"/>
    <s v="ERASME"/>
    <s v="Aucun"/>
    <s v="Aucun"/>
    <s v="OUI"/>
  </r>
  <r>
    <x v="2"/>
    <s v="PARADOMS"/>
    <s v="711008MP02"/>
    <d v="1971-10-08T00:00:00"/>
    <n v="45.509589041095893"/>
    <s v=" "/>
    <s v="URGENCES"/>
    <s v="ERASME URGENCES"/>
    <s v="ERASME URGENCES"/>
    <s v="MLC"/>
    <s v="M"/>
    <d v="2017-03-31T00:00:00"/>
    <d v="2017-03-28T00:00:00"/>
    <s v="CABG"/>
    <x v="1"/>
    <x v="1"/>
    <n v="0"/>
    <n v="0"/>
    <n v="4"/>
    <s v="PC"/>
    <m/>
    <m/>
    <m/>
    <m/>
    <m/>
    <m/>
    <m/>
    <m/>
    <m/>
    <m/>
    <m/>
    <m/>
    <m/>
    <m/>
    <n v="0"/>
    <d v="2017-04-03T00:00:00"/>
    <n v="3"/>
    <d v="2017-04-07T00:00:00"/>
    <n v="7"/>
    <x v="0"/>
    <n v="2"/>
    <s v="URGENCY"/>
    <s v="D"/>
    <m/>
    <m/>
    <m/>
    <s v="PARADOMS"/>
    <d v="2017-04-27T00:00:00"/>
    <d v="2017-04-18T00:00:00"/>
    <s v="Y"/>
    <s v="Message"/>
    <d v="2017-07-24T00:00:00"/>
    <s v="Y"/>
    <m/>
    <n v="0"/>
    <n v="0"/>
    <n v="1"/>
    <x v="2"/>
    <s v="Aucune"/>
    <s v="Aucune"/>
    <s v="Aucune"/>
    <s v="NON"/>
    <s v="NON"/>
    <n v="7"/>
    <n v="7"/>
    <s v="Inconnu"/>
    <n v="3"/>
    <n v="3"/>
    <s v="Inconnu"/>
    <s v="Aucune"/>
    <n v="0"/>
    <s v="ERASME"/>
    <s v="Aucun"/>
    <s v="Aucun"/>
    <s v="OUI"/>
  </r>
  <r>
    <x v="2"/>
    <s v="BENAMAR"/>
    <s v="600111MB04"/>
    <d v="1960-01-11T00:00:00"/>
    <n v="57.257534246575339"/>
    <s v=" "/>
    <s v="UC"/>
    <s v="ERASME CARDIO"/>
    <s v="ERASME CARDIO"/>
    <s v="BE"/>
    <s v="M"/>
    <d v="2017-03-31T00:00:00"/>
    <d v="2017-03-28T00:00:00"/>
    <s v="CABG"/>
    <x v="1"/>
    <x v="1"/>
    <n v="0"/>
    <n v="0"/>
    <n v="3"/>
    <s v="PC"/>
    <m/>
    <m/>
    <m/>
    <m/>
    <m/>
    <m/>
    <m/>
    <m/>
    <m/>
    <m/>
    <m/>
    <m/>
    <m/>
    <m/>
    <n v="0"/>
    <d v="2017-04-01T00:00:00"/>
    <n v="1"/>
    <d v="2017-04-07T00:00:00"/>
    <n v="7"/>
    <x v="0"/>
    <n v="1"/>
    <s v="ELECTIVE"/>
    <s v="D"/>
    <m/>
    <m/>
    <m/>
    <s v="BENAMAR"/>
    <d v="2017-04-28T00:00:00"/>
    <d v="2017-04-24T00:00:00"/>
    <s v="Y"/>
    <s v="infection plaie thorax"/>
    <d v="2017-07-24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3"/>
    <s v="DESOMER"/>
    <s v="420921MD03"/>
    <d v="1942-09-21T00:00:00"/>
    <n v="74.583561643835623"/>
    <s v=" "/>
    <s v="HEDESHI"/>
    <s v="CHR HAUTE SENNE"/>
    <s v="CHR HAUTE SENNE"/>
    <s v="FV"/>
    <s v="M"/>
    <d v="2017-04-03T00:00:00"/>
    <d v="2017-03-14T00:00:00"/>
    <s v="BENTALL"/>
    <x v="7"/>
    <x v="3"/>
    <n v="0"/>
    <s v="Aorte"/>
    <m/>
    <m/>
    <s v="Freestyle"/>
    <s v="B"/>
    <n v="29"/>
    <d v="2017-04-19T00:00:00"/>
    <n v="2"/>
    <n v="1"/>
    <m/>
    <m/>
    <m/>
    <n v="1"/>
    <s v="2Plas/1Plaq"/>
    <n v="3"/>
    <m/>
    <m/>
    <n v="3"/>
    <d v="2017-04-06T00:00:00"/>
    <n v="3"/>
    <d v="2017-05-02T00:00:00"/>
    <n v="29"/>
    <x v="0"/>
    <n v="1"/>
    <s v="ELECTIVE"/>
    <s v="D"/>
    <m/>
    <m/>
    <m/>
    <s v="DESOMER"/>
    <d v="2017-05-30T00:00:00"/>
    <d v="2017-05-10T00:00:00"/>
    <s v="Y"/>
    <m/>
    <d v="2017-08-02T00:00:00"/>
    <s v="Y"/>
    <m/>
    <n v="1"/>
    <n v="1"/>
    <n v="1"/>
    <x v="0"/>
    <s v="Infection"/>
    <s v="Transfusion"/>
    <s v="Aucune"/>
    <s v="NON"/>
    <s v="NON"/>
    <n v="29"/>
    <n v="29"/>
    <s v="Inconnu"/>
    <n v="3"/>
    <n v="3"/>
    <s v="Inconnu"/>
    <s v="Transfusé"/>
    <n v="3"/>
    <s v="CHR HAUTE SENNE"/>
    <s v="Aucun"/>
    <s v="Aucun"/>
    <s v="OUI"/>
  </r>
  <r>
    <x v="3"/>
    <s v="BINKIN"/>
    <s v="420917MB04"/>
    <d v="1942-09-17T00:00:00"/>
    <n v="74.594520547945208"/>
    <s v=" "/>
    <s v="LIPSKI"/>
    <s v="CHIREC EDITH CAVELL"/>
    <s v="CHIREC EDITH CAVELL"/>
    <s v="MA"/>
    <s v="M"/>
    <d v="2017-04-03T00:00:00"/>
    <m/>
    <s v="CABG"/>
    <x v="1"/>
    <x v="1"/>
    <n v="0"/>
    <n v="0"/>
    <n v="3"/>
    <s v="PC"/>
    <m/>
    <m/>
    <m/>
    <m/>
    <m/>
    <m/>
    <m/>
    <m/>
    <m/>
    <m/>
    <m/>
    <m/>
    <m/>
    <m/>
    <n v="0"/>
    <d v="2017-04-12T00:00:00"/>
    <n v="9"/>
    <d v="2017-04-26T00:00:00"/>
    <n v="23"/>
    <x v="0"/>
    <n v="1"/>
    <s v="ELECTIVE"/>
    <s v="R"/>
    <m/>
    <m/>
    <m/>
    <s v="BINKIN"/>
    <s v="/"/>
    <d v="2017-05-03T00:00:00"/>
    <s v="Y"/>
    <m/>
    <d v="2017-08-02T00:00:00"/>
    <s v="Y"/>
    <s v="Message"/>
    <n v="0"/>
    <n v="0"/>
    <n v="1"/>
    <x v="0"/>
    <s v="Aucune"/>
    <s v="Aucune"/>
    <s v="Aucune"/>
    <s v="NON"/>
    <s v="NON"/>
    <n v="23"/>
    <n v="23"/>
    <s v="Inconnu"/>
    <n v="9"/>
    <n v="9"/>
    <s v="Inconnu"/>
    <s v="Aucune"/>
    <n v="0"/>
    <s v="CHIREC"/>
    <s v="Aucun"/>
    <s v="Aucun"/>
    <s v="NON"/>
  </r>
  <r>
    <x v="3"/>
    <s v="PHILIPPE"/>
    <s v="630112FPAA"/>
    <d v="1963-01-12T00:00:00"/>
    <n v="54.263013698630139"/>
    <s v=" "/>
    <s v="HEDESHI"/>
    <s v="CHR HAUTE SENNE"/>
    <s v="CHR HAUTE SENNE"/>
    <s v="FV"/>
    <s v="F"/>
    <d v="2017-04-04T00:00:00"/>
    <d v="2017-04-04T00:00:00"/>
    <s v="? (CABG)"/>
    <x v="1"/>
    <x v="1"/>
    <n v="0"/>
    <n v="0"/>
    <m/>
    <m/>
    <m/>
    <m/>
    <m/>
    <m/>
    <m/>
    <m/>
    <m/>
    <m/>
    <m/>
    <n v="1"/>
    <m/>
    <m/>
    <m/>
    <m/>
    <n v="0"/>
    <d v="2017-04-11T00:00:00"/>
    <n v="7"/>
    <d v="2017-04-14T00:00:00"/>
    <n v="10"/>
    <x v="0"/>
    <n v="2"/>
    <s v="URGENCY"/>
    <s v="D"/>
    <m/>
    <m/>
    <m/>
    <s v="PHILIPPE"/>
    <d v="2017-05-16T00:00:00"/>
    <d v="2017-04-24T00:00:00"/>
    <s v="Y"/>
    <s v="Message"/>
    <d v="2017-08-02T00:00:00"/>
    <s v="Y"/>
    <s v="Message"/>
    <n v="1"/>
    <n v="0"/>
    <n v="1"/>
    <x v="2"/>
    <s v="Infection"/>
    <s v="Aucune"/>
    <s v="Aucune"/>
    <s v="NON"/>
    <s v="NON"/>
    <n v="10"/>
    <n v="10"/>
    <s v="Inconnu"/>
    <n v="7"/>
    <n v="7"/>
    <s v="Inconnu"/>
    <s v="Aucune"/>
    <n v="0"/>
    <s v="CHR HAUTE SENNE"/>
    <s v="Aucun"/>
    <s v="Aucun"/>
    <s v="OUI"/>
  </r>
  <r>
    <x v="3"/>
    <s v="NEBREDA"/>
    <s v="700128MN01"/>
    <d v="1970-01-28T00:00:00"/>
    <n v="47.213698630136989"/>
    <s v=" "/>
    <s v="PATIENT"/>
    <s v="PATIENT"/>
    <s v="PATIENT"/>
    <s v="FV"/>
    <s v="M"/>
    <d v="2017-04-04T00:00:00"/>
    <d v="2017-03-28T00:00:00"/>
    <s v="MVP"/>
    <x v="5"/>
    <x v="4"/>
    <s v="MVP"/>
    <s v="MVP"/>
    <m/>
    <m/>
    <s v="CE"/>
    <m/>
    <n v="32"/>
    <m/>
    <m/>
    <m/>
    <m/>
    <m/>
    <m/>
    <n v="1"/>
    <m/>
    <m/>
    <m/>
    <m/>
    <n v="0"/>
    <d v="2017-04-05T00:00:00"/>
    <n v="1"/>
    <d v="2017-04-10T00:00:00"/>
    <n v="6"/>
    <x v="0"/>
    <n v="1"/>
    <s v="ELECTIVE"/>
    <s v="D"/>
    <m/>
    <m/>
    <m/>
    <s v="NEBREDA"/>
    <d v="2017-05-09T00:00:00"/>
    <d v="2017-04-18T00:00:00"/>
    <s v="Y"/>
    <m/>
    <d v="2017-07-10T00:00:00"/>
    <s v="Y"/>
    <m/>
    <n v="1"/>
    <n v="0"/>
    <n v="1"/>
    <x v="0"/>
    <s v="Infection"/>
    <s v="Aucune"/>
    <s v="Aucune"/>
    <s v="NON"/>
    <s v="NON"/>
    <n v="6"/>
    <n v="6"/>
    <s v="Inconnu"/>
    <n v="1"/>
    <n v="1"/>
    <s v="Inconnu"/>
    <s v="Aucune"/>
    <n v="0"/>
    <s v="PATIENT"/>
    <s v="Aucun"/>
    <s v="Aucun"/>
    <s v="OUI"/>
  </r>
  <r>
    <x v="3"/>
    <s v="MUTLU"/>
    <s v="570727MM02"/>
    <d v="1957-07-27T00:00:00"/>
    <n v="59.728767123287675"/>
    <s v=" "/>
    <s v="VACHIERY"/>
    <s v="ERASME CARDIO"/>
    <s v="ERASME CARDIO"/>
    <s v="MA"/>
    <s v="M"/>
    <d v="2017-04-04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4-20T00:00:00"/>
    <n v="16"/>
    <d v="2017-05-11T00:00:00"/>
    <n v="37"/>
    <x v="0"/>
    <n v="2"/>
    <s v="URGENCY"/>
    <s v="D"/>
    <m/>
    <m/>
    <m/>
    <s v="MUTLU"/>
    <s v="/"/>
    <s v="/"/>
    <m/>
    <s v="HTX"/>
    <s v="/"/>
    <m/>
    <s v="HTX"/>
    <n v="0"/>
    <n v="0"/>
    <n v="1"/>
    <x v="2"/>
    <s v="Aucune"/>
    <s v="Aucune"/>
    <s v="Aucune"/>
    <s v="NON"/>
    <s v="NON"/>
    <n v="37"/>
    <s v="Inconnu"/>
    <n v="37"/>
    <n v="16"/>
    <s v="Inconnu"/>
    <n v="16"/>
    <s v="Aucune"/>
    <n v="0"/>
    <s v="ERASME"/>
    <s v="Aucun"/>
    <s v="Aucun"/>
    <s v="NON"/>
  </r>
  <r>
    <x v="3"/>
    <s v="FAKKA"/>
    <s v="340818FF02"/>
    <d v="1934-08-18T00:00:00"/>
    <n v="82.68767123287671"/>
    <s v="1"/>
    <s v="GERIATRIE"/>
    <s v="ERASME GERIATRIE"/>
    <s v="ERASME GERIATRIE"/>
    <s v="FV"/>
    <s v="F"/>
    <d v="2017-04-05T00:00:00"/>
    <m/>
    <s v="? (CABG)"/>
    <x v="1"/>
    <x v="1"/>
    <n v="0"/>
    <n v="0"/>
    <m/>
    <m/>
    <m/>
    <m/>
    <m/>
    <m/>
    <m/>
    <m/>
    <n v="1"/>
    <m/>
    <m/>
    <n v="1"/>
    <s v="4R"/>
    <n v="4"/>
    <m/>
    <m/>
    <n v="4"/>
    <d v="2017-04-11T00:00:00"/>
    <n v="6"/>
    <d v="2017-04-11T00:00:00"/>
    <n v="6"/>
    <x v="0"/>
    <n v="2"/>
    <s v="URGENCY"/>
    <s v="Geriatrie"/>
    <m/>
    <m/>
    <m/>
    <s v="FAKKA"/>
    <s v="/"/>
    <d v="2017-05-02T00:00:00"/>
    <s v="Y"/>
    <m/>
    <d v="2017-08-02T00:00:00"/>
    <s v="Y"/>
    <s v="Message"/>
    <n v="1"/>
    <n v="1"/>
    <n v="1"/>
    <x v="2"/>
    <s v="Infection"/>
    <s v="Transfusion"/>
    <s v="Aucune"/>
    <s v="NON"/>
    <s v="NON"/>
    <n v="6"/>
    <n v="6"/>
    <s v="Inconnu"/>
    <n v="6"/>
    <n v="6"/>
    <s v="Inconnu"/>
    <s v="Transfusé"/>
    <n v="4"/>
    <s v="ERASME"/>
    <s v="Aucun"/>
    <s v="Aucun"/>
    <s v="NON"/>
  </r>
  <r>
    <x v="3"/>
    <s v="KARRAZ"/>
    <s v="510701MK02"/>
    <d v="1951-07-01T00:00:00"/>
    <n v="65.808219178082197"/>
    <s v=" "/>
    <s v="NAJEM"/>
    <s v="NAJEM"/>
    <s v="CT"/>
    <s v="MLC"/>
    <s v="M"/>
    <d v="2017-04-05T00:00:00"/>
    <d v="2017-03-28T00:00:00"/>
    <s v="CABG"/>
    <x v="1"/>
    <x v="1"/>
    <n v="0"/>
    <n v="0"/>
    <n v="3"/>
    <s v="PC"/>
    <m/>
    <m/>
    <m/>
    <m/>
    <m/>
    <m/>
    <m/>
    <m/>
    <m/>
    <m/>
    <m/>
    <m/>
    <m/>
    <m/>
    <n v="0"/>
    <d v="2017-04-06T00:00:00"/>
    <n v="1"/>
    <d v="2017-04-11T00:00:00"/>
    <n v="6"/>
    <x v="0"/>
    <n v="1"/>
    <s v="ELECTIVE"/>
    <s v="D"/>
    <m/>
    <m/>
    <m/>
    <s v="KARRAZ"/>
    <d v="2017-05-11T00:00:00"/>
    <d v="2017-04-18T00:00:00"/>
    <s v="Y"/>
    <m/>
    <d v="2017-07-10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T"/>
    <s v="Aucun"/>
    <s v="Aucun"/>
    <s v="OUI"/>
  </r>
  <r>
    <x v="3"/>
    <s v="BENDOUNANE"/>
    <s v="720123MBAA"/>
    <d v="1972-01-23T00:00:00"/>
    <n v="45.232876712328768"/>
    <s v=" "/>
    <s v="MISSOUNI"/>
    <s v="ERASME ETRANGER"/>
    <s v="ERASME ETRANGER"/>
    <s v="FV"/>
    <s v="M"/>
    <d v="2017-04-06T00:00:00"/>
    <d v="2017-03-28T00:00:00"/>
    <s v="? (BENTALL)"/>
    <x v="7"/>
    <x v="3"/>
    <n v="0"/>
    <s v="Aorte"/>
    <m/>
    <m/>
    <m/>
    <m/>
    <m/>
    <m/>
    <m/>
    <m/>
    <n v="1"/>
    <m/>
    <m/>
    <m/>
    <s v="7R/7Plas/1Plaq"/>
    <n v="15"/>
    <m/>
    <m/>
    <n v="15"/>
    <d v="2017-04-11T00:00:00"/>
    <n v="5"/>
    <d v="2017-04-19T00:00:00"/>
    <n v="13"/>
    <x v="0"/>
    <n v="1"/>
    <s v="ELECTIVE"/>
    <s v="D"/>
    <m/>
    <m/>
    <m/>
    <s v="BENDOUNANE"/>
    <s v="/"/>
    <s v="/"/>
    <s v="Y"/>
    <s v="Pas en Belgique"/>
    <s v="/"/>
    <m/>
    <s v="Pas en Belgique"/>
    <n v="0"/>
    <n v="1"/>
    <n v="1"/>
    <x v="0"/>
    <s v="Aucune"/>
    <s v="Transfusion"/>
    <s v="Aucune"/>
    <s v="NON"/>
    <s v="NON"/>
    <n v="13"/>
    <n v="13"/>
    <s v="Inconnu"/>
    <n v="5"/>
    <n v="5"/>
    <s v="Inconnu"/>
    <s v="Transfusé"/>
    <n v="15"/>
    <s v="ERASME"/>
    <s v="Aucun"/>
    <s v="Aucun"/>
    <s v="OUI"/>
  </r>
  <r>
    <x v="3"/>
    <s v="LACROIX"/>
    <s v="710718ML02"/>
    <d v="1971-07-18T00:00:00"/>
    <n v="45.753424657534246"/>
    <s v=" "/>
    <s v="PREUMONT"/>
    <s v="ERASME CARDIO"/>
    <s v="ERASME CARDIO"/>
    <s v="MLC"/>
    <s v="M"/>
    <d v="2017-04-07T00:00:00"/>
    <d v="2017-03-28T00:00:00"/>
    <s v="CABG"/>
    <x v="1"/>
    <x v="1"/>
    <n v="0"/>
    <n v="0"/>
    <n v="2"/>
    <s v="PC"/>
    <m/>
    <m/>
    <m/>
    <m/>
    <m/>
    <m/>
    <m/>
    <m/>
    <m/>
    <m/>
    <m/>
    <m/>
    <m/>
    <m/>
    <n v="0"/>
    <d v="2017-04-08T00:00:00"/>
    <n v="1"/>
    <d v="2017-04-13T00:00:00"/>
    <n v="6"/>
    <x v="0"/>
    <n v="1"/>
    <s v="ELECTIVE"/>
    <s v="D"/>
    <m/>
    <m/>
    <m/>
    <s v="LACROIX"/>
    <d v="2017-05-16T00:00:00"/>
    <d v="2017-05-03T00:00:00"/>
    <s v="Y"/>
    <s v="impossible à joindre "/>
    <d v="2017-08-02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ERASME"/>
    <s v="Aucun"/>
    <s v="Aucun"/>
    <s v="OUI"/>
  </r>
  <r>
    <x v="3"/>
    <s v="YAYHA"/>
    <s v="660909MY01"/>
    <d v="1966-09-09T00:00:00"/>
    <n v="50.610958904109587"/>
    <s v=" "/>
    <s v="EL MOURAD"/>
    <s v="ERASME CARDIO"/>
    <s v="ERASME CARDIO"/>
    <s v="MA"/>
    <s v="M"/>
    <d v="2017-04-07T00:00:00"/>
    <d v="2017-04-04T00:00:00"/>
    <s v="CABG"/>
    <x v="1"/>
    <x v="1"/>
    <n v="0"/>
    <n v="0"/>
    <n v="3"/>
    <s v="PC"/>
    <m/>
    <m/>
    <m/>
    <m/>
    <m/>
    <m/>
    <m/>
    <m/>
    <m/>
    <m/>
    <m/>
    <m/>
    <m/>
    <m/>
    <n v="0"/>
    <d v="2017-04-08T00:00:00"/>
    <n v="1"/>
    <d v="2017-04-14T00:00:00"/>
    <n v="7"/>
    <x v="0"/>
    <n v="1"/>
    <s v="ELECTIVE"/>
    <s v="D"/>
    <m/>
    <m/>
    <m/>
    <s v="YAYHA"/>
    <d v="2017-05-17T00:00:00"/>
    <d v="2017-04-24T00:00:00"/>
    <s v="Y"/>
    <m/>
    <d v="2017-09-11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3"/>
    <s v="VERMEULEN"/>
    <s v="480801MV02"/>
    <d v="1948-08-01T00:00:00"/>
    <n v="68.736986301369868"/>
    <s v=" "/>
    <s v="URGENCES"/>
    <s v="ERASME URGENCES"/>
    <s v="ERASME URGENCES"/>
    <s v="BE"/>
    <s v="M"/>
    <d v="2017-04-10T00:00:00"/>
    <m/>
    <s v="CABG"/>
    <x v="1"/>
    <x v="1"/>
    <n v="0"/>
    <n v="0"/>
    <n v="3"/>
    <s v="OPCAB"/>
    <m/>
    <m/>
    <m/>
    <m/>
    <m/>
    <m/>
    <m/>
    <m/>
    <m/>
    <n v="1"/>
    <m/>
    <m/>
    <s v="1R"/>
    <n v="1"/>
    <n v="1"/>
    <d v="2017-04-24T00:00:00"/>
    <n v="14"/>
    <d v="2017-05-02T00:00:00"/>
    <n v="22"/>
    <x v="0"/>
    <n v="1"/>
    <s v="ELECTIVE"/>
    <s v="R"/>
    <m/>
    <m/>
    <m/>
    <s v="VERMEULEN"/>
    <d v="2017-05-26T00:00:00"/>
    <d v="2017-05-08T00:00:00"/>
    <s v="Y"/>
    <s v="Message"/>
    <d v="2017-08-02T00:00:00"/>
    <s v="Y"/>
    <m/>
    <n v="1"/>
    <n v="1"/>
    <n v="1"/>
    <x v="0"/>
    <s v="Infection"/>
    <s v="Transfusion"/>
    <s v="Transfusé"/>
    <s v="NON"/>
    <s v="NON"/>
    <n v="22"/>
    <n v="22"/>
    <s v="Inconnu"/>
    <n v="14"/>
    <n v="14"/>
    <s v="Inconnu"/>
    <s v="Transfusé"/>
    <n v="1"/>
    <s v="ERASME"/>
    <s v="Aucun"/>
    <s v="Aucun"/>
    <s v="NON"/>
  </r>
  <r>
    <x v="3"/>
    <s v="QODSI"/>
    <s v="670625MQ01"/>
    <d v="1967-06-25T00:00:00"/>
    <n v="49.827397260273976"/>
    <s v=" "/>
    <s v="VACHIERY"/>
    <s v="ERASME CARDIO"/>
    <s v="ERASME CARDIO"/>
    <s v="FV"/>
    <s v="M"/>
    <d v="2017-04-10T00:00:00"/>
    <d v="2017-04-04T00:00:00"/>
    <s v="Cure retour veineux"/>
    <x v="4"/>
    <x v="3"/>
    <n v="0"/>
    <n v="0"/>
    <m/>
    <m/>
    <m/>
    <m/>
    <m/>
    <m/>
    <m/>
    <m/>
    <m/>
    <m/>
    <m/>
    <m/>
    <m/>
    <m/>
    <m/>
    <m/>
    <n v="0"/>
    <d v="2017-04-11T00:00:00"/>
    <n v="1"/>
    <d v="2017-04-18T00:00:00"/>
    <n v="8"/>
    <x v="0"/>
    <n v="1"/>
    <s v="ELECTIVE"/>
    <s v="D"/>
    <m/>
    <m/>
    <m/>
    <s v="QODSI"/>
    <d v="2017-05-16T00:00:00"/>
    <d v="2017-02-03T00:00:00"/>
    <s v="Y"/>
    <m/>
    <d v="2017-07-24T00:00:00"/>
    <s v="Y"/>
    <s v="Message"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ERASME"/>
    <s v="Aucun"/>
    <s v="Aucun"/>
    <s v="OUI"/>
  </r>
  <r>
    <x v="3"/>
    <s v="AOURAJ"/>
    <s v="510402FA01"/>
    <d v="1951-04-02T00:00:00"/>
    <n v="66.07123287671233"/>
    <s v=" "/>
    <s v="LENAERS"/>
    <s v="ERASME CARDIO"/>
    <s v="ERASME CARDIO"/>
    <s v="FV"/>
    <s v="F"/>
    <d v="2017-04-11T00:00:00"/>
    <d v="2017-04-04T00:00:00"/>
    <s v="AVR"/>
    <x v="2"/>
    <x v="2"/>
    <s v="AVR"/>
    <s v="AVR"/>
    <m/>
    <m/>
    <s v="CE"/>
    <s v="B"/>
    <n v="21"/>
    <m/>
    <m/>
    <m/>
    <m/>
    <m/>
    <m/>
    <m/>
    <m/>
    <m/>
    <m/>
    <m/>
    <n v="0"/>
    <d v="2017-04-12T00:00:00"/>
    <n v="1"/>
    <d v="2017-04-21T00:00:00"/>
    <n v="10"/>
    <x v="0"/>
    <n v="1"/>
    <s v="ELECTIVE"/>
    <s v="D"/>
    <m/>
    <m/>
    <m/>
    <s v="AOURAJ"/>
    <d v="2017-05-23T00:00:00"/>
    <d v="2017-05-02T00:00:00"/>
    <s v="Y"/>
    <m/>
    <d v="2017-07-24T00:00:00"/>
    <s v="Y"/>
    <s v="Message"/>
    <n v="0"/>
    <n v="0"/>
    <n v="1"/>
    <x v="0"/>
    <s v="Aucune"/>
    <s v="Aucune"/>
    <s v="Aucune"/>
    <s v="NON"/>
    <s v="NON"/>
    <n v="10"/>
    <n v="10"/>
    <s v="Inconnu"/>
    <n v="1"/>
    <n v="1"/>
    <s v="Inconnu"/>
    <s v="Aucune"/>
    <n v="0"/>
    <s v="ERASME"/>
    <s v="Aucun"/>
    <s v="Aucun"/>
    <s v="OUI"/>
  </r>
  <r>
    <x v="3"/>
    <s v="MADMAD"/>
    <s v="490701MM10"/>
    <d v="1949-07-01T00:00:00"/>
    <n v="67.824657534246569"/>
    <s v=" "/>
    <s v="URGENCES"/>
    <s v="CHIREC PARC LEOPOLD"/>
    <s v="CHIREC PARC LEOPOLD"/>
    <s v="BE"/>
    <s v="M"/>
    <d v="2017-04-11T00:00:00"/>
    <d v="2017-04-11T00:00:00"/>
    <s v="CABG"/>
    <x v="1"/>
    <x v="1"/>
    <n v="0"/>
    <n v="0"/>
    <n v="3"/>
    <s v="PC"/>
    <m/>
    <m/>
    <m/>
    <m/>
    <m/>
    <m/>
    <m/>
    <m/>
    <m/>
    <m/>
    <m/>
    <m/>
    <m/>
    <m/>
    <n v="0"/>
    <d v="2017-04-12T00:00:00"/>
    <n v="1"/>
    <d v="2017-04-19T00:00:00"/>
    <n v="8"/>
    <x v="0"/>
    <n v="1"/>
    <s v="ELECTIVE"/>
    <s v="D"/>
    <m/>
    <m/>
    <m/>
    <s v="MADMAD"/>
    <d v="2017-05-19T00:00:00"/>
    <d v="2017-05-03T00:00:00"/>
    <s v="Y"/>
    <m/>
    <d v="2017-08-02T00:00:00"/>
    <s v="Y"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CHIREC"/>
    <s v="Aucun"/>
    <s v="Aucun"/>
    <s v="OUI"/>
  </r>
  <r>
    <x v="3"/>
    <s v="DUDICQ"/>
    <s v="360222MD04"/>
    <d v="1936-02-22T00:00:00"/>
    <n v="81.191780821917803"/>
    <s v="1"/>
    <s v="ABDESSATER"/>
    <s v="CHR HAUTE SENNE"/>
    <s v="CHR HAUTE SENNE"/>
    <s v="BE"/>
    <s v="M"/>
    <d v="2017-04-12T00:00:00"/>
    <d v="2017-04-04T00:00:00"/>
    <s v="AVR + CABG"/>
    <x v="3"/>
    <x v="0"/>
    <s v="CABG + V"/>
    <n v="0"/>
    <n v="1"/>
    <s v="PC"/>
    <s v="CE"/>
    <s v="B"/>
    <n v="23"/>
    <m/>
    <m/>
    <m/>
    <m/>
    <m/>
    <m/>
    <m/>
    <s v="4Plas/2Plaq"/>
    <n v="6"/>
    <m/>
    <m/>
    <n v="6"/>
    <d v="2017-04-13T00:00:00"/>
    <n v="1"/>
    <d v="2017-04-20T00:00:00"/>
    <n v="8"/>
    <x v="0"/>
    <n v="1"/>
    <s v="ELECTIVE"/>
    <s v="Soignies"/>
    <m/>
    <m/>
    <m/>
    <s v="DUDICQ"/>
    <d v="2017-05-26T00:00:00"/>
    <d v="2017-05-02T00:00:00"/>
    <s v="Y"/>
    <m/>
    <d v="2017-08-02T00:00:00"/>
    <s v="Y"/>
    <m/>
    <n v="0"/>
    <n v="1"/>
    <n v="1"/>
    <x v="0"/>
    <s v="Aucune"/>
    <s v="Transfusion"/>
    <s v="Aucune"/>
    <s v="NON"/>
    <s v="NON"/>
    <n v="8"/>
    <n v="8"/>
    <s v="Inconnu"/>
    <n v="1"/>
    <n v="1"/>
    <s v="Inconnu"/>
    <s v="Transfusé"/>
    <n v="6"/>
    <s v="CHR HAUTE SENNE"/>
    <s v="Aucun"/>
    <s v="Aucun"/>
    <s v="OUI"/>
  </r>
  <r>
    <x v="3"/>
    <s v="GONCALVES"/>
    <s v="600321FGAA"/>
    <d v="1960-03-21T00:00:00"/>
    <n v="57.104109589041094"/>
    <s v=" "/>
    <s v="KHOUZAM"/>
    <s v="KHOUZAM"/>
    <s v="CT"/>
    <s v="BE"/>
    <s v="F"/>
    <d v="2017-04-14T00:00:00"/>
    <d v="2017-04-04T00:00:00"/>
    <s v="AVR"/>
    <x v="2"/>
    <x v="2"/>
    <s v="AVR"/>
    <s v="AVR"/>
    <m/>
    <m/>
    <s v="ATS"/>
    <s v="M"/>
    <n v="21"/>
    <m/>
    <m/>
    <m/>
    <m/>
    <m/>
    <m/>
    <m/>
    <m/>
    <m/>
    <m/>
    <m/>
    <n v="0"/>
    <d v="2017-04-15T00:00:00"/>
    <n v="1"/>
    <d v="2017-04-19T00:00:00"/>
    <n v="5"/>
    <x v="0"/>
    <n v="1"/>
    <s v="ELECTIVE"/>
    <s v="Soignies"/>
    <m/>
    <m/>
    <m/>
    <s v="GONCALVES"/>
    <d v="2017-05-26T00:00:00"/>
    <d v="2017-05-02T00:00:00"/>
    <s v="Y"/>
    <m/>
    <d v="2017-08-02T00:00:00"/>
    <s v="Y"/>
    <m/>
    <n v="0"/>
    <n v="0"/>
    <n v="1"/>
    <x v="0"/>
    <s v="Aucune"/>
    <s v="Aucune"/>
    <s v="Aucune"/>
    <s v="NON"/>
    <s v="NON"/>
    <n v="5"/>
    <n v="5"/>
    <s v="Inconnu"/>
    <n v="1"/>
    <n v="1"/>
    <s v="Inconnu"/>
    <s v="Aucune"/>
    <n v="0"/>
    <s v="CT"/>
    <s v="Aucun"/>
    <s v="Aucun"/>
    <s v="OUI"/>
  </r>
  <r>
    <x v="3"/>
    <s v="GOMBERT"/>
    <s v="440329MG02"/>
    <d v="1944-03-29T00:00:00"/>
    <n v="73.095890410958901"/>
    <s v=" "/>
    <s v="URGENCES"/>
    <s v="ERASME URGENCES"/>
    <s v="ERASME URGENCES"/>
    <s v="BE"/>
    <s v="M"/>
    <d v="2017-04-15T00:00:00"/>
    <m/>
    <s v="CABG"/>
    <x v="1"/>
    <x v="1"/>
    <n v="0"/>
    <n v="0"/>
    <m/>
    <m/>
    <m/>
    <m/>
    <m/>
    <m/>
    <m/>
    <m/>
    <m/>
    <m/>
    <m/>
    <m/>
    <s v="1R"/>
    <n v="1"/>
    <s v="1R"/>
    <n v="1"/>
    <n v="2"/>
    <d v="2017-04-21T00:00:00"/>
    <n v="6"/>
    <d v="2017-04-27T00:00:00"/>
    <n v="12"/>
    <x v="0"/>
    <n v="3"/>
    <s v="EMERGENCY"/>
    <s v="D"/>
    <m/>
    <m/>
    <m/>
    <s v="GOMBERT"/>
    <d v="2017-05-26T00:00:00"/>
    <d v="2017-05-08T00:00:00"/>
    <s v="Y"/>
    <s v="pas de cardio : ok"/>
    <d v="2017-08-02T00:00:00"/>
    <s v="Y"/>
    <s v="traitement plaie jbe"/>
    <n v="0"/>
    <n v="1"/>
    <n v="1"/>
    <x v="1"/>
    <s v="Aucune"/>
    <s v="Transfusion"/>
    <s v="Transfusé"/>
    <s v="NON"/>
    <s v="NON"/>
    <n v="12"/>
    <n v="12"/>
    <s v="Inconnu"/>
    <n v="6"/>
    <n v="6"/>
    <s v="Inconnu"/>
    <s v="Transfusé"/>
    <n v="2"/>
    <s v="ERASME"/>
    <s v="Aucun"/>
    <s v="Aucun"/>
    <s v="NON"/>
  </r>
  <r>
    <x v="3"/>
    <s v="OCAMPOS OCAMPOS"/>
    <s v="350629FO01"/>
    <d v="1935-06-29T00:00:00"/>
    <n v="81.860273972602741"/>
    <s v="1"/>
    <s v="EL MOURAD"/>
    <s v="ERASME CARDIO"/>
    <s v="ERASME CARDIO"/>
    <s v="FV"/>
    <s v="F"/>
    <d v="2017-04-18T00:00:00"/>
    <d v="2017-03-14T00:00:00"/>
    <s v="AVR + CABG"/>
    <x v="3"/>
    <x v="0"/>
    <s v="CABG + V"/>
    <n v="0"/>
    <n v="2"/>
    <s v="PC"/>
    <s v="Perceval"/>
    <s v="B"/>
    <s v="M"/>
    <m/>
    <m/>
    <m/>
    <m/>
    <m/>
    <m/>
    <m/>
    <s v="2R"/>
    <n v="2"/>
    <m/>
    <m/>
    <n v="2"/>
    <d v="2017-04-19T00:00:00"/>
    <n v="1"/>
    <d v="2017-04-28T00:00:00"/>
    <n v="10"/>
    <x v="0"/>
    <n v="1"/>
    <s v="ELECTIVE"/>
    <s v="R"/>
    <m/>
    <m/>
    <m/>
    <s v="OCAMPOS OCAMPOS"/>
    <d v="2017-05-30T00:00:00"/>
    <d v="2017-05-22T00:00:00"/>
    <s v="Y"/>
    <s v="Message"/>
    <d v="2017-08-29T00:00:00"/>
    <s v="Y"/>
    <s v="Message"/>
    <n v="0"/>
    <n v="1"/>
    <n v="1"/>
    <x v="0"/>
    <s v="Aucune"/>
    <s v="Transfusion"/>
    <s v="Aucune"/>
    <s v="NON"/>
    <s v="NON"/>
    <n v="10"/>
    <n v="10"/>
    <s v="Inconnu"/>
    <n v="1"/>
    <n v="1"/>
    <s v="Inconnu"/>
    <s v="Transfusé"/>
    <n v="2"/>
    <s v="ERASME"/>
    <s v="Aucun"/>
    <s v="Aucun"/>
    <s v="OUI"/>
  </r>
  <r>
    <x v="3"/>
    <s v="COULON"/>
    <s v="640513MC02"/>
    <d v="1964-05-13T00:00:00"/>
    <n v="52.967123287671235"/>
    <s v=" "/>
    <s v="EL MOURAD"/>
    <s v="ERASME CARDIO"/>
    <s v="ERASME CARDIO"/>
    <s v="BE"/>
    <s v="M"/>
    <d v="2017-04-18T00:00:00"/>
    <d v="2017-04-11T00:00:00"/>
    <s v="CABG"/>
    <x v="1"/>
    <x v="1"/>
    <n v="0"/>
    <n v="0"/>
    <n v="2"/>
    <s v="PC"/>
    <m/>
    <m/>
    <m/>
    <m/>
    <m/>
    <m/>
    <m/>
    <m/>
    <m/>
    <m/>
    <m/>
    <m/>
    <m/>
    <m/>
    <n v="0"/>
    <d v="2017-04-19T00:00:00"/>
    <n v="1"/>
    <d v="2017-04-24T00:00:00"/>
    <n v="6"/>
    <x v="0"/>
    <n v="1"/>
    <s v="ELECTIVE"/>
    <s v="D"/>
    <m/>
    <m/>
    <m/>
    <s v="COULON"/>
    <d v="2017-05-19T00:00:00"/>
    <d v="2017-05-02T00:00:00"/>
    <s v="Y"/>
    <s v="D+ mamelon"/>
    <d v="2017-09-11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ERASME"/>
    <s v="Aucun"/>
    <s v="Aucun"/>
    <s v="OUI"/>
  </r>
  <r>
    <x v="3"/>
    <s v="DEPOITIER"/>
    <s v="321214MD03"/>
    <d v="1932-12-14T00:00:00"/>
    <n v="84.402739726027391"/>
    <s v="1"/>
    <s v="VAN DE BORNE"/>
    <s v="ERASME CARDIO"/>
    <s v="ERASME CARDIO"/>
    <s v="FV"/>
    <s v="M"/>
    <d v="2017-04-19T00:00:00"/>
    <d v="2017-01-24T00:00:00"/>
    <s v="AVR + CABG"/>
    <x v="3"/>
    <x v="0"/>
    <s v="CABG + V"/>
    <n v="0"/>
    <n v="1"/>
    <s v="PC"/>
    <m/>
    <s v="B"/>
    <s v="XL"/>
    <m/>
    <m/>
    <m/>
    <m/>
    <m/>
    <m/>
    <m/>
    <s v="2R"/>
    <n v="2"/>
    <m/>
    <m/>
    <n v="2"/>
    <d v="2017-04-21T00:00:00"/>
    <n v="2"/>
    <d v="2017-04-26T00:00:00"/>
    <n v="7"/>
    <x v="0"/>
    <n v="1"/>
    <s v="ELECTIVE"/>
    <s v="D"/>
    <d v="2017-05-06T00:00:00"/>
    <n v="1"/>
    <s v="NC"/>
    <s v="DEPOITIER"/>
    <d v="2017-05-30T00:00:00"/>
    <d v="2017-05-03T00:00:00"/>
    <s v="Y"/>
    <m/>
    <d v="2017-08-02T00:00:00"/>
    <s v="Y"/>
    <m/>
    <n v="0"/>
    <n v="1"/>
    <n v="1"/>
    <x v="0"/>
    <s v="Aucune"/>
    <s v="Transfusion"/>
    <s v="Aucune"/>
    <s v="NON"/>
    <s v="OUI"/>
    <n v="7"/>
    <n v="7"/>
    <s v="Inconnu"/>
    <n v="2"/>
    <n v="2"/>
    <s v="Inconnu"/>
    <s v="Transfusé"/>
    <n v="2"/>
    <s v="ERASME"/>
    <s v="Aucun"/>
    <s v="Aucun"/>
    <s v="OUI"/>
  </r>
  <r>
    <x v="3"/>
    <s v="VANDERKELEN"/>
    <s v="460901MV04"/>
    <d v="1946-09-01T00:00:00"/>
    <n v="70.679452054794524"/>
    <s v=" "/>
    <s v="BERKENBOOM"/>
    <s v="ERASME CARDIO"/>
    <s v="ERASME CARDIO"/>
    <s v="MLC"/>
    <s v="M"/>
    <d v="2017-04-19T00:00:00"/>
    <d v="2017-04-11T00:00:00"/>
    <s v="CABG"/>
    <x v="1"/>
    <x v="1"/>
    <n v="0"/>
    <n v="0"/>
    <m/>
    <m/>
    <m/>
    <m/>
    <m/>
    <m/>
    <m/>
    <m/>
    <m/>
    <m/>
    <m/>
    <m/>
    <m/>
    <m/>
    <s v="2R"/>
    <n v="2"/>
    <n v="2"/>
    <d v="2017-04-20T00:00:00"/>
    <n v="1"/>
    <d v="2017-04-26T00:00:00"/>
    <n v="7"/>
    <x v="0"/>
    <n v="1"/>
    <s v="ELECTIVE"/>
    <s v="D"/>
    <m/>
    <m/>
    <m/>
    <s v="VANDERKELEN"/>
    <d v="2017-06-01T00:00:00"/>
    <d v="2017-05-03T00:00:00"/>
    <s v="Y"/>
    <m/>
    <d v="2017-09-11T00:00:00"/>
    <s v="Y"/>
    <m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2"/>
    <s v="ERASME"/>
    <s v="Aucun"/>
    <s v="Aucun"/>
    <s v="OUI"/>
  </r>
  <r>
    <x v="3"/>
    <s v="BARTOLETTI"/>
    <s v="560517FB01"/>
    <d v="1956-05-17T00:00:00"/>
    <n v="60.964383561643835"/>
    <s v=" "/>
    <s v="URGENCES"/>
    <s v="ERASME URGENCES"/>
    <s v="ERASME URGENCES"/>
    <s v="FV"/>
    <s v="F"/>
    <d v="2017-04-19T00:00:00"/>
    <m/>
    <s v="?"/>
    <x v="1"/>
    <x v="1"/>
    <n v="0"/>
    <n v="0"/>
    <m/>
    <m/>
    <m/>
    <m/>
    <m/>
    <m/>
    <m/>
    <m/>
    <m/>
    <m/>
    <m/>
    <m/>
    <m/>
    <m/>
    <m/>
    <m/>
    <n v="0"/>
    <d v="2017-04-19T00:00:00"/>
    <n v="0"/>
    <d v="2017-04-19T00:00:00"/>
    <n v="0"/>
    <x v="1"/>
    <n v="1"/>
    <s v="ELECTIVE"/>
    <s v="/"/>
    <m/>
    <m/>
    <m/>
    <s v="BARTOLETTI"/>
    <s v="/"/>
    <d v="2017-04-19T00:00:00"/>
    <s v="N"/>
    <s v="DCD"/>
    <s v="/"/>
    <s v="N"/>
    <s v="DCD"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3"/>
    <s v="HAVELANGE"/>
    <s v="520330MH02"/>
    <d v="1952-03-30T00:00:00"/>
    <n v="65.101369863013701"/>
    <s v=" "/>
    <s v="DAYEH"/>
    <s v="CHIREC PARC LEOPOLD"/>
    <s v="CHIREC PARC LEOPOLD"/>
    <s v="FV"/>
    <s v="M"/>
    <d v="2017-04-20T00:00:00"/>
    <d v="2017-04-11T00:00:00"/>
    <s v="CABG"/>
    <x v="1"/>
    <x v="1"/>
    <n v="0"/>
    <n v="0"/>
    <n v="2"/>
    <s v="PC"/>
    <m/>
    <m/>
    <m/>
    <m/>
    <m/>
    <m/>
    <n v="1"/>
    <m/>
    <m/>
    <m/>
    <m/>
    <m/>
    <m/>
    <m/>
    <n v="0"/>
    <d v="2017-04-21T00:00:00"/>
    <n v="1"/>
    <d v="2017-04-26T00:00:00"/>
    <n v="6"/>
    <x v="0"/>
    <n v="1"/>
    <s v="ELECTIVE"/>
    <s v="D"/>
    <m/>
    <m/>
    <m/>
    <s v="HAVELANGE"/>
    <d v="2017-05-23T00:00:00"/>
    <d v="2017-05-03T00:00:00"/>
    <s v="Y"/>
    <m/>
    <d v="2017-08-02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OUI"/>
  </r>
  <r>
    <x v="3"/>
    <s v="DELHAYE"/>
    <s v="490906MD05"/>
    <d v="1949-09-06T00:00:00"/>
    <n v="67.668493150684938"/>
    <s v=" "/>
    <s v="ZENAGUI"/>
    <s v="BRACOPS"/>
    <s v="BRACOPS"/>
    <s v="BE"/>
    <s v="M"/>
    <d v="2017-04-21T00:00:00"/>
    <d v="2017-04-11T00:00:00"/>
    <s v="AVR + CABG"/>
    <x v="3"/>
    <x v="0"/>
    <s v="CABG + V"/>
    <n v="0"/>
    <n v="1"/>
    <s v="PC"/>
    <s v="Medtronic"/>
    <s v="M"/>
    <n v="27"/>
    <m/>
    <m/>
    <m/>
    <m/>
    <m/>
    <m/>
    <m/>
    <m/>
    <m/>
    <s v="1R"/>
    <n v="1"/>
    <n v="1"/>
    <d v="2017-04-25T00:00:00"/>
    <n v="4"/>
    <d v="2017-05-02T00:00:00"/>
    <n v="11"/>
    <x v="1"/>
    <n v="1"/>
    <s v="ELECTIVE"/>
    <s v="/"/>
    <m/>
    <m/>
    <m/>
    <s v="DELHAYE"/>
    <s v="/"/>
    <d v="2017-04-30T00:00:00"/>
    <s v="N"/>
    <s v="DCD"/>
    <s v="/"/>
    <s v="N"/>
    <s v="DCD"/>
    <n v="0"/>
    <n v="1"/>
    <n v="1"/>
    <x v="0"/>
    <s v="Aucune"/>
    <s v="Transfusion"/>
    <s v="Transfusé"/>
    <s v="NON"/>
    <s v="NON"/>
    <n v="11"/>
    <n v="11"/>
    <s v="Inconnu"/>
    <n v="4"/>
    <n v="4"/>
    <s v="Inconnu"/>
    <s v="Transfusé"/>
    <n v="1"/>
    <s v="BRACOPS"/>
    <s v="Aucun"/>
    <s v="Aucun"/>
    <s v="OUI"/>
  </r>
  <r>
    <x v="3"/>
    <s v="TALON"/>
    <s v="440718MT02"/>
    <d v="1944-07-18T00:00:00"/>
    <n v="72.819178082191783"/>
    <s v=" "/>
    <s v="DEGAUTE"/>
    <s v="ERASME CARDIO"/>
    <s v="ERASME CARDIO"/>
    <s v="FV"/>
    <s v="M"/>
    <d v="2017-04-25T00:00:00"/>
    <d v="2017-03-28T00:00:00"/>
    <s v="MVP + CABG"/>
    <x v="3"/>
    <x v="0"/>
    <s v="CABG + V"/>
    <n v="0"/>
    <n v="1"/>
    <s v="PC"/>
    <s v="CE"/>
    <m/>
    <n v="34"/>
    <m/>
    <m/>
    <m/>
    <m/>
    <m/>
    <m/>
    <m/>
    <s v="2R"/>
    <n v="2"/>
    <m/>
    <m/>
    <n v="2"/>
    <d v="2017-04-27T00:00:00"/>
    <n v="2"/>
    <d v="2017-05-05T00:00:00"/>
    <n v="10"/>
    <x v="0"/>
    <n v="1"/>
    <s v="ELECTIVE"/>
    <s v="D"/>
    <m/>
    <m/>
    <m/>
    <s v="TALON"/>
    <d v="2017-06-06T00:00:00"/>
    <d v="2017-05-11T00:00:00"/>
    <s v="Y"/>
    <s v="OMI-lasix?"/>
    <d v="2017-09-11T00:00:00"/>
    <s v="Y"/>
    <s v="Message"/>
    <n v="0"/>
    <n v="1"/>
    <n v="1"/>
    <x v="0"/>
    <s v="Aucune"/>
    <s v="Transfusion"/>
    <s v="Aucune"/>
    <s v="NON"/>
    <s v="NON"/>
    <n v="10"/>
    <n v="10"/>
    <s v="Inconnu"/>
    <n v="2"/>
    <n v="2"/>
    <s v="Inconnu"/>
    <s v="Transfusé"/>
    <n v="2"/>
    <s v="ERASME"/>
    <s v="Aucun"/>
    <s v="Aucun"/>
    <s v="OUI"/>
  </r>
  <r>
    <x v="3"/>
    <s v="ALEMANNI"/>
    <s v="390208MA01"/>
    <d v="1939-02-08T00:00:00"/>
    <n v="78.265753424657532"/>
    <s v=" "/>
    <s v="CAILLEAU"/>
    <s v="ERASME CARDIO"/>
    <s v="ERASME CARDIO"/>
    <s v="FV"/>
    <s v="M"/>
    <d v="2017-04-26T00:00:00"/>
    <d v="2017-04-25T00:00:00"/>
    <s v="AVR + MAZE"/>
    <x v="2"/>
    <x v="2"/>
    <s v="AVR"/>
    <s v="AVR"/>
    <m/>
    <m/>
    <s v="CE"/>
    <s v="B"/>
    <n v="27"/>
    <m/>
    <m/>
    <m/>
    <m/>
    <m/>
    <m/>
    <n v="1"/>
    <m/>
    <m/>
    <s v="4R/1Plas"/>
    <n v="5"/>
    <n v="5"/>
    <d v="2017-05-04T00:00:00"/>
    <n v="8"/>
    <d v="2017-06-14T00:00:00"/>
    <n v="49"/>
    <x v="0"/>
    <n v="1"/>
    <s v="ELECTIVE"/>
    <s v="D"/>
    <m/>
    <m/>
    <m/>
    <s v="ALEMANNI"/>
    <d v="2017-07-18T00:00:00"/>
    <d v="2017-06-27T00:00:00"/>
    <s v="Y"/>
    <m/>
    <d v="2017-10-03T00:00:00"/>
    <s v="Y"/>
    <m/>
    <n v="1"/>
    <n v="1"/>
    <n v="1"/>
    <x v="0"/>
    <s v="Infection"/>
    <s v="Transfusion"/>
    <s v="Transfusé"/>
    <s v="NON"/>
    <s v="NON"/>
    <n v="49"/>
    <n v="49"/>
    <s v="Inconnu"/>
    <n v="8"/>
    <n v="8"/>
    <s v="Inconnu"/>
    <s v="Transfusé"/>
    <n v="5"/>
    <s v="ERASME"/>
    <s v="Aucun"/>
    <s v="Aucun"/>
    <s v="OUI"/>
  </r>
  <r>
    <x v="3"/>
    <s v="BETAR"/>
    <s v="430611FBAA"/>
    <d v="1943-06-11T00:00:00"/>
    <n v="73.92602739726027"/>
    <s v=" "/>
    <s v="DAYEH"/>
    <s v="CHIREC PARC LEOPOLD"/>
    <s v="CHIREC PARC LEOPOLD"/>
    <s v="BE"/>
    <s v="F"/>
    <d v="2017-04-26T00:00:00"/>
    <d v="2017-04-25T00:00:00"/>
    <s v="CABG"/>
    <x v="1"/>
    <x v="1"/>
    <n v="0"/>
    <n v="0"/>
    <n v="3"/>
    <s v="OPCAB"/>
    <m/>
    <m/>
    <m/>
    <m/>
    <m/>
    <m/>
    <m/>
    <m/>
    <m/>
    <n v="1"/>
    <s v="1R"/>
    <n v="1"/>
    <m/>
    <m/>
    <n v="1"/>
    <d v="2017-04-29T00:00:00"/>
    <n v="3"/>
    <d v="2017-05-05T00:00:00"/>
    <n v="9"/>
    <x v="0"/>
    <n v="1"/>
    <s v="ELECTIVE"/>
    <s v="D"/>
    <m/>
    <m/>
    <m/>
    <s v="BETAR"/>
    <d v="2017-06-09T00:00:00"/>
    <d v="2017-05-15T00:00:00"/>
    <s v="Y"/>
    <s v="Message fille"/>
    <d v="2017-09-11T00:00:00"/>
    <s v="Y"/>
    <s v="Message"/>
    <n v="1"/>
    <n v="1"/>
    <n v="1"/>
    <x v="0"/>
    <s v="Infection"/>
    <s v="Transfusion"/>
    <s v="Aucune"/>
    <s v="NON"/>
    <s v="NON"/>
    <n v="9"/>
    <n v="9"/>
    <s v="Inconnu"/>
    <n v="3"/>
    <n v="3"/>
    <s v="Inconnu"/>
    <s v="Transfusé"/>
    <n v="1"/>
    <s v="CHIREC"/>
    <s v="Aucun"/>
    <s v="Aucun"/>
    <s v="OUI"/>
  </r>
  <r>
    <x v="3"/>
    <s v="CHELLALI"/>
    <s v="360101FC09"/>
    <d v="1936-01-01T00:00:00"/>
    <n v="81.37534246575342"/>
    <s v="1"/>
    <s v="EL MOURAD"/>
    <s v="ERASME CARDIO"/>
    <s v="ERASME CARDIO"/>
    <s v="BE"/>
    <s v="F"/>
    <d v="2017-04-27T00:00:00"/>
    <d v="2017-04-04T00:00:00"/>
    <s v="CABG"/>
    <x v="1"/>
    <x v="1"/>
    <n v="0"/>
    <n v="0"/>
    <n v="3"/>
    <s v="OPCAB"/>
    <m/>
    <m/>
    <m/>
    <m/>
    <m/>
    <m/>
    <m/>
    <m/>
    <m/>
    <m/>
    <s v="2 Plas"/>
    <n v="2"/>
    <m/>
    <m/>
    <n v="2"/>
    <d v="2017-04-28T00:00:00"/>
    <n v="1"/>
    <d v="2017-05-04T00:00:00"/>
    <n v="7"/>
    <x v="0"/>
    <n v="1"/>
    <s v="ELECTIVE"/>
    <s v="D"/>
    <m/>
    <m/>
    <m/>
    <s v="CHELLALI"/>
    <d v="2017-05-26T00:00:00"/>
    <d v="2017-05-11T00:00:00"/>
    <s v="Y"/>
    <m/>
    <d v="2017-08-30T00:00:00"/>
    <s v="Y"/>
    <m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2"/>
    <s v="ERASME"/>
    <s v="Aucun"/>
    <s v="Aucun"/>
    <s v="OUI"/>
  </r>
  <r>
    <x v="3"/>
    <s v="CASEN"/>
    <s v="430117MC04"/>
    <d v="1943-01-17T00:00:00"/>
    <n v="74.328767123287676"/>
    <s v=" "/>
    <s v="CARLIER"/>
    <s v="AMBROISE PARE"/>
    <s v="AMBROISE PARE"/>
    <s v="FV"/>
    <s v="M"/>
    <d v="2017-04-28T00:00:00"/>
    <d v="2017-04-18T00:00:00"/>
    <s v="AVR + CABG"/>
    <x v="3"/>
    <x v="0"/>
    <s v="CABG + V"/>
    <n v="0"/>
    <n v="3"/>
    <s v="PC"/>
    <s v="CE"/>
    <s v="B"/>
    <n v="25"/>
    <m/>
    <m/>
    <m/>
    <m/>
    <m/>
    <m/>
    <m/>
    <m/>
    <m/>
    <m/>
    <m/>
    <n v="0"/>
    <d v="2017-04-29T00:00:00"/>
    <n v="1"/>
    <d v="2017-05-05T00:00:00"/>
    <n v="7"/>
    <x v="0"/>
    <n v="1"/>
    <s v="ELECTIVE"/>
    <s v="D"/>
    <m/>
    <m/>
    <m/>
    <s v="CASEN"/>
    <d v="2017-06-06T00:00:00"/>
    <d v="2017-05-11T00:00:00"/>
    <s v="Y"/>
    <s v="plaie jambe?"/>
    <d v="2017-09-11T00:00:00"/>
    <s v="Y"/>
    <s v="jbe ok comfeel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AMBROISE PARE"/>
    <s v="Aucun"/>
    <s v="Aucun"/>
    <s v="OUI"/>
  </r>
  <r>
    <x v="4"/>
    <s v="DE GRAEVE"/>
    <s v="490413MD01"/>
    <d v="1949-04-13T00:00:00"/>
    <n v="68.098630136986301"/>
    <s v=" "/>
    <s v="HEDESHI"/>
    <s v="CHR HAUTE SENNE"/>
    <s v="CHR HAUTE SENNE"/>
    <s v="FV"/>
    <s v="M"/>
    <d v="2017-05-02T00:00:00"/>
    <d v="2017-04-25T00:00:00"/>
    <s v="CABG"/>
    <x v="1"/>
    <x v="1"/>
    <n v="0"/>
    <n v="0"/>
    <n v="2"/>
    <s v="PC"/>
    <m/>
    <m/>
    <m/>
    <m/>
    <m/>
    <m/>
    <m/>
    <m/>
    <m/>
    <m/>
    <m/>
    <m/>
    <m/>
    <m/>
    <n v="0"/>
    <d v="2017-05-03T00:00:00"/>
    <n v="1"/>
    <d v="2017-05-08T00:00:00"/>
    <n v="6"/>
    <x v="0"/>
    <n v="1"/>
    <s v="ELECTIVE"/>
    <s v="D"/>
    <m/>
    <m/>
    <m/>
    <s v="DE GRAEVE"/>
    <d v="2017-06-06T00:00:00"/>
    <d v="2017-05-15T00:00:00"/>
    <s v="Y"/>
    <m/>
    <d v="2017-08-08T00:00:00"/>
    <s v="Y"/>
    <s v="pb neuro mémoire"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R HAUTE SENNE"/>
    <s v="Aucun"/>
    <s v="Aucun"/>
    <s v="OUI"/>
  </r>
  <r>
    <x v="4"/>
    <s v="HAESAERTS"/>
    <s v="480109MHAA"/>
    <d v="1948-01-09T00:00:00"/>
    <n v="69.358904109589048"/>
    <s v=" "/>
    <s v="HEDESHI"/>
    <s v="CHR HAUTE SENNE"/>
    <s v="CHR HAUTE SENNE"/>
    <s v="BE"/>
    <s v="M"/>
    <d v="2017-05-02T00:00:00"/>
    <d v="2017-05-02T00:00:00"/>
    <s v="CABG"/>
    <x v="1"/>
    <x v="1"/>
    <n v="0"/>
    <n v="0"/>
    <n v="1"/>
    <s v="OPCAB"/>
    <m/>
    <m/>
    <m/>
    <m/>
    <m/>
    <m/>
    <m/>
    <m/>
    <m/>
    <m/>
    <m/>
    <m/>
    <m/>
    <m/>
    <n v="0"/>
    <d v="2017-05-03T00:00:00"/>
    <n v="1"/>
    <d v="2017-05-10T00:00:00"/>
    <n v="8"/>
    <x v="0"/>
    <n v="2"/>
    <s v="URGENCY"/>
    <s v="D"/>
    <m/>
    <m/>
    <m/>
    <s v="HAESAERTS"/>
    <d v="2017-06-09T00:00:00"/>
    <d v="2017-05-22T00:00:00"/>
    <s v="Y"/>
    <s v="Message"/>
    <d v="2017-08-08T00:00:00"/>
    <s v="Y"/>
    <s v="Message"/>
    <n v="0"/>
    <n v="0"/>
    <n v="1"/>
    <x v="2"/>
    <s v="Aucune"/>
    <s v="Aucune"/>
    <s v="Aucune"/>
    <s v="NON"/>
    <s v="NON"/>
    <n v="8"/>
    <n v="8"/>
    <s v="Inconnu"/>
    <n v="1"/>
    <n v="1"/>
    <s v="Inconnu"/>
    <s v="Aucune"/>
    <n v="0"/>
    <s v="CHR HAUTE SENNE"/>
    <s v="Aucun"/>
    <s v="Aucun"/>
    <s v="OUI"/>
  </r>
  <r>
    <x v="4"/>
    <s v="PIMENTA"/>
    <s v="510929MP01"/>
    <d v="1951-09-29T00:00:00"/>
    <n v="65.638356164383566"/>
    <s v=" "/>
    <s v="LIPSKI"/>
    <s v="CHIREC EDITH CAVELL"/>
    <s v="CHIREC EDITH CAVELL"/>
    <s v="MLC"/>
    <s v="M"/>
    <d v="2017-05-03T00:00:00"/>
    <d v="2017-04-25T00:00:00"/>
    <s v="CABG"/>
    <x v="1"/>
    <x v="1"/>
    <n v="0"/>
    <n v="0"/>
    <n v="2"/>
    <s v="PC"/>
    <m/>
    <m/>
    <m/>
    <m/>
    <m/>
    <m/>
    <m/>
    <m/>
    <m/>
    <m/>
    <s v="1R/1Plaq"/>
    <n v="2"/>
    <m/>
    <m/>
    <n v="2"/>
    <d v="2017-05-05T00:00:00"/>
    <n v="2"/>
    <d v="2017-05-11T00:00:00"/>
    <n v="8"/>
    <x v="0"/>
    <n v="1"/>
    <s v="ELECTIVE"/>
    <s v="D"/>
    <m/>
    <m/>
    <m/>
    <s v="PIMENTA"/>
    <d v="2017-06-09T00:00:00"/>
    <d v="2017-05-22T00:00:00"/>
    <s v="Y"/>
    <m/>
    <d v="2017-08-30T00:00:00"/>
    <s v="Y"/>
    <m/>
    <n v="0"/>
    <n v="1"/>
    <n v="1"/>
    <x v="0"/>
    <s v="Aucune"/>
    <s v="Transfusion"/>
    <s v="Aucune"/>
    <s v="NON"/>
    <s v="NON"/>
    <n v="8"/>
    <n v="8"/>
    <s v="Inconnu"/>
    <n v="2"/>
    <n v="2"/>
    <s v="Inconnu"/>
    <s v="Transfusé"/>
    <n v="2"/>
    <s v="CHIREC"/>
    <s v="Aucun"/>
    <s v="Aucun"/>
    <s v="OUI"/>
  </r>
  <r>
    <x v="4"/>
    <s v="MEKBOUL"/>
    <s v="620301MM03"/>
    <d v="1962-03-01T00:00:00"/>
    <n v="55.210958904109589"/>
    <s v=" "/>
    <s v="CREPLET"/>
    <s v="CREPLET"/>
    <s v="CT"/>
    <s v="FV"/>
    <s v="M"/>
    <d v="2017-05-03T00:00:00"/>
    <d v="2017-05-02T00:00:00"/>
    <s v="? (CABG)"/>
    <x v="1"/>
    <x v="1"/>
    <n v="0"/>
    <n v="0"/>
    <m/>
    <m/>
    <m/>
    <m/>
    <m/>
    <m/>
    <m/>
    <m/>
    <m/>
    <m/>
    <m/>
    <m/>
    <m/>
    <m/>
    <s v="2R"/>
    <n v="2"/>
    <n v="2"/>
    <d v="2017-05-04T00:00:00"/>
    <n v="1"/>
    <d v="2017-05-11T00:00:00"/>
    <n v="8"/>
    <x v="0"/>
    <n v="2"/>
    <s v="URGENCY"/>
    <s v="D"/>
    <m/>
    <m/>
    <m/>
    <s v="MEKBOUL"/>
    <d v="2017-06-13T00:00:00"/>
    <d v="2017-05-22T00:00:00"/>
    <s v="Y"/>
    <m/>
    <d v="2017-08-30T00:00:00"/>
    <s v="Y"/>
    <m/>
    <n v="0"/>
    <n v="1"/>
    <n v="1"/>
    <x v="2"/>
    <s v="Aucune"/>
    <s v="Transfusion"/>
    <s v="Transfusé"/>
    <s v="NON"/>
    <s v="NON"/>
    <n v="8"/>
    <n v="8"/>
    <s v="Inconnu"/>
    <n v="1"/>
    <n v="1"/>
    <s v="Inconnu"/>
    <s v="Transfusé"/>
    <n v="2"/>
    <s v="CT"/>
    <s v="Aucun"/>
    <s v="Aucun"/>
    <s v="OUI"/>
  </r>
  <r>
    <x v="4"/>
    <s v="MICHALLE"/>
    <s v="460302MM04"/>
    <d v="1946-03-02T00:00:00"/>
    <n v="71.221917808219175"/>
    <s v=" "/>
    <s v="LOMMEL"/>
    <s v="ERASME CARDIO"/>
    <s v="ERASME CARDIO"/>
    <s v="FV"/>
    <s v="M"/>
    <d v="2017-05-04T00:00:00"/>
    <d v="2017-04-25T00:00:00"/>
    <s v="? (AVR)"/>
    <x v="2"/>
    <x v="2"/>
    <s v="AVR"/>
    <s v="AVR"/>
    <m/>
    <m/>
    <m/>
    <m/>
    <m/>
    <m/>
    <m/>
    <m/>
    <m/>
    <m/>
    <m/>
    <m/>
    <m/>
    <m/>
    <s v="2R"/>
    <n v="2"/>
    <n v="2"/>
    <d v="2017-05-05T00:00:00"/>
    <n v="1"/>
    <d v="2017-05-11T00:00:00"/>
    <n v="7"/>
    <x v="0"/>
    <n v="1"/>
    <s v="ELECTIVE"/>
    <s v="D"/>
    <m/>
    <m/>
    <m/>
    <s v="MICHALLE"/>
    <d v="2017-06-13T00:00:00"/>
    <d v="2017-05-22T00:00:00"/>
    <s v="Y"/>
    <m/>
    <d v="2017-08-29T00:00:00"/>
    <s v="Y"/>
    <s v="Message"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2"/>
    <s v="ERASME"/>
    <s v="Aucun"/>
    <s v="Aucun"/>
    <s v="OUI"/>
  </r>
  <r>
    <x v="4"/>
    <s v="OP DE BEECK"/>
    <s v="490530MOAA"/>
    <d v="1949-05-30T00:00:00"/>
    <n v="67.975342465753428"/>
    <s v=" "/>
    <s v="BRAD"/>
    <s v="BRAD"/>
    <s v="CT"/>
    <s v="FV"/>
    <s v="M"/>
    <d v="2017-05-04T00:00:00"/>
    <d v="2017-05-02T00:00:00"/>
    <s v="AVR"/>
    <x v="2"/>
    <x v="2"/>
    <s v="AVR"/>
    <s v="AVR"/>
    <m/>
    <m/>
    <m/>
    <s v="B"/>
    <s v="L"/>
    <m/>
    <m/>
    <m/>
    <m/>
    <m/>
    <m/>
    <m/>
    <m/>
    <m/>
    <m/>
    <m/>
    <n v="0"/>
    <d v="2017-05-05T00:00:00"/>
    <n v="1"/>
    <d v="2017-05-11T00:00:00"/>
    <n v="7"/>
    <x v="0"/>
    <n v="2"/>
    <s v="URGENCY"/>
    <s v="D"/>
    <m/>
    <m/>
    <m/>
    <s v="OP DE BEECK"/>
    <d v="2017-06-13T00:00:00"/>
    <d v="2017-05-22T00:00:00"/>
    <s v="Y"/>
    <m/>
    <d v="2017-08-30T00:00:00"/>
    <s v="Y"/>
    <m/>
    <n v="0"/>
    <n v="0"/>
    <n v="1"/>
    <x v="2"/>
    <s v="Aucune"/>
    <s v="Aucune"/>
    <s v="Aucune"/>
    <s v="NON"/>
    <s v="NON"/>
    <n v="7"/>
    <n v="7"/>
    <s v="Inconnu"/>
    <n v="1"/>
    <n v="1"/>
    <s v="Inconnu"/>
    <s v="Aucune"/>
    <e v="#REF!"/>
    <s v="CT"/>
    <s v="Aucun"/>
    <s v="Aucun"/>
    <s v="OUI"/>
  </r>
  <r>
    <x v="4"/>
    <s v="CHEVAL"/>
    <s v="520524FC01"/>
    <d v="1952-05-24T00:00:00"/>
    <n v="64.991780821917814"/>
    <s v=" "/>
    <s v="DESCAMPS"/>
    <s v="CHWAPI TOURNAI"/>
    <s v="CHWAPI TOURNAI"/>
    <s v="FV"/>
    <s v="F"/>
    <d v="2017-05-05T00:00:00"/>
    <m/>
    <s v="? (Osteosynthèse)"/>
    <x v="4"/>
    <x v="3"/>
    <n v="0"/>
    <n v="0"/>
    <m/>
    <m/>
    <m/>
    <m/>
    <m/>
    <m/>
    <m/>
    <m/>
    <m/>
    <m/>
    <m/>
    <m/>
    <s v="2R"/>
    <n v="2"/>
    <m/>
    <m/>
    <n v="2"/>
    <d v="2017-05-06T00:00:00"/>
    <n v="1"/>
    <d v="2017-05-08T00:00:00"/>
    <n v="3"/>
    <x v="0"/>
    <n v="1"/>
    <s v="ELECTIVE"/>
    <s v="D"/>
    <m/>
    <m/>
    <m/>
    <s v="CHEVAL"/>
    <d v="2017-06-06T00:00:00"/>
    <d v="2017-05-15T00:00:00"/>
    <s v="Y"/>
    <m/>
    <d v="2017-08-08T00:00:00"/>
    <s v="Y"/>
    <m/>
    <n v="0"/>
    <n v="1"/>
    <n v="1"/>
    <x v="0"/>
    <s v="Aucune"/>
    <s v="Transfusion"/>
    <s v="Aucune"/>
    <s v="NON"/>
    <s v="NON"/>
    <n v="3"/>
    <n v="3"/>
    <s v="Inconnu"/>
    <n v="1"/>
    <n v="1"/>
    <s v="Inconnu"/>
    <s v="Transfusé"/>
    <n v="0"/>
    <s v="CHWAPI TOURNAI"/>
    <s v="Aucun"/>
    <s v="Aucun"/>
    <s v="NON"/>
  </r>
  <r>
    <x v="4"/>
    <s v="WASTIAU"/>
    <s v="540819FW01"/>
    <d v="1954-08-19T00:00:00"/>
    <n v="62.753424657534246"/>
    <s v=" "/>
    <s v="KEFER"/>
    <s v="ST-LUC"/>
    <s v="ST-LUC"/>
    <s v="FV"/>
    <s v="F"/>
    <d v="2017-05-05T00:00:00"/>
    <m/>
    <s v="AVR + CABG"/>
    <x v="3"/>
    <x v="0"/>
    <s v="CABG + V"/>
    <n v="0"/>
    <n v="2"/>
    <s v="PC"/>
    <s v="Medtronic"/>
    <s v="M"/>
    <n v="21"/>
    <m/>
    <m/>
    <m/>
    <m/>
    <m/>
    <m/>
    <m/>
    <s v="2R"/>
    <n v="2"/>
    <m/>
    <m/>
    <n v="2"/>
    <d v="2017-05-07T00:00:00"/>
    <n v="2"/>
    <d v="2017-05-12T00:00:00"/>
    <n v="7"/>
    <x v="0"/>
    <n v="4"/>
    <s v="SALVAGE"/>
    <s v="D"/>
    <m/>
    <m/>
    <m/>
    <s v="WASTIAU"/>
    <d v="2017-06-13T00:00:00"/>
    <d v="2017-06-08T00:00:00"/>
    <s v="Y"/>
    <s v="INF PLAIE_ATB"/>
    <d v="2017-09-11T00:00:00"/>
    <s v="Y"/>
    <s v="pas attribué ?"/>
    <n v="0"/>
    <n v="1"/>
    <n v="1"/>
    <x v="3"/>
    <s v="Aucune"/>
    <s v="Transfusion"/>
    <s v="Aucune"/>
    <s v="NON"/>
    <s v="NON"/>
    <n v="7"/>
    <n v="7"/>
    <s v="Inconnu"/>
    <n v="2"/>
    <n v="2"/>
    <s v="Inconnu"/>
    <s v="Transfusé"/>
    <n v="2"/>
    <s v="ST-LUC"/>
    <s v="Aucun"/>
    <s v="Aucun"/>
    <s v="NON"/>
  </r>
  <r>
    <x v="4"/>
    <s v="AMATO"/>
    <s v="660108MA01"/>
    <d v="1966-01-08T00:00:00"/>
    <n v="51.364383561643834"/>
    <s v=" "/>
    <s v="HEDESHI"/>
    <s v="CHR HAUTE SENNE"/>
    <s v="CHR HAUTE SENNE"/>
    <s v="MLC"/>
    <s v="M"/>
    <d v="2017-05-08T00:00:00"/>
    <m/>
    <s v="CABG"/>
    <x v="1"/>
    <x v="1"/>
    <n v="0"/>
    <n v="0"/>
    <n v="3"/>
    <s v="PC"/>
    <m/>
    <m/>
    <m/>
    <m/>
    <m/>
    <m/>
    <m/>
    <m/>
    <m/>
    <m/>
    <s v="1R/1Plaq"/>
    <n v="2"/>
    <s v="1R"/>
    <n v="1"/>
    <n v="3"/>
    <d v="2017-05-09T00:00:00"/>
    <n v="1"/>
    <d v="2017-05-15T00:00:00"/>
    <n v="7"/>
    <x v="0"/>
    <n v="1"/>
    <s v="ELECTIVE"/>
    <s v="D"/>
    <m/>
    <m/>
    <m/>
    <s v="AMATO"/>
    <d v="2017-06-15T00:00:00"/>
    <d v="2017-05-22T00:00:00"/>
    <s v="Y"/>
    <m/>
    <d v="2017-08-02T00:00:00"/>
    <s v="Y"/>
    <m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3"/>
    <s v="CHR HAUTE SENNE"/>
    <s v="Aucun"/>
    <s v="Aucun"/>
    <s v="NON"/>
  </r>
  <r>
    <x v="4"/>
    <s v="LETE"/>
    <s v="420630ML02 "/>
    <d v="1942-06-30T00:00:00"/>
    <n v="74.912328767123284"/>
    <s v=" "/>
    <s v="MENASSEL"/>
    <s v="MENASSEL"/>
    <s v="CT"/>
    <s v="FV"/>
    <s v="M"/>
    <d v="2017-05-10T00:00:00"/>
    <d v="2017-05-02T00:00:00"/>
    <s v="AVR"/>
    <x v="2"/>
    <x v="2"/>
    <s v="AVR"/>
    <s v="AVR"/>
    <m/>
    <m/>
    <s v="CE"/>
    <s v="B"/>
    <n v="23"/>
    <m/>
    <m/>
    <m/>
    <m/>
    <m/>
    <m/>
    <m/>
    <m/>
    <m/>
    <m/>
    <m/>
    <n v="0"/>
    <d v="2017-05-11T00:00:00"/>
    <n v="1"/>
    <d v="2017-05-16T00:00:00"/>
    <n v="6"/>
    <x v="0"/>
    <n v="1"/>
    <s v="ELECTIVE"/>
    <s v="D"/>
    <m/>
    <m/>
    <m/>
    <s v="LETE"/>
    <d v="2017-06-20T00:00:00"/>
    <d v="2017-06-02T00:00:00"/>
    <s v="Y"/>
    <m/>
    <d v="2017-08-29T00:00:00"/>
    <s v="Y"/>
    <s v="Message"/>
    <n v="0"/>
    <n v="0"/>
    <n v="1"/>
    <x v="0"/>
    <s v="Aucune"/>
    <s v="Aucune"/>
    <s v="Aucune"/>
    <s v="NON"/>
    <s v="NON"/>
    <n v="14"/>
    <n v="14"/>
    <s v="Inconnu"/>
    <n v="9"/>
    <n v="9"/>
    <s v="Inconnu"/>
    <s v="Aucune"/>
    <n v="0"/>
    <s v="CT"/>
    <s v="Aucun"/>
    <s v="Aucun"/>
    <s v="OUI"/>
  </r>
  <r>
    <x v="4"/>
    <s v="PATERNOSTER"/>
    <s v="550203FP04"/>
    <d v="1955-02-03T00:00:00"/>
    <n v="62.30684931506849"/>
    <s v=" "/>
    <s v="HEDESHI"/>
    <s v="CHR HAUTE SENNE"/>
    <s v="CHR HAUTE SENNE"/>
    <s v="BE"/>
    <s v="F"/>
    <d v="2017-05-10T00:00:00"/>
    <d v="2017-05-09T00:00:00"/>
    <s v="CABG"/>
    <x v="1"/>
    <x v="1"/>
    <n v="0"/>
    <n v="0"/>
    <n v="4"/>
    <s v="PC"/>
    <m/>
    <m/>
    <m/>
    <m/>
    <m/>
    <m/>
    <m/>
    <m/>
    <m/>
    <m/>
    <s v="4R"/>
    <n v="4"/>
    <m/>
    <m/>
    <n v="4"/>
    <d v="2017-05-12T00:00:00"/>
    <n v="2"/>
    <d v="2017-05-17T00:00:00"/>
    <n v="7"/>
    <x v="0"/>
    <n v="1"/>
    <s v="ELECTIVE"/>
    <s v="D"/>
    <m/>
    <m/>
    <m/>
    <s v="PATERNOSTER"/>
    <d v="2017-06-09T00:00:00"/>
    <d v="2017-06-02T00:00:00"/>
    <s v="Y"/>
    <m/>
    <d v="2017-06-09T00:00:00"/>
    <s v="Y"/>
    <s v="RDV annulé par patiente,,,"/>
    <n v="0"/>
    <n v="1"/>
    <n v="1"/>
    <x v="0"/>
    <s v="Aucune"/>
    <s v="Transfusion"/>
    <s v="Aucune"/>
    <s v="NON"/>
    <s v="NON"/>
    <n v="7"/>
    <n v="7"/>
    <s v="Inconnu"/>
    <n v="2"/>
    <n v="2"/>
    <s v="Inconnu"/>
    <s v="Transfusé"/>
    <n v="4"/>
    <s v="CHR HAUTE SENNE"/>
    <s v="Aucun"/>
    <s v="Aucun"/>
    <s v="OUI"/>
  </r>
  <r>
    <x v="4"/>
    <s v="VAN DEN BOSCH"/>
    <s v="500222MV03 "/>
    <d v="1950-02-22T00:00:00"/>
    <n v="67.260273972602747"/>
    <s v=" "/>
    <s v="LENAERS"/>
    <s v="ERASME CARDIO"/>
    <s v="ERASME CARDIO"/>
    <s v="FV"/>
    <s v="M"/>
    <d v="2017-05-11T00:00:00"/>
    <d v="2017-03-28T00:00:00"/>
    <s v="? (BENTALL)"/>
    <x v="7"/>
    <x v="3"/>
    <n v="0"/>
    <s v="Aorte"/>
    <m/>
    <m/>
    <m/>
    <m/>
    <m/>
    <m/>
    <m/>
    <m/>
    <m/>
    <m/>
    <m/>
    <n v="1"/>
    <s v="1R/4Plas/1Plaq"/>
    <n v="6"/>
    <s v="1R"/>
    <n v="1"/>
    <n v="7"/>
    <d v="2017-05-22T00:00:00"/>
    <n v="11"/>
    <d v="2017-05-24T00:00:00"/>
    <n v="13"/>
    <x v="0"/>
    <n v="1"/>
    <s v="ELECTIVE"/>
    <s v="Rhumato"/>
    <m/>
    <m/>
    <m/>
    <s v="VAN DEN BOSCH"/>
    <s v="/"/>
    <d v="2017-07-12T00:00:00"/>
    <s v="Y"/>
    <m/>
    <d v="2017-09-20T00:00:00"/>
    <s v="Y"/>
    <m/>
    <n v="1"/>
    <n v="1"/>
    <n v="1"/>
    <x v="0"/>
    <s v="Infection"/>
    <s v="Transfusion"/>
    <s v="Transfusé"/>
    <s v="NON"/>
    <s v="NON"/>
    <n v="13"/>
    <n v="13"/>
    <s v="Inconnu"/>
    <n v="11"/>
    <n v="11"/>
    <s v="Inconnu"/>
    <s v="Transfusé"/>
    <n v="7"/>
    <s v="ERASME"/>
    <s v="Aucun"/>
    <s v="Aucun"/>
    <s v="OUI"/>
  </r>
  <r>
    <x v="4"/>
    <s v="DE CONINCK"/>
    <s v="440704FD01"/>
    <d v="1944-07-04T00:00:00"/>
    <n v="72.904109589041099"/>
    <s v=" "/>
    <s v="HEDESHI"/>
    <s v="CHR HAUTE SENNE"/>
    <s v="CHR HAUTE SENNE"/>
    <s v="BE"/>
    <s v="F"/>
    <d v="2017-05-12T00:00:00"/>
    <d v="2017-04-25T00:00:00"/>
    <s v="CABG"/>
    <x v="1"/>
    <x v="1"/>
    <n v="0"/>
    <n v="0"/>
    <n v="2"/>
    <s v="OPCAB"/>
    <m/>
    <m/>
    <m/>
    <m/>
    <m/>
    <m/>
    <m/>
    <m/>
    <m/>
    <m/>
    <s v="1R"/>
    <n v="1"/>
    <m/>
    <m/>
    <n v="1"/>
    <d v="2017-05-13T00:00:00"/>
    <n v="1"/>
    <d v="2017-05-19T00:00:00"/>
    <n v="7"/>
    <x v="0"/>
    <n v="1"/>
    <s v="ELECTIVE"/>
    <s v="D"/>
    <m/>
    <m/>
    <m/>
    <s v="DE CONINCK"/>
    <d v="2017-06-23T00:00:00"/>
    <d v="2017-06-02T00:00:00"/>
    <s v="Y"/>
    <m/>
    <d v="2017-08-30T00:00:00"/>
    <s v="Y"/>
    <s v="Message sœur"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1"/>
    <s v="CHR HAUTE SENNE"/>
    <s v="Aucun"/>
    <s v="Aucun"/>
    <s v="OUI"/>
  </r>
  <r>
    <x v="4"/>
    <s v="ANANE"/>
    <s v="380701MA30"/>
    <d v="1938-07-01T00:00:00"/>
    <n v="78.92602739726027"/>
    <s v=" "/>
    <s v="GASSAVELIS"/>
    <s v="GASSAVELIS"/>
    <s v="CT"/>
    <s v="MLC"/>
    <s v="M"/>
    <d v="2017-05-15T00:00:00"/>
    <m/>
    <s v="CABG"/>
    <x v="1"/>
    <x v="1"/>
    <n v="0"/>
    <n v="0"/>
    <n v="2"/>
    <s v="PC"/>
    <m/>
    <m/>
    <m/>
    <m/>
    <m/>
    <m/>
    <m/>
    <m/>
    <m/>
    <n v="1"/>
    <s v="2R/1Plaq"/>
    <n v="3"/>
    <m/>
    <m/>
    <n v="3"/>
    <d v="2017-05-16T00:00:00"/>
    <n v="1"/>
    <d v="2017-05-24T00:00:00"/>
    <n v="9"/>
    <x v="0"/>
    <n v="1"/>
    <s v="ELECTIVE"/>
    <s v="R"/>
    <m/>
    <m/>
    <m/>
    <s v="ANANE"/>
    <d v="2017-06-22T00:00:00"/>
    <d v="2017-06-02T00:00:00"/>
    <s v="Y"/>
    <s v="message"/>
    <d v="2017-08-29T00:00:00"/>
    <s v="Y"/>
    <m/>
    <n v="1"/>
    <n v="1"/>
    <n v="1"/>
    <x v="0"/>
    <s v="Infection"/>
    <s v="Transfusion"/>
    <s v="Aucune"/>
    <s v="NON"/>
    <s v="NON"/>
    <n v="9"/>
    <n v="9"/>
    <s v="Inconnu"/>
    <n v="1"/>
    <n v="1"/>
    <s v="Inconnu"/>
    <s v="Transfusé"/>
    <n v="3"/>
    <s v="CT"/>
    <s v="Aucun"/>
    <s v="Aucun"/>
    <s v="NON"/>
  </r>
  <r>
    <x v="4"/>
    <s v="PREVOT"/>
    <s v="660703FP01"/>
    <d v="1966-07-03T00:00:00"/>
    <n v="50.904109589041099"/>
    <s v=" "/>
    <s v="RENARD"/>
    <s v="ERASME CARDIO"/>
    <s v="ERASME CARDIO"/>
    <s v="FV"/>
    <s v="F"/>
    <d v="2017-05-16T00:00:00"/>
    <d v="2017-05-16T00:00:00"/>
    <s v="MVP"/>
    <x v="5"/>
    <x v="4"/>
    <s v="MVP"/>
    <s v="MVP"/>
    <m/>
    <m/>
    <s v="Memo 3D"/>
    <m/>
    <n v="37"/>
    <m/>
    <m/>
    <m/>
    <m/>
    <m/>
    <m/>
    <m/>
    <s v="3Plas"/>
    <n v="3"/>
    <s v="1R"/>
    <n v="1"/>
    <n v="4"/>
    <d v="2017-05-17T00:00:00"/>
    <n v="1"/>
    <d v="2017-05-23T00:00:00"/>
    <n v="7"/>
    <x v="0"/>
    <n v="1"/>
    <s v="ELECTIVE"/>
    <s v="D"/>
    <m/>
    <m/>
    <m/>
    <s v="PREVOT"/>
    <d v="2017-06-20T00:00:00"/>
    <d v="2017-06-02T00:00:00"/>
    <s v="Y"/>
    <m/>
    <d v="2017-09-11T00:00:00"/>
    <s v="Y"/>
    <m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4"/>
    <s v="ERASME"/>
    <s v="Aucun"/>
    <s v="Aucun"/>
    <s v="OUI"/>
  </r>
  <r>
    <x v="4"/>
    <s v="JEHIN"/>
    <s v="510218FJ01"/>
    <d v="1951-02-18T00:00:00"/>
    <n v="66.284931506849318"/>
    <s v=" "/>
    <s v="URGENCES"/>
    <s v="ERASME URGENCES"/>
    <s v="ERASME URGENCES"/>
    <s v="BE"/>
    <s v="F"/>
    <d v="2017-05-16T00:00:00"/>
    <m/>
    <s v="CABG + CDA"/>
    <x v="4"/>
    <x v="3"/>
    <n v="0"/>
    <n v="0"/>
    <n v="2"/>
    <s v="PC"/>
    <s v="Valsalva"/>
    <m/>
    <n v="26"/>
    <m/>
    <m/>
    <m/>
    <n v="1"/>
    <m/>
    <m/>
    <m/>
    <m/>
    <m/>
    <m/>
    <m/>
    <n v="0"/>
    <d v="2017-05-16T00:00:00"/>
    <n v="0"/>
    <d v="2017-05-17T00:00:00"/>
    <n v="1"/>
    <x v="1"/>
    <n v="1"/>
    <s v="ELECTIVE"/>
    <s v="/"/>
    <m/>
    <m/>
    <m/>
    <s v="JEHIN"/>
    <s v="/"/>
    <d v="2017-05-16T00:00:00"/>
    <s v="N"/>
    <s v="DCD"/>
    <s v="/"/>
    <s v="N"/>
    <s v="DCD"/>
    <n v="0"/>
    <n v="0"/>
    <n v="1"/>
    <x v="0"/>
    <s v="Aucune"/>
    <s v="Aucune"/>
    <s v="Aucune"/>
    <s v="NON"/>
    <s v="NON"/>
    <n v="1"/>
    <n v="1"/>
    <s v="Inconnu"/>
    <s v="Inconnu"/>
    <s v="Inconnu"/>
    <s v="Inconnu"/>
    <s v="Aucune"/>
    <n v="0"/>
    <s v="ERASME"/>
    <s v="Aucun"/>
    <s v="Aucun"/>
    <s v="NON"/>
  </r>
  <r>
    <x v="4"/>
    <s v="EMBRECHTS"/>
    <s v="380323ME01"/>
    <d v="1938-03-23T00:00:00"/>
    <n v="79.205479452054789"/>
    <s v=" "/>
    <s v="HEDESHI"/>
    <s v="CHR HAUTE SENNE"/>
    <s v="CHR HAUTE SENNE"/>
    <s v="FV"/>
    <s v="M"/>
    <d v="2017-05-17T00:00:00"/>
    <d v="2017-05-16T00:00:00"/>
    <s v="? (AVR + CABG)"/>
    <x v="3"/>
    <x v="0"/>
    <s v="CABG + V"/>
    <n v="0"/>
    <m/>
    <m/>
    <m/>
    <m/>
    <m/>
    <m/>
    <m/>
    <m/>
    <m/>
    <m/>
    <m/>
    <m/>
    <m/>
    <m/>
    <s v="2R"/>
    <n v="2"/>
    <n v="2"/>
    <d v="2017-05-18T00:00:00"/>
    <n v="1"/>
    <d v="2017-05-23T00:00:00"/>
    <n v="6"/>
    <x v="0"/>
    <n v="1"/>
    <s v="ELECTIVE"/>
    <s v="D"/>
    <m/>
    <m/>
    <m/>
    <s v="EMBRECHT"/>
    <d v="2017-06-20T00:00:00"/>
    <d v="2017-06-02T00:00:00"/>
    <s v="Y"/>
    <m/>
    <d v="2017-08-29T00:00:00"/>
    <s v="Y"/>
    <m/>
    <n v="0"/>
    <n v="1"/>
    <n v="1"/>
    <x v="0"/>
    <s v="Aucune"/>
    <s v="Transfusion"/>
    <s v="Transfusé"/>
    <s v="NON"/>
    <s v="NON"/>
    <n v="6"/>
    <n v="6"/>
    <s v="Inconnu"/>
    <n v="1"/>
    <n v="1"/>
    <s v="Inconnu"/>
    <s v="Transfusé"/>
    <n v="2"/>
    <s v="CHR HAUTE SENNE"/>
    <s v="Aucun"/>
    <s v="Aucun"/>
    <s v="OUI"/>
  </r>
  <r>
    <x v="4"/>
    <s v="CARLIER"/>
    <s v="470630MC01"/>
    <d v="1947-06-30T00:00:00"/>
    <n v="69.92876712328767"/>
    <s v=" "/>
    <s v="HEDESHI"/>
    <s v="CHR HAUTE SENNE"/>
    <s v="CHR HAUTE SENNE"/>
    <s v="MA"/>
    <s v="M"/>
    <d v="2017-05-17T00:00:00"/>
    <d v="2017-05-16T00:00:00"/>
    <s v="CABG"/>
    <x v="1"/>
    <x v="1"/>
    <n v="0"/>
    <n v="0"/>
    <n v="2"/>
    <s v="PC"/>
    <m/>
    <m/>
    <m/>
    <m/>
    <m/>
    <m/>
    <m/>
    <m/>
    <m/>
    <m/>
    <s v="3R"/>
    <n v="3"/>
    <m/>
    <m/>
    <n v="3"/>
    <d v="2017-05-23T00:00:00"/>
    <n v="6"/>
    <d v="2017-05-30T00:00:00"/>
    <n v="13"/>
    <x v="0"/>
    <n v="2"/>
    <s v="URGENCY"/>
    <s v="D"/>
    <m/>
    <m/>
    <m/>
    <s v="CARLIER"/>
    <d v="2017-07-05T00:00:00"/>
    <d v="2017-09-09T00:00:00"/>
    <s v="Y"/>
    <s v="Message"/>
    <d v="2017-09-11T00:00:00"/>
    <s v="Y"/>
    <s v="Gsm incorrect"/>
    <n v="0"/>
    <n v="1"/>
    <n v="1"/>
    <x v="2"/>
    <s v="Aucune"/>
    <s v="Transfusion"/>
    <s v="Aucune"/>
    <s v="NON"/>
    <s v="NON"/>
    <n v="13"/>
    <n v="13"/>
    <s v="Inconnu"/>
    <n v="6"/>
    <n v="6"/>
    <s v="Inconnu"/>
    <s v="Transfusé"/>
    <n v="3"/>
    <s v="CHR HAUTE SENNE"/>
    <s v="Aucun"/>
    <s v="Aucun"/>
    <s v="OUI"/>
  </r>
  <r>
    <x v="4"/>
    <s v="DE GIETER"/>
    <s v="390425MD01 "/>
    <d v="1939-04-25T00:00:00"/>
    <n v="78.117808219178087"/>
    <s v=" "/>
    <s v="USI"/>
    <s v="ERASME USI"/>
    <s v="ERASME USI"/>
    <s v="FV"/>
    <s v="M"/>
    <d v="2017-05-18T00:00:00"/>
    <d v="2017-05-16T00:00:00"/>
    <s v="? (AVR + CABG)"/>
    <x v="3"/>
    <x v="0"/>
    <s v="CABG + V"/>
    <n v="0"/>
    <m/>
    <m/>
    <m/>
    <m/>
    <m/>
    <d v="2017-05-18T00:00:00"/>
    <n v="1"/>
    <m/>
    <m/>
    <m/>
    <m/>
    <n v="1"/>
    <s v="5R/1Plaq/3Plas"/>
    <n v="9"/>
    <s v="5R/2Plas"/>
    <n v="7"/>
    <n v="16"/>
    <d v="2017-05-23T00:00:00"/>
    <n v="5"/>
    <d v="2017-06-23T00:00:00"/>
    <n v="36"/>
    <x v="0"/>
    <n v="2"/>
    <s v="URGENCY"/>
    <s v="Halle"/>
    <m/>
    <m/>
    <m/>
    <s v="DE GIETER"/>
    <s v="/"/>
    <d v="2017-07-11T00:00:00"/>
    <s v="Y"/>
    <s v="Message"/>
    <d v="2017-09-27T00:00:00"/>
    <s v="Y"/>
    <s v="pas de téléphone"/>
    <n v="1"/>
    <n v="1"/>
    <n v="1"/>
    <x v="2"/>
    <s v="Infection"/>
    <s v="Transfusion"/>
    <s v="Transfusé"/>
    <s v="OUI"/>
    <s v="NON"/>
    <n v="36"/>
    <n v="36"/>
    <s v="Inconnu"/>
    <n v="5"/>
    <n v="5"/>
    <s v="Inconnu"/>
    <s v="Transfusé"/>
    <n v="16"/>
    <s v="ERASME"/>
    <s v="Aucun"/>
    <s v="Aucun"/>
    <s v="OUI"/>
  </r>
  <r>
    <x v="4"/>
    <s v="LUPPENS"/>
    <s v="550626MLAA"/>
    <d v="1955-06-26T00:00:00"/>
    <n v="61.936986301369863"/>
    <s v=" "/>
    <s v="DEDOBBELEER"/>
    <s v="CHIREC BRAINE"/>
    <s v="CHIREC BRAINE"/>
    <s v="BE"/>
    <s v="M"/>
    <d v="2017-05-18T00:00:00"/>
    <d v="2017-05-09T00:00:00"/>
    <s v="AVR"/>
    <x v="2"/>
    <x v="2"/>
    <s v="AVR"/>
    <s v="AVR"/>
    <m/>
    <m/>
    <s v="CE"/>
    <s v="B"/>
    <n v="25"/>
    <m/>
    <m/>
    <m/>
    <m/>
    <m/>
    <m/>
    <m/>
    <m/>
    <m/>
    <m/>
    <m/>
    <n v="0"/>
    <d v="2017-05-19T00:00:00"/>
    <n v="1"/>
    <d v="2017-05-26T00:00:00"/>
    <n v="8"/>
    <x v="0"/>
    <n v="1"/>
    <s v="ELECTIVE"/>
    <s v="Braine"/>
    <m/>
    <m/>
    <m/>
    <s v="LUPPENS"/>
    <d v="2017-06-30T00:00:00"/>
    <d v="2017-06-02T00:00:00"/>
    <s v="Y"/>
    <m/>
    <d v="2017-08-29T00:00:00"/>
    <s v="Y"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CHIREC"/>
    <s v="Aucun"/>
    <s v="Aucun"/>
    <s v="OUI"/>
  </r>
  <r>
    <x v="4"/>
    <s v="CORNET"/>
    <s v="360115MC04"/>
    <d v="1936-01-15T00:00:00"/>
    <n v="81.397260273972606"/>
    <s v="1"/>
    <s v="VANDERAUWERA"/>
    <s v="CHIREC BRAINE"/>
    <s v="CHIREC BRAINE"/>
    <s v="FV"/>
    <s v="M"/>
    <d v="2017-05-19T00:00:00"/>
    <d v="2017-05-09T00:00:00"/>
    <s v="? (CABG)"/>
    <x v="1"/>
    <x v="1"/>
    <n v="0"/>
    <n v="0"/>
    <m/>
    <m/>
    <m/>
    <m/>
    <m/>
    <m/>
    <m/>
    <m/>
    <m/>
    <n v="1"/>
    <m/>
    <n v="1"/>
    <s v="4R/1Plaq"/>
    <n v="5"/>
    <m/>
    <m/>
    <n v="5"/>
    <d v="2017-05-23T00:00:00"/>
    <n v="4"/>
    <d v="2017-06-25T00:00:00"/>
    <n v="37"/>
    <x v="0"/>
    <n v="1"/>
    <s v="ELECTIVE"/>
    <s v="D"/>
    <d v="2017-06-27T00:00:00"/>
    <n v="1"/>
    <s v="NC"/>
    <s v="CORNET"/>
    <d v="2017-07-25T00:00:00"/>
    <d v="2017-07-14T00:00:00"/>
    <s v="Y"/>
    <s v="Diarrhée"/>
    <d v="2017-09-26T00:00:00"/>
    <s v="Y"/>
    <m/>
    <n v="1"/>
    <n v="1"/>
    <n v="1"/>
    <x v="0"/>
    <s v="Infection"/>
    <s v="Transfusion"/>
    <s v="Aucune"/>
    <s v="NON"/>
    <s v="OUI"/>
    <n v="37"/>
    <n v="37"/>
    <s v="Inconnu"/>
    <n v="4"/>
    <n v="4"/>
    <s v="Inconnu"/>
    <s v="Transfusé"/>
    <n v="5"/>
    <s v="CHIREC"/>
    <s v="AVC"/>
    <s v="Aucun"/>
    <s v="OUI"/>
  </r>
  <r>
    <x v="4"/>
    <s v="THOMSON"/>
    <s v="490623MT01"/>
    <d v="1949-06-23T00:00:00"/>
    <n v="67.958904109589042"/>
    <s v=" "/>
    <s v="BONDUE"/>
    <s v="ERASME CARDIO"/>
    <s v="ERASME CARDIO"/>
    <s v="FV"/>
    <s v="M"/>
    <d v="2017-05-22T00:00:00"/>
    <m/>
    <s v="CDA"/>
    <x v="4"/>
    <x v="3"/>
    <n v="0"/>
    <n v="0"/>
    <m/>
    <m/>
    <m/>
    <m/>
    <m/>
    <m/>
    <m/>
    <m/>
    <m/>
    <m/>
    <m/>
    <m/>
    <s v="3R/1Plaq"/>
    <n v="4"/>
    <m/>
    <m/>
    <n v="4"/>
    <d v="2017-05-23T00:00:00"/>
    <n v="1"/>
    <d v="2017-05-28T00:00:00"/>
    <n v="6"/>
    <x v="0"/>
    <n v="1"/>
    <s v="ELECTIVE"/>
    <s v="D"/>
    <m/>
    <m/>
    <m/>
    <s v="THOMSON"/>
    <d v="2017-06-27T00:00:00"/>
    <d v="2017-06-08T00:00:00"/>
    <s v="Y"/>
    <m/>
    <d v="2017-09-11T00:00:00"/>
    <s v="Y"/>
    <m/>
    <n v="0"/>
    <n v="1"/>
    <n v="1"/>
    <x v="0"/>
    <s v="Aucune"/>
    <s v="Transfusion"/>
    <s v="Aucune"/>
    <s v="NON"/>
    <s v="NON"/>
    <n v="6"/>
    <n v="6"/>
    <s v="Inconnu"/>
    <n v="1"/>
    <n v="1"/>
    <s v="Inconnu"/>
    <s v="Transfusé"/>
    <n v="4"/>
    <s v="ERASME"/>
    <s v="Aucun"/>
    <s v="Aucun"/>
    <s v="NON"/>
  </r>
  <r>
    <x v="4"/>
    <s v="VANDERKELEN"/>
    <s v="441116MV01"/>
    <d v="1944-11-16T00:00:00"/>
    <n v="72.564383561643837"/>
    <s v=" "/>
    <s v="URGENCES"/>
    <s v="ST-PIERRE"/>
    <s v="ST-PIERRE"/>
    <s v="FV"/>
    <s v="M"/>
    <d v="2017-05-23T00:00:00"/>
    <m/>
    <s v="? (CABG)"/>
    <x v="1"/>
    <x v="1"/>
    <n v="0"/>
    <n v="0"/>
    <m/>
    <m/>
    <m/>
    <m/>
    <m/>
    <m/>
    <m/>
    <m/>
    <m/>
    <m/>
    <m/>
    <m/>
    <s v="2R"/>
    <n v="2"/>
    <m/>
    <m/>
    <n v="2"/>
    <d v="2017-05-24T00:00:00"/>
    <n v="1"/>
    <d v="2017-05-30T00:00:00"/>
    <n v="7"/>
    <x v="0"/>
    <n v="2"/>
    <s v="URGENCY"/>
    <s v="D"/>
    <m/>
    <m/>
    <m/>
    <s v="VANDERKELEN"/>
    <d v="2017-06-30T00:00:00"/>
    <d v="2017-06-08T00:00:00"/>
    <s v="Y"/>
    <m/>
    <d v="2017-09-11T00:00:00"/>
    <s v="Y"/>
    <m/>
    <n v="0"/>
    <n v="1"/>
    <n v="1"/>
    <x v="2"/>
    <s v="Aucune"/>
    <s v="Transfusion"/>
    <s v="Aucune"/>
    <s v="NON"/>
    <s v="NON"/>
    <n v="7"/>
    <n v="7"/>
    <s v="Inconnu"/>
    <n v="1"/>
    <n v="1"/>
    <s v="Inconnu"/>
    <s v="Transfusé"/>
    <n v="2"/>
    <s v="ST PIERRE"/>
    <s v="Aucun"/>
    <s v="Aucun"/>
    <s v="NON"/>
  </r>
  <r>
    <x v="4"/>
    <s v="RONDENBOSCH"/>
    <s v="410404FRAA"/>
    <d v="1941-04-04T00:00:00"/>
    <n v="76.186301369863017"/>
    <s v=" "/>
    <s v="URGENCES"/>
    <s v="ERASME URGENCES"/>
    <s v="ERASME URGENCES"/>
    <s v="BE"/>
    <s v="F"/>
    <d v="2017-05-23T00:00:00"/>
    <m/>
    <s v="CABG"/>
    <x v="1"/>
    <x v="1"/>
    <n v="0"/>
    <n v="0"/>
    <n v="2"/>
    <s v="OPCAB"/>
    <m/>
    <m/>
    <m/>
    <m/>
    <m/>
    <m/>
    <m/>
    <m/>
    <m/>
    <m/>
    <m/>
    <m/>
    <m/>
    <m/>
    <n v="0"/>
    <d v="2017-05-24T00:00:00"/>
    <n v="1"/>
    <d v="2017-06-06T00:00:00"/>
    <n v="14"/>
    <x v="0"/>
    <n v="2"/>
    <s v="URGENCY"/>
    <s v="D"/>
    <m/>
    <m/>
    <m/>
    <s v="RONDENBOSCH"/>
    <d v="2017-07-04T00:00:00"/>
    <d v="2017-06-16T00:00:00"/>
    <s v="Y"/>
    <s v="pas de messagerie"/>
    <d v="2017-09-11T00:00:00"/>
    <s v="Y"/>
    <s v="pas de messagerie"/>
    <n v="0"/>
    <n v="0"/>
    <n v="1"/>
    <x v="2"/>
    <s v="Aucune"/>
    <s v="Aucune"/>
    <s v="Aucune"/>
    <s v="NON"/>
    <s v="NON"/>
    <n v="14"/>
    <n v="14"/>
    <s v="Inconnu"/>
    <n v="1"/>
    <n v="1"/>
    <s v="Inconnu"/>
    <s v="Aucune"/>
    <n v="0"/>
    <s v="ERASME"/>
    <s v="Aucun"/>
    <s v="Aucun"/>
    <s v="NON"/>
  </r>
  <r>
    <x v="4"/>
    <s v="VAN NIEUWENHUYZE"/>
    <s v="420309MV03"/>
    <d v="1942-03-09T00:00:00"/>
    <n v="75.260273972602747"/>
    <s v=" "/>
    <s v="HEDESHI"/>
    <s v="CHR HAUTE SENNE"/>
    <s v="CHR HAUTE SENNE"/>
    <s v="MLC"/>
    <s v="M"/>
    <d v="2017-05-24T00:00:00"/>
    <d v="2017-05-16T00:00:00"/>
    <s v="CABG"/>
    <x v="1"/>
    <x v="1"/>
    <n v="0"/>
    <n v="0"/>
    <n v="3"/>
    <s v="PC"/>
    <m/>
    <m/>
    <m/>
    <m/>
    <m/>
    <m/>
    <m/>
    <m/>
    <m/>
    <n v="1"/>
    <m/>
    <m/>
    <m/>
    <m/>
    <n v="0"/>
    <d v="2017-05-25T00:00:00"/>
    <n v="1"/>
    <d v="2017-05-31T00:00:00"/>
    <n v="7"/>
    <x v="0"/>
    <n v="1"/>
    <s v="ELECTIVE"/>
    <s v="D"/>
    <m/>
    <m/>
    <m/>
    <s v="VAN NIEUWENHUYZE"/>
    <d v="2017-06-29T00:00:00"/>
    <d v="2017-06-08T00:00:00"/>
    <s v="Y"/>
    <m/>
    <d v="2017-08-29T00:00:00"/>
    <s v="Y"/>
    <m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CHR HAUTE SENNE"/>
    <s v="Aucun"/>
    <s v="Aucun"/>
    <s v="OUI"/>
  </r>
  <r>
    <x v="4"/>
    <s v="BALDI"/>
    <s v="441012MB01"/>
    <d v="1944-10-12T00:00:00"/>
    <n v="72.668493150684938"/>
    <s v=" "/>
    <s v="URGENCES"/>
    <s v="ERASME URGENCES"/>
    <s v="ERASME URGENCES"/>
    <s v="BE"/>
    <s v="M"/>
    <d v="2017-05-26T00:00:00"/>
    <d v="2017-05-23T00:00:00"/>
    <s v="CABG"/>
    <x v="1"/>
    <x v="1"/>
    <n v="0"/>
    <n v="0"/>
    <n v="3"/>
    <s v="PC"/>
    <m/>
    <m/>
    <m/>
    <m/>
    <m/>
    <m/>
    <m/>
    <m/>
    <m/>
    <m/>
    <s v="3R"/>
    <n v="3"/>
    <m/>
    <m/>
    <n v="3"/>
    <d v="2017-05-29T00:00:00"/>
    <n v="3"/>
    <d v="2017-06-08T00:00:00"/>
    <n v="13"/>
    <x v="0"/>
    <n v="2"/>
    <s v="URGENCY"/>
    <s v="D"/>
    <m/>
    <m/>
    <m/>
    <s v="BALDI"/>
    <d v="2017-07-07T00:00:00"/>
    <d v="2017-06-16T00:00:00"/>
    <s v="Y"/>
    <s v="dyalisé"/>
    <d v="2017-09-11T00:00:00"/>
    <s v="Y"/>
    <m/>
    <n v="0"/>
    <n v="1"/>
    <n v="1"/>
    <x v="2"/>
    <s v="Aucune"/>
    <s v="Transfusion"/>
    <s v="Aucune"/>
    <s v="NON"/>
    <s v="NON"/>
    <n v="13"/>
    <n v="13"/>
    <s v="Inconnu"/>
    <n v="3"/>
    <n v="3"/>
    <s v="Inconnu"/>
    <s v="Transfusé"/>
    <n v="3"/>
    <s v="ERASME"/>
    <s v="Aucun"/>
    <s v="Aucun"/>
    <s v="OUI"/>
  </r>
  <r>
    <x v="4"/>
    <s v="MARCIL"/>
    <s v="600619MM02"/>
    <d v="1960-09-19T00:00:00"/>
    <n v="56.726027397260275"/>
    <s v=" "/>
    <s v="USI"/>
    <s v="ERASME USI"/>
    <s v="ERASME USI"/>
    <s v="BE"/>
    <s v="M"/>
    <d v="2017-05-28T00:00:00"/>
    <m/>
    <s v="CABG"/>
    <x v="1"/>
    <x v="1"/>
    <n v="0"/>
    <n v="0"/>
    <n v="1"/>
    <s v="OPCAB"/>
    <m/>
    <m/>
    <m/>
    <m/>
    <m/>
    <m/>
    <m/>
    <n v="1"/>
    <m/>
    <n v="1"/>
    <m/>
    <m/>
    <s v="6R"/>
    <n v="6"/>
    <n v="6"/>
    <d v="2017-06-24T00:00:00"/>
    <n v="27"/>
    <d v="2017-06-24T00:00:00"/>
    <n v="27"/>
    <x v="1"/>
    <n v="3"/>
    <s v="EMERGENCY"/>
    <s v="/"/>
    <m/>
    <m/>
    <m/>
    <s v="MARCIL"/>
    <s v="/"/>
    <d v="2017-06-24T00:00:00"/>
    <s v="N"/>
    <s v="DCD"/>
    <s v="/"/>
    <s v="N"/>
    <s v="DCD"/>
    <n v="1"/>
    <n v="1"/>
    <n v="1"/>
    <x v="1"/>
    <s v="Infection"/>
    <s v="Transfusion"/>
    <s v="Transfusé"/>
    <s v="NON"/>
    <s v="NON"/>
    <n v="27"/>
    <n v="27"/>
    <s v="Inconnu"/>
    <n v="27"/>
    <n v="27"/>
    <s v="Inconnu"/>
    <s v="Transfusé"/>
    <n v="6"/>
    <s v="ERASME"/>
    <s v="AVC"/>
    <s v="Aucun"/>
    <s v="NON"/>
  </r>
  <r>
    <x v="4"/>
    <s v="BELLOUTI"/>
    <s v="640928MB01"/>
    <d v="1964-09-28T00:00:00"/>
    <n v="52.701369863013696"/>
    <s v=" "/>
    <s v="MIRICA"/>
    <s v="ERASME CARDIO"/>
    <s v="ERASME CARDIO"/>
    <s v="FV"/>
    <s v="M"/>
    <d v="2017-05-29T00:00:00"/>
    <d v="2017-05-23T00:00:00"/>
    <s v="MVR"/>
    <x v="2"/>
    <x v="2"/>
    <s v="MVR"/>
    <s v="MVR"/>
    <m/>
    <m/>
    <s v="CE"/>
    <s v="B"/>
    <n v="33"/>
    <m/>
    <m/>
    <m/>
    <n v="1"/>
    <m/>
    <m/>
    <m/>
    <m/>
    <m/>
    <m/>
    <m/>
    <n v="0"/>
    <d v="2017-05-30T00:00:00"/>
    <n v="1"/>
    <d v="2017-06-13T00:00:00"/>
    <n v="15"/>
    <x v="0"/>
    <n v="1"/>
    <s v="ELECTIVE"/>
    <s v="D"/>
    <m/>
    <m/>
    <m/>
    <s v="BELLOUTI"/>
    <d v="2017-07-18T00:00:00"/>
    <d v="2017-06-23T00:00:00"/>
    <s v="Y"/>
    <m/>
    <d v="2017-09-12T00:00:00"/>
    <s v="Y"/>
    <m/>
    <n v="0"/>
    <n v="0"/>
    <n v="1"/>
    <x v="0"/>
    <s v="Aucune"/>
    <s v="Aucune"/>
    <s v="Aucune"/>
    <s v="NON"/>
    <s v="NON"/>
    <n v="15"/>
    <n v="15"/>
    <s v="Inconnu"/>
    <n v="1"/>
    <n v="1"/>
    <s v="Inconnu"/>
    <s v="Aucune"/>
    <n v="0"/>
    <s v="ERASME"/>
    <s v="Aucun"/>
    <s v="Aucun"/>
    <s v="OUI"/>
  </r>
  <r>
    <x v="4"/>
    <s v="POTVIN"/>
    <s v="580525MP01"/>
    <d v="1958-05-25T00:00:00"/>
    <n v="59.052054794520551"/>
    <s v=" "/>
    <s v="URGENCES"/>
    <s v="CHIREC BRAINE"/>
    <s v="CHIREC BRAINE"/>
    <s v="BE"/>
    <s v="M"/>
    <d v="2017-05-29T00:00:00"/>
    <m/>
    <s v="CABG"/>
    <x v="1"/>
    <x v="1"/>
    <n v="0"/>
    <n v="0"/>
    <n v="2"/>
    <s v="OPCAB"/>
    <m/>
    <m/>
    <m/>
    <m/>
    <m/>
    <m/>
    <m/>
    <n v="1"/>
    <m/>
    <n v="1"/>
    <s v="2R"/>
    <n v="2"/>
    <m/>
    <m/>
    <n v="2"/>
    <d v="2017-06-17T00:00:00"/>
    <n v="19"/>
    <d v="2017-06-17T00:00:00"/>
    <n v="19"/>
    <x v="1"/>
    <n v="2"/>
    <s v="URGENCY"/>
    <s v="/"/>
    <m/>
    <m/>
    <m/>
    <s v="POTVIN"/>
    <s v="/"/>
    <d v="2017-06-17T00:00:00"/>
    <s v="N"/>
    <s v="DCD"/>
    <s v="/"/>
    <s v="N"/>
    <s v="DCD"/>
    <n v="1"/>
    <n v="1"/>
    <n v="1"/>
    <x v="2"/>
    <s v="Infection"/>
    <s v="Transfusion"/>
    <s v="Aucune"/>
    <s v="NON"/>
    <s v="NON"/>
    <n v="19"/>
    <n v="19"/>
    <s v="Inconnu"/>
    <n v="19"/>
    <n v="19"/>
    <s v="Inconnu"/>
    <s v="Transfusé"/>
    <n v="2"/>
    <s v="CHIREC"/>
    <s v="AVC"/>
    <s v="Aucun"/>
    <s v="NON"/>
  </r>
  <r>
    <x v="4"/>
    <s v="VERCRUYSSE"/>
    <s v="430401FV03"/>
    <d v="1943-04-01T00:00:00"/>
    <n v="74.213698630136989"/>
    <s v=" "/>
    <s v="DESCAMPS"/>
    <s v="CHWAPI TOURNAI"/>
    <s v="CHWAPI TOURNAI"/>
    <s v="FV"/>
    <s v="F"/>
    <d v="2017-05-30T00:00:00"/>
    <d v="2017-05-23T00:00:00"/>
    <s v="CABG"/>
    <x v="1"/>
    <x v="1"/>
    <n v="0"/>
    <n v="0"/>
    <n v="5"/>
    <s v="PC"/>
    <m/>
    <m/>
    <m/>
    <m/>
    <m/>
    <m/>
    <m/>
    <m/>
    <m/>
    <m/>
    <s v="1R/1Plaq/2Plas"/>
    <n v="4"/>
    <m/>
    <m/>
    <n v="4"/>
    <d v="2017-05-31T00:00:00"/>
    <n v="1"/>
    <d v="2017-06-09T00:00:00"/>
    <n v="10"/>
    <x v="0"/>
    <n v="1"/>
    <s v="ELECTIVE"/>
    <s v="Tournai"/>
    <m/>
    <m/>
    <m/>
    <s v="VERCRUYSSE"/>
    <s v="18/07/2017- annulé"/>
    <d v="2017-06-16T00:00:00"/>
    <s v="Y"/>
    <s v="Toux grasse"/>
    <d v="2017-09-11T00:00:00"/>
    <s v="Y"/>
    <m/>
    <n v="0"/>
    <n v="1"/>
    <n v="1"/>
    <x v="0"/>
    <s v="Aucune"/>
    <s v="Transfusion"/>
    <s v="Aucune"/>
    <s v="NON"/>
    <s v="NON"/>
    <n v="10"/>
    <n v="10"/>
    <s v="Inconnu"/>
    <n v="1"/>
    <n v="1"/>
    <s v="Inconnu"/>
    <s v="Transfusé"/>
    <n v="4"/>
    <s v="CHWAPI TOURNAI"/>
    <s v="Aucun"/>
    <s v="Aucun"/>
    <s v="OUI"/>
  </r>
  <r>
    <x v="4"/>
    <s v="BERNARD"/>
    <s v="601129MB01"/>
    <d v="1960-11-29T00:00:00"/>
    <n v="56.536986301369865"/>
    <s v=" "/>
    <s v="DEDOBBELEER"/>
    <s v="ERASME CARDIO"/>
    <s v="ERASME CARDIO"/>
    <s v="BE"/>
    <s v="M"/>
    <d v="2017-05-30T00:00:00"/>
    <d v="2017-05-2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01T00:00:00"/>
    <n v="2"/>
    <d v="2017-06-06T00:00:00"/>
    <n v="7"/>
    <x v="0"/>
    <n v="1"/>
    <s v="ELECTIVE"/>
    <s v="D"/>
    <m/>
    <m/>
    <m/>
    <s v="BERNARD"/>
    <d v="2017-07-07T00:00:00"/>
    <d v="2017-06-13T00:00:00"/>
    <s v="Y"/>
    <m/>
    <d v="2017-09-11T00:00:00"/>
    <s v="Y"/>
    <s v="Message"/>
    <n v="0"/>
    <n v="0"/>
    <n v="1"/>
    <x v="0"/>
    <s v="Aucune"/>
    <s v="Aucune"/>
    <s v="Aucune"/>
    <s v="NON"/>
    <s v="NON"/>
    <n v="7"/>
    <n v="7"/>
    <s v="Inconnu"/>
    <n v="2"/>
    <n v="2"/>
    <s v="Inconnu"/>
    <s v="Aucune"/>
    <n v="0"/>
    <s v="ERASME"/>
    <s v="Aucun"/>
    <s v="Aucun"/>
    <s v="OUI"/>
  </r>
  <r>
    <x v="4"/>
    <s v="VAN HEMELRYCK"/>
    <s v="511111MV01"/>
    <d v="1951-11-11T00:00:00"/>
    <n v="65.597260273972609"/>
    <s v=" "/>
    <s v="CASADO"/>
    <s v="ERASME CARDIO"/>
    <s v="ERASME CARDIO"/>
    <s v="BE"/>
    <s v="M"/>
    <d v="2017-05-31T00:00:00"/>
    <d v="2017-05-23T00:00:00"/>
    <s v="CABG"/>
    <x v="1"/>
    <x v="1"/>
    <n v="0"/>
    <n v="0"/>
    <n v="1"/>
    <s v="MIDCAB"/>
    <m/>
    <m/>
    <m/>
    <m/>
    <m/>
    <m/>
    <m/>
    <m/>
    <m/>
    <m/>
    <m/>
    <m/>
    <m/>
    <m/>
    <n v="0"/>
    <d v="2017-06-01T00:00:00"/>
    <n v="1"/>
    <d v="2017-06-06T00:00:00"/>
    <n v="6"/>
    <x v="0"/>
    <n v="1"/>
    <s v="ELECTIVE"/>
    <s v="D"/>
    <d v="2017-06-14T00:00:00"/>
    <n v="1"/>
    <s v="C"/>
    <s v="VAN HEMELRYCK"/>
    <d v="2017-07-07T00:00:00"/>
    <d v="2017-06-13T00:00:00"/>
    <s v="Y"/>
    <s v="Message"/>
    <d v="2017-09-11T00:00:00"/>
    <s v="Y"/>
    <m/>
    <n v="0"/>
    <n v="0"/>
    <n v="1"/>
    <x v="0"/>
    <s v="Aucune"/>
    <s v="Aucune"/>
    <s v="Aucune"/>
    <s v="NON"/>
    <s v="OUI"/>
    <n v="6"/>
    <n v="6"/>
    <s v="Inconnu"/>
    <n v="1"/>
    <n v="1"/>
    <s v="Inconnu"/>
    <s v="Aucune"/>
    <n v="0"/>
    <s v="ERASME"/>
    <s v="Aucun"/>
    <s v="Aucun"/>
    <s v="OUI"/>
  </r>
  <r>
    <x v="5"/>
    <s v="MANCINI"/>
    <s v="480712FM01"/>
    <d v="1948-07-12T00:00:00"/>
    <n v="68.93424657534247"/>
    <s v=" "/>
    <s v="BERKENBOOM"/>
    <s v="ERASME CARDIO"/>
    <s v="ERASME CARDIO"/>
    <s v="BE"/>
    <s v="F"/>
    <d v="2017-06-01T00:00:00"/>
    <d v="2017-05-23T00:00:00"/>
    <s v="CABG"/>
    <x v="1"/>
    <x v="1"/>
    <n v="0"/>
    <n v="0"/>
    <n v="1"/>
    <s v="MIDCAB"/>
    <m/>
    <m/>
    <m/>
    <m/>
    <m/>
    <m/>
    <m/>
    <m/>
    <m/>
    <m/>
    <m/>
    <m/>
    <m/>
    <m/>
    <n v="0"/>
    <d v="2017-06-02T00:00:00"/>
    <n v="1"/>
    <d v="2017-06-08T00:00:00"/>
    <n v="7"/>
    <x v="0"/>
    <n v="1"/>
    <s v="ELECTIVE"/>
    <s v="D"/>
    <m/>
    <m/>
    <m/>
    <s v="MANCINI"/>
    <d v="2017-07-07T00:00:00"/>
    <d v="2017-06-16T00:00:00"/>
    <s v="Y"/>
    <s v="Injoignable"/>
    <d v="2017-09-11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5"/>
    <s v="CASTELLANA"/>
    <s v="501007MC01"/>
    <d v="1950-10-07T00:00:00"/>
    <n v="66.698630136986296"/>
    <s v=" "/>
    <s v="ZENAGUI"/>
    <s v="ZENAGUI"/>
    <s v="CT"/>
    <s v="FV"/>
    <s v="M"/>
    <d v="2017-06-02T00:00:00"/>
    <d v="2017-05-23T00:00:00"/>
    <s v="? (CABG)"/>
    <x v="1"/>
    <x v="1"/>
    <n v="0"/>
    <n v="0"/>
    <m/>
    <m/>
    <m/>
    <m/>
    <m/>
    <m/>
    <m/>
    <m/>
    <m/>
    <m/>
    <m/>
    <m/>
    <m/>
    <m/>
    <m/>
    <m/>
    <n v="0"/>
    <d v="2017-06-04T00:00:00"/>
    <n v="2"/>
    <d v="2017-06-09T00:00:00"/>
    <n v="7"/>
    <x v="0"/>
    <n v="1"/>
    <s v="ELECTIVE"/>
    <s v="D"/>
    <m/>
    <m/>
    <m/>
    <s v="CASTELLANA"/>
    <d v="2017-07-18T00:00:00"/>
    <d v="2017-06-16T00:00:00"/>
    <s v="Y"/>
    <m/>
    <d v="2017-09-11T00:00:00"/>
    <s v="Y"/>
    <s v="Message"/>
    <n v="0"/>
    <n v="0"/>
    <n v="1"/>
    <x v="0"/>
    <s v="Aucune"/>
    <s v="Aucune"/>
    <s v="Aucune"/>
    <s v="NON"/>
    <s v="NON"/>
    <n v="7"/>
    <n v="7"/>
    <s v="Inconnu"/>
    <n v="2"/>
    <n v="2"/>
    <s v="Inconnu"/>
    <s v="Aucune"/>
    <n v="0"/>
    <s v="CT"/>
    <s v="Aucun"/>
    <s v="Aucun"/>
    <s v="OUI"/>
  </r>
  <r>
    <x v="5"/>
    <s v="DICK"/>
    <s v="641101MD06"/>
    <d v="1964-11-01T00:00:00"/>
    <n v="52.630136986301373"/>
    <s v=" "/>
    <s v="VACHIERY"/>
    <s v="ERASME CARDIO"/>
    <s v="ERASME CARDIO"/>
    <s v="FV"/>
    <s v="M"/>
    <d v="2017-06-06T00:00:00"/>
    <m/>
    <s v="LVAD"/>
    <x v="6"/>
    <x v="5"/>
    <s v="LVAD/HTX"/>
    <n v="0"/>
    <m/>
    <m/>
    <m/>
    <m/>
    <m/>
    <d v="2017-06-07T00:00:00"/>
    <n v="2"/>
    <m/>
    <m/>
    <m/>
    <m/>
    <m/>
    <m/>
    <m/>
    <m/>
    <m/>
    <n v="0"/>
    <d v="2017-06-16T00:00:00"/>
    <n v="10"/>
    <d v="2017-06-27T00:00:00"/>
    <n v="21"/>
    <x v="0"/>
    <n v="2"/>
    <s v="URGENCY"/>
    <m/>
    <m/>
    <m/>
    <m/>
    <s v="DICK"/>
    <s v="/"/>
    <s v="/"/>
    <m/>
    <s v="LVAD"/>
    <s v="/"/>
    <m/>
    <s v="LVAD"/>
    <n v="0"/>
    <n v="0"/>
    <n v="1"/>
    <x v="2"/>
    <s v="Aucune"/>
    <s v="Aucune"/>
    <s v="Aucune"/>
    <s v="OUI"/>
    <s v="NON"/>
    <n v="21"/>
    <s v="Inconnu"/>
    <n v="21"/>
    <n v="10"/>
    <s v="Inconnu"/>
    <n v="10"/>
    <s v="Aucune"/>
    <n v="0"/>
    <s v="ERASME"/>
    <s v="Aucun"/>
    <s v="Aucun"/>
    <s v="NON"/>
  </r>
  <r>
    <x v="5"/>
    <s v="BRAUWERS"/>
    <s v="530909MB03"/>
    <d v="1953-09-09T00:00:00"/>
    <n v="63.783561643835618"/>
    <s v=" "/>
    <s v="HEDESHI"/>
    <s v="CHR HAUTE SENNE"/>
    <s v="CHR HAUTE SENNE"/>
    <s v="BE"/>
    <s v="M"/>
    <d v="2017-06-06T00:00:00"/>
    <m/>
    <s v="CABG"/>
    <x v="1"/>
    <x v="1"/>
    <n v="0"/>
    <n v="0"/>
    <n v="2"/>
    <s v="OPCAB"/>
    <m/>
    <m/>
    <m/>
    <m/>
    <m/>
    <m/>
    <m/>
    <m/>
    <m/>
    <m/>
    <m/>
    <m/>
    <m/>
    <m/>
    <n v="0"/>
    <d v="2017-06-09T00:00:00"/>
    <n v="3"/>
    <d v="2017-06-17T00:00:00"/>
    <n v="11"/>
    <x v="1"/>
    <n v="2"/>
    <s v="URGENCY"/>
    <s v="D"/>
    <m/>
    <m/>
    <m/>
    <s v="BRAUWERS"/>
    <d v="2017-07-14T00:00:00"/>
    <d v="2017-06-23T00:00:00"/>
    <s v="Y"/>
    <m/>
    <d v="2017-08-18T00:00:00"/>
    <s v="N"/>
    <s v="DCD"/>
    <n v="0"/>
    <n v="0"/>
    <n v="1"/>
    <x v="2"/>
    <s v="Aucune"/>
    <s v="Aucune"/>
    <s v="Aucune"/>
    <s v="NON"/>
    <s v="NON"/>
    <n v="11"/>
    <n v="11"/>
    <s v="Inconnu"/>
    <n v="3"/>
    <n v="3"/>
    <s v="Inconnu"/>
    <s v="Aucune"/>
    <n v="0"/>
    <s v="CHR HAUTE SENNE"/>
    <s v="Aucun"/>
    <s v="Aucun"/>
    <s v="NON"/>
  </r>
  <r>
    <x v="5"/>
    <s v="TAQUET"/>
    <s v="600812MT01"/>
    <d v="1960-08-12T00:00:00"/>
    <n v="56.854794520547948"/>
    <s v=" "/>
    <s v="URGENCES"/>
    <s v="ERASME URGENCES"/>
    <s v="ERASME URGENCES"/>
    <s v="FV"/>
    <s v="M"/>
    <d v="2017-06-06T00:00:00"/>
    <m/>
    <s v="? (CABG)"/>
    <x v="1"/>
    <x v="1"/>
    <n v="0"/>
    <n v="0"/>
    <m/>
    <m/>
    <m/>
    <m/>
    <m/>
    <m/>
    <m/>
    <m/>
    <m/>
    <m/>
    <m/>
    <m/>
    <m/>
    <m/>
    <m/>
    <m/>
    <n v="0"/>
    <d v="2017-06-09T00:00:00"/>
    <n v="3"/>
    <d v="2017-06-14T00:00:00"/>
    <n v="8"/>
    <x v="0"/>
    <n v="3"/>
    <s v="EMERGENCY"/>
    <s v="D"/>
    <m/>
    <m/>
    <m/>
    <s v="TAQUET"/>
    <d v="2017-07-18T00:00:00"/>
    <d v="2017-06-23T00:00:00"/>
    <s v="Y"/>
    <m/>
    <d v="2017-09-18T00:00:00"/>
    <s v="Y"/>
    <m/>
    <n v="0"/>
    <n v="0"/>
    <n v="1"/>
    <x v="1"/>
    <s v="Aucune"/>
    <s v="Aucune"/>
    <s v="Aucune"/>
    <s v="NON"/>
    <s v="NON"/>
    <n v="8"/>
    <n v="8"/>
    <s v="Inconnu"/>
    <n v="3"/>
    <n v="3"/>
    <s v="Inconnu"/>
    <s v="Aucune"/>
    <n v="0"/>
    <s v="ERASME"/>
    <s v="Aucun"/>
    <s v="Aucun"/>
    <s v="NON"/>
  </r>
  <r>
    <x v="5"/>
    <s v="JOURET"/>
    <s v="481024FJ02"/>
    <d v="1948-10-24T00:00:00"/>
    <n v="68.665753424657538"/>
    <s v=" "/>
    <s v="MAHIEU"/>
    <s v="NIVELLES"/>
    <s v="NIVELLES"/>
    <s v="BE"/>
    <s v="F"/>
    <d v="2017-06-07T00:00:00"/>
    <d v="2017-05-30T00:00:00"/>
    <s v="AVR"/>
    <x v="2"/>
    <x v="2"/>
    <s v="AVR"/>
    <s v="AVR"/>
    <m/>
    <m/>
    <s v="CE"/>
    <s v="B"/>
    <n v="21"/>
    <m/>
    <m/>
    <m/>
    <m/>
    <m/>
    <m/>
    <m/>
    <m/>
    <m/>
    <m/>
    <m/>
    <n v="0"/>
    <d v="2017-06-08T00:00:00"/>
    <n v="1"/>
    <d v="2017-06-14T00:00:00"/>
    <n v="7"/>
    <x v="0"/>
    <n v="1"/>
    <s v="ELECTIVE"/>
    <s v="D"/>
    <m/>
    <m/>
    <m/>
    <s v="JOURET"/>
    <d v="2017-07-14T00:00:00"/>
    <d v="2017-06-23T00:00:00"/>
    <s v="Y"/>
    <s v="Message"/>
    <d v="2017-09-19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NIVELLES"/>
    <s v="Aucun"/>
    <s v="Aucun"/>
    <s v="OUI"/>
  </r>
  <r>
    <x v="5"/>
    <s v="PREUSS"/>
    <s v="560505MPAA"/>
    <d v="1956-05-05T00:00:00"/>
    <n v="61.131506849315066"/>
    <s v=" "/>
    <s v="EL MOURAD"/>
    <s v="ERASME CARDIO"/>
    <s v="ERASME CARDIO"/>
    <s v="MLC"/>
    <s v="M"/>
    <d v="2017-06-07T00:00:00"/>
    <d v="2017-05-2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09T00:00:00"/>
    <n v="2"/>
    <d v="2017-06-15T00:00:00"/>
    <n v="8"/>
    <x v="0"/>
    <n v="1"/>
    <s v="ELECTIVE"/>
    <s v="D"/>
    <m/>
    <m/>
    <m/>
    <s v="PREUSS"/>
    <d v="2017-07-13T00:00:00"/>
    <d v="2017-06-23T00:00:00"/>
    <s v="Y"/>
    <m/>
    <d v="2017-09-26T00:00:00"/>
    <s v="Y"/>
    <m/>
    <n v="0"/>
    <n v="0"/>
    <n v="1"/>
    <x v="0"/>
    <s v="Aucune"/>
    <s v="Aucune"/>
    <s v="Aucune"/>
    <s v="NON"/>
    <s v="NON"/>
    <n v="8"/>
    <n v="8"/>
    <s v="Inconnu"/>
    <n v="2"/>
    <n v="2"/>
    <s v="Inconnu"/>
    <s v="Aucune"/>
    <n v="0"/>
    <s v="ERASME"/>
    <s v="Aucun"/>
    <s v="Aucun"/>
    <s v="OUI"/>
  </r>
  <r>
    <x v="5"/>
    <s v="TELLIER"/>
    <s v="510514MT01"/>
    <d v="1951-05-14T00:00:00"/>
    <n v="66.115068493150687"/>
    <s v=" "/>
    <s v="ROGOWSKY"/>
    <s v="CHIREC PARC LEOPOLD"/>
    <s v="CHIREC PARC LEOPOLD"/>
    <s v="FV"/>
    <s v="M"/>
    <d v="2017-06-08T00:00:00"/>
    <d v="2017-05-30T00:00:00"/>
    <s v="AVR + CABG"/>
    <x v="3"/>
    <x v="0"/>
    <s v="CABG + V"/>
    <n v="0"/>
    <n v="2"/>
    <s v="PC"/>
    <s v="CE"/>
    <s v="B"/>
    <n v="25"/>
    <m/>
    <m/>
    <m/>
    <m/>
    <m/>
    <m/>
    <m/>
    <m/>
    <m/>
    <m/>
    <m/>
    <n v="0"/>
    <d v="2017-06-12T00:00:00"/>
    <n v="4"/>
    <d v="2017-06-15T00:00:00"/>
    <n v="7"/>
    <x v="0"/>
    <n v="1"/>
    <s v="ELECTIVE"/>
    <s v="D"/>
    <m/>
    <m/>
    <m/>
    <s v="TELLIER"/>
    <d v="2017-07-18T00:00:00"/>
    <d v="2017-06-23T00:00:00"/>
    <s v="Y"/>
    <s v="Message"/>
    <d v="2017-09-27T00:00:00"/>
    <s v="Y"/>
    <m/>
    <n v="0"/>
    <n v="0"/>
    <n v="1"/>
    <x v="0"/>
    <s v="Aucune"/>
    <s v="Aucune"/>
    <s v="Aucune"/>
    <s v="NON"/>
    <s v="NON"/>
    <n v="7"/>
    <n v="7"/>
    <s v="Inconnu"/>
    <n v="4"/>
    <n v="4"/>
    <s v="Inconnu"/>
    <s v="Aucune"/>
    <n v="0"/>
    <s v="CHIREC"/>
    <s v="Aucun"/>
    <s v="Aucun"/>
    <s v="OUI"/>
  </r>
  <r>
    <x v="5"/>
    <s v="GRONOWSKI"/>
    <s v="311012MG01"/>
    <d v="1931-10-12T00:00:00"/>
    <n v="85.717808219178082"/>
    <s v="1"/>
    <s v="MENASSEL"/>
    <s v="MENASSEL"/>
    <s v="CT"/>
    <s v="FV"/>
    <s v="M"/>
    <d v="2017-06-09T00:00:00"/>
    <d v="2017-05-23T00:00:00"/>
    <s v="CABG"/>
    <x v="1"/>
    <x v="1"/>
    <n v="0"/>
    <n v="0"/>
    <n v="3"/>
    <s v="OPCAB"/>
    <m/>
    <m/>
    <m/>
    <m/>
    <m/>
    <m/>
    <m/>
    <m/>
    <m/>
    <n v="1"/>
    <m/>
    <m/>
    <m/>
    <m/>
    <n v="0"/>
    <d v="2017-06-15T00:00:00"/>
    <n v="6"/>
    <d v="2017-06-26T00:00:00"/>
    <n v="17"/>
    <x v="0"/>
    <n v="1"/>
    <s v="ELECTIVE"/>
    <s v="R"/>
    <m/>
    <m/>
    <m/>
    <s v="GRONOWSKI"/>
    <d v="2017-07-25T00:00:00"/>
    <d v="2017-07-11T00:00:00"/>
    <s v="Y"/>
    <m/>
    <d v="2017-10-03T00:00:00"/>
    <s v="Y"/>
    <s v="Message"/>
    <n v="1"/>
    <n v="0"/>
    <n v="1"/>
    <x v="0"/>
    <s v="Infection"/>
    <s v="Aucune"/>
    <s v="Aucune"/>
    <s v="NON"/>
    <s v="NON"/>
    <n v="17"/>
    <n v="17"/>
    <s v="Inconnu"/>
    <n v="6"/>
    <n v="6"/>
    <s v="Inconnu"/>
    <s v="Aucune"/>
    <n v="0"/>
    <s v="CT"/>
    <s v="Aucun"/>
    <s v="Aucun"/>
    <s v="OUI"/>
  </r>
  <r>
    <x v="5"/>
    <s v="BERNARD"/>
    <s v="290302MB04"/>
    <d v="1929-03-02T00:00:00"/>
    <n v="88.331506849315062"/>
    <s v="1"/>
    <s v="RENARD"/>
    <s v="ERASME CARDIO"/>
    <s v="ERASME CARDIO"/>
    <s v="BE"/>
    <s v="M"/>
    <d v="2017-06-09T00:00:00"/>
    <m/>
    <s v="CABG"/>
    <x v="1"/>
    <x v="1"/>
    <n v="0"/>
    <n v="0"/>
    <n v="2"/>
    <s v="OPCAB"/>
    <m/>
    <m/>
    <m/>
    <m/>
    <m/>
    <m/>
    <m/>
    <n v="1"/>
    <m/>
    <m/>
    <s v="1R"/>
    <n v="1"/>
    <s v="1R"/>
    <n v="1"/>
    <n v="2"/>
    <d v="2017-06-18T00:00:00"/>
    <n v="9"/>
    <d v="2017-06-18T00:00:00"/>
    <n v="9"/>
    <x v="1"/>
    <n v="3"/>
    <s v="EMERGENCY"/>
    <s v="/"/>
    <m/>
    <m/>
    <m/>
    <s v="BERNARD"/>
    <s v="/"/>
    <d v="2017-06-18T00:00:00"/>
    <s v="N"/>
    <s v="DCD"/>
    <s v="/"/>
    <s v="N"/>
    <s v="DCD"/>
    <n v="0"/>
    <n v="1"/>
    <n v="1"/>
    <x v="1"/>
    <s v="Aucune"/>
    <s v="Transfusion"/>
    <s v="Transfusé"/>
    <s v="NON"/>
    <s v="NON"/>
    <n v="9"/>
    <n v="9"/>
    <s v="Inconnu"/>
    <n v="9"/>
    <n v="9"/>
    <s v="Inconnu"/>
    <s v="Transfusé"/>
    <n v="2"/>
    <s v="ERASME"/>
    <s v="AVC"/>
    <s v="Aucun"/>
    <s v="NON"/>
  </r>
  <r>
    <x v="5"/>
    <s v="LESZCZYNSKA"/>
    <s v="530820FL01"/>
    <d v="1953-08-20T00:00:00"/>
    <n v="63.854794520547948"/>
    <s v=" "/>
    <s v="JAMART"/>
    <s v="JAMART"/>
    <s v="CT"/>
    <s v="BE"/>
    <s v="F"/>
    <d v="2017-06-12T00:00:00"/>
    <m/>
    <s v="CABG"/>
    <x v="1"/>
    <x v="1"/>
    <n v="0"/>
    <n v="0"/>
    <n v="1"/>
    <s v="MIDCAB"/>
    <m/>
    <m/>
    <m/>
    <m/>
    <m/>
    <m/>
    <m/>
    <m/>
    <m/>
    <m/>
    <m/>
    <m/>
    <m/>
    <m/>
    <n v="0"/>
    <d v="2017-06-13T00:00:00"/>
    <n v="1"/>
    <d v="2017-06-17T00:00:00"/>
    <n v="5"/>
    <x v="0"/>
    <n v="2"/>
    <s v="URGENCY"/>
    <s v="D"/>
    <m/>
    <m/>
    <m/>
    <s v="LESZCZYNSKA"/>
    <d v="2017-07-14T00:00:00"/>
    <d v="2017-06-23T00:00:00"/>
    <s v="Y"/>
    <m/>
    <d v="2017-09-19T00:00:00"/>
    <s v="Y"/>
    <m/>
    <n v="0"/>
    <n v="0"/>
    <n v="1"/>
    <x v="2"/>
    <s v="Aucune"/>
    <s v="Aucune"/>
    <s v="Aucune"/>
    <s v="NON"/>
    <s v="NON"/>
    <n v="5"/>
    <n v="5"/>
    <s v="Inconnu"/>
    <n v="1"/>
    <n v="1"/>
    <s v="Inconnu"/>
    <s v="Aucune"/>
    <n v="0"/>
    <s v="CT"/>
    <s v="Aucun"/>
    <s v="Aucun"/>
    <s v="NON"/>
  </r>
  <r>
    <x v="5"/>
    <s v="DE PAUW"/>
    <s v="380715FD03"/>
    <d v="1938-07-15T00:00:00"/>
    <n v="78.964383561643842"/>
    <s v=" "/>
    <s v="BRAD"/>
    <s v="BRAD"/>
    <s v="CT"/>
    <s v="MLC"/>
    <s v="F"/>
    <d v="2017-06-12T00:00:00"/>
    <m/>
    <s v="Fenêtre pleuro-péric"/>
    <x v="4"/>
    <x v="3"/>
    <n v="0"/>
    <n v="0"/>
    <m/>
    <m/>
    <m/>
    <m/>
    <m/>
    <m/>
    <m/>
    <m/>
    <m/>
    <m/>
    <m/>
    <m/>
    <m/>
    <m/>
    <m/>
    <m/>
    <n v="0"/>
    <d v="2017-06-13T00:00:00"/>
    <n v="1"/>
    <d v="2017-06-15T00:00:00"/>
    <n v="3"/>
    <x v="0"/>
    <n v="1"/>
    <s v="ELECTIVE"/>
    <s v="D"/>
    <m/>
    <m/>
    <m/>
    <s v="DE PAUW"/>
    <d v="2017-07-13T00:00:00"/>
    <d v="2017-06-23T00:00:00"/>
    <s v="Y"/>
    <s v="douleur jambe"/>
    <d v="2017-09-26T00:00:00"/>
    <s v="Y"/>
    <m/>
    <n v="0"/>
    <n v="0"/>
    <n v="1"/>
    <x v="0"/>
    <s v="Aucune"/>
    <s v="Aucune"/>
    <s v="Aucune"/>
    <s v="NON"/>
    <s v="NON"/>
    <n v="3"/>
    <n v="3"/>
    <s v="Inconnu"/>
    <n v="1"/>
    <n v="1"/>
    <s v="Inconnu"/>
    <s v="Aucune"/>
    <n v="0"/>
    <s v="CT"/>
    <s v="Aucun"/>
    <s v="Aucun"/>
    <s v="NON"/>
  </r>
  <r>
    <x v="5"/>
    <s v="VENTURELLI"/>
    <s v="360521MV03"/>
    <d v="1936-05-21T00:00:00"/>
    <n v="81.117808219178087"/>
    <s v="1"/>
    <s v="HEDESHI"/>
    <s v="CHR HAUTE SENNE"/>
    <s v="CT"/>
    <s v="BE"/>
    <s v="M"/>
    <d v="2017-06-13T00:00:00"/>
    <d v="2017-05-23T00:00:00"/>
    <s v="CABG"/>
    <x v="1"/>
    <x v="1"/>
    <n v="0"/>
    <n v="0"/>
    <n v="2"/>
    <s v="OPCAB"/>
    <m/>
    <m/>
    <m/>
    <m/>
    <m/>
    <m/>
    <m/>
    <m/>
    <m/>
    <n v="1"/>
    <m/>
    <m/>
    <m/>
    <m/>
    <n v="0"/>
    <d v="2017-06-15T00:00:00"/>
    <n v="2"/>
    <d v="2017-06-20T00:00:00"/>
    <n v="7"/>
    <x v="0"/>
    <n v="1"/>
    <s v="ELECTIVE"/>
    <s v="D"/>
    <m/>
    <m/>
    <m/>
    <s v="VENTURELLI"/>
    <d v="2017-07-14T00:00:00"/>
    <d v="2017-06-27T00:00:00"/>
    <s v="Y"/>
    <s v="Message"/>
    <d v="2017-09-19T00:00:00"/>
    <s v="Y"/>
    <m/>
    <n v="1"/>
    <n v="0"/>
    <n v="1"/>
    <x v="0"/>
    <s v="Infection"/>
    <s v="Aucune"/>
    <s v="Aucune"/>
    <s v="NON"/>
    <s v="NON"/>
    <n v="7"/>
    <n v="7"/>
    <s v="Inconnu"/>
    <n v="2"/>
    <n v="2"/>
    <s v="Inconnu"/>
    <s v="Aucune"/>
    <n v="0"/>
    <s v="CT"/>
    <s v="Aucun"/>
    <s v="Aucun"/>
    <s v="OUI"/>
  </r>
  <r>
    <x v="5"/>
    <s v="DANSAERT"/>
    <s v="490906FD06"/>
    <d v="1949-09-06T00:00:00"/>
    <n v="67.816438356164383"/>
    <s v=" "/>
    <s v="BONDUE"/>
    <s v="ERASME CARDIO"/>
    <s v="ERASME CARDIO"/>
    <s v="MLC"/>
    <s v="F"/>
    <d v="2017-06-14T00:00:00"/>
    <d v="2017-05-02T00:00:00"/>
    <s v="AVR"/>
    <x v="2"/>
    <x v="2"/>
    <s v="AVR"/>
    <s v="AVR"/>
    <m/>
    <m/>
    <s v="CE"/>
    <s v="B"/>
    <n v="21"/>
    <m/>
    <m/>
    <m/>
    <m/>
    <m/>
    <m/>
    <m/>
    <m/>
    <m/>
    <m/>
    <m/>
    <n v="0"/>
    <d v="2017-06-15T00:00:00"/>
    <n v="1"/>
    <d v="2017-06-21T00:00:00"/>
    <n v="7"/>
    <x v="0"/>
    <n v="1"/>
    <s v="ELECTIVE"/>
    <s v="D"/>
    <m/>
    <m/>
    <m/>
    <s v="DANSAERT"/>
    <d v="2017-07-20T00:00:00"/>
    <d v="2017-06-30T00:00:00"/>
    <s v="Y"/>
    <m/>
    <d v="2017-09-19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5"/>
    <s v="EVRARD"/>
    <s v="641201ME01"/>
    <d v="1964-12-01T00:00:00"/>
    <n v="52.57260273972603"/>
    <s v=" "/>
    <s v="CARLIER"/>
    <s v="AMBROISE PARE"/>
    <s v="AMBROISE PARE"/>
    <s v="FV"/>
    <s v="M"/>
    <d v="2017-06-15T00:00:00"/>
    <d v="2017-06-13T00:00:00"/>
    <s v="CABG"/>
    <x v="1"/>
    <x v="1"/>
    <n v="0"/>
    <n v="0"/>
    <n v="4"/>
    <s v="PC"/>
    <m/>
    <m/>
    <m/>
    <m/>
    <m/>
    <m/>
    <m/>
    <m/>
    <m/>
    <m/>
    <m/>
    <m/>
    <m/>
    <m/>
    <n v="0"/>
    <d v="2017-06-16T00:00:00"/>
    <n v="1"/>
    <d v="2017-06-22T00:00:00"/>
    <n v="7"/>
    <x v="0"/>
    <n v="1"/>
    <s v="ELECTIVE"/>
    <s v="D"/>
    <m/>
    <m/>
    <m/>
    <s v="EVRARD"/>
    <d v="2017-07-25T00:00:00"/>
    <d v="2017-06-30T00:00:00"/>
    <s v="Y"/>
    <m/>
    <d v="2017-09-26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AMBROISE PARE"/>
    <s v="Aucun"/>
    <s v="Aucun"/>
    <s v="OUI"/>
  </r>
  <r>
    <x v="5"/>
    <s v="ATKINS"/>
    <s v="530821MA02 "/>
    <d v="1953-08-21T00:00:00"/>
    <n v="63.863013698630134"/>
    <s v=" "/>
    <s v="HEDESHI"/>
    <s v="CHR HAUTE SENNE"/>
    <s v="CHR HAUTE SENNE"/>
    <s v="MLC"/>
    <s v="M"/>
    <d v="2017-06-16T00:00:00"/>
    <d v="2017-06-1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17T00:00:00"/>
    <n v="1"/>
    <d v="2017-06-22T00:00:00"/>
    <n v="6"/>
    <x v="0"/>
    <n v="1"/>
    <s v="ELECTIVE"/>
    <s v="D"/>
    <m/>
    <m/>
    <m/>
    <s v="ATKINS"/>
    <d v="2017-07-20T00:00:00"/>
    <d v="2017-06-30T00:00:00"/>
    <s v="Y"/>
    <m/>
    <d v="2017-09-19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R HAUTE SENNE"/>
    <s v="Aucun"/>
    <s v="Aucun"/>
    <s v="OUI"/>
  </r>
  <r>
    <x v="5"/>
    <s v="BARBIEUX"/>
    <s v="670325MB04"/>
    <d v="1967-03-25T00:00:00"/>
    <n v="50.263013698630139"/>
    <s v=" "/>
    <s v="HEDESHI"/>
    <s v="CHR HAUTE SENNE"/>
    <s v="CHR HAUTE SENNE"/>
    <s v="FV"/>
    <s v="M"/>
    <d v="2017-06-16T00:00:00"/>
    <d v="2017-06-1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17T00:00:00"/>
    <n v="1"/>
    <d v="2017-06-22T00:00:00"/>
    <n v="6"/>
    <x v="0"/>
    <n v="2"/>
    <s v="URGENCY"/>
    <s v="D"/>
    <m/>
    <m/>
    <m/>
    <s v="BARBIEUX"/>
    <d v="2017-07-25T00:00:00"/>
    <d v="2017-06-30T00:00:00"/>
    <s v="Y"/>
    <m/>
    <d v="2017-09-26T00:00:00"/>
    <s v="Y"/>
    <m/>
    <n v="0"/>
    <n v="0"/>
    <n v="1"/>
    <x v="2"/>
    <s v="Aucune"/>
    <s v="Aucune"/>
    <s v="Aucune"/>
    <s v="NON"/>
    <s v="NON"/>
    <n v="6"/>
    <n v="6"/>
    <s v="Inconnu"/>
    <n v="1"/>
    <n v="1"/>
    <s v="Inconnu"/>
    <s v="Aucune"/>
    <n v="0"/>
    <s v="CHR HAUTE SENNE"/>
    <s v="Aucun"/>
    <s v="Aucun"/>
    <s v="OUI"/>
  </r>
  <r>
    <x v="5"/>
    <s v="SONCK"/>
    <s v="540118FSAA"/>
    <d v="1954-01-18T00:00:00"/>
    <n v="63.460273972602742"/>
    <s v=" "/>
    <s v="ZENAGUI"/>
    <s v="BRACOPS"/>
    <s v="BRACOPS"/>
    <s v="MLC"/>
    <s v="F"/>
    <d v="2017-06-19T00:00:00"/>
    <d v="2017-06-1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20T00:00:00"/>
    <n v="1"/>
    <d v="2017-06-26T00:00:00"/>
    <n v="7"/>
    <x v="0"/>
    <n v="1"/>
    <s v="ELECTIVE"/>
    <s v="D"/>
    <m/>
    <m/>
    <m/>
    <s v="SONCK"/>
    <d v="2017-07-27T00:00:00"/>
    <d v="2017-07-11T00:00:00"/>
    <s v="Y"/>
    <s v="Message"/>
    <d v="2017-10-03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BRACOPS"/>
    <s v="Aucun"/>
    <s v="Aucun"/>
    <s v="OUI"/>
  </r>
  <r>
    <x v="5"/>
    <s v="MAHDI"/>
    <s v="570515MM03"/>
    <d v="1957-05-15T00:00:00"/>
    <n v="60.142465753424659"/>
    <s v=" "/>
    <s v="CARDIO"/>
    <s v="ERASME CARDIO"/>
    <s v="ERASME CARDIO"/>
    <s v="BE"/>
    <s v="M"/>
    <d v="2017-06-21T00:00:00"/>
    <d v="2017-06-20T00:00:00"/>
    <s v="CABG"/>
    <x v="1"/>
    <x v="1"/>
    <n v="0"/>
    <n v="0"/>
    <n v="3"/>
    <s v="PC"/>
    <m/>
    <m/>
    <m/>
    <m/>
    <m/>
    <m/>
    <m/>
    <m/>
    <m/>
    <n v="1"/>
    <s v="2R"/>
    <n v="2"/>
    <m/>
    <m/>
    <n v="2"/>
    <d v="2017-06-26T00:00:00"/>
    <n v="5"/>
    <d v="2017-07-07T00:00:00"/>
    <n v="16"/>
    <x v="0"/>
    <n v="2"/>
    <s v="URGENCY"/>
    <s v="R"/>
    <m/>
    <m/>
    <m/>
    <s v="MAHDI"/>
    <d v="2017-08-18T00:00:00"/>
    <d v="2017-07-14T00:00:00"/>
    <s v="Y"/>
    <m/>
    <d v="2017-10-11T00:00:00"/>
    <s v="Y"/>
    <m/>
    <n v="1"/>
    <n v="1"/>
    <n v="1"/>
    <x v="2"/>
    <s v="Infection"/>
    <s v="Transfusion"/>
    <s v="Aucune"/>
    <s v="NON"/>
    <s v="NON"/>
    <n v="16"/>
    <n v="16"/>
    <s v="Inconnu"/>
    <n v="5"/>
    <n v="5"/>
    <s v="Inconnu"/>
    <s v="Transfusé"/>
    <n v="2"/>
    <s v="ERASME"/>
    <s v="Aucun"/>
    <s v="Aucun"/>
    <s v="OUI"/>
  </r>
  <r>
    <x v="5"/>
    <s v="GURSOY"/>
    <s v="980703MG01"/>
    <d v="1998-07-03T00:00:00"/>
    <n v="18.986301369863014"/>
    <s v=" "/>
    <s v="ROUSSOULIERES"/>
    <s v="ERASME CARDIO"/>
    <s v="ERASME CARDIO"/>
    <s v="FV"/>
    <s v="M"/>
    <d v="2017-06-23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7-03T00:00:00"/>
    <n v="10"/>
    <d v="2017-07-21T00:00:00"/>
    <n v="28"/>
    <x v="0"/>
    <n v="2"/>
    <s v="URGENCY"/>
    <s v="D"/>
    <m/>
    <m/>
    <m/>
    <s v="GURSOY"/>
    <s v="/"/>
    <s v="/"/>
    <m/>
    <s v="HTX"/>
    <s v="/"/>
    <m/>
    <s v="HTX"/>
    <n v="0"/>
    <n v="0"/>
    <n v="1"/>
    <x v="2"/>
    <s v="Aucune"/>
    <s v="Aucune"/>
    <s v="Aucune"/>
    <s v="NON"/>
    <s v="NON"/>
    <n v="28"/>
    <s v="Inconnu"/>
    <n v="28"/>
    <n v="10"/>
    <s v="Inconnu"/>
    <n v="10"/>
    <s v="Aucune"/>
    <n v="0"/>
    <s v="ERASME"/>
    <s v="Aucun"/>
    <s v="Aucun"/>
    <s v="NON"/>
  </r>
  <r>
    <x v="5"/>
    <s v="NERINCKX"/>
    <s v="451122MN01"/>
    <d v="1945-11-22T00:00:00"/>
    <n v="71.641095890410952"/>
    <s v=" "/>
    <s v="DEDOBBELEER"/>
    <s v="CHIREC BRAINE"/>
    <s v="CHIREC BRAINE"/>
    <s v="MLC"/>
    <s v="M"/>
    <d v="2017-06-26T00:00:00"/>
    <d v="2017-06-20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27T00:00:00"/>
    <n v="1"/>
    <d v="2017-07-03T00:00:00"/>
    <n v="7"/>
    <x v="0"/>
    <n v="1"/>
    <s v="ELECTIVE"/>
    <s v="D"/>
    <m/>
    <m/>
    <m/>
    <s v="NERINCKX"/>
    <d v="2017-08-03T00:00:00"/>
    <d v="2017-07-11T00:00:00"/>
    <s v="Y"/>
    <m/>
    <d v="2017-10-04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6"/>
    <s v="GELGESSEN"/>
    <s v="430303MGAA"/>
    <d v="1943-03-03T00:00:00"/>
    <n v="74.389041095890406"/>
    <s v=" "/>
    <s v="MIRICA"/>
    <s v="ERASME CARDIO"/>
    <s v="ERASME CARDIO"/>
    <s v="FV"/>
    <s v="M"/>
    <d v="2017-07-04T00:00:00"/>
    <d v="2017-06-06T00:00:00"/>
    <s v="CABG + MAZE"/>
    <x v="1"/>
    <x v="1"/>
    <n v="0"/>
    <n v="0"/>
    <n v="4"/>
    <s v="PC"/>
    <m/>
    <m/>
    <m/>
    <m/>
    <m/>
    <m/>
    <m/>
    <m/>
    <m/>
    <m/>
    <m/>
    <m/>
    <m/>
    <m/>
    <n v="0"/>
    <d v="2017-07-07T00:00:00"/>
    <n v="3"/>
    <d v="2017-07-11T00:00:00"/>
    <n v="7"/>
    <x v="0"/>
    <n v="1"/>
    <s v="ELECTIVE"/>
    <s v="D"/>
    <m/>
    <m/>
    <m/>
    <s v="GELGESSEN"/>
    <d v="2017-08-08T00:00:00"/>
    <d v="2017-07-19T00:00:00"/>
    <s v="Y"/>
    <m/>
    <d v="2017-10-11T00:00:00"/>
    <s v="Y"/>
    <s v="Message"/>
    <n v="0"/>
    <n v="0"/>
    <n v="1"/>
    <x v="0"/>
    <s v="Aucune"/>
    <s v="Aucune"/>
    <s v="Aucune"/>
    <s v="NON"/>
    <s v="NON"/>
    <n v="7"/>
    <n v="7"/>
    <s v="Inconnu"/>
    <n v="3"/>
    <n v="3"/>
    <s v="Inconnu"/>
    <s v="Aucune"/>
    <n v="0"/>
    <s v="ERASME"/>
    <s v="Aucun"/>
    <s v="Aucun"/>
    <s v="OUI"/>
  </r>
  <r>
    <x v="6"/>
    <s v="ADAM"/>
    <s v="360615FAAA"/>
    <d v="1936-06-15T00:00:00"/>
    <n v="81.109589041095887"/>
    <s v="1"/>
    <s v="KHODADADI"/>
    <s v="CHIREC PARC LEOPOLD"/>
    <s v="CHIREC PARC LEOPOLD"/>
    <s v="MLC"/>
    <s v="F"/>
    <d v="2017-07-05T00:00:00"/>
    <d v="2017-07-04T00:00:00"/>
    <s v="CABG"/>
    <x v="1"/>
    <x v="1"/>
    <n v="0"/>
    <n v="0"/>
    <n v="2"/>
    <s v="PC"/>
    <m/>
    <m/>
    <m/>
    <m/>
    <m/>
    <m/>
    <m/>
    <m/>
    <m/>
    <m/>
    <s v="2R"/>
    <n v="2"/>
    <m/>
    <m/>
    <n v="2"/>
    <d v="2017-07-06T00:00:00"/>
    <n v="1"/>
    <d v="2017-07-11T00:00:00"/>
    <n v="6"/>
    <x v="0"/>
    <n v="2"/>
    <s v="URGENCY"/>
    <s v="R"/>
    <m/>
    <m/>
    <m/>
    <s v="ADAM"/>
    <d v="2017-08-10T00:00:00"/>
    <d v="2017-07-19T00:00:00"/>
    <s v="Y"/>
    <s v="pas de réponse"/>
    <d v="2017-10-11T00:00:00"/>
    <s v="Y"/>
    <s v="hospit en gériatrie"/>
    <n v="0"/>
    <n v="1"/>
    <n v="1"/>
    <x v="2"/>
    <s v="Aucune"/>
    <s v="Transfusion"/>
    <s v="Aucune"/>
    <s v="NON"/>
    <s v="NON"/>
    <n v="6"/>
    <n v="6"/>
    <s v="Inconnu"/>
    <n v="1"/>
    <n v="1"/>
    <s v="Inconnu"/>
    <s v="Transfusé"/>
    <n v="2"/>
    <s v="CHIREC"/>
    <s v="Aucun"/>
    <s v="Aucun"/>
    <s v="OUI"/>
  </r>
  <r>
    <x v="6"/>
    <s v="SELVON"/>
    <s v="800107MS02"/>
    <d v="1980-01-07T00:00:00"/>
    <n v="37.539726027397258"/>
    <s v=" "/>
    <s v="EL MOURAD"/>
    <s v="ERASME CARDIO"/>
    <s v="ERASME CARDIO"/>
    <s v="BE"/>
    <s v="M"/>
    <d v="2017-07-13T00:00:00"/>
    <d v="2017-06-20T00:00:00"/>
    <s v="CABG"/>
    <x v="1"/>
    <x v="1"/>
    <n v="0"/>
    <n v="0"/>
    <n v="2"/>
    <s v="OPCAB"/>
    <m/>
    <m/>
    <m/>
    <m/>
    <m/>
    <m/>
    <m/>
    <m/>
    <m/>
    <m/>
    <s v="2R"/>
    <n v="2"/>
    <m/>
    <m/>
    <n v="2"/>
    <d v="2017-07-14T00:00:00"/>
    <n v="1"/>
    <d v="2017-07-20T00:00:00"/>
    <n v="7"/>
    <x v="0"/>
    <n v="2"/>
    <s v="URGENCY"/>
    <s v="D"/>
    <d v="2017-08-07T00:00:00"/>
    <n v="1"/>
    <s v="NC"/>
    <s v="SELVON"/>
    <d v="2017-08-18T00:00:00"/>
    <d v="2017-07-28T00:00:00"/>
    <s v="Y"/>
    <m/>
    <d v="2017-10-23T00:00:00"/>
    <s v="Y"/>
    <m/>
    <n v="0"/>
    <n v="1"/>
    <n v="1"/>
    <x v="2"/>
    <s v="Aucune"/>
    <s v="Transfusion"/>
    <s v="Aucune"/>
    <s v="NON"/>
    <s v="OUI"/>
    <n v="7"/>
    <n v="7"/>
    <s v="Inconnu"/>
    <n v="1"/>
    <n v="1"/>
    <s v="Inconnu"/>
    <s v="Transfusé"/>
    <n v="2"/>
    <s v="ERASME"/>
    <s v="Aucun"/>
    <s v="Aucun"/>
    <s v="OUI"/>
  </r>
  <r>
    <x v="6"/>
    <s v="PALOMARES"/>
    <s v="350903FP02"/>
    <d v="1935-09-03T00:00:00"/>
    <n v="81.917808219178085"/>
    <s v="1"/>
    <s v="GASSAVELIS"/>
    <s v="GASSAVELIS"/>
    <s v="CT"/>
    <s v="BE"/>
    <s v="F"/>
    <d v="2017-07-14T00:00:00"/>
    <d v="2017-07-04T00:00:00"/>
    <s v="AVR + CABG"/>
    <x v="3"/>
    <x v="0"/>
    <s v="CABG + V"/>
    <n v="0"/>
    <n v="1"/>
    <s v="PC"/>
    <s v="Perceval"/>
    <s v="B"/>
    <s v="M"/>
    <m/>
    <m/>
    <m/>
    <m/>
    <m/>
    <m/>
    <m/>
    <s v="3R"/>
    <n v="3"/>
    <m/>
    <m/>
    <n v="3"/>
    <d v="2017-07-16T00:00:00"/>
    <n v="2"/>
    <d v="2017-07-27T00:00:00"/>
    <n v="13"/>
    <x v="0"/>
    <n v="1"/>
    <s v="ELECTIVE"/>
    <s v="D"/>
    <m/>
    <m/>
    <m/>
    <s v="PALOMARES"/>
    <d v="2017-08-18T00:00:00"/>
    <d v="2017-08-08T00:00:00"/>
    <s v="Y"/>
    <m/>
    <d v="2017-11-10T00:00:00"/>
    <s v="Y"/>
    <m/>
    <n v="0"/>
    <n v="1"/>
    <n v="1"/>
    <x v="0"/>
    <s v="Aucune"/>
    <s v="Transfusion"/>
    <s v="Aucune"/>
    <s v="NON"/>
    <s v="NON"/>
    <n v="13"/>
    <n v="13"/>
    <s v="Inconnu"/>
    <n v="2"/>
    <n v="2"/>
    <s v="Inconnu"/>
    <s v="Transfusé"/>
    <n v="3"/>
    <s v="CT"/>
    <s v="Aucun"/>
    <s v="Aucun"/>
    <s v="OUI"/>
  </r>
  <r>
    <x v="6"/>
    <s v="STEFANOVIC"/>
    <s v="520804MS02 "/>
    <d v="1952-08-04T00:00:00"/>
    <n v="64.9945205479452"/>
    <s v=" "/>
    <s v="GASSAVELIS"/>
    <s v="GASSAVELIS"/>
    <s v="CT"/>
    <s v="FV"/>
    <s v="M"/>
    <d v="2017-07-17T00:00:00"/>
    <d v="2017-07-04T00:00:00"/>
    <s v="MVR + CABG"/>
    <x v="3"/>
    <x v="0"/>
    <s v="CABG + V"/>
    <n v="0"/>
    <n v="2"/>
    <s v="PC"/>
    <s v="CE"/>
    <s v="B"/>
    <n v="31"/>
    <m/>
    <m/>
    <m/>
    <n v="1"/>
    <m/>
    <m/>
    <m/>
    <s v="1Plaq"/>
    <n v="1"/>
    <s v="2R"/>
    <n v="2"/>
    <n v="3"/>
    <d v="2017-07-19T00:00:00"/>
    <n v="2"/>
    <d v="2017-07-26T00:00:00"/>
    <n v="9"/>
    <x v="0"/>
    <n v="1"/>
    <s v="ELECTIVE"/>
    <s v="D"/>
    <m/>
    <m/>
    <m/>
    <s v="STEFANOVIC"/>
    <d v="2017-08-29T00:00:00"/>
    <d v="2017-08-02T00:00:00"/>
    <s v="Y"/>
    <s v="Message"/>
    <d v="2017-11-10T00:00:00"/>
    <s v="Y"/>
    <m/>
    <n v="0"/>
    <n v="1"/>
    <n v="1"/>
    <x v="0"/>
    <s v="Aucune"/>
    <s v="Transfusion"/>
    <s v="Transfusé"/>
    <s v="NON"/>
    <s v="NON"/>
    <n v="9"/>
    <n v="9"/>
    <s v="Inconnu"/>
    <n v="2"/>
    <n v="2"/>
    <s v="Inconnu"/>
    <s v="Transfusé"/>
    <n v="3"/>
    <s v="CT"/>
    <s v="Aucun"/>
    <s v="Aucun"/>
    <s v="OUI"/>
  </r>
  <r>
    <x v="6"/>
    <s v="NUCHOWICZ"/>
    <s v="600113MN01"/>
    <d v="1960-01-13T00:00:00"/>
    <n v="57.550684931506851"/>
    <s v=" "/>
    <s v="EL MOURAD"/>
    <s v="ERASME CARDIO"/>
    <s v="ERASME CARDIO"/>
    <s v="BE"/>
    <s v="M"/>
    <d v="2017-07-18T00:00:00"/>
    <d v="2017-07-18T00:00:00"/>
    <s v="CABG"/>
    <x v="1"/>
    <x v="1"/>
    <n v="0"/>
    <n v="0"/>
    <n v="2"/>
    <s v="OPCAB"/>
    <m/>
    <m/>
    <m/>
    <d v="2017-07-18T00:00:00"/>
    <n v="1"/>
    <m/>
    <m/>
    <m/>
    <m/>
    <m/>
    <s v="3R"/>
    <n v="3"/>
    <s v="2R"/>
    <n v="2"/>
    <n v="5"/>
    <d v="2017-07-26T00:00:00"/>
    <n v="8"/>
    <d v="2017-08-21T00:00:00"/>
    <n v="34"/>
    <x v="0"/>
    <n v="2"/>
    <s v="URGENCY"/>
    <s v="D"/>
    <m/>
    <m/>
    <m/>
    <s v="NUCHOWICZ"/>
    <d v="2017-09-08T00:00:00"/>
    <d v="2017-09-11T00:00:00"/>
    <s v="Y"/>
    <s v="non mutualiste-pas légal"/>
    <m/>
    <m/>
    <m/>
    <n v="0"/>
    <n v="1"/>
    <n v="1"/>
    <x v="2"/>
    <s v="Aucune"/>
    <s v="Transfusion"/>
    <s v="Transfusé"/>
    <s v="OUI"/>
    <s v="NON"/>
    <n v="34"/>
    <n v="34"/>
    <s v="Inconnu"/>
    <n v="8"/>
    <n v="8"/>
    <s v="Inconnu"/>
    <s v="Transfusé"/>
    <n v="5"/>
    <s v="ERASME"/>
    <s v="Aucun"/>
    <s v="Aucun"/>
    <s v="OUI"/>
  </r>
  <r>
    <x v="6"/>
    <s v="STANDAERT"/>
    <s v="330215FS01"/>
    <d v="1933-02-15T00:00:00"/>
    <n v="84.479452054794521"/>
    <s v="1"/>
    <s v="GREGOIRE"/>
    <s v="GREGOIRE"/>
    <s v="CT"/>
    <s v="FV"/>
    <s v="F"/>
    <d v="2017-07-19T00:00:00"/>
    <d v="2017-07-11T00:00:00"/>
    <s v="AVR"/>
    <x v="2"/>
    <x v="2"/>
    <s v="AVR"/>
    <s v="AVR"/>
    <m/>
    <m/>
    <s v="Perceval"/>
    <s v="B"/>
    <s v="M"/>
    <m/>
    <m/>
    <m/>
    <m/>
    <m/>
    <m/>
    <n v="1"/>
    <m/>
    <m/>
    <m/>
    <m/>
    <n v="0"/>
    <d v="2017-07-21T00:00:00"/>
    <n v="2"/>
    <d v="2017-08-16T00:00:00"/>
    <n v="28"/>
    <x v="0"/>
    <n v="1"/>
    <s v="ELECTIVE"/>
    <s v="R"/>
    <m/>
    <m/>
    <m/>
    <s v="STANDAERT"/>
    <d v="2017-09-12T00:00:00"/>
    <d v="2017-08-29T00:00:00"/>
    <s v="Y"/>
    <m/>
    <d v="2017-11-03T00:00:00"/>
    <s v="Y"/>
    <s v="plaie suinte toujours"/>
    <n v="1"/>
    <n v="0"/>
    <n v="1"/>
    <x v="0"/>
    <s v="Infection"/>
    <s v="Aucune"/>
    <s v="Aucune"/>
    <s v="NON"/>
    <s v="NON"/>
    <n v="28"/>
    <n v="28"/>
    <s v="Inconnu"/>
    <n v="2"/>
    <n v="2"/>
    <s v="Inconnu"/>
    <s v="Aucune"/>
    <n v="0"/>
    <s v="CT"/>
    <s v="Aucun"/>
    <s v="Aucun"/>
    <s v="OUI"/>
  </r>
  <r>
    <x v="6"/>
    <s v="VAN HOUCKE"/>
    <s v="351220MV04"/>
    <d v="1935-12-20T00:00:00"/>
    <n v="81.638356164383566"/>
    <s v="1"/>
    <s v="DAYEH"/>
    <s v="CHIREC PARC LEOPOLD"/>
    <s v="CHIREC PARC LEOPOLD"/>
    <s v="BE"/>
    <s v="M"/>
    <d v="2017-07-20T00:00:00"/>
    <d v="2017-07-11T00:00:00"/>
    <s v="CABG + MAZE"/>
    <x v="1"/>
    <x v="1"/>
    <n v="0"/>
    <n v="0"/>
    <n v="4"/>
    <s v="PC"/>
    <m/>
    <m/>
    <m/>
    <m/>
    <m/>
    <m/>
    <m/>
    <m/>
    <m/>
    <m/>
    <m/>
    <m/>
    <m/>
    <m/>
    <n v="0"/>
    <d v="2017-07-23T00:00:00"/>
    <n v="3"/>
    <d v="2017-07-28T00:00:00"/>
    <n v="8"/>
    <x v="0"/>
    <n v="1"/>
    <s v="ELECTIVE"/>
    <s v="D"/>
    <m/>
    <m/>
    <m/>
    <s v="VAN HOUCKE"/>
    <d v="2017-08-25T00:00:00"/>
    <d v="2017-08-08T00:00:00"/>
    <s v="Y"/>
    <s v="déprimé"/>
    <d v="2017-11-08T00:00:00"/>
    <s v="Y"/>
    <s v="bien mieux"/>
    <n v="0"/>
    <n v="0"/>
    <n v="1"/>
    <x v="0"/>
    <s v="Aucune"/>
    <s v="Aucune"/>
    <s v="Aucune"/>
    <s v="NON"/>
    <s v="NON"/>
    <n v="8"/>
    <n v="8"/>
    <s v="Inconnu"/>
    <n v="3"/>
    <n v="3"/>
    <s v="Inconnu"/>
    <s v="Aucune"/>
    <n v="0"/>
    <s v="CHIREC"/>
    <s v="Aucun"/>
    <s v="Aucun"/>
    <s v="OUI"/>
  </r>
  <r>
    <x v="6"/>
    <s v="MICHAILIDOU"/>
    <s v="460515FM01"/>
    <d v="1946-05-15T00:00:00"/>
    <n v="71.241095890410961"/>
    <s v=" "/>
    <s v="MIRICA"/>
    <s v="ERASME CARDIO"/>
    <s v="ERASME CARDIO"/>
    <s v="FV"/>
    <s v="F"/>
    <d v="2017-07-24T00:00:00"/>
    <d v="2017-05-09T00:00:00"/>
    <s v="? (AVR + MVR + TVR)"/>
    <x v="0"/>
    <x v="0"/>
    <n v="0"/>
    <s v="2 V ou plus"/>
    <m/>
    <m/>
    <m/>
    <m/>
    <m/>
    <m/>
    <m/>
    <m/>
    <m/>
    <m/>
    <m/>
    <n v="1"/>
    <s v="2R"/>
    <n v="2"/>
    <s v="8R/2Plaq"/>
    <n v="10"/>
    <n v="12"/>
    <d v="2017-08-04T00:00:00"/>
    <n v="11"/>
    <d v="2017-08-04T00:00:00"/>
    <n v="11"/>
    <x v="1"/>
    <n v="1"/>
    <s v="ELECTIVE"/>
    <s v="/"/>
    <m/>
    <m/>
    <m/>
    <s v="MICHAILIDOU"/>
    <s v="/"/>
    <d v="2017-08-04T00:00:00"/>
    <s v="N"/>
    <s v="DCD"/>
    <s v="/"/>
    <s v="N"/>
    <s v="DCD"/>
    <n v="1"/>
    <n v="1"/>
    <n v="1"/>
    <x v="0"/>
    <s v="Infection"/>
    <s v="Transfusion"/>
    <s v="Transfusé"/>
    <s v="NON"/>
    <s v="NON"/>
    <n v="11"/>
    <n v="11"/>
    <s v="Inconnu"/>
    <n v="11"/>
    <n v="11"/>
    <s v="Inconnu"/>
    <s v="Transfusé"/>
    <n v="12"/>
    <s v="ERASME"/>
    <s v="Aucun"/>
    <s v="Aucun"/>
    <s v="OUI"/>
  </r>
  <r>
    <x v="6"/>
    <s v="GOSSIEAU"/>
    <s v="591205FG01"/>
    <d v="1959-12-05T00:00:00"/>
    <n v="57.676712328767124"/>
    <s v=" "/>
    <s v="GASSAVELIS"/>
    <s v="GASSAVELIS"/>
    <s v="CT"/>
    <s v="FV"/>
    <s v="F"/>
    <d v="2017-07-25T00:00:00"/>
    <d v="2017-07-04T00:00:00"/>
    <s v="MVP"/>
    <x v="5"/>
    <x v="4"/>
    <s v="MVP"/>
    <s v="MVP"/>
    <m/>
    <m/>
    <s v="CE"/>
    <m/>
    <n v="32"/>
    <m/>
    <m/>
    <m/>
    <m/>
    <m/>
    <m/>
    <m/>
    <m/>
    <m/>
    <m/>
    <m/>
    <n v="0"/>
    <d v="2017-07-26T00:00:00"/>
    <n v="1"/>
    <d v="2017-08-01T00:00:00"/>
    <n v="7"/>
    <x v="0"/>
    <n v="1"/>
    <s v="ELECTIVE"/>
    <s v="D"/>
    <m/>
    <m/>
    <m/>
    <s v="GOSSIEAU"/>
    <d v="2017-08-29T00:00:00"/>
    <d v="2017-08-08T00:00:00"/>
    <s v="Y"/>
    <m/>
    <d v="2017-10-31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T"/>
    <s v="Aucun"/>
    <s v="Aucun"/>
    <s v="OUI"/>
  </r>
  <r>
    <x v="6"/>
    <s v="HEINEN"/>
    <s v="511009MH03"/>
    <d v="1951-10-09T00:00:00"/>
    <n v="65.841095890410955"/>
    <s v=" "/>
    <s v="PAUCAR"/>
    <s v="VALIDA"/>
    <s v="VALIDA"/>
    <s v="FV"/>
    <s v="M"/>
    <d v="2017-07-26T00:00:00"/>
    <d v="2017-07-11T00:00:00"/>
    <s v="? (AVR + CABG)"/>
    <x v="3"/>
    <x v="0"/>
    <s v="CABG + V"/>
    <n v="0"/>
    <m/>
    <m/>
    <m/>
    <m/>
    <m/>
    <m/>
    <m/>
    <m/>
    <m/>
    <m/>
    <m/>
    <m/>
    <m/>
    <m/>
    <m/>
    <m/>
    <n v="0"/>
    <d v="2017-07-27T00:00:00"/>
    <n v="1"/>
    <d v="2017-08-02T00:00:00"/>
    <n v="7"/>
    <x v="0"/>
    <n v="1"/>
    <s v="ELECTIVE"/>
    <s v="D"/>
    <m/>
    <m/>
    <m/>
    <s v="HEINEN"/>
    <d v="2017-09-05T00:00:00"/>
    <d v="2017-09-04T00:00:00"/>
    <s v="Y"/>
    <m/>
    <d v="2017-10-31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VALIDA"/>
    <s v="Aucun"/>
    <s v="Aucun"/>
    <s v="OUI"/>
  </r>
  <r>
    <x v="6"/>
    <s v="DEWILDE"/>
    <s v="600530MD03"/>
    <d v="1960-05-30T00:00:00"/>
    <n v="57.197260273972603"/>
    <s v=" "/>
    <s v="LENAERS"/>
    <s v="ERASME CARDIO"/>
    <s v="ERASME CARDIO"/>
    <s v="FV"/>
    <s v="M"/>
    <d v="2017-07-27T00:00:00"/>
    <d v="2017-07-25T00:00:00"/>
    <s v="CABG"/>
    <x v="1"/>
    <x v="1"/>
    <n v="0"/>
    <n v="0"/>
    <n v="4"/>
    <s v="PC"/>
    <m/>
    <m/>
    <m/>
    <m/>
    <m/>
    <m/>
    <m/>
    <m/>
    <m/>
    <n v="1"/>
    <s v="2R/4Plas/1Plaq"/>
    <n v="7"/>
    <s v="1R"/>
    <n v="1"/>
    <n v="8"/>
    <d v="2017-08-02T00:00:00"/>
    <n v="6"/>
    <d v="2017-08-07T00:00:00"/>
    <n v="11"/>
    <x v="0"/>
    <n v="1"/>
    <s v="ELECTIVE"/>
    <s v="D"/>
    <m/>
    <m/>
    <m/>
    <s v="DEWILDE"/>
    <d v="2017-09-12T00:00:00"/>
    <d v="2017-09-04T00:00:00"/>
    <s v="Y"/>
    <m/>
    <d v="2017-11-13T00:00:00"/>
    <s v="Y"/>
    <m/>
    <n v="1"/>
    <n v="1"/>
    <n v="1"/>
    <x v="0"/>
    <s v="Infection"/>
    <s v="Transfusion"/>
    <s v="Transfusé"/>
    <s v="NON"/>
    <s v="NON"/>
    <n v="11"/>
    <n v="11"/>
    <s v="Inconnu"/>
    <n v="6"/>
    <n v="6"/>
    <s v="Inconnu"/>
    <s v="Transfusé"/>
    <n v="8"/>
    <s v="ERASME"/>
    <s v="Aucun"/>
    <s v="Aucun"/>
    <s v="OUI"/>
  </r>
  <r>
    <x v="6"/>
    <s v="HADINE"/>
    <s v="300101MHAA"/>
    <d v="1930-01-01T00:00:00"/>
    <n v="87.638356164383566"/>
    <s v="1"/>
    <s v="URGENCES"/>
    <s v="ERASME URGENCES"/>
    <s v="ERASME URGENCES"/>
    <s v="MLC"/>
    <s v="M"/>
    <d v="2017-07-31T00:00:00"/>
    <d v="2017-07-25T00:00:00"/>
    <s v="AVR + CABG"/>
    <x v="3"/>
    <x v="0"/>
    <s v="CABG + V"/>
    <n v="0"/>
    <n v="1"/>
    <s v="PC"/>
    <s v="Perceval"/>
    <s v="B"/>
    <s v="L"/>
    <m/>
    <m/>
    <m/>
    <m/>
    <m/>
    <m/>
    <n v="1"/>
    <m/>
    <m/>
    <s v="2R"/>
    <n v="2"/>
    <n v="2"/>
    <d v="2017-08-01T00:00:00"/>
    <n v="1"/>
    <d v="2017-08-12T00:00:00"/>
    <n v="12"/>
    <x v="0"/>
    <n v="2"/>
    <s v="URGENCY"/>
    <s v="D"/>
    <m/>
    <m/>
    <m/>
    <s v="HADINE"/>
    <d v="2017-09-14T00:00:00"/>
    <d v="2017-08-29T00:00:00"/>
    <s v="Y"/>
    <m/>
    <d v="2017-11-13T00:00:00"/>
    <s v="Y"/>
    <m/>
    <n v="1"/>
    <n v="1"/>
    <n v="1"/>
    <x v="2"/>
    <s v="Infection"/>
    <s v="Transfusion"/>
    <s v="Transfusé"/>
    <s v="NON"/>
    <s v="NON"/>
    <n v="12"/>
    <n v="12"/>
    <s v="Inconnu"/>
    <n v="1"/>
    <n v="1"/>
    <s v="Inconnu"/>
    <s v="Transfusé"/>
    <n v="2"/>
    <s v="ERASME"/>
    <s v="Aucun"/>
    <s v="Aucun"/>
    <s v="OUI"/>
  </r>
  <r>
    <x v="7"/>
    <s v="SIMOENS"/>
    <s v="420225FS03"/>
    <d v="1942-02-25T00:00:00"/>
    <n v="75.482191780821921"/>
    <s v=" "/>
    <s v="DESCAMPS"/>
    <s v="CHWAPI TOURNAI"/>
    <s v="CHWAPI TOURNAI"/>
    <s v="FV"/>
    <s v="F"/>
    <d v="2017-08-01T00:00:00"/>
    <d v="2017-07-18T00:00:00"/>
    <s v="? (AVR)"/>
    <x v="2"/>
    <x v="2"/>
    <s v="AVR"/>
    <s v="AVR"/>
    <m/>
    <m/>
    <m/>
    <m/>
    <m/>
    <m/>
    <m/>
    <m/>
    <m/>
    <m/>
    <m/>
    <n v="1"/>
    <m/>
    <m/>
    <m/>
    <m/>
    <n v="0"/>
    <d v="2017-08-04T00:00:00"/>
    <n v="3"/>
    <d v="2017-08-16T00:00:00"/>
    <n v="15"/>
    <x v="0"/>
    <n v="1"/>
    <s v="ELECTIVE"/>
    <s v="CHWAPI"/>
    <m/>
    <m/>
    <m/>
    <s v="SIMOENS"/>
    <d v="2017-09-19T00:00:00"/>
    <d v="2017-08-29T00:00:00"/>
    <s v="Y"/>
    <s v="Message"/>
    <m/>
    <m/>
    <m/>
    <n v="1"/>
    <n v="0"/>
    <n v="1"/>
    <x v="0"/>
    <s v="Infection"/>
    <s v="Aucune"/>
    <s v="Aucune"/>
    <s v="NON"/>
    <s v="NON"/>
    <n v="15"/>
    <n v="15"/>
    <s v="Inconnu"/>
    <n v="3"/>
    <n v="3"/>
    <s v="Inconnu"/>
    <s v="Aucune"/>
    <n v="0"/>
    <s v="CHWAPI TOURNAI"/>
    <s v="Aucun"/>
    <s v="Aucun"/>
    <s v="OUI"/>
  </r>
  <r>
    <x v="7"/>
    <s v="BLOMME"/>
    <s v="430621MB02"/>
    <d v="1943-06-21T00:00:00"/>
    <n v="74.167123287671231"/>
    <s v=" "/>
    <s v="DAYEH"/>
    <s v="CHIREC PARC LEOPOLD"/>
    <s v="CHIREC PARC LEOPOLD"/>
    <s v="FV"/>
    <s v="M"/>
    <d v="2017-08-02T00:00:00"/>
    <d v="2017-06-13T00:00:00"/>
    <s v="CABG"/>
    <x v="1"/>
    <x v="1"/>
    <n v="0"/>
    <n v="0"/>
    <n v="1"/>
    <s v="MIDCAB"/>
    <m/>
    <m/>
    <m/>
    <m/>
    <m/>
    <m/>
    <m/>
    <m/>
    <m/>
    <m/>
    <m/>
    <m/>
    <m/>
    <m/>
    <n v="0"/>
    <d v="2017-08-03T00:00:00"/>
    <n v="1"/>
    <d v="2017-08-09T00:00:00"/>
    <n v="7"/>
    <x v="0"/>
    <n v="1"/>
    <s v="ELECTIVE"/>
    <s v="D"/>
    <m/>
    <m/>
    <m/>
    <s v="BLOMME"/>
    <d v="2017-09-12T00:00:00"/>
    <d v="2017-08-30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7"/>
    <s v="MASSE"/>
    <s v="441116MM04"/>
    <d v="1944-11-16T00:00:00"/>
    <n v="72.761643835616439"/>
    <s v=" "/>
    <s v="CONTU"/>
    <s v="CHIREC BASILIQUE"/>
    <s v="CHIREC BASILIQUE"/>
    <s v="FV"/>
    <s v="M"/>
    <d v="2017-08-03T00:00:00"/>
    <d v="2017-07-25T00:00:00"/>
    <s v="CABG"/>
    <x v="1"/>
    <x v="1"/>
    <n v="0"/>
    <n v="0"/>
    <n v="4"/>
    <s v="PC"/>
    <m/>
    <m/>
    <m/>
    <m/>
    <m/>
    <m/>
    <m/>
    <m/>
    <m/>
    <m/>
    <s v="2Plas"/>
    <n v="2"/>
    <m/>
    <m/>
    <n v="2"/>
    <d v="2017-08-04T00:00:00"/>
    <n v="1"/>
    <d v="2017-08-09T00:00:00"/>
    <n v="6"/>
    <x v="0"/>
    <n v="1"/>
    <s v="ELECTIVE"/>
    <s v="D"/>
    <d v="2017-09-10T00:00:00"/>
    <n v="1"/>
    <s v="C"/>
    <s v="MASSE"/>
    <d v="2017-09-12T00:00:00"/>
    <d v="2017-08-29T00:00:00"/>
    <s v="Y"/>
    <s v="Message"/>
    <d v="2017-11-10T00:00:00"/>
    <s v="Y"/>
    <m/>
    <n v="0"/>
    <n v="1"/>
    <n v="1"/>
    <x v="0"/>
    <s v="Aucune"/>
    <s v="Transfusion"/>
    <s v="Aucune"/>
    <s v="NON"/>
    <s v="OUI"/>
    <n v="6"/>
    <n v="6"/>
    <s v="Inconnu"/>
    <n v="1"/>
    <n v="1"/>
    <s v="Inconnu"/>
    <s v="Transfusé"/>
    <n v="2"/>
    <s v="CHIREC"/>
    <s v="Aucun"/>
    <s v="Aucun"/>
    <s v="OUI"/>
  </r>
  <r>
    <x v="7"/>
    <s v="HANART"/>
    <s v="790517MH01"/>
    <d v="1979-05-17T00:00:00"/>
    <n v="38.241095890410961"/>
    <s v=" "/>
    <s v="ROUSSOULIERES"/>
    <s v="ERASME VAD"/>
    <s v="ERASME VAD"/>
    <s v="FV"/>
    <s v="M"/>
    <d v="2017-08-03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8-08T00:00:00"/>
    <n v="5"/>
    <d v="2017-08-28T00:00:00"/>
    <n v="25"/>
    <x v="0"/>
    <n v="2"/>
    <s v="URGENCY"/>
    <m/>
    <m/>
    <m/>
    <m/>
    <s v="HANART"/>
    <s v="/"/>
    <s v="/"/>
    <m/>
    <s v="HTX"/>
    <s v="/"/>
    <m/>
    <s v="HTX"/>
    <n v="0"/>
    <n v="0"/>
    <n v="1"/>
    <x v="2"/>
    <s v="Aucune"/>
    <s v="Aucune"/>
    <s v="Aucune"/>
    <s v="NON"/>
    <s v="NON"/>
    <n v="25"/>
    <s v="Inconnu"/>
    <n v="25"/>
    <n v="5"/>
    <s v="Inconnu"/>
    <n v="5"/>
    <s v="Aucune"/>
    <n v="0"/>
    <s v="ERASME"/>
    <s v="Aucun"/>
    <s v="Aucun"/>
    <s v="NON"/>
  </r>
  <r>
    <x v="7"/>
    <s v="EL OUARGHI"/>
    <s v="590701ME20"/>
    <d v="1959-07-01T00:00:00"/>
    <n v="58.134246575342466"/>
    <s v=" "/>
    <s v="JAMART"/>
    <s v="ERASME CARDIO"/>
    <s v="ERASME CARDIO"/>
    <s v="MLC"/>
    <s v="M"/>
    <d v="2017-08-04T00:00:00"/>
    <d v="2017-07-25T00:00:00"/>
    <s v="CABG"/>
    <x v="1"/>
    <x v="1"/>
    <n v="0"/>
    <n v="0"/>
    <n v="2"/>
    <s v="PC"/>
    <m/>
    <m/>
    <m/>
    <m/>
    <m/>
    <m/>
    <m/>
    <m/>
    <m/>
    <m/>
    <m/>
    <m/>
    <m/>
    <m/>
    <n v="0"/>
    <d v="2017-08-05T00:00:00"/>
    <n v="1"/>
    <d v="2017-08-11T00:00:00"/>
    <n v="7"/>
    <x v="0"/>
    <n v="1"/>
    <s v="ELECTIVE"/>
    <s v="D"/>
    <m/>
    <m/>
    <m/>
    <s v="EL OUARGHI"/>
    <d v="2017-09-14T00:00:00"/>
    <d v="2017-08-29T00:00:00"/>
    <s v="Y"/>
    <m/>
    <d v="2017-11-13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7"/>
    <s v="RENTMEESTERS "/>
    <s v="580505MR03"/>
    <d v="1958-05-05T00:00:00"/>
    <n v="59.298630136986304"/>
    <s v=" "/>
    <s v="ONGA"/>
    <s v="BRACOPS"/>
    <s v="BRACOPS"/>
    <s v="MLC"/>
    <s v="M"/>
    <d v="2017-08-07T00:00:00"/>
    <m/>
    <s v="CABG"/>
    <x v="1"/>
    <x v="1"/>
    <n v="0"/>
    <n v="0"/>
    <n v="2"/>
    <s v="PC"/>
    <m/>
    <m/>
    <m/>
    <m/>
    <m/>
    <m/>
    <m/>
    <m/>
    <m/>
    <m/>
    <m/>
    <m/>
    <m/>
    <m/>
    <n v="0"/>
    <d v="2017-08-08T00:00:00"/>
    <n v="1"/>
    <d v="2017-08-14T00:00:00"/>
    <n v="7"/>
    <x v="0"/>
    <n v="1"/>
    <s v="ELECTIVE"/>
    <s v="D"/>
    <m/>
    <m/>
    <m/>
    <s v="RENTMEESTERS "/>
    <d v="2017-09-14T00:00:00"/>
    <d v="2017-08-29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BRACOPS"/>
    <s v="Aucun"/>
    <s v="Aucun"/>
    <s v="NON"/>
  </r>
  <r>
    <x v="7"/>
    <s v="UGOLINI"/>
    <s v="511120MU01"/>
    <d v="1951-11-20T00:00:00"/>
    <n v="65.758904109589039"/>
    <s v=" "/>
    <s v="EL MOURAD"/>
    <s v="ERASME CARDIO"/>
    <s v="ERASME CARDIO"/>
    <s v="FV"/>
    <s v="M"/>
    <d v="2017-08-07T00:00:00"/>
    <d v="2017-08-01T00:00:00"/>
    <s v="? (CABG)"/>
    <x v="1"/>
    <x v="1"/>
    <n v="0"/>
    <n v="0"/>
    <m/>
    <m/>
    <m/>
    <m/>
    <m/>
    <m/>
    <m/>
    <m/>
    <m/>
    <m/>
    <m/>
    <m/>
    <m/>
    <m/>
    <m/>
    <m/>
    <n v="0"/>
    <d v="2017-08-08T00:00:00"/>
    <n v="1"/>
    <d v="2017-08-14T00:00:00"/>
    <n v="7"/>
    <x v="0"/>
    <n v="1"/>
    <s v="ELECTIVE"/>
    <s v="D"/>
    <m/>
    <m/>
    <m/>
    <s v="UGOLINI"/>
    <d v="2017-09-19T00:00:00"/>
    <d v="2017-09-11T00:00:00"/>
    <s v="Y"/>
    <s v="donner cardio "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7"/>
    <s v="OOGHE"/>
    <s v="520327FO01"/>
    <d v="1952-03-27T00:00:00"/>
    <n v="65.410958904109592"/>
    <s v=" "/>
    <s v="VANDENBERGH"/>
    <s v="BRACOPS"/>
    <s v="BRACOPS"/>
    <s v="FV"/>
    <s v="F"/>
    <d v="2017-08-08T00:00:00"/>
    <d v="2017-06-27T00:00:00"/>
    <s v="CABG"/>
    <x v="1"/>
    <x v="1"/>
    <n v="0"/>
    <n v="0"/>
    <n v="3"/>
    <s v="PC"/>
    <m/>
    <m/>
    <m/>
    <m/>
    <m/>
    <m/>
    <m/>
    <m/>
    <m/>
    <m/>
    <s v="1R"/>
    <n v="1"/>
    <m/>
    <m/>
    <n v="1"/>
    <d v="2017-08-09T00:00:00"/>
    <n v="1"/>
    <d v="2017-08-15T00:00:00"/>
    <n v="7"/>
    <x v="0"/>
    <n v="1"/>
    <s v="ELECTIVE"/>
    <s v="D"/>
    <m/>
    <m/>
    <m/>
    <s v="OOGHE"/>
    <d v="2017-09-19T00:00:00"/>
    <d v="2017-08-29T00:00:00"/>
    <s v="Y"/>
    <m/>
    <m/>
    <m/>
    <m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1"/>
    <s v="BRACOPS"/>
    <s v="Aucun"/>
    <s v="Aucun"/>
    <s v="OUI"/>
  </r>
  <r>
    <x v="7"/>
    <s v="DELHAYE"/>
    <s v="390308MD01"/>
    <d v="1939-03-08T00:00:00"/>
    <n v="78.476712328767121"/>
    <s v=" "/>
    <s v="DESCAMPS"/>
    <s v="CHWAPI TOURNAI"/>
    <s v="CHWAPI TOURNAI"/>
    <s v="FV"/>
    <s v="M"/>
    <d v="2017-08-09T00:00:00"/>
    <d v="2017-08-08T00:00:00"/>
    <s v="AVR + MVP + CABG"/>
    <x v="9"/>
    <x v="0"/>
    <s v="CABG + V"/>
    <n v="0"/>
    <n v="1"/>
    <s v="PC"/>
    <s v="Perceval/CE"/>
    <s v="B"/>
    <s v="L/32"/>
    <m/>
    <m/>
    <m/>
    <m/>
    <m/>
    <m/>
    <m/>
    <s v="4R/1Plaq"/>
    <n v="5"/>
    <s v="4R"/>
    <n v="4"/>
    <n v="9"/>
    <d v="2017-09-01T00:00:00"/>
    <n v="23"/>
    <d v="2017-09-08T00:00:00"/>
    <n v="30"/>
    <x v="0"/>
    <n v="2"/>
    <s v="URGENCY"/>
    <s v="CHWAPI"/>
    <m/>
    <m/>
    <m/>
    <s v="DELHAYE"/>
    <s v="/"/>
    <d v="2017-10-03T00:00:00"/>
    <s v="Y"/>
    <s v="inf urinaire"/>
    <m/>
    <m/>
    <m/>
    <n v="0"/>
    <n v="1"/>
    <n v="1"/>
    <x v="2"/>
    <s v="Aucune"/>
    <s v="Transfusion"/>
    <s v="Transfusé"/>
    <s v="NON"/>
    <s v="NON"/>
    <n v="30"/>
    <n v="30"/>
    <s v="Inconnu"/>
    <n v="23"/>
    <n v="23"/>
    <s v="Inconnu"/>
    <s v="Transfusé"/>
    <n v="9"/>
    <s v="CHWAPI TOURNAI"/>
    <s v="Aucun"/>
    <s v="Aucun"/>
    <s v="OUI"/>
  </r>
  <r>
    <x v="7"/>
    <s v="WESEMAEL"/>
    <s v="531225FW01"/>
    <d v="1953-12-25T00:00:00"/>
    <n v="63.665753424657531"/>
    <s v=" "/>
    <s v="VISEUR"/>
    <s v="VISEUR"/>
    <s v="CT"/>
    <s v="MLC"/>
    <s v="F"/>
    <d v="2017-08-09T00:00:00"/>
    <d v="2017-08-08T00:00:00"/>
    <s v="AVR"/>
    <x v="2"/>
    <x v="2"/>
    <s v="AVR"/>
    <s v="AVR"/>
    <m/>
    <m/>
    <s v="CE"/>
    <s v="B"/>
    <n v="21"/>
    <m/>
    <m/>
    <m/>
    <m/>
    <m/>
    <m/>
    <n v="1"/>
    <m/>
    <m/>
    <m/>
    <m/>
    <n v="0"/>
    <d v="2017-08-10T00:00:00"/>
    <n v="1"/>
    <d v="2017-08-15T00:00:00"/>
    <n v="6"/>
    <x v="0"/>
    <n v="1"/>
    <s v="ELECTIVE"/>
    <s v="D"/>
    <m/>
    <m/>
    <m/>
    <s v="WESEMAEL"/>
    <d v="2017-09-14T00:00:00"/>
    <d v="2017-08-29T00:00:00"/>
    <s v="Y"/>
    <m/>
    <m/>
    <m/>
    <m/>
    <n v="1"/>
    <n v="0"/>
    <n v="1"/>
    <x v="0"/>
    <s v="Infection"/>
    <s v="Aucune"/>
    <s v="Aucune"/>
    <s v="NON"/>
    <s v="NON"/>
    <n v="6"/>
    <n v="6"/>
    <s v="Inconnu"/>
    <n v="1"/>
    <n v="1"/>
    <s v="Inconnu"/>
    <s v="Aucune"/>
    <n v="0"/>
    <s v="CT"/>
    <s v="Aucun"/>
    <s v="Aucun"/>
    <s v="OUI"/>
  </r>
  <r>
    <x v="7"/>
    <s v="SWAELES"/>
    <s v="310613FS02"/>
    <d v="1931-06-13T00:00:00"/>
    <n v="86.219178082191775"/>
    <s v="1"/>
    <s v="KHODADADI"/>
    <s v="BRACOPS"/>
    <s v="BRACOPS"/>
    <s v="MLC"/>
    <s v="F"/>
    <d v="2017-08-10T00:00:00"/>
    <m/>
    <s v="CABG"/>
    <x v="1"/>
    <x v="1"/>
    <n v="0"/>
    <n v="0"/>
    <m/>
    <m/>
    <m/>
    <m/>
    <m/>
    <m/>
    <m/>
    <m/>
    <m/>
    <m/>
    <m/>
    <m/>
    <s v="1R"/>
    <n v="1"/>
    <m/>
    <m/>
    <n v="1"/>
    <d v="2017-08-13T00:00:00"/>
    <n v="3"/>
    <d v="2017-08-23T00:00:00"/>
    <n v="13"/>
    <x v="0"/>
    <n v="1"/>
    <s v="ELECTIVE"/>
    <s v="R"/>
    <m/>
    <m/>
    <m/>
    <s v="SWAELES"/>
    <d v="2017-09-14T00:00:00"/>
    <d v="2017-08-30T00:00:00"/>
    <s v="Y"/>
    <s v="plaie jambe- sternum ok "/>
    <m/>
    <m/>
    <m/>
    <n v="0"/>
    <n v="1"/>
    <n v="1"/>
    <x v="0"/>
    <s v="Aucune"/>
    <s v="Transfusion"/>
    <s v="Aucune"/>
    <s v="NON"/>
    <s v="NON"/>
    <n v="13"/>
    <n v="13"/>
    <s v="Inconnu"/>
    <n v="3"/>
    <n v="3"/>
    <s v="Inconnu"/>
    <s v="Transfusé"/>
    <n v="1"/>
    <s v="BRACOPS"/>
    <s v="Aucun"/>
    <s v="Aucun"/>
    <s v="NON"/>
  </r>
  <r>
    <x v="7"/>
    <s v="MARINI"/>
    <s v="571005MMAA"/>
    <d v="1957-10-05T00:00:00"/>
    <n v="59.887671232876713"/>
    <s v=" "/>
    <s v="ROUSSOULIERES"/>
    <s v="ERASME VAD"/>
    <s v="ERASME VAD"/>
    <s v="FV"/>
    <s v="M"/>
    <d v="2017-08-10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8-21T00:00:00"/>
    <n v="11"/>
    <d v="2017-09-08T00:00:00"/>
    <n v="29"/>
    <x v="0"/>
    <n v="2"/>
    <s v="URGENCY"/>
    <s v="D"/>
    <m/>
    <m/>
    <m/>
    <s v="MARINI"/>
    <s v="/"/>
    <s v="/"/>
    <m/>
    <s v="HTX"/>
    <s v="/"/>
    <m/>
    <s v="HTX"/>
    <n v="0"/>
    <n v="0"/>
    <n v="1"/>
    <x v="2"/>
    <s v="Aucune"/>
    <s v="Aucune"/>
    <s v="Aucune"/>
    <s v="NON"/>
    <s v="NON"/>
    <n v="29"/>
    <s v="Inconnu"/>
    <n v="29"/>
    <n v="11"/>
    <s v="Inconnu"/>
    <n v="11"/>
    <s v="Aucune"/>
    <n v="0"/>
    <s v="ERASME"/>
    <s v="Aucun"/>
    <s v="Aucun"/>
    <s v="NON"/>
  </r>
  <r>
    <x v="7"/>
    <s v="VAN EMMERIK"/>
    <s v="581021MV04"/>
    <d v="1958-10-21T00:00:00"/>
    <n v="58.846575342465755"/>
    <s v=" "/>
    <s v="EL MOURAD"/>
    <s v="ERASME CARDIO"/>
    <s v="ERASME CARDIO"/>
    <s v="MLC"/>
    <s v="M"/>
    <d v="2017-08-11T00:00:00"/>
    <d v="2017-07-04T00:00:00"/>
    <s v="CABG"/>
    <x v="1"/>
    <x v="1"/>
    <n v="0"/>
    <n v="0"/>
    <n v="2"/>
    <s v="PC"/>
    <m/>
    <m/>
    <m/>
    <m/>
    <m/>
    <m/>
    <m/>
    <m/>
    <m/>
    <m/>
    <m/>
    <m/>
    <m/>
    <m/>
    <n v="0"/>
    <d v="2017-08-12T00:00:00"/>
    <n v="1"/>
    <d v="2017-08-18T00:00:00"/>
    <n v="7"/>
    <x v="0"/>
    <n v="1"/>
    <s v="ELECTIVE"/>
    <s v="D"/>
    <m/>
    <m/>
    <m/>
    <s v="VAN EMMERIK"/>
    <d v="2017-09-21T00:00:00"/>
    <d v="2017-09-01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7"/>
    <s v="GUILLAUME"/>
    <s v="590221MG01"/>
    <d v="1959-02-21T00:00:00"/>
    <n v="58.517808219178079"/>
    <s v=" "/>
    <s v="PREUMONT"/>
    <s v="ERASME CARDIO"/>
    <s v="ERASME CARDIO"/>
    <s v="BE"/>
    <s v="M"/>
    <d v="2017-08-14T00:00:00"/>
    <d v="2017-01-24T00:00:00"/>
    <s v="CABG"/>
    <x v="1"/>
    <x v="1"/>
    <n v="0"/>
    <n v="0"/>
    <n v="2"/>
    <s v="OPCAB"/>
    <m/>
    <m/>
    <m/>
    <m/>
    <m/>
    <m/>
    <m/>
    <m/>
    <m/>
    <m/>
    <m/>
    <m/>
    <m/>
    <m/>
    <n v="0"/>
    <d v="2017-08-15T00:00:00"/>
    <n v="1"/>
    <d v="2017-08-21T00:00:00"/>
    <n v="7"/>
    <x v="0"/>
    <n v="1"/>
    <s v="ELECTIVE"/>
    <s v="D"/>
    <m/>
    <m/>
    <m/>
    <s v="GUILLAUME"/>
    <d v="2017-09-08T00:00:00"/>
    <d v="2017-09-01T00:00:00"/>
    <s v="Y"/>
    <s v="Lasix ++ ép péric ?"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7"/>
    <s v="DE LILLE"/>
    <s v="350623FD05"/>
    <d v="1935-06-23T00:00:00"/>
    <n v="82.224657534246575"/>
    <s v="1"/>
    <s v="GASSAVELIS"/>
    <s v="GASSAVELIS"/>
    <s v="CT"/>
    <s v="BE"/>
    <s v="F"/>
    <d v="2017-08-23T00:00:00"/>
    <d v="2017-08-22T00:00:00"/>
    <s v="AVR"/>
    <x v="2"/>
    <x v="2"/>
    <s v="AVR"/>
    <s v="AVR"/>
    <m/>
    <m/>
    <s v="CE"/>
    <s v="B"/>
    <n v="23"/>
    <m/>
    <m/>
    <m/>
    <m/>
    <m/>
    <m/>
    <n v="1"/>
    <s v="3R/2Plaq"/>
    <n v="5"/>
    <s v="1R"/>
    <n v="1"/>
    <n v="6"/>
    <d v="2017-09-05T00:00:00"/>
    <n v="13"/>
    <d v="2017-09-05T00:00:00"/>
    <n v="13"/>
    <x v="1"/>
    <n v="3"/>
    <s v="EMERGENCY"/>
    <s v="/"/>
    <m/>
    <m/>
    <m/>
    <s v="DE LILLE"/>
    <s v="/"/>
    <d v="2017-09-05T00:00:00"/>
    <s v="N"/>
    <s v="DCD"/>
    <s v="/"/>
    <s v="N"/>
    <s v="DCD"/>
    <n v="1"/>
    <n v="1"/>
    <n v="1"/>
    <x v="1"/>
    <s v="Infection"/>
    <s v="Transfusion"/>
    <s v="Transfusé"/>
    <s v="NON"/>
    <s v="NON"/>
    <n v="13"/>
    <n v="13"/>
    <s v="Inconnu"/>
    <n v="13"/>
    <n v="13"/>
    <s v="Inconnu"/>
    <s v="Transfusé"/>
    <n v="6"/>
    <s v="CT"/>
    <s v="Aucun"/>
    <s v="Aucun"/>
    <s v="OUI"/>
  </r>
  <r>
    <x v="7"/>
    <s v="FILIPPIN"/>
    <s v="561209MF01"/>
    <d v="1956-12-09T00:00:00"/>
    <n v="60.747945205479454"/>
    <s v=" "/>
    <s v="MIRICA"/>
    <s v="ERASME CARDIO"/>
    <s v="ERASME CARDIO"/>
    <s v="BE"/>
    <s v="M"/>
    <d v="2017-08-24T00:00:00"/>
    <d v="2017-08-08T00:00:00"/>
    <s v="CABG"/>
    <x v="1"/>
    <x v="1"/>
    <n v="0"/>
    <n v="0"/>
    <n v="3"/>
    <s v="PC"/>
    <m/>
    <m/>
    <m/>
    <m/>
    <m/>
    <m/>
    <m/>
    <m/>
    <m/>
    <m/>
    <m/>
    <m/>
    <s v="1R"/>
    <n v="1"/>
    <n v="1"/>
    <d v="2017-08-29T00:00:00"/>
    <n v="5"/>
    <d v="2017-09-15T00:00:00"/>
    <n v="22"/>
    <x v="0"/>
    <n v="1"/>
    <s v="ELECTIVE"/>
    <s v="R"/>
    <m/>
    <m/>
    <m/>
    <s v="FILIPPIN"/>
    <d v="2017-10-13T00:00:00"/>
    <d v="2017-10-03T00:00:00"/>
    <s v="Y"/>
    <s v="Toux grasse"/>
    <m/>
    <m/>
    <m/>
    <n v="0"/>
    <n v="1"/>
    <n v="1"/>
    <x v="0"/>
    <s v="Aucune"/>
    <s v="Transfusion"/>
    <s v="Transfusé"/>
    <s v="NON"/>
    <s v="NON"/>
    <n v="22"/>
    <n v="22"/>
    <s v="Inconnu"/>
    <n v="5"/>
    <n v="5"/>
    <s v="Inconnu"/>
    <s v="Transfusé"/>
    <n v="1"/>
    <s v="ERASME"/>
    <s v="Aucun"/>
    <s v="Aucun"/>
    <s v="OUI"/>
  </r>
  <r>
    <x v="7"/>
    <s v="RANSBOTIJN"/>
    <s v="570613MR01"/>
    <d v="1957-06-13T00:00:00"/>
    <n v="60.249315068493154"/>
    <s v=" "/>
    <s v="DETHY"/>
    <s v="ST-MICHEL"/>
    <s v="ST-MICHEL"/>
    <s v="BE"/>
    <s v="M"/>
    <d v="2017-08-28T00:00:00"/>
    <m/>
    <s v="CABG"/>
    <x v="1"/>
    <x v="1"/>
    <n v="0"/>
    <n v="0"/>
    <n v="3"/>
    <s v="PC"/>
    <m/>
    <m/>
    <m/>
    <m/>
    <m/>
    <m/>
    <m/>
    <m/>
    <m/>
    <m/>
    <m/>
    <m/>
    <m/>
    <m/>
    <n v="0"/>
    <d v="2017-08-29T00:00:00"/>
    <n v="1"/>
    <d v="2017-09-04T00:00:00"/>
    <n v="7"/>
    <x v="0"/>
    <n v="2"/>
    <s v="URGENCY"/>
    <s v="D"/>
    <m/>
    <m/>
    <m/>
    <s v="RANSBOTIJN"/>
    <d v="2017-09-29T00:00:00"/>
    <d v="2017-09-12T00:00:00"/>
    <s v="Y"/>
    <m/>
    <m/>
    <m/>
    <m/>
    <n v="0"/>
    <n v="0"/>
    <n v="1"/>
    <x v="2"/>
    <s v="Aucune"/>
    <s v="Aucune"/>
    <s v="Aucune"/>
    <s v="NON"/>
    <s v="NON"/>
    <n v="7"/>
    <n v="7"/>
    <s v="Inconnu"/>
    <n v="1"/>
    <n v="1"/>
    <s v="Inconnu"/>
    <s v="Aucune"/>
    <n v="0"/>
    <s v="ST-MICHEL"/>
    <s v="Aucun"/>
    <s v="Aucun"/>
    <s v="NON"/>
  </r>
  <r>
    <x v="7"/>
    <s v="CRISI "/>
    <s v="631211MC02"/>
    <d v="1963-12-11T00:00:00"/>
    <n v="53.753424657534246"/>
    <s v=" "/>
    <s v="VACHIERY"/>
    <s v="ERASME CARDIO"/>
    <s v="ERASME CARDIO"/>
    <s v="FV"/>
    <s v="M"/>
    <d v="2017-08-29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9-06T00:00:00"/>
    <n v="8"/>
    <d v="2017-09-29T00:00:00"/>
    <n v="31"/>
    <x v="0"/>
    <n v="2"/>
    <s v="URGENCY"/>
    <m/>
    <m/>
    <m/>
    <m/>
    <s v="CRISI "/>
    <s v="/"/>
    <s v="/"/>
    <m/>
    <s v="HTX"/>
    <s v="/"/>
    <m/>
    <s v="HTX"/>
    <n v="0"/>
    <n v="0"/>
    <n v="1"/>
    <x v="2"/>
    <s v="Aucune"/>
    <s v="Aucune"/>
    <s v="Aucune"/>
    <s v="NON"/>
    <s v="NON"/>
    <n v="31"/>
    <s v="Inconnu"/>
    <n v="31"/>
    <n v="8"/>
    <s v="Inconnu"/>
    <n v="8"/>
    <s v="Aucune"/>
    <n v="0"/>
    <s v="ERASME"/>
    <s v="Aucun"/>
    <s v="Aucun"/>
    <s v="NON"/>
  </r>
  <r>
    <x v="7"/>
    <s v="GERVASI"/>
    <s v="470804FG01"/>
    <d v="1947-08-04T00:00:00"/>
    <n v="70.120547945205473"/>
    <s v=" "/>
    <s v="URGENCES"/>
    <s v="ERASME URGENCES"/>
    <s v="ERASME URGENCES"/>
    <s v="BE"/>
    <s v="F"/>
    <d v="2017-08-30T00:00:00"/>
    <m/>
    <s v="CDA"/>
    <x v="4"/>
    <x v="3"/>
    <n v="0"/>
    <n v="0"/>
    <m/>
    <m/>
    <m/>
    <m/>
    <n v="28"/>
    <m/>
    <m/>
    <m/>
    <m/>
    <m/>
    <m/>
    <m/>
    <s v="4R/4Plas/6Plaq"/>
    <n v="14"/>
    <s v="2R"/>
    <n v="2"/>
    <n v="16"/>
    <d v="2017-09-07T00:00:00"/>
    <n v="8"/>
    <d v="2017-09-07T00:00:00"/>
    <n v="8"/>
    <x v="0"/>
    <n v="3"/>
    <s v="EMERGENCY"/>
    <s v="Neuro"/>
    <m/>
    <m/>
    <m/>
    <s v="GERVASI"/>
    <s v="/"/>
    <m/>
    <m/>
    <s v="pas de cardio"/>
    <m/>
    <m/>
    <m/>
    <n v="0"/>
    <n v="1"/>
    <n v="1"/>
    <x v="1"/>
    <s v="Aucune"/>
    <s v="Transfusion"/>
    <s v="Transfusé"/>
    <s v="NON"/>
    <s v="NON"/>
    <n v="8"/>
    <n v="8"/>
    <s v="Inconnu"/>
    <n v="8"/>
    <n v="8"/>
    <s v="Inconnu"/>
    <s v="Transfusé"/>
    <n v="16"/>
    <s v="ERASME"/>
    <s v="Aucun"/>
    <s v="Aucun"/>
    <s v="NON"/>
  </r>
  <r>
    <x v="7"/>
    <s v="MAKA"/>
    <s v="511112MMAA"/>
    <d v="1951-11-12T00:00:00"/>
    <n v="65.843835616438355"/>
    <s v=" "/>
    <s v="ROGOWSKY"/>
    <s v="CHIREC PARC LEOPOLD"/>
    <s v="CHIREC PARC LEOPOLD"/>
    <s v="FV"/>
    <s v="M"/>
    <d v="2017-08-30T00:00:00"/>
    <d v="2017-08-08T00:00:00"/>
    <s v="CABG"/>
    <x v="1"/>
    <x v="1"/>
    <n v="0"/>
    <n v="0"/>
    <m/>
    <m/>
    <m/>
    <m/>
    <m/>
    <m/>
    <m/>
    <m/>
    <m/>
    <m/>
    <m/>
    <m/>
    <m/>
    <m/>
    <m/>
    <m/>
    <n v="0"/>
    <d v="2017-08-31T00:00:00"/>
    <n v="1"/>
    <d v="2017-09-05T00:00:00"/>
    <n v="6"/>
    <x v="0"/>
    <n v="1"/>
    <s v="ELECTIVE"/>
    <s v="D"/>
    <m/>
    <m/>
    <m/>
    <s v="MAKA"/>
    <d v="2017-10-03T00:00:00"/>
    <d v="2017-09-12T00:00:00"/>
    <s v="Y"/>
    <m/>
    <m/>
    <m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OUI"/>
  </r>
  <r>
    <x v="8"/>
    <s v="OMBA"/>
    <s v="380408MO02"/>
    <d v="1938-04-08T00:00:00"/>
    <n v="79.454794520547949"/>
    <s v=" "/>
    <s v="VAN DE BORNE"/>
    <s v="ERASME CARDIO"/>
    <s v="ERASME CARDIO"/>
    <s v="BE"/>
    <s v="M"/>
    <d v="2017-09-01T00:00:00"/>
    <d v="2017-07-11T00:00:00"/>
    <s v="CABG"/>
    <x v="1"/>
    <x v="1"/>
    <n v="0"/>
    <n v="0"/>
    <n v="3"/>
    <s v="PC"/>
    <m/>
    <m/>
    <m/>
    <m/>
    <m/>
    <m/>
    <m/>
    <m/>
    <m/>
    <n v="1"/>
    <s v="5R/2Plas/1Plaq"/>
    <n v="8"/>
    <s v="1R"/>
    <n v="1"/>
    <n v="9"/>
    <d v="2017-09-04T00:00:00"/>
    <n v="3"/>
    <d v="2017-09-08T00:00:00"/>
    <n v="7"/>
    <x v="0"/>
    <n v="1"/>
    <s v="ELECTIVE"/>
    <s v="D"/>
    <m/>
    <m/>
    <m/>
    <s v="OMBA"/>
    <d v="2017-10-13T00:00:00"/>
    <d v="2017-09-12T00:00:00"/>
    <s v="Y"/>
    <m/>
    <m/>
    <m/>
    <m/>
    <n v="1"/>
    <n v="1"/>
    <n v="1"/>
    <x v="0"/>
    <s v="Infection"/>
    <s v="Transfusion"/>
    <s v="Transfusé"/>
    <s v="NON"/>
    <s v="NON"/>
    <n v="7"/>
    <n v="7"/>
    <s v="Inconnu"/>
    <n v="3"/>
    <n v="3"/>
    <s v="Inconnu"/>
    <s v="Transfusé"/>
    <n v="9"/>
    <s v="ERASME"/>
    <s v="Aucun"/>
    <s v="Aucun"/>
    <s v="OUI"/>
  </r>
  <r>
    <x v="8"/>
    <s v="DESTERBECQ"/>
    <s v="471031MD06"/>
    <d v="1947-10-31T00:00:00"/>
    <n v="69.893150684931513"/>
    <s v=" "/>
    <s v="HEDESHI"/>
    <s v="CHR HAUTE SENNE"/>
    <s v="CHR HAUTE SENNE"/>
    <s v="FV"/>
    <s v="M"/>
    <d v="2017-09-04T00:00:00"/>
    <d v="2017-05-02T00:00:00"/>
    <s v="? (CABG)"/>
    <x v="1"/>
    <x v="1"/>
    <n v="0"/>
    <n v="0"/>
    <m/>
    <m/>
    <m/>
    <m/>
    <m/>
    <m/>
    <m/>
    <m/>
    <m/>
    <m/>
    <m/>
    <m/>
    <s v="1R"/>
    <n v="1"/>
    <m/>
    <m/>
    <n v="1"/>
    <d v="2017-09-06T00:00:00"/>
    <n v="2"/>
    <d v="2017-09-12T00:00:00"/>
    <n v="8"/>
    <x v="0"/>
    <n v="1"/>
    <s v="ELECTIVE"/>
    <s v="D"/>
    <m/>
    <m/>
    <m/>
    <s v="DESTERBECQ"/>
    <d v="2017-10-10T00:00:00"/>
    <d v="2017-09-19T00:00:00"/>
    <s v="Y"/>
    <m/>
    <m/>
    <m/>
    <m/>
    <n v="0"/>
    <n v="1"/>
    <n v="1"/>
    <x v="0"/>
    <s v="Aucune"/>
    <s v="Transfusion"/>
    <s v="Aucune"/>
    <s v="NON"/>
    <s v="NON"/>
    <n v="8"/>
    <n v="8"/>
    <s v="Inconnu"/>
    <n v="2"/>
    <n v="2"/>
    <s v="Inconnu"/>
    <s v="Transfusé"/>
    <n v="1"/>
    <s v="CHR HAUTE SENNE"/>
    <s v="Aucun"/>
    <s v="Aucun"/>
    <s v="OUI"/>
  </r>
  <r>
    <x v="8"/>
    <s v="VAST"/>
    <s v="460606MV01"/>
    <d v="1946-06-06T00:00:00"/>
    <n v="71.298630136986304"/>
    <s v=" "/>
    <s v="HEDESHI"/>
    <s v="CHR HAUTE SENNE"/>
    <s v="CHR HAUTE SENNE"/>
    <s v="FV"/>
    <s v="M"/>
    <d v="2017-09-05T00:00:00"/>
    <d v="2017-07-18T00:00:00"/>
    <s v="CABG"/>
    <x v="1"/>
    <x v="1"/>
    <n v="0"/>
    <n v="0"/>
    <n v="4"/>
    <s v="PC"/>
    <m/>
    <m/>
    <m/>
    <m/>
    <m/>
    <m/>
    <m/>
    <m/>
    <m/>
    <n v="1"/>
    <s v="1R/1Plas"/>
    <n v="2"/>
    <s v="4R"/>
    <n v="4"/>
    <n v="6"/>
    <d v="2017-10-03T00:00:00"/>
    <n v="28"/>
    <d v="2017-10-03T00:00:00"/>
    <n v="28"/>
    <x v="1"/>
    <n v="1"/>
    <s v="ELECTIVE"/>
    <s v="/"/>
    <m/>
    <m/>
    <m/>
    <s v="VAST"/>
    <s v="/"/>
    <d v="2017-10-03T00:00:00"/>
    <s v="N"/>
    <s v="DCD"/>
    <s v="/"/>
    <s v="N"/>
    <s v="DCD"/>
    <n v="1"/>
    <n v="1"/>
    <n v="1"/>
    <x v="0"/>
    <s v="Infection"/>
    <s v="Transfusion"/>
    <s v="Transfusé"/>
    <s v="NON"/>
    <s v="NON"/>
    <n v="28"/>
    <n v="28"/>
    <s v="Inconnu"/>
    <n v="28"/>
    <n v="28"/>
    <s v="Inconnu"/>
    <s v="Transfusé"/>
    <n v="6"/>
    <s v="CHR HAUTE SENNE"/>
    <s v="Aucun"/>
    <s v="Aucun"/>
    <s v="OUI"/>
  </r>
  <r>
    <x v="8"/>
    <s v="VERCAMMEN"/>
    <s v="340901MV03"/>
    <d v="1934-09-01T00:00:00"/>
    <n v="83.07397260273973"/>
    <s v="1"/>
    <s v="VELEZ"/>
    <s v="ERASME CARDIO"/>
    <s v="ERASME CARDIO"/>
    <s v="FV"/>
    <s v="M"/>
    <d v="2017-09-07T00:00:00"/>
    <d v="2017-08-29T00:00:00"/>
    <s v="MVR + CABG"/>
    <x v="3"/>
    <x v="0"/>
    <s v="CABG + V"/>
    <n v="0"/>
    <n v="3"/>
    <s v="PC"/>
    <s v="CE"/>
    <s v="B"/>
    <n v="29"/>
    <m/>
    <m/>
    <m/>
    <m/>
    <m/>
    <m/>
    <m/>
    <s v="3R"/>
    <n v="3"/>
    <m/>
    <m/>
    <n v="3"/>
    <d v="2017-09-09T00:00:00"/>
    <n v="2"/>
    <d v="2017-09-21T00:00:00"/>
    <n v="14"/>
    <x v="0"/>
    <n v="1"/>
    <s v="ELECTIVE"/>
    <s v="R"/>
    <m/>
    <m/>
    <m/>
    <s v="VERCAMMEN"/>
    <d v="2017-10-24T00:00:00"/>
    <d v="2017-10-03T00:00:00"/>
    <s v="Y"/>
    <s v="Message"/>
    <m/>
    <m/>
    <m/>
    <n v="0"/>
    <n v="1"/>
    <n v="1"/>
    <x v="0"/>
    <s v="Aucune"/>
    <s v="Transfusion"/>
    <s v="Aucune"/>
    <s v="NON"/>
    <s v="NON"/>
    <n v="14"/>
    <n v="14"/>
    <s v="Inconnu"/>
    <n v="2"/>
    <n v="2"/>
    <s v="Inconnu"/>
    <s v="Transfusé"/>
    <n v="3"/>
    <s v="ERASME"/>
    <s v="Aucun"/>
    <s v="Aucun"/>
    <s v="OUI"/>
  </r>
  <r>
    <x v="8"/>
    <s v="BOUFERDAT"/>
    <s v="390701FB08"/>
    <d v="1939-07-01T00:00:00"/>
    <n v="78.243835616438361"/>
    <s v=" "/>
    <s v="URGENCES"/>
    <s v="ERASME URGENCES"/>
    <s v="ERASME URGENCES"/>
    <s v="BE"/>
    <s v="F"/>
    <d v="2017-09-08T00:00:00"/>
    <m/>
    <s v="CABG"/>
    <x v="1"/>
    <x v="1"/>
    <n v="0"/>
    <n v="0"/>
    <n v="2"/>
    <s v="OPCAB"/>
    <m/>
    <m/>
    <m/>
    <m/>
    <m/>
    <m/>
    <m/>
    <m/>
    <m/>
    <n v="1"/>
    <m/>
    <m/>
    <m/>
    <m/>
    <n v="0"/>
    <d v="2017-09-11T00:00:00"/>
    <n v="3"/>
    <d v="2017-09-15T00:00:00"/>
    <n v="7"/>
    <x v="0"/>
    <n v="2"/>
    <s v="URGENCY"/>
    <s v="D"/>
    <m/>
    <m/>
    <m/>
    <s v="BOUFERDAT"/>
    <d v="2017-10-13T00:00:00"/>
    <d v="2017-09-27T00:00:00"/>
    <s v="Y"/>
    <s v="pas de cardio-"/>
    <m/>
    <m/>
    <m/>
    <n v="1"/>
    <n v="0"/>
    <n v="1"/>
    <x v="2"/>
    <s v="Infection"/>
    <s v="Aucune"/>
    <s v="Aucune"/>
    <s v="NON"/>
    <s v="NON"/>
    <n v="7"/>
    <n v="7"/>
    <s v="Inconnu"/>
    <n v="3"/>
    <n v="3"/>
    <s v="Inconnu"/>
    <s v="Aucune"/>
    <n v="0"/>
    <s v="ERASME"/>
    <s v="Aucun"/>
    <s v="Aucun"/>
    <s v="NON"/>
  </r>
  <r>
    <x v="8"/>
    <s v="DEBRUYN"/>
    <s v="440831MDAA"/>
    <d v="1944-08-31T00:00:00"/>
    <n v="73.079452054794515"/>
    <s v=" "/>
    <s v="ZENAGUI"/>
    <s v="ZENAGUI"/>
    <s v="CT"/>
    <s v="FV"/>
    <s v="M"/>
    <d v="2017-09-11T00:00:00"/>
    <d v="2017-09-05T00:00:00"/>
    <s v="CABG"/>
    <x v="1"/>
    <x v="1"/>
    <n v="0"/>
    <n v="0"/>
    <n v="4"/>
    <s v="PC"/>
    <m/>
    <m/>
    <m/>
    <m/>
    <m/>
    <m/>
    <m/>
    <m/>
    <m/>
    <m/>
    <m/>
    <m/>
    <m/>
    <m/>
    <n v="0"/>
    <d v="2017-09-12T00:00:00"/>
    <n v="1"/>
    <d v="2017-09-20T00:00:00"/>
    <n v="9"/>
    <x v="0"/>
    <n v="1"/>
    <s v="ELECTIVE"/>
    <s v="D"/>
    <m/>
    <m/>
    <m/>
    <s v="DEBRUYN"/>
    <d v="2017-10-24T00:00:00"/>
    <d v="2017-10-03T00:00:00"/>
    <s v="Y"/>
    <m/>
    <m/>
    <m/>
    <m/>
    <n v="0"/>
    <n v="0"/>
    <n v="1"/>
    <x v="0"/>
    <s v="Aucune"/>
    <s v="Aucune"/>
    <s v="Aucune"/>
    <s v="NON"/>
    <s v="NON"/>
    <n v="9"/>
    <n v="9"/>
    <s v="Inconnu"/>
    <n v="1"/>
    <n v="1"/>
    <s v="Inconnu"/>
    <s v="Aucune"/>
    <n v="0"/>
    <s v="CT"/>
    <s v="Aucun"/>
    <s v="Aucun"/>
    <s v="OUI"/>
  </r>
  <r>
    <x v="8"/>
    <s v="FALLAY"/>
    <s v="430323MFAA"/>
    <d v="1943-03-23T00:00:00"/>
    <n v="74.523287671232879"/>
    <s v=" "/>
    <s v="CAILLEAU"/>
    <s v="CAILLEAU"/>
    <s v="CT"/>
    <s v="MLC"/>
    <s v="M"/>
    <d v="2017-09-11T00:00:00"/>
    <m/>
    <s v="CABG"/>
    <x v="1"/>
    <x v="1"/>
    <n v="0"/>
    <n v="0"/>
    <n v="3"/>
    <s v="PC"/>
    <m/>
    <m/>
    <m/>
    <m/>
    <m/>
    <m/>
    <m/>
    <m/>
    <m/>
    <m/>
    <m/>
    <m/>
    <m/>
    <m/>
    <n v="0"/>
    <d v="2017-09-12T00:00:00"/>
    <n v="1"/>
    <d v="2017-09-18T00:00:00"/>
    <n v="7"/>
    <x v="0"/>
    <n v="2"/>
    <s v="URGENCY"/>
    <s v="D"/>
    <m/>
    <m/>
    <m/>
    <s v="FALLAY"/>
    <d v="2017-10-19T00:00:00"/>
    <d v="2017-10-03T00:00:00"/>
    <s v="Y"/>
    <m/>
    <m/>
    <m/>
    <m/>
    <n v="0"/>
    <n v="0"/>
    <n v="1"/>
    <x v="2"/>
    <s v="Aucune"/>
    <s v="Aucune"/>
    <s v="Aucune"/>
    <s v="NON"/>
    <s v="NON"/>
    <n v="7"/>
    <n v="7"/>
    <s v="Inconnu"/>
    <n v="1"/>
    <n v="1"/>
    <s v="Inconnu"/>
    <s v="Aucune"/>
    <n v="0"/>
    <s v="CT"/>
    <s v="Aucun"/>
    <s v="Aucun"/>
    <s v="NON"/>
  </r>
  <r>
    <x v="8"/>
    <s v="DUPRIEZ"/>
    <s v="580424MD04"/>
    <d v="1958-04-24T00:00:00"/>
    <n v="59.424657534246577"/>
    <s v=" "/>
    <s v="ROUSSOULIERES"/>
    <s v="ERASME VAD"/>
    <s v="ERASME VAD"/>
    <s v="FV"/>
    <s v="M"/>
    <d v="2017-09-11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9-20T00:00:00"/>
    <n v="9"/>
    <d v="2017-10-03T00:00:00"/>
    <n v="22"/>
    <x v="0"/>
    <n v="2"/>
    <s v="URGENCY"/>
    <s v="D"/>
    <m/>
    <m/>
    <m/>
    <s v="DUPRIEZ"/>
    <s v="/"/>
    <s v="/"/>
    <m/>
    <s v="HTX"/>
    <s v="/"/>
    <m/>
    <s v="HTX"/>
    <n v="0"/>
    <n v="0"/>
    <n v="1"/>
    <x v="2"/>
    <s v="Aucune"/>
    <s v="Aucune"/>
    <s v="Aucune"/>
    <s v="NON"/>
    <s v="NON"/>
    <n v="22"/>
    <s v="Inconnu"/>
    <n v="22"/>
    <n v="9"/>
    <s v="Inconnu"/>
    <n v="9"/>
    <s v="Aucune"/>
    <n v="0"/>
    <s v="ERASME"/>
    <s v="Aucun"/>
    <s v="Aucun"/>
    <s v="NON"/>
  </r>
  <r>
    <x v="8"/>
    <s v="MERCKX"/>
    <s v="281214FM01"/>
    <d v="1928-12-14T00:00:00"/>
    <n v="88.808219178082197"/>
    <s v="1"/>
    <s v="MIRICA"/>
    <s v="ERASME CARDIO"/>
    <s v="ERASME CARDIO"/>
    <s v="FV"/>
    <s v="F"/>
    <d v="2017-09-13T00:00:00"/>
    <d v="2017-07-18T00:00:00"/>
    <s v="Résection bourrelet septal"/>
    <x v="4"/>
    <x v="3"/>
    <n v="0"/>
    <n v="0"/>
    <m/>
    <m/>
    <s v="Perceval"/>
    <s v="B"/>
    <s v="XL"/>
    <m/>
    <m/>
    <m/>
    <m/>
    <m/>
    <m/>
    <n v="1"/>
    <m/>
    <m/>
    <m/>
    <m/>
    <n v="0"/>
    <d v="2017-09-14T00:00:00"/>
    <n v="1"/>
    <d v="2017-09-28T00:00:00"/>
    <n v="15"/>
    <x v="0"/>
    <n v="1"/>
    <s v="ELECTIVE"/>
    <s v="R"/>
    <d v="2017-10-05T00:00:00"/>
    <n v="1"/>
    <s v="NC"/>
    <s v="MERCKX"/>
    <s v="/"/>
    <d v="2017-10-04T00:00:00"/>
    <s v="Y"/>
    <m/>
    <m/>
    <m/>
    <m/>
    <n v="1"/>
    <n v="0"/>
    <n v="1"/>
    <x v="0"/>
    <s v="Infection"/>
    <s v="Aucune"/>
    <s v="Aucune"/>
    <s v="NON"/>
    <s v="OUI"/>
    <n v="15"/>
    <n v="15"/>
    <s v="Inconnu"/>
    <n v="1"/>
    <n v="1"/>
    <s v="Inconnu"/>
    <s v="Aucune"/>
    <n v="0"/>
    <s v="ERASME"/>
    <s v="Aucun"/>
    <s v="Aucun"/>
    <s v="OUI"/>
  </r>
  <r>
    <x v="8"/>
    <s v="MORREALE"/>
    <s v="420214FM01"/>
    <d v="1942-02-14T00:00:00"/>
    <n v="75.632876712328766"/>
    <s v=" "/>
    <s v="GERIATRIE"/>
    <s v="ERASME GERIATRIE"/>
    <s v="ERASME GERIATRIE"/>
    <s v="BE"/>
    <s v="F"/>
    <d v="2017-09-14T00:00:00"/>
    <d v="2017-09-12T00:00:00"/>
    <s v="Fibroelastome + ferm PFO"/>
    <x v="4"/>
    <x v="3"/>
    <n v="0"/>
    <n v="0"/>
    <m/>
    <m/>
    <m/>
    <m/>
    <m/>
    <m/>
    <m/>
    <m/>
    <m/>
    <m/>
    <m/>
    <n v="1"/>
    <s v="1Plaq"/>
    <n v="1"/>
    <s v="2R"/>
    <n v="2"/>
    <n v="3"/>
    <d v="2017-09-15T00:00:00"/>
    <n v="1"/>
    <d v="2017-09-22T00:00:00"/>
    <n v="8"/>
    <x v="0"/>
    <n v="2"/>
    <s v="URGENCY"/>
    <s v="Rhumato"/>
    <m/>
    <m/>
    <m/>
    <s v="MORREALE"/>
    <s v="/"/>
    <d v="2017-10-31T00:00:00"/>
    <s v="Y"/>
    <m/>
    <m/>
    <m/>
    <m/>
    <n v="1"/>
    <n v="1"/>
    <n v="1"/>
    <x v="2"/>
    <s v="Infection"/>
    <s v="Transfusion"/>
    <s v="Transfusé"/>
    <s v="NON"/>
    <s v="NON"/>
    <n v="8"/>
    <n v="8"/>
    <s v="Inconnu"/>
    <n v="1"/>
    <n v="1"/>
    <s v="Inconnu"/>
    <s v="Transfusé"/>
    <n v="3"/>
    <s v="ERASME"/>
    <s v="Aucun"/>
    <s v="Aucun"/>
    <s v="OUI"/>
  </r>
  <r>
    <x v="8"/>
    <s v="ABDELLAOUI"/>
    <s v="430701MA27"/>
    <d v="1943-07-01T00:00:00"/>
    <n v="74.260273972602747"/>
    <s v=" "/>
    <s v="HAGE"/>
    <s v="HAGE"/>
    <s v="CT"/>
    <s v="BE"/>
    <s v="M"/>
    <d v="2017-09-15T00:00:00"/>
    <d v="2017-09-12T00:00:00"/>
    <s v="CABG"/>
    <x v="1"/>
    <x v="1"/>
    <n v="0"/>
    <n v="0"/>
    <n v="2"/>
    <s v="PC"/>
    <m/>
    <m/>
    <m/>
    <m/>
    <m/>
    <m/>
    <m/>
    <m/>
    <m/>
    <m/>
    <m/>
    <m/>
    <m/>
    <m/>
    <n v="0"/>
    <d v="2017-09-16T00:00:00"/>
    <n v="1"/>
    <d v="2017-09-23T00:00:00"/>
    <n v="8"/>
    <x v="0"/>
    <n v="2"/>
    <s v="URGENCY"/>
    <s v="D"/>
    <m/>
    <m/>
    <m/>
    <s v="ABDELLAOUI"/>
    <d v="2017-10-27T00:00:00"/>
    <d v="2017-10-04T00:00:00"/>
    <s v="Y"/>
    <m/>
    <m/>
    <m/>
    <m/>
    <n v="0"/>
    <n v="0"/>
    <n v="1"/>
    <x v="2"/>
    <s v="Aucune"/>
    <s v="Aucune"/>
    <s v="Aucune"/>
    <s v="NON"/>
    <s v="NON"/>
    <n v="8"/>
    <n v="8"/>
    <s v="Inconnu"/>
    <n v="1"/>
    <n v="1"/>
    <s v="Inconnu"/>
    <s v="Aucune"/>
    <n v="0"/>
    <s v="CT"/>
    <s v="Aucun"/>
    <s v="Aucun"/>
    <s v="OUI"/>
  </r>
  <r>
    <x v="8"/>
    <s v="BOUILLON"/>
    <s v="710418MB01"/>
    <d v="1971-04-18T00:00:00"/>
    <n v="46.452054794520549"/>
    <s v=" "/>
    <s v="VACHIERY"/>
    <s v="ERASME CARDIO"/>
    <s v="ERASME CARDIO"/>
    <s v="FV"/>
    <s v="M"/>
    <d v="2017-09-18T00:00:00"/>
    <m/>
    <s v="LVAD"/>
    <x v="6"/>
    <x v="5"/>
    <s v="LVAD/HTX"/>
    <n v="0"/>
    <m/>
    <m/>
    <m/>
    <m/>
    <m/>
    <m/>
    <m/>
    <m/>
    <m/>
    <m/>
    <m/>
    <m/>
    <m/>
    <m/>
    <m/>
    <m/>
    <n v="0"/>
    <d v="2017-09-23T00:00:00"/>
    <n v="5"/>
    <m/>
    <n v="-42996"/>
    <x v="0"/>
    <n v="2"/>
    <s v="URGENCY"/>
    <m/>
    <m/>
    <m/>
    <m/>
    <s v="BOUILLON"/>
    <s v="/"/>
    <s v="/"/>
    <m/>
    <s v="LVAD"/>
    <s v="/"/>
    <m/>
    <s v="LVAD"/>
    <n v="0"/>
    <n v="0"/>
    <n v="1"/>
    <x v="2"/>
    <s v="Aucune"/>
    <s v="Aucune"/>
    <s v="Aucune"/>
    <s v="NON"/>
    <s v="NON"/>
    <s v="Inconnu"/>
    <s v="Inconnu"/>
    <s v="Inconnu"/>
    <n v="5"/>
    <s v="Inconnu"/>
    <n v="5"/>
    <s v="Aucune"/>
    <n v="0"/>
    <s v="ERASME"/>
    <s v="Aucun"/>
    <s v="Aucun"/>
    <s v="NON"/>
  </r>
  <r>
    <x v="8"/>
    <s v="BLAMPAIN"/>
    <s v="330711FB01"/>
    <d v="1933-07-11T00:00:00"/>
    <n v="84.246575342465746"/>
    <s v="1"/>
    <s v="URGENCES"/>
    <s v="ERASME URGENCES"/>
    <s v="ERASME URGENCES"/>
    <s v="FV"/>
    <s v="F"/>
    <d v="2017-09-18T00:00:00"/>
    <m/>
    <s v="CDA"/>
    <x v="4"/>
    <x v="3"/>
    <n v="0"/>
    <n v="0"/>
    <m/>
    <m/>
    <m/>
    <m/>
    <m/>
    <m/>
    <m/>
    <m/>
    <m/>
    <m/>
    <m/>
    <n v="1"/>
    <s v="4R/8Plas/2Plaq"/>
    <n v="14"/>
    <m/>
    <m/>
    <n v="14"/>
    <d v="2017-09-21T00:00:00"/>
    <n v="3"/>
    <d v="2017-10-03T00:00:00"/>
    <n v="15"/>
    <x v="0"/>
    <n v="3"/>
    <s v="EMERGENCY"/>
    <s v="D"/>
    <m/>
    <m/>
    <m/>
    <s v="BLAMPAIN"/>
    <d v="2017-11-07T00:00:00"/>
    <d v="2017-10-11T00:00:00"/>
    <s v="Y"/>
    <s v="Message fils"/>
    <m/>
    <m/>
    <m/>
    <n v="1"/>
    <n v="1"/>
    <n v="1"/>
    <x v="1"/>
    <s v="Infection"/>
    <s v="Transfusion"/>
    <s v="Aucune"/>
    <s v="NON"/>
    <s v="NON"/>
    <n v="15"/>
    <n v="15"/>
    <s v="Inconnu"/>
    <n v="3"/>
    <n v="3"/>
    <s v="Inconnu"/>
    <s v="Transfusé"/>
    <n v="14"/>
    <s v="ERASME"/>
    <s v="Aucun"/>
    <s v="Aucun"/>
    <s v="NON"/>
  </r>
  <r>
    <x v="8"/>
    <s v="POTOT GODINEZ"/>
    <s v="460725MG01"/>
    <d v="1946-07-25T00:00:00"/>
    <n v="71.202739726027403"/>
    <s v=" "/>
    <s v="LOMMEL"/>
    <s v="ERASME CARDIO"/>
    <s v="ERASME CARDIO"/>
    <s v="BE"/>
    <s v="M"/>
    <d v="2017-09-19T00:00:00"/>
    <d v="2017-09-19T00:00:00"/>
    <s v="CABG"/>
    <x v="1"/>
    <x v="1"/>
    <n v="0"/>
    <n v="0"/>
    <n v="2"/>
    <s v="PC"/>
    <m/>
    <m/>
    <m/>
    <m/>
    <m/>
    <m/>
    <m/>
    <m/>
    <m/>
    <m/>
    <m/>
    <m/>
    <m/>
    <m/>
    <n v="0"/>
    <d v="2017-09-21T00:00:00"/>
    <n v="2"/>
    <d v="2017-09-29T00:00:00"/>
    <n v="10"/>
    <x v="0"/>
    <n v="2"/>
    <s v="URGENCY"/>
    <s v="D"/>
    <d v="2017-10-05T00:00:00"/>
    <n v="1"/>
    <s v="C"/>
    <s v="POTOT GODINEZ"/>
    <d v="2017-10-27T00:00:00"/>
    <m/>
    <m/>
    <m/>
    <m/>
    <m/>
    <m/>
    <n v="0"/>
    <n v="0"/>
    <n v="1"/>
    <x v="2"/>
    <s v="Aucune"/>
    <s v="Aucune"/>
    <s v="Aucune"/>
    <s v="NON"/>
    <s v="OUI"/>
    <n v="10"/>
    <n v="10"/>
    <s v="Inconnu"/>
    <n v="2"/>
    <n v="2"/>
    <s v="Inconnu"/>
    <s v="Aucune"/>
    <n v="0"/>
    <s v="ERASME"/>
    <s v="Aucun"/>
    <s v="Aucun"/>
    <s v="OUI"/>
  </r>
  <r>
    <x v="8"/>
    <s v="TIHON"/>
    <s v="300822MT03"/>
    <d v="1930-08-22T00:00:00"/>
    <n v="87.139726027397259"/>
    <s v="1"/>
    <s v="GREGOIRE"/>
    <s v="GREGOIRE"/>
    <s v="CT"/>
    <s v="FV"/>
    <s v="M"/>
    <d v="2017-09-20T00:00:00"/>
    <d v="2017-08-29T00:00:00"/>
    <s v="AVR + TVP + CABG"/>
    <x v="9"/>
    <x v="0"/>
    <s v="CABG + V"/>
    <n v="0"/>
    <n v="1"/>
    <s v="PC"/>
    <s v="CE/CE"/>
    <s v="B"/>
    <s v="27/32"/>
    <m/>
    <m/>
    <m/>
    <m/>
    <m/>
    <m/>
    <m/>
    <s v="1R"/>
    <n v="1"/>
    <m/>
    <m/>
    <n v="1"/>
    <d v="2017-09-22T00:00:00"/>
    <n v="2"/>
    <d v="2017-10-04T00:00:00"/>
    <n v="14"/>
    <x v="0"/>
    <n v="1"/>
    <s v="ELECTIVE"/>
    <s v="D"/>
    <m/>
    <m/>
    <m/>
    <s v="TIHON"/>
    <d v="2017-10-31T00:00:00"/>
    <d v="2017-10-11T00:00:00"/>
    <s v="Y"/>
    <m/>
    <m/>
    <m/>
    <m/>
    <n v="0"/>
    <n v="1"/>
    <n v="1"/>
    <x v="0"/>
    <s v="Aucune"/>
    <s v="Transfusion"/>
    <s v="Aucune"/>
    <s v="NON"/>
    <s v="NON"/>
    <n v="14"/>
    <n v="14"/>
    <s v="Inconnu"/>
    <n v="2"/>
    <n v="2"/>
    <s v="Inconnu"/>
    <s v="Transfusé"/>
    <n v="1"/>
    <s v="CT"/>
    <s v="Aucun"/>
    <s v="Aucun"/>
    <s v="OUI"/>
  </r>
  <r>
    <x v="8"/>
    <s v="DE FONSECA"/>
    <s v="660305MD02"/>
    <d v="1966-03-05T00:00:00"/>
    <n v="51.580821917808223"/>
    <s v=" "/>
    <s v="ROUSSOULIERES"/>
    <s v="ERASME VAD"/>
    <s v="ERASME VAD"/>
    <s v="MA"/>
    <s v="M"/>
    <d v="2017-09-20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9-29T00:00:00"/>
    <n v="9"/>
    <d v="2017-09-29T00:00:00"/>
    <n v="9"/>
    <x v="1"/>
    <n v="2"/>
    <s v="URGENCY"/>
    <s v="/"/>
    <m/>
    <m/>
    <m/>
    <s v="DE FONSECA"/>
    <s v="/"/>
    <s v="/"/>
    <s v="N"/>
    <s v="HTX-DCD"/>
    <s v="/"/>
    <s v="N"/>
    <s v="HTX-DCD"/>
    <n v="0"/>
    <n v="0"/>
    <n v="1"/>
    <x v="2"/>
    <s v="Aucune"/>
    <s v="Aucune"/>
    <s v="Aucune"/>
    <s v="NON"/>
    <s v="NON"/>
    <n v="9"/>
    <s v="Inconnu"/>
    <n v="9"/>
    <n v="9"/>
    <s v="Inconnu"/>
    <n v="9"/>
    <s v="Aucune"/>
    <n v="0"/>
    <s v="ERASME"/>
    <s v="Aucun"/>
    <s v="Aucun"/>
    <s v="NON"/>
  </r>
  <r>
    <x v="8"/>
    <s v="MEULEMANS"/>
    <s v="520215MMAA"/>
    <d v="1952-02-15T00:00:00"/>
    <n v="65.643835616438352"/>
    <s v=" "/>
    <s v="CHAPELLE"/>
    <s v="CHAPELLE"/>
    <s v="CT"/>
    <s v="FV"/>
    <s v="M"/>
    <d v="2017-09-21T00:00:00"/>
    <d v="2017-09-19T00:00:00"/>
    <s v="CABG"/>
    <x v="1"/>
    <x v="1"/>
    <n v="0"/>
    <n v="0"/>
    <n v="1"/>
    <s v="MIDCAB"/>
    <m/>
    <m/>
    <m/>
    <m/>
    <m/>
    <m/>
    <m/>
    <m/>
    <m/>
    <n v="1"/>
    <m/>
    <m/>
    <s v="1R"/>
    <n v="1"/>
    <n v="1"/>
    <d v="2017-09-22T00:00:00"/>
    <n v="1"/>
    <d v="2017-10-04T00:00:00"/>
    <n v="13"/>
    <x v="0"/>
    <n v="1"/>
    <s v="ELECTIVE"/>
    <s v="D"/>
    <m/>
    <m/>
    <m/>
    <s v="MEULEMANS"/>
    <d v="2017-11-07T00:00:00"/>
    <d v="2017-10-11T00:00:00"/>
    <s v="Y"/>
    <m/>
    <m/>
    <m/>
    <m/>
    <n v="1"/>
    <n v="1"/>
    <n v="1"/>
    <x v="0"/>
    <s v="Infection"/>
    <s v="Transfusion"/>
    <s v="Transfusé"/>
    <s v="NON"/>
    <s v="NON"/>
    <n v="13"/>
    <n v="13"/>
    <s v="Inconnu"/>
    <n v="1"/>
    <n v="1"/>
    <s v="Inconnu"/>
    <s v="Transfusé"/>
    <n v="1"/>
    <s v="CT"/>
    <s v="Aucun"/>
    <s v="Aucun"/>
    <s v="OUI"/>
  </r>
  <r>
    <x v="8"/>
    <s v="LUSANGI"/>
    <s v="571119ML01"/>
    <d v="1957-11-19T00:00:00"/>
    <n v="59.88219178082192"/>
    <s v=" "/>
    <s v="BERKENBOOM"/>
    <s v="ERASME CARDIO"/>
    <s v="ERASME CARDIO"/>
    <s v="FV"/>
    <s v="M"/>
    <d v="2017-09-22T00:00:00"/>
    <d v="2017-04-25T00:00:00"/>
    <s v="AVR"/>
    <x v="2"/>
    <x v="2"/>
    <s v="AVR"/>
    <s v="AVR"/>
    <m/>
    <m/>
    <s v="Perceval"/>
    <s v="B"/>
    <s v="S"/>
    <m/>
    <m/>
    <m/>
    <n v="1"/>
    <m/>
    <m/>
    <n v="1"/>
    <m/>
    <m/>
    <s v="2R"/>
    <n v="2"/>
    <n v="2"/>
    <d v="2017-09-23T00:00:00"/>
    <n v="1"/>
    <m/>
    <n v="-43000"/>
    <x v="0"/>
    <n v="1"/>
    <s v="ELECTIVE"/>
    <m/>
    <m/>
    <m/>
    <m/>
    <s v="LUSANGI"/>
    <m/>
    <m/>
    <m/>
    <m/>
    <m/>
    <m/>
    <m/>
    <n v="1"/>
    <n v="1"/>
    <n v="1"/>
    <x v="0"/>
    <s v="Infection"/>
    <s v="Transfusion"/>
    <s v="Transfusé"/>
    <s v="NON"/>
    <s v="NON"/>
    <s v="Inconnu"/>
    <s v="Inconnu"/>
    <s v="Inconnu"/>
    <n v="1"/>
    <n v="1"/>
    <s v="Inconnu"/>
    <s v="Transfusé"/>
    <n v="2"/>
    <s v="ERASME"/>
    <s v="Aucun"/>
    <s v="Aucun"/>
    <s v="OUI"/>
  </r>
  <r>
    <x v="8"/>
    <s v="FERNANDES"/>
    <s v="710607FFAA"/>
    <d v="1977-06-07T00:00:00"/>
    <n v="40.323287671232876"/>
    <s v=" "/>
    <s v="DAYEH"/>
    <s v="CHIREC PARC LEOPOLD"/>
    <s v="CHIREC PARC LEOPOLD"/>
    <s v="BE"/>
    <s v="F"/>
    <d v="2017-09-23T00:00:00"/>
    <m/>
    <s v="CABG"/>
    <x v="1"/>
    <x v="1"/>
    <n v="0"/>
    <n v="0"/>
    <n v="2"/>
    <s v="PC"/>
    <m/>
    <m/>
    <m/>
    <m/>
    <m/>
    <m/>
    <m/>
    <m/>
    <m/>
    <n v="1"/>
    <m/>
    <m/>
    <m/>
    <m/>
    <n v="0"/>
    <d v="2017-09-24T00:00:00"/>
    <n v="1"/>
    <d v="2017-09-29T00:00:00"/>
    <n v="6"/>
    <x v="0"/>
    <n v="2"/>
    <s v="URGENCY"/>
    <s v="D"/>
    <m/>
    <m/>
    <m/>
    <s v="FERNANDES"/>
    <d v="2017-10-27T00:00:00"/>
    <d v="2017-10-11T00:00:00"/>
    <s v="Y"/>
    <m/>
    <m/>
    <m/>
    <m/>
    <n v="1"/>
    <n v="0"/>
    <n v="1"/>
    <x v="2"/>
    <s v="Infection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NON"/>
  </r>
  <r>
    <x v="8"/>
    <s v="DEMEYER"/>
    <s v="361110MD03"/>
    <d v="1936-11-10T00:00:00"/>
    <n v="80.92876712328767"/>
    <s v="1"/>
    <s v="LOMMEL"/>
    <s v="ERASME CARDIO"/>
    <s v="ERASME CARDIO"/>
    <s v="FV"/>
    <s v="M"/>
    <d v="2017-09-25T00:00:00"/>
    <d v="2017-09-19T00:00:00"/>
    <s v="AVR + MVP + TVP"/>
    <x v="0"/>
    <x v="0"/>
    <n v="0"/>
    <s v="2 V ou plus"/>
    <m/>
    <m/>
    <s v="Perceval/CE/CE"/>
    <s v="B"/>
    <s v="L/28/32"/>
    <m/>
    <m/>
    <m/>
    <m/>
    <m/>
    <m/>
    <m/>
    <s v="5R/2Plas/1Plaq"/>
    <n v="8"/>
    <s v="1R/1Plaq"/>
    <n v="2"/>
    <n v="10"/>
    <d v="2017-09-29T00:00:00"/>
    <n v="4"/>
    <d v="2017-10-09T00:00:00"/>
    <n v="43017"/>
    <x v="0"/>
    <n v="1"/>
    <s v="ELECTIVE"/>
    <s v="D"/>
    <m/>
    <m/>
    <m/>
    <s v="DEMEYER"/>
    <d v="2017-11-07T00:00:00"/>
    <d v="2017-10-25T00:00:00"/>
    <s v="Y"/>
    <s v="pas de réponse"/>
    <d v="2017-11-03T00:00:00"/>
    <s v="Y"/>
    <s v="toujours pas de réponse"/>
    <n v="0"/>
    <n v="1"/>
    <n v="1"/>
    <x v="0"/>
    <s v="Aucune"/>
    <s v="Transfusion"/>
    <s v="Transfusé"/>
    <s v="NON"/>
    <s v="NON"/>
    <n v="14"/>
    <n v="14"/>
    <s v="Inconnu"/>
    <n v="4"/>
    <n v="4"/>
    <s v="Inconnu"/>
    <s v="Transfusé"/>
    <n v="10"/>
    <s v="ERASME"/>
    <s v="Aucun"/>
    <s v="Aucun"/>
    <s v="OUI"/>
  </r>
  <r>
    <x v="8"/>
    <s v="HURREN"/>
    <s v="241106MH01"/>
    <d v="1924-11-06T00:00:00"/>
    <n v="92.950684931506856"/>
    <s v="1"/>
    <s v="VAN NOOTEN"/>
    <s v="ERASME CHIR CAR"/>
    <s v="ERASME CHIR CAR"/>
    <s v="BE"/>
    <s v="M"/>
    <d v="2017-09-26T00:00:00"/>
    <d v="2017-09-19T00:00:00"/>
    <s v="CABG"/>
    <x v="1"/>
    <x v="1"/>
    <n v="0"/>
    <n v="0"/>
    <n v="1"/>
    <s v="OPCAB"/>
    <m/>
    <m/>
    <m/>
    <m/>
    <m/>
    <m/>
    <n v="1"/>
    <m/>
    <m/>
    <n v="1"/>
    <m/>
    <m/>
    <m/>
    <m/>
    <n v="0"/>
    <d v="2017-09-27T00:00:00"/>
    <n v="1"/>
    <d v="2017-10-02T00:00:00"/>
    <n v="6"/>
    <x v="0"/>
    <n v="1"/>
    <s v="ELECTIVE"/>
    <s v="D"/>
    <m/>
    <m/>
    <m/>
    <s v="HURREN"/>
    <d v="2017-10-30T00:00:00"/>
    <d v="2017-10-11T00:00:00"/>
    <s v="Y"/>
    <m/>
    <m/>
    <m/>
    <m/>
    <n v="1"/>
    <n v="0"/>
    <n v="1"/>
    <x v="0"/>
    <s v="Infection"/>
    <s v="Aucune"/>
    <s v="Aucune"/>
    <s v="NON"/>
    <s v="NON"/>
    <n v="6"/>
    <n v="6"/>
    <s v="Inconnu"/>
    <n v="1"/>
    <n v="1"/>
    <s v="Inconnu"/>
    <s v="Aucune"/>
    <n v="0"/>
    <s v="ERASME"/>
    <s v="Aucun"/>
    <s v="Aucun"/>
    <s v="OUI"/>
  </r>
  <r>
    <x v="8"/>
    <s v="FLAMENT"/>
    <s v="550302MF03"/>
    <d v="1955-03-02T00:00:00"/>
    <n v="62.61917808219178"/>
    <s v=" "/>
    <s v="ZENAGUI"/>
    <s v="ZENAGUI"/>
    <s v="CT"/>
    <s v="FV"/>
    <s v="M"/>
    <d v="2017-09-28T00:00:00"/>
    <d v="2017-09-26T00:00:00"/>
    <s v="? (CABG)"/>
    <x v="1"/>
    <x v="1"/>
    <n v="0"/>
    <n v="0"/>
    <m/>
    <m/>
    <m/>
    <m/>
    <m/>
    <m/>
    <m/>
    <m/>
    <m/>
    <m/>
    <m/>
    <m/>
    <m/>
    <m/>
    <m/>
    <m/>
    <n v="0"/>
    <d v="2017-09-29T00:00:00"/>
    <n v="1"/>
    <d v="2017-10-05T00:00:00"/>
    <n v="7"/>
    <x v="0"/>
    <n v="1"/>
    <s v="ELECTIVE"/>
    <s v="D"/>
    <m/>
    <m/>
    <m/>
    <s v="FLAMENT"/>
    <d v="2017-11-14T00:00:00"/>
    <d v="2017-10-11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T"/>
    <s v="Aucun"/>
    <s v="Aucun"/>
    <s v="OUI"/>
  </r>
  <r>
    <x v="8"/>
    <s v="DE MUNCK"/>
    <s v="430425FDAA "/>
    <d v="1943-04-25T00:00:00"/>
    <n v="74.479452054794521"/>
    <s v=" "/>
    <s v="DESCAMPS"/>
    <s v="CHWAPI TOURNAI"/>
    <s v="CHWAPI TOURNAI"/>
    <s v="BE"/>
    <s v="F"/>
    <d v="2017-09-28T00:00:00"/>
    <m/>
    <s v="AVR"/>
    <x v="2"/>
    <x v="2"/>
    <s v="AVR"/>
    <s v="AVR"/>
    <m/>
    <m/>
    <s v="CE"/>
    <s v="B"/>
    <n v="21"/>
    <m/>
    <m/>
    <m/>
    <m/>
    <m/>
    <m/>
    <n v="1"/>
    <s v="8R/2Plas"/>
    <n v="10"/>
    <m/>
    <m/>
    <n v="10"/>
    <d v="2017-10-03T00:00:00"/>
    <n v="5"/>
    <d v="2017-10-13T00:00:00"/>
    <n v="15"/>
    <x v="0"/>
    <n v="2"/>
    <s v="URGENCY"/>
    <s v="Tournai"/>
    <m/>
    <m/>
    <m/>
    <s v="DE MUNCK"/>
    <d v="2017-11-17T00:00:00"/>
    <d v="2017-10-31T00:00:00"/>
    <s v="Y"/>
    <m/>
    <m/>
    <m/>
    <m/>
    <n v="1"/>
    <n v="1"/>
    <n v="1"/>
    <x v="2"/>
    <s v="Infection"/>
    <s v="Transfusion"/>
    <s v="Aucune"/>
    <s v="NON"/>
    <s v="NON"/>
    <n v="15"/>
    <n v="15"/>
    <s v="Inconnu"/>
    <n v="5"/>
    <n v="5"/>
    <s v="Inconnu"/>
    <s v="Transfusé"/>
    <n v="10"/>
    <s v="CHWAPI TOURNAI"/>
    <s v="Aucun"/>
    <s v="Aucun"/>
    <s v="NON"/>
  </r>
  <r>
    <x v="8"/>
    <s v="SCUTENAIRE"/>
    <s v="421012MS03"/>
    <d v="1942-10-12T00:00:00"/>
    <n v="75.016438356164386"/>
    <s v=" "/>
    <s v="BERKENBOOM"/>
    <s v="ERASME CARDIO"/>
    <s v="ERASME CARDIO"/>
    <s v="MLC"/>
    <s v="M"/>
    <d v="2017-09-29T00:00:00"/>
    <d v="2017-09-19T00:00:00"/>
    <s v="CABG"/>
    <x v="1"/>
    <x v="1"/>
    <n v="0"/>
    <n v="0"/>
    <n v="3"/>
    <s v="PC"/>
    <m/>
    <m/>
    <m/>
    <m/>
    <m/>
    <m/>
    <m/>
    <m/>
    <m/>
    <m/>
    <m/>
    <m/>
    <m/>
    <m/>
    <n v="0"/>
    <d v="2017-09-30T00:00:00"/>
    <n v="1"/>
    <d v="2017-10-06T00:00:00"/>
    <n v="7"/>
    <x v="0"/>
    <n v="1"/>
    <s v="ELECTIVE"/>
    <s v="D"/>
    <m/>
    <m/>
    <m/>
    <s v="SCUTENAIRE"/>
    <d v="2017-11-09T00:00:00"/>
    <d v="2017-10-11T00:00:00"/>
    <s v="Y"/>
    <s v="escarre sacree"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8"/>
    <s v="MOULAY"/>
    <s v="550204MM06"/>
    <d v="1955-02-04T00:00:00"/>
    <n v="62.69315068493151"/>
    <s v=" "/>
    <s v="USI"/>
    <s v="ERASME USI"/>
    <s v="ERASME USI"/>
    <s v="FV"/>
    <s v="M"/>
    <d v="2017-09-29T00:00:00"/>
    <m/>
    <s v="CABG"/>
    <x v="1"/>
    <x v="1"/>
    <n v="0"/>
    <n v="0"/>
    <n v="4"/>
    <s v="PC"/>
    <m/>
    <m/>
    <m/>
    <m/>
    <m/>
    <m/>
    <m/>
    <m/>
    <m/>
    <m/>
    <s v="1R/5Plas"/>
    <n v="6"/>
    <s v="5R"/>
    <n v="5"/>
    <n v="11"/>
    <m/>
    <n v="-43007"/>
    <m/>
    <n v="-43007"/>
    <x v="0"/>
    <n v="3"/>
    <s v="EMERGENCY"/>
    <m/>
    <m/>
    <m/>
    <m/>
    <s v="MOULAY"/>
    <m/>
    <m/>
    <m/>
    <m/>
    <m/>
    <m/>
    <m/>
    <n v="0"/>
    <n v="1"/>
    <n v="1"/>
    <x v="1"/>
    <s v="Aucune"/>
    <s v="Transfusion"/>
    <s v="Transfusé"/>
    <s v="NON"/>
    <s v="NON"/>
    <s v="Inconnu"/>
    <s v="Inconnu"/>
    <s v="Inconnu"/>
    <s v="Inconnu"/>
    <s v="Inconnu"/>
    <s v="Inconnu"/>
    <s v="Transfusé"/>
    <n v="11"/>
    <s v="ERASME"/>
    <s v="Aucun"/>
    <s v="Aucun"/>
    <s v="NON"/>
  </r>
  <r>
    <x v="9"/>
    <s v="BRAL"/>
    <s v="460215MB01 "/>
    <d v="1946-02-15T00:00:00"/>
    <n v="71.679452054794524"/>
    <s v=" "/>
    <s v="DESCAMPS"/>
    <s v="CHWAPI TOURNAI"/>
    <s v="CHWAPI TOURNAI"/>
    <s v="FV"/>
    <s v="M"/>
    <d v="2017-10-03T00:00:00"/>
    <m/>
    <s v="AVR + CABG"/>
    <x v="3"/>
    <x v="0"/>
    <s v="CABG + V"/>
    <n v="0"/>
    <n v="3"/>
    <s v="PC"/>
    <s v="CE"/>
    <s v="B"/>
    <n v="25"/>
    <m/>
    <m/>
    <m/>
    <m/>
    <m/>
    <m/>
    <m/>
    <s v="3Plas/1Plaq"/>
    <n v="4"/>
    <m/>
    <m/>
    <n v="4"/>
    <d v="2017-10-04T00:00:00"/>
    <n v="1"/>
    <d v="2017-10-10T00:00:00"/>
    <n v="7"/>
    <x v="0"/>
    <n v="3"/>
    <s v="EMERGENCY"/>
    <s v="D"/>
    <m/>
    <m/>
    <m/>
    <s v="BRAL"/>
    <d v="2017-11-14T00:00:00"/>
    <d v="2017-10-25T00:00:00"/>
    <s v="Y"/>
    <m/>
    <m/>
    <m/>
    <m/>
    <n v="0"/>
    <n v="1"/>
    <n v="1"/>
    <x v="1"/>
    <s v="Aucune"/>
    <s v="Transfusion"/>
    <s v="Aucune"/>
    <s v="NON"/>
    <s v="NON"/>
    <n v="7"/>
    <n v="7"/>
    <s v="Inconnu"/>
    <n v="1"/>
    <n v="1"/>
    <s v="Inconnu"/>
    <s v="Transfusé"/>
    <n v="4"/>
    <s v="CHWAPI TOURNAI"/>
    <s v="Aucun"/>
    <s v="Aucun"/>
    <s v="NON"/>
  </r>
  <r>
    <x v="9"/>
    <s v="MAIORANA"/>
    <s v="371128MM02"/>
    <d v="1937-11-28T00:00:00"/>
    <n v="79.904109589041099"/>
    <s v=" "/>
    <s v="CONTU"/>
    <s v="CHIREC BASILIQUE"/>
    <s v="CHIREC BASILIQUE"/>
    <s v="FV"/>
    <s v="M"/>
    <d v="2017-10-04T00:00:00"/>
    <m/>
    <s v="? (CABG)"/>
    <x v="1"/>
    <x v="1"/>
    <n v="0"/>
    <n v="0"/>
    <m/>
    <m/>
    <m/>
    <m/>
    <m/>
    <m/>
    <m/>
    <m/>
    <m/>
    <m/>
    <m/>
    <m/>
    <s v="1R/3Plas/2Plaq"/>
    <n v="6"/>
    <m/>
    <m/>
    <n v="6"/>
    <d v="2017-10-05T00:00:00"/>
    <n v="1"/>
    <d v="2017-10-13T00:00:00"/>
    <n v="9"/>
    <x v="0"/>
    <n v="1"/>
    <s v="ELECTIVE"/>
    <s v="D"/>
    <m/>
    <m/>
    <m/>
    <s v="MAIORANA"/>
    <d v="2017-11-14T00:00:00"/>
    <d v="2017-10-31T00:00:00"/>
    <s v="Y"/>
    <m/>
    <m/>
    <m/>
    <m/>
    <n v="0"/>
    <n v="1"/>
    <n v="1"/>
    <x v="0"/>
    <s v="Aucune"/>
    <s v="Transfusion"/>
    <s v="Aucune"/>
    <s v="NON"/>
    <s v="NON"/>
    <n v="9"/>
    <n v="9"/>
    <s v="Inconnu"/>
    <n v="1"/>
    <n v="1"/>
    <s v="Inconnu"/>
    <s v="Transfusé"/>
    <n v="6"/>
    <s v="CHIREC"/>
    <s v="Aucun"/>
    <s v="Aucun"/>
    <s v="NON"/>
  </r>
  <r>
    <x v="9"/>
    <s v="VAN EYCKEN"/>
    <s v="521019FVAA"/>
    <d v="1952-10-19T00:00:00"/>
    <n v="65.0054794520548"/>
    <s v=" "/>
    <s v="MARCHAND"/>
    <s v="POLY ENGHIEN"/>
    <s v="POLY ENGHIEN"/>
    <s v="FV"/>
    <s v="F"/>
    <d v="2017-10-05T00:00:00"/>
    <d v="2017-10-03T00:00:00"/>
    <s v="? (AVR)"/>
    <x v="2"/>
    <x v="2"/>
    <s v="AVR"/>
    <s v="AVR"/>
    <m/>
    <m/>
    <m/>
    <m/>
    <m/>
    <m/>
    <m/>
    <m/>
    <m/>
    <m/>
    <m/>
    <m/>
    <m/>
    <m/>
    <m/>
    <m/>
    <n v="0"/>
    <d v="2017-10-11T00:00:00"/>
    <n v="6"/>
    <d v="2017-10-14T00:00:00"/>
    <n v="9"/>
    <x v="0"/>
    <n v="1"/>
    <s v="ELECTIVE"/>
    <s v="D"/>
    <m/>
    <m/>
    <m/>
    <s v="VAN EYCKEN"/>
    <s v="/"/>
    <d v="2017-10-23T00:00:00"/>
    <s v="Y"/>
    <m/>
    <m/>
    <m/>
    <m/>
    <n v="0"/>
    <n v="0"/>
    <n v="1"/>
    <x v="0"/>
    <s v="Aucune"/>
    <s v="Aucune"/>
    <s v="Aucune"/>
    <s v="NON"/>
    <s v="NON"/>
    <n v="9"/>
    <n v="9"/>
    <s v="Inconnu"/>
    <n v="6"/>
    <n v="6"/>
    <s v="Inconnu"/>
    <s v="Aucune"/>
    <n v="0"/>
    <s v="POLY ENGHIEN"/>
    <s v="Aucun"/>
    <s v="Aucun"/>
    <s v="OUI"/>
  </r>
  <r>
    <x v="9"/>
    <s v="KANKELJ"/>
    <s v="630808MKAA"/>
    <d v="1963-08-08T00:00:00"/>
    <n v="54.197260273972603"/>
    <s v=" "/>
    <s v="USI"/>
    <s v="ERASME USI"/>
    <s v="ERASME USI"/>
    <s v="FV"/>
    <s v="M"/>
    <d v="2017-10-05T00:00:00"/>
    <m/>
    <s v="CABG + ECMO"/>
    <x v="1"/>
    <x v="1"/>
    <n v="0"/>
    <n v="0"/>
    <n v="4"/>
    <s v="PC"/>
    <m/>
    <m/>
    <m/>
    <m/>
    <m/>
    <m/>
    <m/>
    <m/>
    <m/>
    <m/>
    <s v="3R"/>
    <n v="3"/>
    <s v="16R"/>
    <n v="16"/>
    <n v="19"/>
    <m/>
    <n v="-43013"/>
    <d v="2017-11-03T00:00:00"/>
    <n v="29"/>
    <x v="0"/>
    <n v="3"/>
    <s v="EMERGENCY"/>
    <s v="D"/>
    <m/>
    <m/>
    <m/>
    <s v="KANKELJ"/>
    <d v="2017-12-05T00:00:00"/>
    <d v="2017-11-13T00:00:00"/>
    <s v="Y"/>
    <s v="sensibilité jbe d (ecmo)- toux "/>
    <m/>
    <m/>
    <m/>
    <n v="0"/>
    <n v="1"/>
    <n v="1"/>
    <x v="1"/>
    <s v="Aucune"/>
    <s v="Transfusion"/>
    <s v="Transfusé"/>
    <s v="NON"/>
    <s v="NON"/>
    <n v="29"/>
    <n v="29"/>
    <s v="Inconnu"/>
    <s v="Inconnu"/>
    <s v="Inconnu"/>
    <s v="Inconnu"/>
    <s v="Transfusé"/>
    <n v="19"/>
    <s v="ERASME"/>
    <s v="Aucun"/>
    <s v="Aucun"/>
    <s v="NON"/>
  </r>
  <r>
    <x v="9"/>
    <s v="EL MAWLA"/>
    <s v="690108ME01"/>
    <d v="1969-01-08T00:00:00"/>
    <n v="48.775342465753425"/>
    <s v=" "/>
    <s v="VACHIERY"/>
    <s v="ERASME CARDIO"/>
    <s v="ERASME CARDIO"/>
    <s v="FV"/>
    <s v="M"/>
    <d v="2017-10-06T00:00:00"/>
    <m/>
    <s v="LVAD + ECMO"/>
    <x v="6"/>
    <x v="5"/>
    <s v="LVAD/HTX"/>
    <n v="0"/>
    <m/>
    <m/>
    <m/>
    <m/>
    <m/>
    <m/>
    <n v="1"/>
    <m/>
    <m/>
    <m/>
    <m/>
    <m/>
    <m/>
    <m/>
    <m/>
    <m/>
    <n v="0"/>
    <d v="2017-10-09T00:00:00"/>
    <n v="3"/>
    <d v="2017-10-09T00:00:00"/>
    <n v="3"/>
    <x v="1"/>
    <n v="2"/>
    <s v="URGENCY"/>
    <s v="/"/>
    <m/>
    <m/>
    <m/>
    <s v="EL MAWLA"/>
    <s v="/"/>
    <s v="/"/>
    <s v="N"/>
    <s v="LVAD-DCD"/>
    <s v="/"/>
    <s v="N"/>
    <s v="LVAD-DCD"/>
    <n v="0"/>
    <n v="0"/>
    <n v="1"/>
    <x v="2"/>
    <s v="Aucune"/>
    <s v="Aucune"/>
    <s v="Aucune"/>
    <s v="NON"/>
    <s v="NON"/>
    <n v="3"/>
    <s v="Inconnu"/>
    <n v="3"/>
    <n v="3"/>
    <s v="Inconnu"/>
    <n v="3"/>
    <s v="Aucune"/>
    <n v="0"/>
    <s v="ERASME"/>
    <s v="Aucun"/>
    <s v="Aucun"/>
    <s v="NON"/>
  </r>
  <r>
    <x v="9"/>
    <s v="VANDER CAMMEN"/>
    <s v="590702FV03"/>
    <d v="1959-07-02T00:00:00"/>
    <n v="58.31232876712329"/>
    <s v=" "/>
    <s v="KHODADADI"/>
    <s v="BRACOPS"/>
    <s v="BRACOPS"/>
    <s v="MLC"/>
    <s v="F"/>
    <d v="2017-10-09T00:00:00"/>
    <m/>
    <s v="AVR"/>
    <x v="2"/>
    <x v="2"/>
    <s v="AVR"/>
    <s v="AVR"/>
    <m/>
    <m/>
    <s v="Medtronic"/>
    <s v="M"/>
    <n v="23"/>
    <m/>
    <m/>
    <m/>
    <m/>
    <m/>
    <m/>
    <m/>
    <m/>
    <m/>
    <m/>
    <m/>
    <n v="0"/>
    <d v="2017-10-11T00:00:00"/>
    <n v="2"/>
    <d v="2017-10-17T00:00:00"/>
    <n v="8"/>
    <x v="0"/>
    <n v="1"/>
    <s v="ELECTIVE"/>
    <s v="D"/>
    <m/>
    <m/>
    <m/>
    <s v="VANDER CAMMEN"/>
    <d v="2017-11-16T00:00:00"/>
    <d v="2017-10-31T00:00:00"/>
    <s v="Y"/>
    <m/>
    <m/>
    <m/>
    <m/>
    <n v="0"/>
    <n v="0"/>
    <n v="1"/>
    <x v="0"/>
    <s v="Aucune"/>
    <s v="Aucune"/>
    <s v="Aucune"/>
    <s v="NON"/>
    <s v="NON"/>
    <n v="8"/>
    <n v="8"/>
    <s v="Inconnu"/>
    <n v="2"/>
    <n v="2"/>
    <s v="Inconnu"/>
    <s v="Aucune"/>
    <n v="0"/>
    <s v="BRACOPS"/>
    <s v="Aucun"/>
    <s v="Aucun"/>
    <s v="NON"/>
  </r>
  <r>
    <x v="9"/>
    <s v="DE ROP"/>
    <s v="470128MD03 "/>
    <d v="1947-01-28T00:00:00"/>
    <n v="70.750684931506854"/>
    <s v=" "/>
    <s v="CONTU"/>
    <s v="CHIREC BASILIQUE"/>
    <s v="CHIREC BASILIQUE"/>
    <s v="MLC"/>
    <s v="M"/>
    <d v="2017-10-11T00:00:00"/>
    <d v="2017-10-10T00:00:00"/>
    <s v="CABG"/>
    <x v="1"/>
    <x v="1"/>
    <n v="0"/>
    <n v="0"/>
    <n v="3"/>
    <s v="PC"/>
    <m/>
    <m/>
    <m/>
    <m/>
    <m/>
    <m/>
    <m/>
    <m/>
    <m/>
    <m/>
    <s v="3R"/>
    <n v="3"/>
    <m/>
    <m/>
    <n v="3"/>
    <d v="2017-10-13T00:00:00"/>
    <n v="2"/>
    <d v="2017-10-18T00:00:00"/>
    <n v="7"/>
    <x v="0"/>
    <n v="1"/>
    <s v="ELECTIVE"/>
    <s v="D"/>
    <m/>
    <m/>
    <m/>
    <s v="DE ROP"/>
    <d v="2017-11-16T00:00:00"/>
    <d v="2017-10-31T00:00:00"/>
    <s v="Y"/>
    <m/>
    <m/>
    <m/>
    <m/>
    <n v="0"/>
    <n v="1"/>
    <n v="1"/>
    <x v="0"/>
    <s v="Aucune"/>
    <s v="Transfusion"/>
    <s v="Aucune"/>
    <s v="NON"/>
    <s v="NON"/>
    <n v="7"/>
    <n v="7"/>
    <s v="Inconnu"/>
    <n v="2"/>
    <n v="2"/>
    <s v="Inconnu"/>
    <s v="Transfusé"/>
    <n v="3"/>
    <s v="CHIREC"/>
    <s v="Aucun"/>
    <s v="Aucun"/>
    <s v="OUI"/>
  </r>
  <r>
    <x v="9"/>
    <s v="MONET"/>
    <s v="440616MM01"/>
    <d v="1944-06-16T00:00:00"/>
    <n v="73.372602739726034"/>
    <s v=" "/>
    <s v="DAYEH"/>
    <s v="CHIREC BASILIQUE"/>
    <s v="CHIREC BASILIQUE"/>
    <s v="BE"/>
    <s v="M"/>
    <d v="2017-10-12T00:00:00"/>
    <d v="2017-09-12T00:00:00"/>
    <s v="CABG"/>
    <x v="1"/>
    <x v="1"/>
    <n v="0"/>
    <n v="0"/>
    <n v="2"/>
    <s v="PC"/>
    <m/>
    <m/>
    <m/>
    <m/>
    <m/>
    <m/>
    <m/>
    <m/>
    <m/>
    <n v="1"/>
    <s v="3R"/>
    <n v="3"/>
    <s v="1R"/>
    <n v="1"/>
    <n v="4"/>
    <d v="2017-10-15T00:00:00"/>
    <n v="3"/>
    <d v="2017-10-20T00:00:00"/>
    <n v="8"/>
    <x v="0"/>
    <n v="1"/>
    <s v="ELECTIVE"/>
    <s v="D"/>
    <m/>
    <m/>
    <m/>
    <s v="MONET"/>
    <d v="2017-11-24T00:00:00"/>
    <d v="2017-10-31T00:00:00"/>
    <s v="Y"/>
    <m/>
    <m/>
    <m/>
    <m/>
    <n v="1"/>
    <n v="1"/>
    <n v="1"/>
    <x v="0"/>
    <s v="Infection"/>
    <s v="Transfusion"/>
    <s v="Transfusé"/>
    <s v="NON"/>
    <s v="NON"/>
    <n v="8"/>
    <n v="8"/>
    <s v="Inconnu"/>
    <n v="3"/>
    <n v="3"/>
    <s v="Inconnu"/>
    <s v="Transfusé"/>
    <n v="4"/>
    <s v="CHIREC"/>
    <s v="Aucun"/>
    <s v="Aucun"/>
    <s v="OUI"/>
  </r>
  <r>
    <x v="9"/>
    <s v="TZOUROS"/>
    <s v="440117MT02 "/>
    <d v="1944-01-17T00:00:00"/>
    <n v="73.789041095890411"/>
    <s v=" "/>
    <s v="KHODADADI"/>
    <s v="BRACOPS"/>
    <s v="BRACOPS"/>
    <s v="BE"/>
    <s v="M"/>
    <d v="2017-10-13T00:00:00"/>
    <d v="2017-10-10T00:00:00"/>
    <s v="CABG"/>
    <x v="1"/>
    <x v="1"/>
    <n v="0"/>
    <n v="0"/>
    <n v="1"/>
    <s v="MIDCAB"/>
    <m/>
    <m/>
    <m/>
    <m/>
    <m/>
    <m/>
    <m/>
    <m/>
    <m/>
    <m/>
    <m/>
    <m/>
    <m/>
    <m/>
    <n v="0"/>
    <d v="2017-10-14T00:00:00"/>
    <n v="1"/>
    <d v="2017-10-18T00:00:00"/>
    <n v="5"/>
    <x v="0"/>
    <n v="1"/>
    <s v="ELECTIVE"/>
    <s v="D"/>
    <m/>
    <m/>
    <m/>
    <s v="TZOUROS"/>
    <d v="2017-11-17T00:00:00"/>
    <d v="2017-10-31T00:00:00"/>
    <s v="Y"/>
    <s v="plaie sternale infecté"/>
    <m/>
    <m/>
    <m/>
    <n v="0"/>
    <n v="0"/>
    <n v="1"/>
    <x v="0"/>
    <s v="Aucune"/>
    <s v="Aucune"/>
    <s v="Aucune"/>
    <s v="NON"/>
    <s v="NON"/>
    <n v="5"/>
    <n v="5"/>
    <s v="Inconnu"/>
    <n v="1"/>
    <n v="1"/>
    <s v="Inconnu"/>
    <s v="Aucune"/>
    <n v="0"/>
    <s v="BRACOPS"/>
    <s v="Aucun"/>
    <s v="Aucun"/>
    <s v="OUI"/>
  </r>
  <r>
    <x v="9"/>
    <s v="KAGOYIRE"/>
    <s v="601016FK01"/>
    <d v="1960-10-16T00:00:00"/>
    <n v="57.038356164383565"/>
    <s v=" "/>
    <s v="PREUMONT"/>
    <s v="ERASME CARDIO"/>
    <s v="ERASME CARDIO"/>
    <s v="MLC"/>
    <s v="F"/>
    <d v="2017-10-16T00:00:00"/>
    <d v="2017-10-10T00:00:00"/>
    <s v="CABG"/>
    <x v="1"/>
    <x v="1"/>
    <n v="0"/>
    <n v="0"/>
    <n v="3"/>
    <s v="PC"/>
    <m/>
    <m/>
    <m/>
    <m/>
    <m/>
    <m/>
    <m/>
    <m/>
    <m/>
    <m/>
    <m/>
    <m/>
    <m/>
    <m/>
    <n v="0"/>
    <d v="2017-10-17T00:00:00"/>
    <n v="1"/>
    <d v="2017-10-24T00:00:00"/>
    <n v="8"/>
    <x v="0"/>
    <n v="1"/>
    <s v="ELECTIVE"/>
    <s v="D"/>
    <m/>
    <m/>
    <m/>
    <s v="KAGOYIRE"/>
    <d v="2017-10-23T00:00:00"/>
    <d v="2017-10-31T00:00:00"/>
    <s v="Y"/>
    <s v="eu la sœur"/>
    <m/>
    <m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ERASME"/>
    <s v="Aucun"/>
    <s v="Aucun"/>
    <s v="OUI"/>
  </r>
  <r>
    <x v="9"/>
    <s v="DUVIVIER"/>
    <s v="470121FDAA"/>
    <d v="1947-01-21T00:00:00"/>
    <n v="70.786301369863011"/>
    <s v=" "/>
    <s v="VAN DE BORNE"/>
    <s v="ERASME CARDIO"/>
    <s v="ERASME CARDIO"/>
    <s v="FV"/>
    <s v="F"/>
    <d v="2017-10-17T00:00:00"/>
    <d v="2017-06-27T00:00:00"/>
    <s v="TVR + ferm FOP"/>
    <x v="2"/>
    <x v="2"/>
    <s v="TVR"/>
    <s v="TVR"/>
    <m/>
    <m/>
    <s v="CE"/>
    <s v="B"/>
    <n v="27"/>
    <m/>
    <m/>
    <m/>
    <m/>
    <m/>
    <m/>
    <m/>
    <m/>
    <m/>
    <m/>
    <m/>
    <n v="0"/>
    <d v="2017-10-22T00:00:00"/>
    <n v="5"/>
    <d v="2017-11-08T00:00:00"/>
    <n v="22"/>
    <x v="0"/>
    <n v="1"/>
    <s v="ELECTIVE"/>
    <s v="R"/>
    <m/>
    <m/>
    <m/>
    <s v="DUVIVIER"/>
    <d v="2017-12-05T00:00:00"/>
    <m/>
    <m/>
    <m/>
    <m/>
    <m/>
    <m/>
    <n v="0"/>
    <n v="0"/>
    <n v="1"/>
    <x v="0"/>
    <s v="Aucune"/>
    <s v="Aucune"/>
    <s v="Aucune"/>
    <s v="NON"/>
    <s v="NON"/>
    <n v="22"/>
    <n v="22"/>
    <s v="Inconnu"/>
    <n v="5"/>
    <n v="5"/>
    <s v="Inconnu"/>
    <s v="Aucune"/>
    <n v="0"/>
    <s v="ERASME"/>
    <s v="Aucun"/>
    <s v="Aucun"/>
    <s v="OUI"/>
  </r>
  <r>
    <x v="9"/>
    <s v="DUBOIS"/>
    <s v="421001FD03"/>
    <d v="1942-10-01T00:00:00"/>
    <n v="75.098630136986301"/>
    <s v=" "/>
    <s v="HEDESHI"/>
    <s v="CHR HAUTE SENNE"/>
    <s v="CHR HAUTE SENNE"/>
    <s v="FV"/>
    <s v="F"/>
    <d v="2017-10-18T00:00:00"/>
    <d v="2017-10-10T00:00:00"/>
    <s v="? (CABG)"/>
    <x v="1"/>
    <x v="1"/>
    <n v="0"/>
    <n v="0"/>
    <m/>
    <m/>
    <m/>
    <m/>
    <m/>
    <m/>
    <m/>
    <m/>
    <m/>
    <m/>
    <m/>
    <m/>
    <m/>
    <m/>
    <m/>
    <m/>
    <n v="0"/>
    <d v="2017-10-20T00:00:00"/>
    <n v="2"/>
    <d v="2017-10-30T00:00:00"/>
    <n v="12"/>
    <x v="0"/>
    <n v="1"/>
    <s v="ELECTIVE"/>
    <s v="D"/>
    <m/>
    <m/>
    <m/>
    <s v="DUBOIS"/>
    <d v="2017-11-28T00:00:00"/>
    <d v="2017-11-10T00:00:00"/>
    <s v="Y"/>
    <s v="Message"/>
    <m/>
    <m/>
    <m/>
    <n v="0"/>
    <n v="0"/>
    <n v="1"/>
    <x v="0"/>
    <s v="Aucune"/>
    <s v="Aucune"/>
    <s v="Aucune"/>
    <s v="NON"/>
    <s v="NON"/>
    <n v="12"/>
    <n v="12"/>
    <s v="Inconnu"/>
    <n v="2"/>
    <n v="2"/>
    <s v="Inconnu"/>
    <s v="Aucune"/>
    <n v="0"/>
    <s v="CHR HAUTE SENNE"/>
    <s v="Aucun"/>
    <s v="Aucun"/>
    <s v="OUI"/>
  </r>
  <r>
    <x v="9"/>
    <s v="LIESSENS"/>
    <s v="311027ML01"/>
    <d v="1931-10-27T00:00:00"/>
    <n v="86.035616438356158"/>
    <s v="1"/>
    <s v="LOMMEL"/>
    <s v="ERASME CARDIO"/>
    <s v="ERASME CARDIO"/>
    <s v="BE"/>
    <s v="M"/>
    <d v="2017-10-18T00:00:00"/>
    <d v="2017-10-16T00:00:00"/>
    <s v="AVR + CABG"/>
    <x v="3"/>
    <x v="0"/>
    <s v="CABG + V"/>
    <n v="0"/>
    <n v="2"/>
    <s v="PC"/>
    <s v="CE"/>
    <s v="B"/>
    <n v="27"/>
    <m/>
    <m/>
    <m/>
    <m/>
    <m/>
    <m/>
    <m/>
    <s v="2R/2Plas"/>
    <n v="4"/>
    <s v="2R"/>
    <n v="2"/>
    <n v="6"/>
    <d v="2017-10-24T00:00:00"/>
    <n v="6"/>
    <d v="2017-11-03T00:00:00"/>
    <n v="16"/>
    <x v="0"/>
    <n v="2"/>
    <s v="URGENCY"/>
    <s v="R"/>
    <m/>
    <m/>
    <m/>
    <s v="LIESSENS"/>
    <d v="2017-12-08T00:00:00"/>
    <d v="2017-11-13T00:00:00"/>
    <s v="Y"/>
    <m/>
    <m/>
    <m/>
    <m/>
    <n v="0"/>
    <n v="1"/>
    <n v="1"/>
    <x v="2"/>
    <s v="Aucune"/>
    <s v="Transfusion"/>
    <s v="Transfusé"/>
    <s v="NON"/>
    <s v="NON"/>
    <n v="16"/>
    <n v="16"/>
    <s v="Inconnu"/>
    <n v="6"/>
    <n v="6"/>
    <s v="Inconnu"/>
    <s v="Transfusé"/>
    <n v="6"/>
    <s v="ERASME"/>
    <s v="Aucun"/>
    <s v="Aucun"/>
    <s v="OUI"/>
  </r>
  <r>
    <x v="9"/>
    <s v="MICHELS"/>
    <s v="410406FM01"/>
    <d v="1941-04-06T00:00:00"/>
    <n v="76.589041095890408"/>
    <s v=" "/>
    <s v="URGENCES"/>
    <s v="ERASME URGENCES"/>
    <s v="ERASME URGENCES"/>
    <s v="BE"/>
    <s v="F"/>
    <d v="2017-10-19T00:00:00"/>
    <d v="2017-10-10T00:00:00"/>
    <s v="CABG"/>
    <x v="1"/>
    <x v="1"/>
    <n v="0"/>
    <n v="0"/>
    <n v="2"/>
    <s v="OPCAB"/>
    <m/>
    <m/>
    <m/>
    <m/>
    <m/>
    <m/>
    <m/>
    <m/>
    <m/>
    <m/>
    <m/>
    <m/>
    <m/>
    <m/>
    <n v="0"/>
    <d v="2017-10-19T00:00:00"/>
    <n v="0"/>
    <d v="2017-10-19T00:00:00"/>
    <n v="0"/>
    <x v="1"/>
    <n v="2"/>
    <s v="URGENCY"/>
    <s v="/"/>
    <m/>
    <m/>
    <m/>
    <s v="MICHELS"/>
    <s v="/"/>
    <s v="/"/>
    <s v="N"/>
    <s v="DCD"/>
    <s v="/"/>
    <s v="N"/>
    <s v="DCD"/>
    <n v="0"/>
    <n v="0"/>
    <n v="1"/>
    <x v="2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9"/>
    <s v="BRICHETTE"/>
    <s v="621208MB01 "/>
    <d v="1962-12-08T00:00:00"/>
    <n v="54.901369863013699"/>
    <s v=" "/>
    <s v="CONTU"/>
    <s v="CHIREC BASILIQUE"/>
    <s v="CHIREC BASILIQUE"/>
    <s v="FV"/>
    <s v="M"/>
    <d v="2017-10-19T00:00:00"/>
    <m/>
    <s v="? (CABG)"/>
    <x v="1"/>
    <x v="1"/>
    <n v="0"/>
    <n v="0"/>
    <m/>
    <m/>
    <m/>
    <m/>
    <m/>
    <m/>
    <m/>
    <m/>
    <m/>
    <m/>
    <m/>
    <m/>
    <m/>
    <m/>
    <m/>
    <m/>
    <n v="0"/>
    <d v="2017-10-20T00:00:00"/>
    <n v="1"/>
    <d v="2017-10-26T00:00:00"/>
    <n v="7"/>
    <x v="0"/>
    <n v="3"/>
    <s v="EMERGENCY"/>
    <s v="D"/>
    <m/>
    <m/>
    <m/>
    <s v="BRICHETTE"/>
    <d v="2017-11-28T00:00:00"/>
    <d v="2017-11-03T00:00:00"/>
    <s v="Y"/>
    <m/>
    <m/>
    <m/>
    <m/>
    <n v="0"/>
    <n v="0"/>
    <n v="1"/>
    <x v="1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NON"/>
  </r>
  <r>
    <x v="9"/>
    <s v="EGGEN"/>
    <s v="530917MEAA "/>
    <d v="1953-09-17T00:00:00"/>
    <n v="64.134246575342459"/>
    <s v=" "/>
    <s v="DAYEH"/>
    <s v="CHIREC BASILIQUE"/>
    <s v="CHIREC BASILIQUE"/>
    <s v="BE"/>
    <s v="M"/>
    <d v="2017-10-20T00:00:00"/>
    <d v="2017-09-12T00:00:00"/>
    <s v="? (CABG)"/>
    <x v="1"/>
    <x v="1"/>
    <n v="0"/>
    <n v="0"/>
    <m/>
    <m/>
    <m/>
    <m/>
    <m/>
    <m/>
    <m/>
    <m/>
    <m/>
    <m/>
    <m/>
    <m/>
    <m/>
    <m/>
    <m/>
    <m/>
    <n v="0"/>
    <d v="2017-10-21T00:00:00"/>
    <n v="1"/>
    <d v="2017-10-27T00:00:00"/>
    <n v="7"/>
    <x v="0"/>
    <n v="1"/>
    <s v="ELECTIVE"/>
    <s v="D"/>
    <m/>
    <m/>
    <m/>
    <s v="EGGEN"/>
    <d v="2017-11-28T00:00:00"/>
    <d v="2017-11-03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9"/>
    <s v="COLIN"/>
    <s v="350708MC03"/>
    <d v="1935-07-08T00:00:00"/>
    <n v="82.342465753424662"/>
    <s v="1"/>
    <s v="URGENCES"/>
    <s v="ERASME URGENCES"/>
    <s v="ERASME URGENCES"/>
    <s v="MLC"/>
    <s v="M"/>
    <d v="2017-10-20T00:00:00"/>
    <d v="2017-09-12T00:00:00"/>
    <s v="CABG"/>
    <x v="1"/>
    <x v="1"/>
    <n v="0"/>
    <n v="0"/>
    <n v="3"/>
    <s v="PC"/>
    <m/>
    <m/>
    <m/>
    <m/>
    <m/>
    <m/>
    <m/>
    <m/>
    <m/>
    <m/>
    <m/>
    <m/>
    <m/>
    <m/>
    <n v="0"/>
    <d v="2017-10-21T00:00:00"/>
    <n v="1"/>
    <d v="2017-11-07T00:00:00"/>
    <n v="18"/>
    <x v="0"/>
    <n v="2"/>
    <s v="URGENCY"/>
    <s v="D"/>
    <m/>
    <m/>
    <m/>
    <s v="COLIN"/>
    <d v="2017-12-07T00:00:00"/>
    <m/>
    <m/>
    <m/>
    <m/>
    <m/>
    <m/>
    <n v="0"/>
    <n v="0"/>
    <n v="1"/>
    <x v="2"/>
    <s v="Aucune"/>
    <s v="Aucune"/>
    <s v="Aucune"/>
    <s v="NON"/>
    <s v="NON"/>
    <n v="18"/>
    <n v="18"/>
    <s v="Inconnu"/>
    <n v="1"/>
    <n v="1"/>
    <s v="Inconnu"/>
    <s v="Aucune"/>
    <n v="0"/>
    <s v="ERASME"/>
    <s v="Aucun"/>
    <s v="Aucun"/>
    <s v="OUI"/>
  </r>
  <r>
    <x v="9"/>
    <s v="TUMELAIRE"/>
    <s v="370922MT02 "/>
    <d v="1937-09-22T00:00:00"/>
    <n v="80.139726027397259"/>
    <s v="1"/>
    <s v="VISEUR"/>
    <s v="EPICURA ATH"/>
    <s v="EPICURA ATH"/>
    <s v="MLC"/>
    <s v="M"/>
    <d v="2017-10-23T00:00:00"/>
    <d v="2017-09-12T00:00:00"/>
    <s v="CABG"/>
    <x v="1"/>
    <x v="1"/>
    <n v="0"/>
    <n v="0"/>
    <n v="2"/>
    <s v="PC"/>
    <m/>
    <m/>
    <m/>
    <m/>
    <m/>
    <m/>
    <m/>
    <m/>
    <m/>
    <n v="1"/>
    <m/>
    <m/>
    <m/>
    <m/>
    <n v="0"/>
    <d v="2017-10-24T00:00:00"/>
    <n v="1"/>
    <d v="2017-11-07T00:00:00"/>
    <n v="15"/>
    <x v="0"/>
    <n v="1"/>
    <s v="ELECTIVE"/>
    <s v="R"/>
    <m/>
    <m/>
    <m/>
    <s v="TUMELAIRE"/>
    <d v="2017-12-07T00:00:00"/>
    <m/>
    <m/>
    <m/>
    <m/>
    <m/>
    <m/>
    <n v="1"/>
    <n v="0"/>
    <n v="1"/>
    <x v="0"/>
    <s v="Infection"/>
    <s v="Aucune"/>
    <s v="Aucune"/>
    <s v="NON"/>
    <s v="NON"/>
    <n v="15"/>
    <n v="15"/>
    <s v="Inconnu"/>
    <n v="1"/>
    <n v="1"/>
    <s v="Inconnu"/>
    <s v="Aucune"/>
    <n v="0"/>
    <s v="EPICURA"/>
    <s v="Aucun"/>
    <s v="Aucun"/>
    <s v="OUI"/>
  </r>
  <r>
    <x v="9"/>
    <s v="HUYGENS"/>
    <s v="451126MH01"/>
    <d v="1945-11-26T00:00:00"/>
    <n v="71.956164383561642"/>
    <s v=" "/>
    <s v="KHOUZAM"/>
    <s v="CHR HAUTE SENNE"/>
    <s v="CHR HAUTE SENNE"/>
    <s v="FV"/>
    <s v="M"/>
    <d v="2017-10-23T00:00:00"/>
    <m/>
    <s v="? (CABG)"/>
    <x v="1"/>
    <x v="1"/>
    <n v="0"/>
    <n v="0"/>
    <m/>
    <m/>
    <m/>
    <m/>
    <m/>
    <m/>
    <m/>
    <m/>
    <m/>
    <m/>
    <m/>
    <m/>
    <m/>
    <m/>
    <m/>
    <m/>
    <n v="0"/>
    <d v="2017-10-27T00:00:00"/>
    <n v="4"/>
    <d v="2017-11-03T00:00:00"/>
    <n v="11"/>
    <x v="0"/>
    <n v="2"/>
    <s v="URGENCY"/>
    <s v="D"/>
    <m/>
    <m/>
    <m/>
    <s v="HUYGENS"/>
    <d v="2017-12-05T00:00:00"/>
    <d v="2017-11-13T00:00:00"/>
    <s v="Y"/>
    <m/>
    <m/>
    <m/>
    <m/>
    <n v="0"/>
    <n v="0"/>
    <n v="1"/>
    <x v="2"/>
    <s v="Aucune"/>
    <s v="Aucune"/>
    <s v="Aucune"/>
    <s v="NON"/>
    <s v="NON"/>
    <n v="11"/>
    <n v="11"/>
    <s v="Inconnu"/>
    <n v="4"/>
    <n v="4"/>
    <s v="Inconnu"/>
    <s v="Aucune"/>
    <n v="0"/>
    <s v="CHR HAUTE SENNE"/>
    <s v="Aucun"/>
    <s v="Aucun"/>
    <s v="NON"/>
  </r>
  <r>
    <x v="9"/>
    <s v="CURRAN"/>
    <s v="501122MCAA "/>
    <d v="1950-11-22T00:00:00"/>
    <n v="66.967123287671228"/>
    <s v=" "/>
    <s v="LIPSKI"/>
    <s v="CHIREC EDITH CAVELL"/>
    <s v="CHIREC EDITH CAVELL"/>
    <s v="FV"/>
    <s v="M"/>
    <d v="2017-10-24T00:00:00"/>
    <m/>
    <s v="? (CABG)"/>
    <x v="1"/>
    <x v="1"/>
    <n v="0"/>
    <n v="0"/>
    <m/>
    <m/>
    <m/>
    <m/>
    <m/>
    <m/>
    <m/>
    <m/>
    <m/>
    <m/>
    <m/>
    <n v="1"/>
    <m/>
    <m/>
    <m/>
    <m/>
    <n v="0"/>
    <d v="2017-10-25T00:00:00"/>
    <n v="1"/>
    <d v="2017-10-30T00:00:00"/>
    <n v="6"/>
    <x v="0"/>
    <n v="1"/>
    <s v="ELECTIVE"/>
    <s v="D"/>
    <m/>
    <m/>
    <m/>
    <s v="CURRAN"/>
    <d v="2017-11-28T00:00:00"/>
    <d v="2017-11-10T00:00:00"/>
    <s v="Y"/>
    <m/>
    <m/>
    <m/>
    <m/>
    <n v="1"/>
    <n v="0"/>
    <n v="1"/>
    <x v="0"/>
    <s v="Infection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NON"/>
  </r>
  <r>
    <x v="9"/>
    <s v="D'HAUFAYT"/>
    <s v="470329MD05"/>
    <d v="1947-03-29T00:00:00"/>
    <n v="70.62191780821918"/>
    <s v=" "/>
    <s v="ZENAGUI"/>
    <s v="EPICURA HORNU"/>
    <s v="EPICURA HORNU"/>
    <s v="BE"/>
    <s v="M"/>
    <d v="2017-10-24T00:00:00"/>
    <d v="2017-10-23T00:00:00"/>
    <s v="AVR + CABG"/>
    <x v="3"/>
    <x v="0"/>
    <s v="CABG + V"/>
    <n v="0"/>
    <n v="3"/>
    <s v="PC"/>
    <s v="CE"/>
    <s v="B"/>
    <n v="27"/>
    <m/>
    <m/>
    <m/>
    <m/>
    <m/>
    <m/>
    <m/>
    <m/>
    <m/>
    <m/>
    <m/>
    <n v="0"/>
    <d v="2017-10-25T00:00:00"/>
    <n v="1"/>
    <d v="2017-11-02T00:00:00"/>
    <n v="9"/>
    <x v="0"/>
    <n v="2"/>
    <s v="URGENCY"/>
    <s v="D"/>
    <m/>
    <m/>
    <m/>
    <s v="D'HAUFAYT"/>
    <d v="2017-12-01T00:00:00"/>
    <d v="2017-11-10T00:00:00"/>
    <s v="Y"/>
    <m/>
    <m/>
    <m/>
    <m/>
    <n v="0"/>
    <n v="0"/>
    <n v="1"/>
    <x v="2"/>
    <s v="Aucune"/>
    <s v="Aucune"/>
    <s v="Aucune"/>
    <s v="NON"/>
    <s v="NON"/>
    <n v="9"/>
    <n v="9"/>
    <s v="Inconnu"/>
    <n v="1"/>
    <n v="1"/>
    <s v="Inconnu"/>
    <s v="Aucune"/>
    <n v="0"/>
    <s v="EPICURA"/>
    <s v="Aucun"/>
    <s v="Aucun"/>
    <s v="OUI"/>
  </r>
  <r>
    <x v="9"/>
    <s v="PHILIPPE"/>
    <s v="521124FP01 "/>
    <d v="1952-11-24T00:00:00"/>
    <n v="64.961643835616442"/>
    <s v=" "/>
    <s v="VACHIERY"/>
    <s v="ERASME CARDIO"/>
    <s v="ERASME CARDIO"/>
    <s v="FV"/>
    <s v="F"/>
    <d v="2017-10-25T00:00:00"/>
    <d v="2017-09-05T00:00:00"/>
    <s v="? (EAP)"/>
    <x v="4"/>
    <x v="3"/>
    <n v="0"/>
    <n v="0"/>
    <m/>
    <m/>
    <m/>
    <m/>
    <m/>
    <m/>
    <m/>
    <m/>
    <m/>
    <m/>
    <m/>
    <m/>
    <m/>
    <m/>
    <m/>
    <m/>
    <n v="0"/>
    <m/>
    <n v="-43033"/>
    <m/>
    <n v="-43033"/>
    <x v="0"/>
    <n v="1"/>
    <s v="ELECTIVE"/>
    <m/>
    <m/>
    <m/>
    <m/>
    <s v="PHILIPPE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9"/>
    <s v="CASA"/>
    <s v="460329MCAA "/>
    <d v="1946-03-29T00:00:00"/>
    <n v="71.62465753424658"/>
    <s v=" "/>
    <s v="USI"/>
    <s v="ERASME USI"/>
    <s v="ERASME USI"/>
    <s v="BE"/>
    <s v="M"/>
    <d v="2017-10-25T00:00:00"/>
    <m/>
    <s v="CDA"/>
    <x v="4"/>
    <x v="3"/>
    <n v="0"/>
    <n v="0"/>
    <m/>
    <m/>
    <s v="ATS"/>
    <s v="M"/>
    <s v="25/28"/>
    <m/>
    <m/>
    <m/>
    <m/>
    <m/>
    <m/>
    <m/>
    <m/>
    <m/>
    <m/>
    <m/>
    <n v="0"/>
    <d v="2017-10-25T00:00:00"/>
    <n v="0"/>
    <d v="2017-10-25T00:00:00"/>
    <n v="0"/>
    <x v="1"/>
    <n v="3"/>
    <s v="EMERGENCY"/>
    <s v="/"/>
    <m/>
    <m/>
    <m/>
    <s v="CASA"/>
    <s v="/"/>
    <s v="/"/>
    <s v="N"/>
    <s v="DCD"/>
    <s v="/"/>
    <s v="N"/>
    <s v="DCD"/>
    <n v="0"/>
    <n v="0"/>
    <n v="1"/>
    <x v="1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9"/>
    <s v="STEVART"/>
    <s v="800116FS04"/>
    <d v="1980-01-16T00:00:00"/>
    <n v="37.799999999999997"/>
    <s v=" "/>
    <s v="ROUSSOULIERES"/>
    <s v="ERASME VAD"/>
    <s v="ERASME VAD"/>
    <s v="FV"/>
    <s v="F"/>
    <d v="2017-10-25T00:00:00"/>
    <m/>
    <s v="HTX"/>
    <x v="8"/>
    <x v="6"/>
    <s v="LVAD/HTX"/>
    <n v="0"/>
    <m/>
    <m/>
    <m/>
    <m/>
    <m/>
    <m/>
    <m/>
    <m/>
    <m/>
    <m/>
    <m/>
    <m/>
    <m/>
    <m/>
    <m/>
    <m/>
    <n v="0"/>
    <m/>
    <n v="-43033"/>
    <m/>
    <n v="-43033"/>
    <x v="0"/>
    <n v="2"/>
    <s v="URGENCY"/>
    <m/>
    <m/>
    <m/>
    <m/>
    <s v="STEVART"/>
    <s v="/"/>
    <s v="/"/>
    <m/>
    <s v="HTX"/>
    <s v="/"/>
    <m/>
    <s v="HTX"/>
    <n v="0"/>
    <n v="0"/>
    <n v="1"/>
    <x v="2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9"/>
    <s v="EVELE MBALEA"/>
    <s v="580719FE01 "/>
    <d v="1958-07-19T00:00:00"/>
    <n v="59.31232876712329"/>
    <m/>
    <s v="VACHIERY"/>
    <s v="ERASME CARDIO"/>
    <s v="ERASME CARDIO"/>
    <s v="FV"/>
    <s v="F"/>
    <d v="2017-10-26T00:00:00"/>
    <d v="2017-09-05T00:00:00"/>
    <s v="TVR + CABG"/>
    <x v="3"/>
    <x v="0"/>
    <s v="CABG + V"/>
    <n v="0"/>
    <n v="1"/>
    <s v="PC"/>
    <s v="CE"/>
    <s v="B"/>
    <n v="31"/>
    <m/>
    <m/>
    <m/>
    <m/>
    <m/>
    <m/>
    <m/>
    <m/>
    <m/>
    <m/>
    <m/>
    <n v="0"/>
    <d v="2017-10-31T00:00:00"/>
    <n v="5"/>
    <m/>
    <n v="-43034"/>
    <x v="0"/>
    <n v="1"/>
    <s v="ELECTIVE"/>
    <m/>
    <m/>
    <m/>
    <m/>
    <s v="EVELE MBALEA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n v="5"/>
    <n v="5"/>
    <s v="Inconnu"/>
    <s v="Aucune"/>
    <n v="0"/>
    <s v="ERASME"/>
    <s v="Aucun"/>
    <s v="Aucun"/>
    <s v="OUI"/>
  </r>
  <r>
    <x v="9"/>
    <s v="KONINGS"/>
    <s v="680304MK01 "/>
    <d v="1968-03-04T00:00:00"/>
    <n v="49.682191780821917"/>
    <m/>
    <s v="DAYEH"/>
    <s v="CHIREC BASILIQUE"/>
    <s v="CHIREC BASILIQUE"/>
    <s v="FV"/>
    <s v="M"/>
    <d v="2017-10-27T00:00:00"/>
    <d v="2017-09-19T00:00:00"/>
    <s v="? (AVR)"/>
    <x v="2"/>
    <x v="2"/>
    <s v="AVR"/>
    <s v="AVR"/>
    <m/>
    <m/>
    <m/>
    <m/>
    <m/>
    <m/>
    <m/>
    <m/>
    <m/>
    <m/>
    <m/>
    <n v="1"/>
    <m/>
    <m/>
    <m/>
    <m/>
    <n v="0"/>
    <d v="2017-10-28T00:00:00"/>
    <n v="1"/>
    <d v="2017-11-03T00:00:00"/>
    <n v="7"/>
    <x v="0"/>
    <n v="1"/>
    <s v="ELECTIVE"/>
    <s v="D"/>
    <m/>
    <m/>
    <m/>
    <s v="KONINGS"/>
    <d v="2017-12-05T00:00:00"/>
    <d v="2017-11-13T00:00:00"/>
    <s v="Y"/>
    <s v="Message"/>
    <m/>
    <m/>
    <m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9"/>
    <s v="FALZONE"/>
    <s v="410701MFAA "/>
    <d v="1941-07-01T00:00:00"/>
    <n v="76.37534246575342"/>
    <m/>
    <s v="USI"/>
    <s v="BRACOPS"/>
    <s v="BRACOPS"/>
    <s v="BE"/>
    <s v="M"/>
    <d v="2017-10-27T00:00:00"/>
    <m/>
    <s v="CABG"/>
    <x v="1"/>
    <x v="1"/>
    <n v="0"/>
    <n v="0"/>
    <n v="3"/>
    <s v="PC"/>
    <m/>
    <m/>
    <m/>
    <m/>
    <m/>
    <m/>
    <m/>
    <m/>
    <m/>
    <m/>
    <s v="7R/4Plas/3Plaq"/>
    <n v="14"/>
    <s v="1R"/>
    <n v="1"/>
    <n v="15"/>
    <d v="2017-10-30T00:00:00"/>
    <n v="3"/>
    <d v="2017-10-30T00:00:00"/>
    <n v="3"/>
    <x v="1"/>
    <n v="2"/>
    <s v="URGENCY"/>
    <s v="/"/>
    <m/>
    <m/>
    <m/>
    <s v="FALZONE"/>
    <s v="/"/>
    <s v="/"/>
    <s v="N"/>
    <s v="DCD"/>
    <s v="/"/>
    <s v="N"/>
    <s v="DCD"/>
    <n v="0"/>
    <n v="1"/>
    <n v="1"/>
    <x v="2"/>
    <s v="Aucune"/>
    <s v="Transfusion"/>
    <s v="Transfusé"/>
    <s v="NON"/>
    <s v="NON"/>
    <n v="3"/>
    <n v="3"/>
    <s v="Inconnu"/>
    <n v="3"/>
    <n v="3"/>
    <s v="Inconnu"/>
    <s v="Transfusé"/>
    <n v="15"/>
    <s v="BRACOPS"/>
    <s v="Aucun"/>
    <s v="Aucun"/>
    <s v="NON"/>
  </r>
  <r>
    <x v="9"/>
    <s v="EVRARD"/>
    <s v="291113ME01 "/>
    <d v="1929-11-13T00:00:00"/>
    <n v="88.021917808219172"/>
    <m/>
    <s v="MENASSEL"/>
    <s v="CHIREC BRAINE"/>
    <s v="CHIREC BRAINE"/>
    <s v="FV"/>
    <s v="M"/>
    <d v="2017-10-30T00:00:00"/>
    <d v="2017-10-24T00:00:00"/>
    <s v="? (AVR)"/>
    <x v="2"/>
    <x v="2"/>
    <s v="AVR"/>
    <s v="AVR"/>
    <m/>
    <m/>
    <m/>
    <m/>
    <m/>
    <m/>
    <m/>
    <m/>
    <m/>
    <m/>
    <m/>
    <m/>
    <m/>
    <m/>
    <m/>
    <m/>
    <n v="0"/>
    <m/>
    <n v="-43038"/>
    <d v="2017-11-10T00:00:00"/>
    <n v="11"/>
    <x v="0"/>
    <n v="2"/>
    <s v="URGENCY"/>
    <m/>
    <m/>
    <m/>
    <m/>
    <s v="EVRARD"/>
    <d v="2017-12-12T00:00:00"/>
    <m/>
    <m/>
    <m/>
    <m/>
    <m/>
    <m/>
    <n v="0"/>
    <n v="0"/>
    <n v="1"/>
    <x v="2"/>
    <s v="Aucune"/>
    <s v="Aucune"/>
    <s v="Aucune"/>
    <s v="NON"/>
    <s v="NON"/>
    <n v="11"/>
    <n v="11"/>
    <s v="Inconnu"/>
    <s v="Inconnu"/>
    <s v="Inconnu"/>
    <s v="Inconnu"/>
    <s v="Aucune"/>
    <n v="0"/>
    <s v="CHIREC"/>
    <s v="Aucun"/>
    <s v="Aucun"/>
    <s v="OUI"/>
  </r>
  <r>
    <x v="9"/>
    <s v="VAN DEN BREMPT"/>
    <s v="490214MV01 "/>
    <d v="1949-02-14T00:00:00"/>
    <n v="68.753424657534254"/>
    <m/>
    <s v="ROUSSOULIERES"/>
    <s v="ERASME CARDIO"/>
    <s v="ERASME CARDIO"/>
    <s v="BE"/>
    <s v="M"/>
    <d v="2017-10-30T00:00:00"/>
    <d v="2017-10-17T00:00:00"/>
    <s v="CABG"/>
    <x v="1"/>
    <x v="1"/>
    <n v="0"/>
    <n v="0"/>
    <n v="1"/>
    <s v="MIDCAB"/>
    <m/>
    <m/>
    <m/>
    <m/>
    <m/>
    <m/>
    <m/>
    <m/>
    <m/>
    <m/>
    <m/>
    <m/>
    <m/>
    <m/>
    <n v="0"/>
    <m/>
    <n v="-43038"/>
    <m/>
    <n v="-43038"/>
    <x v="0"/>
    <n v="1"/>
    <s v="ELECTIVE"/>
    <m/>
    <m/>
    <m/>
    <m/>
    <s v="VAN DEN BREMPT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9"/>
    <s v="LECOCQ"/>
    <s v="441103ML01 "/>
    <d v="1944-11-03T00:00:00"/>
    <n v="73.041095890410958"/>
    <m/>
    <s v="URGENCES"/>
    <s v="ERASME URGENCES"/>
    <s v="ERASME URGENCES"/>
    <s v="FV"/>
    <s v="M"/>
    <d v="2017-10-31T00:00:00"/>
    <d v="2017-10-31T00:00:00"/>
    <s v="? (CABG)"/>
    <x v="1"/>
    <x v="1"/>
    <n v="0"/>
    <n v="0"/>
    <m/>
    <m/>
    <m/>
    <m/>
    <m/>
    <m/>
    <m/>
    <m/>
    <m/>
    <m/>
    <m/>
    <m/>
    <m/>
    <m/>
    <m/>
    <m/>
    <n v="0"/>
    <m/>
    <n v="-43039"/>
    <d v="2017-11-10T00:00:00"/>
    <n v="10"/>
    <x v="0"/>
    <n v="2"/>
    <s v="URGENCY"/>
    <m/>
    <m/>
    <m/>
    <m/>
    <s v="LECOCQ"/>
    <d v="2017-12-12T00:00:00"/>
    <m/>
    <m/>
    <m/>
    <m/>
    <m/>
    <m/>
    <n v="0"/>
    <n v="0"/>
    <n v="1"/>
    <x v="2"/>
    <s v="Aucune"/>
    <s v="Aucune"/>
    <s v="Aucune"/>
    <s v="NON"/>
    <s v="NON"/>
    <n v="10"/>
    <n v="10"/>
    <s v="Inconnu"/>
    <s v="Inconnu"/>
    <s v="Inconnu"/>
    <s v="Inconnu"/>
    <s v="Aucune"/>
    <n v="0"/>
    <s v="ERASME"/>
    <s v="Aucun"/>
    <s v="Aucun"/>
    <s v="OUI"/>
  </r>
  <r>
    <x v="9"/>
    <s v="PEETERS"/>
    <s v="630324MP02 "/>
    <d v="1963-03-24T00:00:00"/>
    <n v="54.643835616438359"/>
    <m/>
    <s v="URGENCES"/>
    <s v="ERASME URGENCES"/>
    <s v="ERASME URGENCES"/>
    <s v="FV"/>
    <s v="M"/>
    <d v="2017-10-31T00:00:00"/>
    <m/>
    <s v="CABG"/>
    <x v="1"/>
    <x v="1"/>
    <n v="0"/>
    <n v="0"/>
    <n v="5"/>
    <s v="PC"/>
    <m/>
    <m/>
    <m/>
    <m/>
    <m/>
    <m/>
    <m/>
    <m/>
    <m/>
    <m/>
    <m/>
    <m/>
    <m/>
    <m/>
    <n v="0"/>
    <m/>
    <n v="-43039"/>
    <d v="2017-11-09T00:00:00"/>
    <n v="9"/>
    <x v="0"/>
    <n v="3"/>
    <s v="EMERGENCY"/>
    <m/>
    <m/>
    <m/>
    <m/>
    <s v="PEETERS"/>
    <d v="2017-12-12T00:00:00"/>
    <m/>
    <m/>
    <m/>
    <m/>
    <m/>
    <m/>
    <n v="0"/>
    <n v="0"/>
    <n v="1"/>
    <x v="1"/>
    <s v="Aucune"/>
    <s v="Aucune"/>
    <s v="Aucune"/>
    <s v="NON"/>
    <s v="NON"/>
    <n v="9"/>
    <n v="9"/>
    <s v="Inconnu"/>
    <s v="Inconnu"/>
    <s v="Inconnu"/>
    <s v="Inconnu"/>
    <s v="Aucune"/>
    <n v="0"/>
    <s v="ERASME"/>
    <s v="Aucun"/>
    <s v="Aucun"/>
    <s v="NON"/>
  </r>
  <r>
    <x v="9"/>
    <s v="VAN NIEUWENBORGH"/>
    <s v="441231MV01 "/>
    <d v="1944-12-31T00:00:00"/>
    <n v="72.882191780821913"/>
    <s v=" "/>
    <s v="URGENCES"/>
    <s v="ERASME URGENCES"/>
    <s v="ERASME URGENCES"/>
    <s v="BE"/>
    <s v="M"/>
    <d v="2017-10-31T00:00:00"/>
    <d v="2017-10-31T00:00:00"/>
    <s v="AVR + CABG"/>
    <x v="3"/>
    <x v="0"/>
    <s v="CABG + V"/>
    <n v="0"/>
    <n v="2"/>
    <s v="PC"/>
    <s v="CE"/>
    <s v="B"/>
    <n v="27"/>
    <m/>
    <m/>
    <m/>
    <m/>
    <m/>
    <m/>
    <m/>
    <s v="1Plaq"/>
    <n v="1"/>
    <m/>
    <m/>
    <n v="1"/>
    <m/>
    <n v="-43039"/>
    <d v="2017-11-07T00:00:00"/>
    <n v="7"/>
    <x v="0"/>
    <n v="3"/>
    <s v="EMERGENCY"/>
    <s v="D"/>
    <m/>
    <m/>
    <m/>
    <s v="VAN NIEUWENBORGH"/>
    <m/>
    <m/>
    <m/>
    <m/>
    <m/>
    <m/>
    <m/>
    <n v="0"/>
    <n v="1"/>
    <n v="1"/>
    <x v="1"/>
    <s v="Aucune"/>
    <s v="Transfusion"/>
    <s v="Aucune"/>
    <s v="NON"/>
    <s v="NON"/>
    <n v="7"/>
    <n v="7"/>
    <s v="Inconnu"/>
    <s v="Inconnu"/>
    <s v="Inconnu"/>
    <s v="Inconnu"/>
    <s v="Transfusé"/>
    <n v="1"/>
    <s v="ERASME"/>
    <s v="Aucun"/>
    <s v="Aucun"/>
    <s v="OUI"/>
  </r>
  <r>
    <x v="10"/>
    <s v="HUIN"/>
    <s v="520329MH01 "/>
    <d v="1952-03-29T00:00:00"/>
    <n v="65.641095890410952"/>
    <s v=" "/>
    <s v="BAROUD"/>
    <s v="ERASME CARDIO"/>
    <s v="ERASME CARDIO"/>
    <s v="BE"/>
    <s v="M"/>
    <d v="2017-11-02T00:00:00"/>
    <d v="2017-10-17T00:00:00"/>
    <s v="MVP + CABG"/>
    <x v="3"/>
    <x v="0"/>
    <s v="CABG + V"/>
    <n v="0"/>
    <n v="3"/>
    <s v="PC"/>
    <s v="CE"/>
    <m/>
    <n v="30"/>
    <m/>
    <m/>
    <m/>
    <m/>
    <m/>
    <m/>
    <m/>
    <m/>
    <m/>
    <m/>
    <m/>
    <n v="0"/>
    <m/>
    <n v="-43041"/>
    <m/>
    <n v="-43041"/>
    <x v="2"/>
    <n v="1"/>
    <s v="ELECTIVE"/>
    <m/>
    <m/>
    <m/>
    <m/>
    <s v="HUIN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s v="GUEVAR"/>
    <s v="920507MG02"/>
    <d v="1992-05-07T00:00:00"/>
    <n v="25.509589041095889"/>
    <s v=" "/>
    <s v="ROUSSOULIERES"/>
    <s v="ERASME VAD"/>
    <s v="ERASME VAD"/>
    <s v="FV"/>
    <s v="M"/>
    <d v="2017-11-03T00:00:00"/>
    <m/>
    <s v="HTX"/>
    <x v="8"/>
    <x v="6"/>
    <s v="LVAD/HTX"/>
    <n v="0"/>
    <m/>
    <m/>
    <m/>
    <m/>
    <m/>
    <m/>
    <m/>
    <m/>
    <m/>
    <m/>
    <m/>
    <m/>
    <m/>
    <m/>
    <m/>
    <m/>
    <n v="0"/>
    <m/>
    <n v="-43042"/>
    <m/>
    <n v="-43042"/>
    <x v="2"/>
    <n v="2"/>
    <s v="URGENCY"/>
    <m/>
    <m/>
    <m/>
    <m/>
    <s v="GUEVAR"/>
    <m/>
    <m/>
    <m/>
    <m/>
    <m/>
    <m/>
    <m/>
    <n v="0"/>
    <n v="0"/>
    <n v="1"/>
    <x v="2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10"/>
    <s v="SCHLISSINGER"/>
    <s v="460807MS02"/>
    <d v="1946-08-07T00:00:00"/>
    <n v="71.298630136986304"/>
    <s v=" "/>
    <s v="MIRICA"/>
    <s v="ERASME CARDIO"/>
    <s v="ERASME CARDIO"/>
    <s v="FV"/>
    <s v="M"/>
    <d v="2017-11-06T00:00:00"/>
    <d v="2017-10-31T00:00:00"/>
    <s v="AVR + CABG"/>
    <x v="3"/>
    <x v="0"/>
    <s v="CABG + V"/>
    <n v="0"/>
    <n v="3"/>
    <s v="PC"/>
    <s v="CE"/>
    <s v="B"/>
    <n v="27"/>
    <m/>
    <m/>
    <m/>
    <m/>
    <m/>
    <m/>
    <m/>
    <m/>
    <m/>
    <m/>
    <m/>
    <n v="0"/>
    <m/>
    <n v="-43045"/>
    <m/>
    <n v="-43045"/>
    <x v="2"/>
    <n v="1"/>
    <s v="ELECTIVE"/>
    <m/>
    <m/>
    <m/>
    <m/>
    <s v="SCHLISSINGER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s v="ALBERT"/>
    <s v="420822MA01"/>
    <d v="1942-08-22T00:00:00"/>
    <n v="75.263013698630132"/>
    <s v=" "/>
    <s v="BERKENBOOM"/>
    <s v="ERASME CARDIO"/>
    <s v="ERASME CARDIO"/>
    <s v="BE"/>
    <s v="M"/>
    <d v="2017-11-07T00:00:00"/>
    <d v="2017-10-31T00:00:00"/>
    <s v="CABG"/>
    <x v="1"/>
    <x v="1"/>
    <n v="0"/>
    <n v="0"/>
    <n v="1"/>
    <s v="OPCAB"/>
    <m/>
    <m/>
    <m/>
    <m/>
    <m/>
    <m/>
    <n v="1"/>
    <m/>
    <m/>
    <m/>
    <m/>
    <m/>
    <m/>
    <m/>
    <n v="0"/>
    <m/>
    <n v="-43046"/>
    <m/>
    <n v="-43046"/>
    <x v="2"/>
    <n v="1"/>
    <s v="ELECTIVE"/>
    <m/>
    <m/>
    <m/>
    <m/>
    <s v="ALBERT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s v="OILITI"/>
    <s v="390701MO02"/>
    <d v="1939-07-01T00:00:00"/>
    <n v="78.408219178082192"/>
    <s v=" "/>
    <s v="EL MOURAD"/>
    <s v="ERASME CARDIO"/>
    <s v="ERASME CARDIO"/>
    <s v="BE"/>
    <s v="M"/>
    <d v="2017-11-07T00:00:00"/>
    <d v="2017-10-24T00:00:00"/>
    <s v="CABG"/>
    <x v="1"/>
    <x v="1"/>
    <n v="0"/>
    <n v="0"/>
    <n v="3"/>
    <s v="PC"/>
    <m/>
    <m/>
    <m/>
    <m/>
    <m/>
    <m/>
    <m/>
    <m/>
    <m/>
    <n v="1"/>
    <m/>
    <m/>
    <m/>
    <m/>
    <n v="0"/>
    <m/>
    <n v="-43046"/>
    <m/>
    <n v="-43046"/>
    <x v="2"/>
    <n v="2"/>
    <s v="URGENCY"/>
    <m/>
    <m/>
    <m/>
    <m/>
    <s v="OILITI"/>
    <m/>
    <m/>
    <m/>
    <m/>
    <m/>
    <m/>
    <m/>
    <n v="1"/>
    <n v="0"/>
    <n v="1"/>
    <x v="2"/>
    <s v="Infection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s v="TARALLO"/>
    <s v="370819MT04 "/>
    <d v="1937-08-19T00:00:00"/>
    <n v="80.276712328767118"/>
    <s v="1"/>
    <s v="SARTIEAUX"/>
    <s v="SARTIEAUX"/>
    <s v="CT"/>
    <s v="BE"/>
    <s v="M"/>
    <d v="2017-11-08T00:00:00"/>
    <d v="2017-10-17T00:00:00"/>
    <s v="AVR + CABG"/>
    <x v="3"/>
    <x v="0"/>
    <s v="CABG + V"/>
    <n v="0"/>
    <n v="2"/>
    <s v="PC"/>
    <s v="Perceval"/>
    <s v="B"/>
    <s v="XL"/>
    <m/>
    <m/>
    <m/>
    <m/>
    <m/>
    <m/>
    <m/>
    <m/>
    <m/>
    <m/>
    <m/>
    <n v="0"/>
    <m/>
    <n v="-43047"/>
    <m/>
    <n v="-43047"/>
    <x v="2"/>
    <n v="1"/>
    <s v="ELECTIVE"/>
    <m/>
    <m/>
    <m/>
    <m/>
    <s v="TARALLO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CT"/>
    <s v="Aucun"/>
    <s v="Aucun"/>
    <s v="OUI"/>
  </r>
  <r>
    <x v="10"/>
    <s v="LAPAGE"/>
    <s v="411207ML01 "/>
    <d v="1941-12-07T00:00:00"/>
    <n v="75.972602739726028"/>
    <s v=" "/>
    <s v="EL MOURAD"/>
    <s v="ERASME CARDIO"/>
    <s v="ERASME CARDIO"/>
    <s v="FV"/>
    <s v="M"/>
    <d v="2017-11-08T00:00:00"/>
    <d v="2017-10-10T00:00:00"/>
    <s v="TVP + CABG + MAZE"/>
    <x v="3"/>
    <x v="0"/>
    <s v="CABG + V"/>
    <n v="0"/>
    <n v="4"/>
    <s v="PC"/>
    <s v="CE"/>
    <m/>
    <n v="32"/>
    <m/>
    <m/>
    <m/>
    <m/>
    <m/>
    <m/>
    <m/>
    <m/>
    <m/>
    <m/>
    <m/>
    <n v="0"/>
    <m/>
    <n v="-43047"/>
    <m/>
    <n v="-43047"/>
    <x v="2"/>
    <n v="2"/>
    <s v="URGENCY"/>
    <m/>
    <m/>
    <m/>
    <m/>
    <s v="LAPAGE"/>
    <m/>
    <m/>
    <m/>
    <m/>
    <m/>
    <m/>
    <m/>
    <n v="0"/>
    <n v="0"/>
    <n v="1"/>
    <x v="2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08"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15"/>
    <m/>
    <n v="15"/>
    <n v="30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25"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s v="TVR"/>
    <s v="1 V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s v="MVR"/>
    <s v="1 V"/>
    <s v="MVR"/>
    <s v="M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s v="AVR"/>
    <s v="1 V"/>
    <s v="AVR"/>
    <s v="A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s v="MVP"/>
    <s v="1 Pl"/>
    <s v="MVP"/>
    <s v="MV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14"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3"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s v="TVR"/>
    <x v="1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s v="MVR"/>
    <x v="1"/>
    <s v="MVR"/>
    <s v="M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s v="AVR"/>
    <x v="1"/>
    <s v="AVR"/>
    <s v="A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s v="MVP"/>
    <x v="2"/>
    <s v="MVP"/>
    <s v="MV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309"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2">
  <r>
    <x v="0"/>
    <n v="27"/>
    <m/>
  </r>
  <r>
    <x v="1"/>
    <n v="29"/>
    <m/>
  </r>
  <r>
    <x v="2"/>
    <n v="30"/>
    <m/>
  </r>
  <r>
    <x v="3"/>
    <n v="29"/>
    <m/>
  </r>
  <r>
    <x v="4"/>
    <n v="32"/>
    <m/>
  </r>
  <r>
    <x v="5"/>
    <n v="21"/>
    <m/>
  </r>
  <r>
    <x v="6"/>
    <n v="13"/>
    <m/>
  </r>
  <r>
    <x v="7"/>
    <n v="19"/>
    <m/>
  </r>
  <r>
    <x v="8"/>
    <n v="25"/>
    <m/>
  </r>
  <r>
    <x v="9"/>
    <n v="31"/>
    <m/>
  </r>
  <r>
    <x v="10"/>
    <m/>
    <m/>
  </r>
  <r>
    <x v="11"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313"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  <r>
    <x v="13"/>
    <m/>
    <m/>
    <m/>
    <m/>
    <m/>
    <m/>
    <m/>
    <m/>
    <m/>
    <m/>
    <m/>
    <m/>
    <s v="TVR"/>
    <s v="1 V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  <r>
    <x v="13"/>
    <m/>
    <m/>
    <m/>
    <m/>
    <m/>
    <m/>
    <m/>
    <m/>
    <m/>
    <m/>
    <m/>
    <m/>
    <s v="MVR"/>
    <s v="1 V"/>
    <s v="MVR"/>
    <s v="M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  <r>
    <x v="13"/>
    <m/>
    <m/>
    <m/>
    <m/>
    <m/>
    <m/>
    <m/>
    <m/>
    <m/>
    <m/>
    <m/>
    <m/>
    <s v="AVR"/>
    <s v="1 V"/>
    <s v="AVR"/>
    <s v="A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317"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s v="TVR"/>
    <s v="1 V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s v="MVR"/>
    <s v="1 V"/>
    <s v="MVR"/>
    <s v="M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s v="AVR"/>
    <s v="1 V"/>
    <s v="AVR"/>
    <s v="A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s v="MVP"/>
    <s v="1 Pl"/>
    <s v="MVP"/>
    <s v="MV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311"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3"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</r>
  <r>
    <x v="13"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</r>
  <r>
    <x v="13"/>
    <m/>
    <m/>
    <m/>
    <m/>
    <m/>
    <m/>
    <m/>
    <m/>
    <m/>
    <m/>
    <m/>
    <m/>
    <s v="TVR"/>
    <x v="1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755"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15"/>
    <m/>
    <n v="15"/>
    <n v="30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3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e v="#REF!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s v="TVR"/>
    <x v="1"/>
    <s v="TVR"/>
    <s v="TVR"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s v="MVR"/>
    <x v="1"/>
    <s v="MVR"/>
    <s v="MVR"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s v="AVR"/>
    <x v="1"/>
    <s v="AVR"/>
    <s v="AVR"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s v="MVP"/>
    <x v="2"/>
    <s v="MVP"/>
    <s v="MVP"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n v="0"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s v="=SI(AM2=1;&quot;ELECTIVE&quot;; &amp; SI(AM2=2;URGENCY; &amp; SI(AM2=3;EMERGENCY; &amp; SI (AM2=4;SALVAGE;&quot; &quot;))))"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8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8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updatedVersion="4" minRefreshableVersion="3" showCalcMbrs="0" useAutoFormatting="1" rowGrandTotals="0" itemPrintTitles="1" createdVersion="3" indent="0" outline="1" outlineData="1" multipleFieldFilters="0">
  <location ref="A3:B4" firstHeaderRow="1" firstDataRow="1" firstDataCol="1" rowPageCount="1" colPageCount="1"/>
  <pivotFields count="75">
    <pivotField axis="axisPage" multipleItemSelectionAllowed="1" showAll="0">
      <items count="34">
        <item h="1" m="1" x="23"/>
        <item h="1" m="1" x="25"/>
        <item m="1" x="15"/>
        <item m="1" x="28"/>
        <item m="1" x="26"/>
        <item m="1" x="18"/>
        <item m="1" x="21"/>
        <item m="1" x="16"/>
        <item m="1" x="20"/>
        <item m="1" x="14"/>
        <item h="1" m="1" x="30"/>
        <item h="1" m="1" x="31"/>
        <item m="1" x="17"/>
        <item x="13"/>
        <item h="1" m="1" x="19"/>
        <item h="1" m="1" x="27"/>
        <item h="1" m="1" x="24"/>
        <item h="1" m="1" x="22"/>
        <item x="0"/>
        <item x="1"/>
        <item x="2"/>
        <item x="3"/>
        <item x="4"/>
        <item h="1" m="1" x="32"/>
        <item x="5"/>
        <item x="6"/>
        <item x="7"/>
        <item h="1" m="1" x="29"/>
        <item x="8"/>
        <item x="9"/>
        <item x="10"/>
        <item x="11"/>
        <item x="12"/>
        <item t="default"/>
      </items>
    </pivotField>
    <pivotField showAll="0"/>
    <pivotField axis="axisRow" dataField="1" showAll="0">
      <items count="557">
        <item m="1" x="31"/>
        <item m="1" x="75"/>
        <item m="1" x="245"/>
        <item m="1" x="201"/>
        <item m="1" x="26"/>
        <item m="1" x="20"/>
        <item m="1" x="189"/>
        <item m="1" x="442"/>
        <item m="1" x="382"/>
        <item m="1" x="181"/>
        <item m="1" x="518"/>
        <item m="1" x="230"/>
        <item m="1" x="135"/>
        <item m="1" x="545"/>
        <item m="1" x="414"/>
        <item m="1" x="44"/>
        <item m="1" x="307"/>
        <item m="1" x="502"/>
        <item m="1" x="274"/>
        <item m="1" x="129"/>
        <item m="1" x="485"/>
        <item m="1" x="539"/>
        <item m="1" x="456"/>
        <item m="1" x="264"/>
        <item m="1" x="93"/>
        <item m="1" x="234"/>
        <item m="1" x="195"/>
        <item m="1" x="30"/>
        <item m="1" x="153"/>
        <item m="1" x="413"/>
        <item m="1" x="381"/>
        <item m="1" x="525"/>
        <item m="1" x="462"/>
        <item m="1" x="198"/>
        <item m="1" x="254"/>
        <item m="1" x="156"/>
        <item m="1" x="192"/>
        <item m="1" x="467"/>
        <item m="1" x="84"/>
        <item m="1" x="325"/>
        <item m="1" x="419"/>
        <item m="1" x="366"/>
        <item m="1" x="285"/>
        <item m="1" x="18"/>
        <item m="1" x="158"/>
        <item m="1" x="427"/>
        <item m="1" x="339"/>
        <item m="1" x="57"/>
        <item m="1" x="283"/>
        <item m="1" x="535"/>
        <item m="1" x="523"/>
        <item m="1" x="315"/>
        <item m="1" x="522"/>
        <item m="1" x="222"/>
        <item m="1" x="140"/>
        <item m="1" x="432"/>
        <item m="1" x="97"/>
        <item m="1" x="538"/>
        <item m="1" x="426"/>
        <item m="1" x="484"/>
        <item m="1" x="328"/>
        <item m="1" x="330"/>
        <item m="1" x="397"/>
        <item m="1" x="239"/>
        <item m="1" x="173"/>
        <item m="1" x="433"/>
        <item m="1" x="193"/>
        <item m="1" x="529"/>
        <item m="1" x="346"/>
        <item m="1" x="452"/>
        <item m="1" x="64"/>
        <item m="1" x="332"/>
        <item m="1" x="104"/>
        <item m="1" x="24"/>
        <item m="1" x="537"/>
        <item m="1" x="461"/>
        <item m="1" x="5"/>
        <item m="1" x="466"/>
        <item m="1" x="40"/>
        <item m="1" x="398"/>
        <item m="1" x="503"/>
        <item m="1" x="326"/>
        <item m="1" x="344"/>
        <item m="1" x="272"/>
        <item m="1" x="142"/>
        <item m="1" x="280"/>
        <item m="1" x="168"/>
        <item m="1" x="128"/>
        <item m="1" x="527"/>
        <item m="1" x="475"/>
        <item m="1" x="367"/>
        <item m="1" x="269"/>
        <item m="1" x="243"/>
        <item m="1" x="408"/>
        <item m="1" x="38"/>
        <item m="1" x="47"/>
        <item m="1" x="347"/>
        <item m="1" x="386"/>
        <item m="1" x="76"/>
        <item m="1" x="416"/>
        <item m="1" x="350"/>
        <item m="1" x="497"/>
        <item m="1" x="391"/>
        <item m="1" x="45"/>
        <item m="1" x="52"/>
        <item m="1" x="208"/>
        <item m="1" x="68"/>
        <item m="1" x="333"/>
        <item m="1" x="423"/>
        <item m="1" x="219"/>
        <item m="1" x="161"/>
        <item m="1" x="501"/>
        <item m="1" x="155"/>
        <item m="1" x="349"/>
        <item m="1" x="6"/>
        <item m="1" x="341"/>
        <item m="1" x="262"/>
        <item m="1" x="541"/>
        <item m="1" x="358"/>
        <item m="1" x="421"/>
        <item m="1" x="434"/>
        <item m="1" x="460"/>
        <item m="1" x="144"/>
        <item m="1" x="94"/>
        <item m="1" x="247"/>
        <item m="1" x="79"/>
        <item m="1" x="217"/>
        <item m="1" x="80"/>
        <item m="1" x="35"/>
        <item m="1" x="131"/>
        <item m="1" x="182"/>
        <item m="1" x="206"/>
        <item m="1" x="505"/>
        <item m="1" x="159"/>
        <item m="1" x="137"/>
        <item m="1" x="343"/>
        <item m="1" x="514"/>
        <item m="1" x="547"/>
        <item m="1" x="509"/>
        <item m="1" x="311"/>
        <item m="1" x="98"/>
        <item m="1" x="394"/>
        <item m="1" x="368"/>
        <item m="1" x="348"/>
        <item m="1" x="362"/>
        <item m="1" x="446"/>
        <item m="1" x="213"/>
        <item m="1" x="116"/>
        <item m="1" x="162"/>
        <item m="1" x="417"/>
        <item m="1" x="132"/>
        <item m="1" x="335"/>
        <item m="1" x="27"/>
        <item m="1" x="546"/>
        <item m="1" x="429"/>
        <item m="1" x="53"/>
        <item m="1" x="511"/>
        <item m="1" x="73"/>
        <item m="1" x="453"/>
        <item m="1" x="313"/>
        <item m="1" x="183"/>
        <item m="1" x="431"/>
        <item m="1" x="474"/>
        <item m="1" x="298"/>
        <item m="1" x="99"/>
        <item m="1" x="445"/>
        <item m="1" x="288"/>
        <item m="1" x="308"/>
        <item m="1" x="490"/>
        <item m="1" x="448"/>
        <item m="1" x="207"/>
        <item m="1" x="530"/>
        <item m="1" x="256"/>
        <item m="1" x="180"/>
        <item m="1" x="95"/>
        <item m="1" x="512"/>
        <item m="1" x="177"/>
        <item m="1" x="151"/>
        <item m="1" x="323"/>
        <item m="1" x="422"/>
        <item m="1" x="237"/>
        <item m="1" x="56"/>
        <item m="1" x="92"/>
        <item m="1" x="321"/>
        <item m="1" x="49"/>
        <item m="1" x="504"/>
        <item m="1" x="439"/>
        <item m="1" x="299"/>
        <item m="1" x="150"/>
        <item m="1" x="492"/>
        <item m="1" x="58"/>
        <item m="1" x="157"/>
        <item m="1" x="513"/>
        <item m="1" x="294"/>
        <item m="1" x="267"/>
        <item m="1" x="51"/>
        <item m="1" x="12"/>
        <item m="1" x="384"/>
        <item m="1" x="46"/>
        <item m="1" x="536"/>
        <item m="1" x="194"/>
        <item m="1" x="66"/>
        <item m="1" x="450"/>
        <item m="1" x="166"/>
        <item m="1" x="8"/>
        <item m="1" x="305"/>
        <item x="0"/>
        <item m="1" x="355"/>
        <item m="1" x="314"/>
        <item m="1" x="309"/>
        <item m="1" x="147"/>
        <item m="1" x="533"/>
        <item m="1" x="259"/>
        <item m="1" x="403"/>
        <item m="1" x="141"/>
        <item m="1" x="310"/>
        <item m="1" x="486"/>
        <item m="1" x="550"/>
        <item m="1" x="86"/>
        <item m="1" x="491"/>
        <item m="1" x="292"/>
        <item m="1" x="205"/>
        <item m="1" x="139"/>
        <item m="1" x="327"/>
        <item m="1" x="489"/>
        <item m="1" x="418"/>
        <item m="1" x="532"/>
        <item m="1" x="176"/>
        <item m="1" x="32"/>
        <item m="1" x="334"/>
        <item m="1" x="111"/>
        <item m="1" x="212"/>
        <item m="1" x="61"/>
        <item m="1" x="524"/>
        <item m="1" x="322"/>
        <item m="1" x="542"/>
        <item m="1" x="387"/>
        <item m="1" x="175"/>
        <item m="1" x="302"/>
        <item m="1" x="268"/>
        <item m="1" x="552"/>
        <item m="1" x="481"/>
        <item m="1" x="392"/>
        <item m="1" x="278"/>
        <item m="1" x="260"/>
        <item m="1" x="2"/>
        <item m="1" x="273"/>
        <item m="1" x="369"/>
        <item m="1" x="78"/>
        <item m="1" x="357"/>
        <item m="1" x="255"/>
        <item m="1" x="317"/>
        <item m="1" x="114"/>
        <item m="1" x="499"/>
        <item m="1" x="340"/>
        <item m="1" x="393"/>
        <item m="1" x="291"/>
        <item m="1" x="209"/>
        <item m="1" x="227"/>
        <item m="1" x="14"/>
        <item m="1" x="282"/>
        <item m="1" x="133"/>
        <item m="1" x="4"/>
        <item m="1" x="265"/>
        <item m="1" x="409"/>
        <item m="1" x="149"/>
        <item m="1" x="134"/>
        <item m="1" x="77"/>
        <item m="1" x="337"/>
        <item m="1" x="127"/>
        <item m="1" x="402"/>
        <item m="1" x="88"/>
        <item m="1" x="109"/>
        <item m="1" x="263"/>
        <item m="1" x="555"/>
        <item m="1" x="117"/>
        <item m="1" x="65"/>
        <item m="1" x="101"/>
        <item m="1" x="238"/>
        <item m="1" x="253"/>
        <item m="1" x="284"/>
        <item m="1" x="41"/>
        <item m="1" x="472"/>
        <item m="1" x="507"/>
        <item m="1" x="221"/>
        <item m="1" x="197"/>
        <item m="1" x="464"/>
        <item m="1" x="59"/>
        <item m="1" x="360"/>
        <item m="1" x="23"/>
        <item m="1" x="164"/>
        <item m="1" x="241"/>
        <item m="1" x="126"/>
        <item m="1" x="71"/>
        <item m="1" x="171"/>
        <item m="1" x="82"/>
        <item m="1" x="483"/>
        <item m="1" x="378"/>
        <item m="1" x="517"/>
        <item m="1" x="232"/>
        <item m="1" x="242"/>
        <item m="1" x="160"/>
        <item m="1" x="329"/>
        <item m="1" x="36"/>
        <item m="1" x="72"/>
        <item m="1" x="186"/>
        <item m="1" x="15"/>
        <item m="1" x="477"/>
        <item m="1" x="345"/>
        <item m="1" x="185"/>
        <item m="1" x="437"/>
        <item m="1" x="371"/>
        <item m="1" x="3"/>
        <item m="1" x="316"/>
        <item m="1" x="261"/>
        <item m="1" x="515"/>
        <item m="1" x="306"/>
        <item m="1" x="34"/>
        <item m="1" x="478"/>
        <item m="1" x="74"/>
        <item m="1" x="11"/>
        <item m="1" x="202"/>
        <item m="1" x="199"/>
        <item m="1" x="204"/>
        <item m="1" x="519"/>
        <item m="1" x="451"/>
        <item m="1" x="224"/>
        <item m="1" x="70"/>
        <item m="1" x="493"/>
        <item m="1" x="444"/>
        <item m="1" x="470"/>
        <item m="1" x="174"/>
        <item m="1" x="480"/>
        <item m="1" x="170"/>
        <item m="1" x="188"/>
        <item m="1" x="301"/>
        <item m="1" x="430"/>
        <item m="1" x="107"/>
        <item m="1" x="146"/>
        <item m="1" x="124"/>
        <item m="1" x="312"/>
        <item m="1" x="13"/>
        <item m="1" x="165"/>
        <item m="1" x="352"/>
        <item m="1" x="119"/>
        <item m="1" x="187"/>
        <item m="1" x="287"/>
        <item m="1" x="21"/>
        <item m="1" x="244"/>
        <item m="1" x="275"/>
        <item m="1" x="112"/>
        <item m="1" x="410"/>
        <item m="1" x="7"/>
        <item m="1" x="236"/>
        <item m="1" x="459"/>
        <item m="1" x="251"/>
        <item m="1" x="473"/>
        <item m="1" x="342"/>
        <item m="1" x="438"/>
        <item m="1" x="167"/>
        <item m="1" x="130"/>
        <item m="1" x="400"/>
        <item m="1" x="388"/>
        <item m="1" x="225"/>
        <item m="1" x="520"/>
        <item m="1" x="25"/>
        <item m="1" x="411"/>
        <item m="1" x="376"/>
        <item m="1" x="304"/>
        <item m="1" x="191"/>
        <item m="1" x="39"/>
        <item m="1" x="249"/>
        <item m="1" x="428"/>
        <item m="1" x="29"/>
        <item m="1" x="90"/>
        <item m="1" x="531"/>
        <item m="1" x="401"/>
        <item m="1" x="458"/>
        <item m="1" x="63"/>
        <item m="1" x="290"/>
        <item m="1" x="516"/>
        <item m="1" x="463"/>
        <item m="1" x="148"/>
        <item m="1" x="200"/>
        <item m="1" x="543"/>
        <item m="1" x="190"/>
        <item m="1" x="476"/>
        <item m="1" x="152"/>
        <item m="1" x="354"/>
        <item m="1" x="375"/>
        <item m="1" x="380"/>
        <item m="1" x="420"/>
        <item m="1" x="248"/>
        <item m="1" x="443"/>
        <item m="1" x="468"/>
        <item m="1" x="318"/>
        <item m="1" x="223"/>
        <item m="1" x="60"/>
        <item m="1" x="121"/>
        <item m="1" x="297"/>
        <item m="1" x="506"/>
        <item m="1" x="203"/>
        <item m="1" x="373"/>
        <item m="1" x="379"/>
        <item m="1" x="303"/>
        <item m="1" x="356"/>
        <item m="1" x="138"/>
        <item m="1" x="55"/>
        <item m="1" x="250"/>
        <item m="1" x="210"/>
        <item m="1" x="118"/>
        <item m="1" x="231"/>
        <item m="1" x="89"/>
        <item m="1" x="240"/>
        <item m="1" x="412"/>
        <item m="1" x="528"/>
        <item m="1" x="364"/>
        <item m="1" x="110"/>
        <item m="1" x="233"/>
        <item m="1" x="425"/>
        <item m="1" x="228"/>
        <item m="1" x="69"/>
        <item m="1" x="324"/>
        <item m="1" x="229"/>
        <item m="1" x="85"/>
        <item m="1" x="415"/>
        <item m="1" x="377"/>
        <item m="1" x="404"/>
        <item m="1" x="10"/>
        <item m="1" x="87"/>
        <item m="1" x="407"/>
        <item m="1" x="42"/>
        <item m="1" x="319"/>
        <item m="1" x="338"/>
        <item m="1" x="270"/>
        <item m="1" x="498"/>
        <item m="1" x="102"/>
        <item m="1" x="113"/>
        <item m="1" x="215"/>
        <item m="1" x="172"/>
        <item m="1" x="220"/>
        <item m="1" x="16"/>
        <item m="1" x="361"/>
        <item m="1" x="496"/>
        <item m="1" x="122"/>
        <item m="1" x="246"/>
        <item m="1" x="526"/>
        <item m="1" x="389"/>
        <item m="1" x="385"/>
        <item m="1" x="105"/>
        <item m="1" x="19"/>
        <item m="1" x="534"/>
        <item m="1" x="405"/>
        <item m="1" x="281"/>
        <item m="1" x="320"/>
        <item m="1" x="257"/>
        <item m="1" x="540"/>
        <item m="1" x="100"/>
        <item m="1" x="521"/>
        <item m="1" x="399"/>
        <item m="1" x="390"/>
        <item m="1" x="266"/>
        <item m="1" x="455"/>
        <item m="1" x="125"/>
        <item m="1" x="331"/>
        <item m="1" x="440"/>
        <item m="1" x="482"/>
        <item m="1" x="123"/>
        <item m="1" x="91"/>
        <item m="1" x="295"/>
        <item m="1" x="1"/>
        <item m="1" x="145"/>
        <item m="1" x="353"/>
        <item m="1" x="447"/>
        <item m="1" x="211"/>
        <item m="1" x="435"/>
        <item m="1" x="351"/>
        <item m="1" x="488"/>
        <item m="1" x="43"/>
        <item m="1" x="293"/>
        <item m="1" x="226"/>
        <item m="1" x="495"/>
        <item m="1" x="271"/>
        <item m="1" x="258"/>
        <item m="1" x="17"/>
        <item m="1" x="365"/>
        <item m="1" x="252"/>
        <item m="1" x="184"/>
        <item m="1" x="553"/>
        <item m="1" x="465"/>
        <item m="1" x="469"/>
        <item m="1" x="214"/>
        <item m="1" x="286"/>
        <item m="1" x="548"/>
        <item m="1" x="54"/>
        <item m="1" x="374"/>
        <item m="1" x="9"/>
        <item m="1" x="178"/>
        <item m="1" x="370"/>
        <item m="1" x="279"/>
        <item m="1" x="28"/>
        <item m="1" x="143"/>
        <item m="1" x="276"/>
        <item m="1" x="103"/>
        <item m="1" x="554"/>
        <item m="1" x="395"/>
        <item m="1" x="296"/>
        <item m="1" x="163"/>
        <item m="1" x="22"/>
        <item m="1" x="62"/>
        <item m="1" x="510"/>
        <item m="1" x="300"/>
        <item m="1" x="169"/>
        <item m="1" x="50"/>
        <item m="1" x="544"/>
        <item m="1" x="487"/>
        <item m="1" x="396"/>
        <item m="1" x="449"/>
        <item m="1" x="120"/>
        <item m="1" x="551"/>
        <item m="1" x="83"/>
        <item m="1" x="441"/>
        <item m="1" x="406"/>
        <item m="1" x="33"/>
        <item m="1" x="508"/>
        <item m="1" x="436"/>
        <item m="1" x="81"/>
        <item m="1" x="277"/>
        <item m="1" x="96"/>
        <item m="1" x="359"/>
        <item m="1" x="108"/>
        <item m="1" x="336"/>
        <item m="1" x="494"/>
        <item m="1" x="424"/>
        <item m="1" x="106"/>
        <item m="1" x="454"/>
        <item m="1" x="235"/>
        <item m="1" x="549"/>
        <item m="1" x="67"/>
        <item m="1" x="115"/>
        <item m="1" x="48"/>
        <item m="1" x="218"/>
        <item m="1" x="479"/>
        <item m="1" x="216"/>
        <item m="1" x="154"/>
        <item m="1" x="383"/>
        <item m="1" x="471"/>
        <item m="1" x="289"/>
        <item m="1" x="136"/>
        <item m="1" x="179"/>
        <item m="1" x="363"/>
        <item m="1" x="196"/>
        <item m="1" x="500"/>
        <item m="1" x="372"/>
        <item m="1" x="457"/>
        <item m="1" x="37"/>
        <item t="default"/>
      </items>
    </pivotField>
    <pivotField showAll="0"/>
    <pivotField showAll="0"/>
    <pivotField showAll="0" defaultSubtotal="0"/>
    <pivotField showAll="0"/>
    <pivotField showAll="0">
      <items count="64">
        <item m="1" x="22"/>
        <item m="1" x="21"/>
        <item m="1" x="16"/>
        <item m="1" x="17"/>
        <item m="1" x="37"/>
        <item m="1" x="45"/>
        <item m="1" x="48"/>
        <item m="1" x="44"/>
        <item m="1" x="53"/>
        <item m="1" x="47"/>
        <item m="1" x="58"/>
        <item m="1" x="20"/>
        <item m="1" x="61"/>
        <item m="1" x="26"/>
        <item m="1" x="15"/>
        <item m="1" x="43"/>
        <item m="1" x="57"/>
        <item m="1" x="10"/>
        <item m="1" x="34"/>
        <item m="1" x="23"/>
        <item m="1" x="19"/>
        <item m="1" x="56"/>
        <item m="1" x="1"/>
        <item m="1" x="41"/>
        <item m="1" x="50"/>
        <item m="1" x="9"/>
        <item m="1" x="12"/>
        <item x="0"/>
        <item m="1" x="46"/>
        <item m="1" x="51"/>
        <item m="1" x="4"/>
        <item m="1" x="52"/>
        <item m="1" x="36"/>
        <item m="1" x="11"/>
        <item m="1" x="38"/>
        <item m="1" x="29"/>
        <item m="1" x="5"/>
        <item m="1" x="2"/>
        <item m="1" x="27"/>
        <item m="1" x="54"/>
        <item m="1" x="42"/>
        <item m="1" x="60"/>
        <item m="1" x="6"/>
        <item m="1" x="7"/>
        <item m="1" x="59"/>
        <item m="1" x="25"/>
        <item m="1" x="33"/>
        <item m="1" x="55"/>
        <item m="1" x="40"/>
        <item m="1" x="14"/>
        <item m="1" x="31"/>
        <item m="1" x="35"/>
        <item m="1" x="39"/>
        <item m="1" x="13"/>
        <item m="1" x="24"/>
        <item m="1" x="62"/>
        <item m="1" x="32"/>
        <item m="1" x="28"/>
        <item m="1" x="3"/>
        <item m="1" x="8"/>
        <item m="1" x="49"/>
        <item m="1" x="30"/>
        <item m="1" x="18"/>
        <item t="default"/>
      </items>
    </pivotField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/>
    <pivotField dragToRow="0" dragToCol="0" dragToPage="0" showAll="0" defaultSubtotal="0"/>
  </pivotFields>
  <rowFields count="1">
    <field x="2"/>
  </rowFields>
  <rowItems count="1">
    <i>
      <x v="206"/>
    </i>
  </rowItems>
  <colItems count="1">
    <i/>
  </colItems>
  <pageFields count="1">
    <pageField fld="0" hier="-1"/>
  </pageFields>
  <dataFields count="1">
    <dataField name="Nombre de Référence" fld="2" subtotal="count" baseField="0" baseItem="0"/>
  </dataFields>
  <formats count="9">
    <format dxfId="767">
      <pivotArea type="all" dataOnly="0" outline="0" fieldPosition="0"/>
    </format>
    <format dxfId="766">
      <pivotArea field="0" type="button" dataOnly="0" labelOnly="1" outline="0" axis="axisPage" fieldPosition="0"/>
    </format>
    <format dxfId="765">
      <pivotArea field="2" type="button" dataOnly="0" labelOnly="1" outline="0" axis="axisRow" fieldPosition="0"/>
    </format>
    <format dxfId="764">
      <pivotArea dataOnly="0" labelOnly="1" grandRow="1" outline="0" fieldPosition="0"/>
    </format>
    <format dxfId="763">
      <pivotArea dataOnly="0" labelOnly="1" outline="0" fieldPosition="0">
        <references count="1">
          <reference field="0" count="0"/>
        </references>
      </pivotArea>
    </format>
    <format dxfId="762">
      <pivotArea dataOnly="0" labelOnly="1" outline="0" fieldPosition="0">
        <references count="1">
          <reference field="0" count="0"/>
        </references>
      </pivotArea>
    </format>
    <format dxfId="761">
      <pivotArea dataOnly="0" labelOnly="1" outline="0" fieldPosition="0">
        <references count="1">
          <reference field="0" count="0"/>
        </references>
      </pivotArea>
    </format>
    <format dxfId="760">
      <pivotArea collapsedLevelsAreSubtotals="1" fieldPosition="0">
        <references count="1">
          <reference field="2" count="1">
            <x v="153"/>
          </reference>
        </references>
      </pivotArea>
    </format>
    <format dxfId="759">
      <pivotArea collapsedLevelsAreSubtotals="1" fieldPosition="0">
        <references count="1">
          <reference field="2" count="1">
            <x v="202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2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 fieldListSortAscending="1" customListSort="0">
  <location ref="A54:B55" firstHeaderRow="1" firstDataRow="1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showAll="0"/>
    <pivotField dataField="1"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>
      <items count="7">
        <item m="1" x="2"/>
        <item m="1" x="1"/>
        <item m="1" x="4"/>
        <item m="1" x="5"/>
        <item m="1" x="3"/>
        <item x="0"/>
        <item t="default"/>
      </items>
    </pivotField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21">
        <item m="1" x="5"/>
        <item m="1" x="19"/>
        <item m="1" x="2"/>
        <item m="1" x="20"/>
        <item m="1" x="6"/>
        <item m="1" x="4"/>
        <item m="1" x="9"/>
        <item m="1" x="15"/>
        <item m="1" x="8"/>
        <item m="1" x="17"/>
        <item m="1" x="7"/>
        <item x="1"/>
        <item x="0"/>
        <item m="1" x="14"/>
        <item m="1" x="16"/>
        <item m="1" x="13"/>
        <item m="1" x="10"/>
        <item m="1" x="11"/>
        <item m="1" x="12"/>
        <item m="1" x="3"/>
        <item m="1" x="18"/>
      </items>
    </pivotField>
    <pivotField axis="axisRow"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2">
    <field x="71"/>
    <field x="72"/>
  </rowFields>
  <rowItems count="1">
    <i t="grand">
      <x/>
    </i>
  </rowItems>
  <colItems count="1">
    <i/>
  </colItems>
  <pageFields count="1">
    <pageField fld="11" hier="-1"/>
  </pageFields>
  <dataFields count="1">
    <dataField name="Nombre" fld="7" subtotal="count" showDataAs="percentOfCol" baseField="47" baseItem="3" numFmtId="10"/>
  </dataFields>
  <formats count="1">
    <format dxfId="676">
      <pivotArea type="all" dataOnly="0" outline="0" fieldPosition="0"/>
    </format>
  </formats>
  <chartFormats count="2">
    <chartFormat chart="1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59" fieldListSortAscending="1" customListSort="0">
  <location ref="A3:B4" firstHeaderRow="1" firstDataRow="1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showAll="0"/>
    <pivotField dataField="1"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includeNewItemsInFilter="1" defaultSubtotal="0">
      <items count="21">
        <item m="1" x="5"/>
        <item m="1" x="19"/>
        <item m="1" x="2"/>
        <item m="1" x="20"/>
        <item m="1" x="6"/>
        <item m="1" x="4"/>
        <item m="1" x="9"/>
        <item m="1" x="15"/>
        <item m="1" x="8"/>
        <item m="1" x="17"/>
        <item m="1" x="7"/>
        <item h="1" x="1"/>
        <item h="1" x="0"/>
        <item m="1" x="14"/>
        <item m="1" x="16"/>
        <item m="1" x="13"/>
        <item m="1" x="10"/>
        <item m="1" x="11"/>
        <item m="1" x="12"/>
        <item m="1" x="3"/>
        <item m="1" x="18"/>
      </items>
    </pivotField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71"/>
  </rowFields>
  <rowItems count="1">
    <i t="grand">
      <x/>
    </i>
  </rowItems>
  <colItems count="1">
    <i/>
  </colItems>
  <pageFields count="1">
    <pageField fld="11" hier="-1"/>
  </pageFields>
  <dataFields count="1">
    <dataField name="Provenance" fld="7" subtotal="count" baseField="0" baseItem="1635272"/>
  </dataFields>
  <chartFormats count="3">
    <chartFormat chart="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4.xml><?xml version="1.0" encoding="utf-8"?>
<pivotTableDefinition xmlns="http://schemas.openxmlformats.org/spreadsheetml/2006/main" name="Tableau croisé dynamique9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fieldListSortAscending="1" customListSort="0">
  <location ref="A31:B32" firstHeaderRow="1" firstDataRow="1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showAll="0"/>
    <pivotField dataField="1"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21">
        <item m="1" x="5"/>
        <item m="1" x="19"/>
        <item m="1" x="2"/>
        <item m="1" x="20"/>
        <item m="1" x="6"/>
        <item m="1" x="4"/>
        <item m="1" x="9"/>
        <item m="1" x="15"/>
        <item m="1" x="8"/>
        <item m="1" x="17"/>
        <item m="1" x="7"/>
        <item x="1"/>
        <item x="0"/>
        <item m="1" x="14"/>
        <item m="1" x="16"/>
        <item m="1" x="13"/>
        <item m="1" x="10"/>
        <item m="1" x="11"/>
        <item m="1" x="12"/>
        <item m="1" x="3"/>
        <item m="1" x="18"/>
      </items>
    </pivotField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71"/>
  </rowFields>
  <rowItems count="1">
    <i t="grand">
      <x/>
    </i>
  </rowItems>
  <colItems count="1">
    <i/>
  </colItems>
  <pageFields count="1">
    <pageField fld="11" hier="-1"/>
  </pageFields>
  <dataFields count="1">
    <dataField name="Provenance" fld="7" subtotal="count" showDataAs="percentOfCol" baseField="47" baseItem="3" numFmtId="10"/>
  </dataFields>
  <formats count="1">
    <format dxfId="677">
      <pivotArea type="all" dataOnly="0" outline="0" fieldPosition="0"/>
    </format>
  </formats>
  <chartFormats count="1">
    <chartFormat chart="1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5" fieldListSortAscending="1">
  <location ref="D3:E5" firstHeaderRow="1" firstDataRow="2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dataField="1"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showAll="0" includeNewItemsInFilter="1" defaultSubtotal="0">
      <items count="21">
        <item m="1" x="5"/>
        <item m="1" x="19"/>
        <item m="1" x="2"/>
        <item m="1" x="20"/>
        <item m="1" x="6"/>
        <item m="1" x="4"/>
        <item m="1" x="9"/>
        <item m="1" x="15"/>
        <item m="1" x="8"/>
        <item m="1" x="17"/>
        <item m="1" x="7"/>
        <item x="1"/>
        <item x="0"/>
        <item m="1" x="14"/>
        <item m="1" x="16"/>
        <item m="1" x="13"/>
        <item m="1" x="10"/>
        <item m="1" x="11"/>
        <item m="1" x="12"/>
        <item m="1" x="3"/>
        <item m="1" x="18"/>
      </items>
    </pivotField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71"/>
  </colFields>
  <colItems count="1">
    <i t="grand">
      <x/>
    </i>
  </colItems>
  <dataFields count="1">
    <dataField name="Provenance" fld="7" subtotal="count" baseField="0" baseItem="1635272"/>
  </dataFields>
  <chartFormats count="17">
    <chartFormat chart="1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3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4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8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0"/>
          </reference>
        </references>
      </pivotArea>
    </chartFormat>
    <chartFormat chart="3" format="79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1"/>
          </reference>
        </references>
      </pivotArea>
    </chartFormat>
    <chartFormat chart="3" format="80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2"/>
          </reference>
        </references>
      </pivotArea>
    </chartFormat>
    <chartFormat chart="3" format="81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3"/>
          </reference>
        </references>
      </pivotArea>
    </chartFormat>
    <chartFormat chart="3" format="82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4"/>
          </reference>
        </references>
      </pivotArea>
    </chartFormat>
    <chartFormat chart="3" format="83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5"/>
          </reference>
        </references>
      </pivotArea>
    </chartFormat>
    <chartFormat chart="3" format="84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6"/>
          </reference>
        </references>
      </pivotArea>
    </chartFormat>
    <chartFormat chart="3" format="85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7"/>
          </reference>
        </references>
      </pivotArea>
    </chartFormat>
    <chartFormat chart="3" format="86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8"/>
          </reference>
        </references>
      </pivotArea>
    </chartFormat>
    <chartFormat chart="3" format="87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9"/>
          </reference>
        </references>
      </pivotArea>
    </chartFormat>
    <chartFormat chart="3" format="88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1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6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 fieldListSortAscending="1" customListSort="0">
  <location ref="E6:BP8" firstHeaderRow="1" firstDataRow="2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axis="axisRow" dataField="1" showAll="0">
      <items count="100">
        <item m="1" x="47"/>
        <item m="1" x="90"/>
        <item m="1" x="81"/>
        <item m="1" x="68"/>
        <item m="1" x="30"/>
        <item m="1" x="37"/>
        <item m="1" x="2"/>
        <item m="1" x="32"/>
        <item m="1" x="65"/>
        <item m="1" x="39"/>
        <item m="1" x="74"/>
        <item m="1" x="61"/>
        <item m="1" x="53"/>
        <item m="1" x="67"/>
        <item m="1" x="4"/>
        <item m="1" x="33"/>
        <item m="1" x="52"/>
        <item m="1" x="6"/>
        <item m="1" x="41"/>
        <item m="1" x="46"/>
        <item m="1" x="48"/>
        <item m="1" x="50"/>
        <item m="1" x="36"/>
        <item m="1" x="29"/>
        <item m="1" x="51"/>
        <item m="1" x="93"/>
        <item m="1" x="27"/>
        <item m="1" x="55"/>
        <item m="1" x="38"/>
        <item m="1" x="72"/>
        <item m="1" x="97"/>
        <item m="1" x="19"/>
        <item m="1" x="40"/>
        <item m="1" x="88"/>
        <item m="1" x="77"/>
        <item m="1" x="94"/>
        <item m="1" x="82"/>
        <item m="1" x="79"/>
        <item m="1" x="76"/>
        <item m="1" x="20"/>
        <item m="1" x="78"/>
        <item m="1" x="3"/>
        <item m="1" x="71"/>
        <item m="1" x="12"/>
        <item m="1" x="69"/>
        <item m="1" x="31"/>
        <item m="1" x="1"/>
        <item m="1" x="10"/>
        <item m="1" x="89"/>
        <item m="1" x="7"/>
        <item m="1" x="26"/>
        <item m="1" x="11"/>
        <item m="1" x="25"/>
        <item m="1" x="75"/>
        <item m="1" x="66"/>
        <item m="1" x="22"/>
        <item m="1" x="59"/>
        <item m="1" x="70"/>
        <item m="1" x="17"/>
        <item m="1" x="64"/>
        <item m="1" x="16"/>
        <item m="1" x="9"/>
        <item m="1" x="44"/>
        <item m="1" x="92"/>
        <item m="1" x="35"/>
        <item x="0"/>
        <item m="1" x="57"/>
        <item m="1" x="63"/>
        <item m="1" x="56"/>
        <item m="1" x="34"/>
        <item m="1" x="62"/>
        <item m="1" x="60"/>
        <item m="1" x="45"/>
        <item m="1" x="14"/>
        <item m="1" x="42"/>
        <item m="1" x="18"/>
        <item m="1" x="84"/>
        <item m="1" x="58"/>
        <item m="1" x="43"/>
        <item m="1" x="13"/>
        <item m="1" x="95"/>
        <item m="1" x="83"/>
        <item m="1" x="54"/>
        <item m="1" x="15"/>
        <item m="1" x="24"/>
        <item m="1" x="85"/>
        <item m="1" x="91"/>
        <item m="1" x="98"/>
        <item m="1" x="86"/>
        <item m="1" x="21"/>
        <item m="1" x="5"/>
        <item m="1" x="96"/>
        <item m="1" x="87"/>
        <item m="1" x="80"/>
        <item m="1" x="8"/>
        <item m="1" x="28"/>
        <item m="1" x="49"/>
        <item m="1" x="73"/>
        <item m="1" x="23"/>
        <item t="default"/>
      </items>
    </pivotField>
    <pivotField axis="axisCol"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"/>
  </rowFields>
  <rowItems count="1">
    <i t="grand">
      <x/>
    </i>
  </rowItems>
  <colFields count="1">
    <field x="7"/>
  </colFields>
  <colItems count="6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 t="grand">
      <x/>
    </i>
  </colItems>
  <pageFields count="1">
    <pageField fld="11" hier="-1"/>
  </pageFields>
  <dataFields count="1">
    <dataField name="Nombre de Référant" fld="6" subtotal="count" baseField="0" baseItem="0"/>
  </dataFields>
  <formats count="13">
    <format dxfId="664">
      <pivotArea type="all" dataOnly="0" outline="0" fieldPosition="0"/>
    </format>
    <format dxfId="663">
      <pivotArea collapsedLevelsAreSubtotals="1" fieldPosition="0">
        <references count="1">
          <reference field="6" count="1">
            <x v="36"/>
          </reference>
        </references>
      </pivotArea>
    </format>
    <format dxfId="662">
      <pivotArea dataOnly="0" labelOnly="1" fieldPosition="0">
        <references count="1">
          <reference field="6" count="1">
            <x v="36"/>
          </reference>
        </references>
      </pivotArea>
    </format>
    <format dxfId="661">
      <pivotArea collapsedLevelsAreSubtotals="1" fieldPosition="0">
        <references count="1">
          <reference field="6" count="1">
            <x v="7"/>
          </reference>
        </references>
      </pivotArea>
    </format>
    <format dxfId="660">
      <pivotArea dataOnly="0" labelOnly="1" fieldPosition="0">
        <references count="1">
          <reference field="6" count="1">
            <x v="7"/>
          </reference>
        </references>
      </pivotArea>
    </format>
    <format dxfId="659">
      <pivotArea collapsedLevelsAreSubtotals="1" fieldPosition="0">
        <references count="1">
          <reference field="6" count="1">
            <x v="54"/>
          </reference>
        </references>
      </pivotArea>
    </format>
    <format dxfId="658">
      <pivotArea dataOnly="0" labelOnly="1" fieldPosition="0">
        <references count="1">
          <reference field="6" count="1">
            <x v="54"/>
          </reference>
        </references>
      </pivotArea>
    </format>
    <format dxfId="657">
      <pivotArea collapsedLevelsAreSubtotals="1" fieldPosition="0">
        <references count="1">
          <reference field="6" count="1">
            <x v="55"/>
          </reference>
        </references>
      </pivotArea>
    </format>
    <format dxfId="656">
      <pivotArea dataOnly="0" labelOnly="1" fieldPosition="0">
        <references count="1">
          <reference field="6" count="1">
            <x v="55"/>
          </reference>
        </references>
      </pivotArea>
    </format>
    <format dxfId="655">
      <pivotArea collapsedLevelsAreSubtotals="1" fieldPosition="0">
        <references count="1">
          <reference field="6" count="1">
            <x v="57"/>
          </reference>
        </references>
      </pivotArea>
    </format>
    <format dxfId="654">
      <pivotArea dataOnly="0" labelOnly="1" fieldPosition="0">
        <references count="1">
          <reference field="6" count="1">
            <x v="57"/>
          </reference>
        </references>
      </pivotArea>
    </format>
    <format dxfId="653">
      <pivotArea field="11" type="button" dataOnly="0" labelOnly="1" outline="0" axis="axisPage" fieldPosition="0"/>
    </format>
    <format dxfId="652">
      <pivotArea dataOnly="0" labelOnly="1" outline="0" fieldPosition="0">
        <references count="1">
          <reference field="11" count="0"/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.xml><?xml version="1.0" encoding="utf-8"?>
<pivotTableDefinition xmlns="http://schemas.openxmlformats.org/spreadsheetml/2006/main" name="Tableau croisé dynamique9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 fieldListSortAscending="1" customListSort="0">
  <location ref="A6:B7" firstHeaderRow="1" firstDataRow="1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axis="axisRow" dataField="1" showAll="0">
      <items count="100">
        <item m="1" x="47"/>
        <item m="1" x="90"/>
        <item m="1" x="81"/>
        <item m="1" x="68"/>
        <item m="1" x="30"/>
        <item m="1" x="37"/>
        <item m="1" x="2"/>
        <item m="1" x="32"/>
        <item m="1" x="65"/>
        <item m="1" x="39"/>
        <item m="1" x="74"/>
        <item m="1" x="61"/>
        <item m="1" x="53"/>
        <item m="1" x="67"/>
        <item m="1" x="4"/>
        <item m="1" x="33"/>
        <item m="1" x="52"/>
        <item m="1" x="6"/>
        <item m="1" x="41"/>
        <item m="1" x="46"/>
        <item m="1" x="48"/>
        <item m="1" x="50"/>
        <item m="1" x="36"/>
        <item m="1" x="29"/>
        <item m="1" x="51"/>
        <item m="1" x="93"/>
        <item m="1" x="27"/>
        <item m="1" x="55"/>
        <item m="1" x="38"/>
        <item m="1" x="72"/>
        <item m="1" x="97"/>
        <item m="1" x="19"/>
        <item m="1" x="40"/>
        <item m="1" x="88"/>
        <item m="1" x="77"/>
        <item m="1" x="94"/>
        <item m="1" x="82"/>
        <item m="1" x="79"/>
        <item m="1" x="76"/>
        <item m="1" x="20"/>
        <item m="1" x="78"/>
        <item m="1" x="3"/>
        <item m="1" x="71"/>
        <item m="1" x="12"/>
        <item m="1" x="69"/>
        <item m="1" x="31"/>
        <item m="1" x="1"/>
        <item m="1" x="10"/>
        <item m="1" x="89"/>
        <item m="1" x="7"/>
        <item m="1" x="26"/>
        <item m="1" x="11"/>
        <item m="1" x="25"/>
        <item m="1" x="75"/>
        <item m="1" x="66"/>
        <item m="1" x="22"/>
        <item m="1" x="59"/>
        <item m="1" x="70"/>
        <item m="1" x="17"/>
        <item m="1" x="64"/>
        <item m="1" x="16"/>
        <item m="1" x="9"/>
        <item m="1" x="44"/>
        <item m="1" x="92"/>
        <item m="1" x="35"/>
        <item x="0"/>
        <item m="1" x="57"/>
        <item m="1" x="63"/>
        <item m="1" x="56"/>
        <item m="1" x="34"/>
        <item m="1" x="62"/>
        <item m="1" x="60"/>
        <item m="1" x="45"/>
        <item m="1" x="14"/>
        <item m="1" x="42"/>
        <item m="1" x="18"/>
        <item m="1" x="84"/>
        <item m="1" x="58"/>
        <item m="1" x="43"/>
        <item m="1" x="13"/>
        <item m="1" x="95"/>
        <item m="1" x="83"/>
        <item m="1" x="54"/>
        <item m="1" x="15"/>
        <item m="1" x="24"/>
        <item m="1" x="85"/>
        <item m="1" x="91"/>
        <item m="1" x="98"/>
        <item m="1" x="86"/>
        <item m="1" x="21"/>
        <item m="1" x="5"/>
        <item m="1" x="96"/>
        <item m="1" x="87"/>
        <item m="1" x="80"/>
        <item m="1" x="8"/>
        <item m="1" x="28"/>
        <item m="1" x="49"/>
        <item m="1" x="73"/>
        <item m="1" x="23"/>
        <item t="default"/>
      </items>
    </pivotField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"/>
  </rowFields>
  <rowItems count="1">
    <i t="grand">
      <x/>
    </i>
  </rowItems>
  <colItems count="1">
    <i/>
  </colItems>
  <pageFields count="1">
    <pageField fld="11" hier="-1"/>
  </pageFields>
  <dataFields count="1">
    <dataField name="Nombre de Référant" fld="6" subtotal="count" baseField="0" baseItem="0"/>
  </dataFields>
  <formats count="11">
    <format dxfId="675">
      <pivotArea type="all" dataOnly="0" outline="0" fieldPosition="0"/>
    </format>
    <format dxfId="674">
      <pivotArea collapsedLevelsAreSubtotals="1" fieldPosition="0">
        <references count="1">
          <reference field="6" count="1">
            <x v="36"/>
          </reference>
        </references>
      </pivotArea>
    </format>
    <format dxfId="673">
      <pivotArea dataOnly="0" labelOnly="1" fieldPosition="0">
        <references count="1">
          <reference field="6" count="1">
            <x v="36"/>
          </reference>
        </references>
      </pivotArea>
    </format>
    <format dxfId="672">
      <pivotArea collapsedLevelsAreSubtotals="1" fieldPosition="0">
        <references count="1">
          <reference field="6" count="1">
            <x v="7"/>
          </reference>
        </references>
      </pivotArea>
    </format>
    <format dxfId="671">
      <pivotArea dataOnly="0" labelOnly="1" fieldPosition="0">
        <references count="1">
          <reference field="6" count="1">
            <x v="7"/>
          </reference>
        </references>
      </pivotArea>
    </format>
    <format dxfId="670">
      <pivotArea collapsedLevelsAreSubtotals="1" fieldPosition="0">
        <references count="1">
          <reference field="6" count="1">
            <x v="54"/>
          </reference>
        </references>
      </pivotArea>
    </format>
    <format dxfId="669">
      <pivotArea dataOnly="0" labelOnly="1" fieldPosition="0">
        <references count="1">
          <reference field="6" count="1">
            <x v="54"/>
          </reference>
        </references>
      </pivotArea>
    </format>
    <format dxfId="668">
      <pivotArea collapsedLevelsAreSubtotals="1" fieldPosition="0">
        <references count="1">
          <reference field="6" count="1">
            <x v="55"/>
          </reference>
        </references>
      </pivotArea>
    </format>
    <format dxfId="667">
      <pivotArea dataOnly="0" labelOnly="1" fieldPosition="0">
        <references count="1">
          <reference field="6" count="1">
            <x v="55"/>
          </reference>
        </references>
      </pivotArea>
    </format>
    <format dxfId="666">
      <pivotArea collapsedLevelsAreSubtotals="1" fieldPosition="0">
        <references count="1">
          <reference field="6" count="1">
            <x v="57"/>
          </reference>
        </references>
      </pivotArea>
    </format>
    <format dxfId="665">
      <pivotArea dataOnly="0" labelOnly="1" fieldPosition="0">
        <references count="1">
          <reference field="6" count="1">
            <x v="57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C15" firstHeaderRow="1" firstDataRow="2" firstDataCol="1"/>
  <pivotFields count="75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dataField="1" showAll="0"/>
    <pivotField axis="axisCol" showAll="0">
      <items count="2">
        <item x="0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4"/>
  </colFields>
  <colItems count="2">
    <i>
      <x/>
    </i>
    <i t="grand">
      <x/>
    </i>
  </colItems>
  <dataFields count="1">
    <dataField name="Nombre de Intervention" fld="13" subtotal="count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8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L24:M37" firstHeaderRow="1" firstDataRow="1" firstDataCol="1"/>
  <pivotFields count="3">
    <pivotField axis="axisRow" multipleItemSelectionAllowed="1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showAll="0" defaultSubtota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terventions 2017" fld="1" baseField="0" baseItem="0"/>
  </dataFields>
  <chartFormats count="7"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N4:O6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axis="axisRow" dataField="1" showAll="0" defaultSubtotal="0">
      <items count="1">
        <item x="0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5"/>
  </rowFields>
  <rowItems count="2">
    <i>
      <x/>
    </i>
    <i t="grand">
      <x/>
    </i>
  </rowItems>
  <colItems count="1">
    <i/>
  </colItems>
  <pageFields count="1">
    <pageField fld="0" hier="-1"/>
  </pageFields>
  <dataFields count="1">
    <dataField name="Nombre de Intervention-activité par type" fld="15" subtotal="count" showDataAs="percentOfCol" baseField="0" baseItem="0" numFmtId="9"/>
  </dataFields>
  <formats count="1">
    <format dxfId="650">
      <pivotArea outline="0" collapsedLevelsAreSubtotals="1" fieldPosition="0"/>
    </format>
  </formats>
  <chartFormats count="1"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A22:B24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dataField="1" showAll="0"/>
    <pivotField axis="axisRow" showAll="0">
      <items count="2">
        <item x="0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2">
    <i>
      <x/>
    </i>
    <i t="grand">
      <x/>
    </i>
  </rowItems>
  <colItems count="1">
    <i/>
  </colItems>
  <pageFields count="1">
    <pageField fld="0" hier="-1"/>
  </pageFields>
  <dataFields count="1">
    <dataField name="Nombre de Intervention" fld="13" subtotal="count" showDataAs="percentOfCol" baseField="13" baseItem="0" numFmtId="9"/>
  </dataFields>
  <formats count="1">
    <format dxfId="651">
      <pivotArea outline="0" collapsedLevelsAreSubtotals="1" fieldPosition="0"/>
    </format>
  </formats>
  <chartFormats count="1"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3:C17" firstHeaderRow="1" firstDataRow="2" firstDataCol="1"/>
  <pivotFields count="75">
    <pivotField axis="axisRow" showAll="0">
      <items count="34">
        <item h="1" m="1" x="23"/>
        <item h="1" m="1" x="25"/>
        <item h="1" m="1" x="15"/>
        <item h="1" m="1" x="28"/>
        <item h="1" x="13"/>
        <item h="1" m="1" x="26"/>
        <item h="1" m="1" x="18"/>
        <item h="1" m="1" x="21"/>
        <item h="1" m="1" x="17"/>
        <item h="1" m="1" x="20"/>
        <item h="1" m="1" x="14"/>
        <item h="1" m="1" x="30"/>
        <item h="1" m="1" x="31"/>
        <item h="1" m="1" x="16"/>
        <item h="1" m="1" x="19"/>
        <item h="1" m="1" x="27"/>
        <item h="1" m="1" x="24"/>
        <item h="1" m="1" x="22"/>
        <item x="0"/>
        <item x="1"/>
        <item x="2"/>
        <item x="3"/>
        <item x="4"/>
        <item h="1" m="1" x="32"/>
        <item x="5"/>
        <item x="6"/>
        <item x="7"/>
        <item h="1" m="1" x="29"/>
        <item x="8"/>
        <item x="9"/>
        <item h="1" x="10"/>
        <item x="11"/>
        <item x="12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>
      <items count="64">
        <item m="1" x="22"/>
        <item m="1" x="21"/>
        <item m="1" x="16"/>
        <item m="1" x="17"/>
        <item m="1" x="37"/>
        <item m="1" x="45"/>
        <item m="1" x="44"/>
        <item m="1" x="58"/>
        <item m="1" x="20"/>
        <item m="1" x="61"/>
        <item m="1" x="26"/>
        <item m="1" x="15"/>
        <item m="1" x="43"/>
        <item m="1" x="57"/>
        <item m="1" x="10"/>
        <item m="1" x="23"/>
        <item m="1" x="19"/>
        <item m="1" x="56"/>
        <item m="1" x="1"/>
        <item m="1" x="50"/>
        <item m="1" x="9"/>
        <item m="1" x="12"/>
        <item x="0"/>
        <item m="1" x="53"/>
        <item m="1" x="47"/>
        <item m="1" x="48"/>
        <item m="1" x="34"/>
        <item m="1" x="41"/>
        <item m="1" x="46"/>
        <item m="1" x="51"/>
        <item m="1" x="4"/>
        <item m="1" x="52"/>
        <item m="1" x="36"/>
        <item m="1" x="11"/>
        <item m="1" x="38"/>
        <item m="1" x="29"/>
        <item m="1" x="5"/>
        <item m="1" x="2"/>
        <item m="1" x="27"/>
        <item m="1" x="54"/>
        <item m="1" x="42"/>
        <item m="1" x="60"/>
        <item m="1" x="6"/>
        <item m="1" x="7"/>
        <item m="1" x="59"/>
        <item m="1" x="25"/>
        <item m="1" x="33"/>
        <item m="1" x="55"/>
        <item m="1" x="40"/>
        <item m="1" x="14"/>
        <item m="1" x="31"/>
        <item m="1" x="35"/>
        <item m="1" x="39"/>
        <item m="1" x="13"/>
        <item m="1" x="24"/>
        <item m="1" x="62"/>
        <item m="1" x="32"/>
        <item m="1" x="28"/>
        <item m="1" x="3"/>
        <item m="1" x="8"/>
        <item m="1" x="49"/>
        <item m="1" x="30"/>
        <item m="1" x="18"/>
        <item t="default"/>
      </items>
    </pivotField>
    <pivotField showAll="0" defaultSubtota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axis="axisCol" dataField="1" showAll="0" includeNewItemsInFilter="1" sortType="ascending">
      <items count="4">
        <item m="1"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0"/>
  </rowFields>
  <rowItems count="13">
    <i>
      <x v="18"/>
    </i>
    <i>
      <x v="19"/>
    </i>
    <i>
      <x v="20"/>
    </i>
    <i>
      <x v="21"/>
    </i>
    <i>
      <x v="22"/>
    </i>
    <i>
      <x v="24"/>
    </i>
    <i>
      <x v="25"/>
    </i>
    <i>
      <x v="26"/>
    </i>
    <i>
      <x v="28"/>
    </i>
    <i>
      <x v="29"/>
    </i>
    <i>
      <x v="31"/>
    </i>
    <i>
      <x v="32"/>
    </i>
    <i t="grand">
      <x/>
    </i>
  </rowItems>
  <colFields count="1">
    <field x="17"/>
  </colFields>
  <colItems count="2">
    <i>
      <x v="1"/>
    </i>
    <i t="grand">
      <x/>
    </i>
  </colItems>
  <dataFields count="1">
    <dataField name="Nombre de valves - activité" fld="17" subtotal="count" baseField="0" baseItem="0"/>
  </dataFields>
  <formats count="7">
    <format dxfId="644">
      <pivotArea type="all" dataOnly="0" outline="0" fieldPosition="0"/>
    </format>
    <format dxfId="643">
      <pivotArea type="origin" dataOnly="0" labelOnly="1" outline="0" fieldPosition="0"/>
    </format>
    <format dxfId="642">
      <pivotArea field="0" type="button" dataOnly="0" labelOnly="1" outline="0" axis="axisRow" fieldPosition="0"/>
    </format>
    <format dxfId="641">
      <pivotArea field="17" type="button" dataOnly="0" labelOnly="1" outline="0" axis="axisCol" fieldPosition="0"/>
    </format>
    <format dxfId="640">
      <pivotArea type="topRight" dataOnly="0" labelOnly="1" outline="0" fieldPosition="0"/>
    </format>
    <format dxfId="639">
      <pivotArea dataOnly="0" labelOnly="1" fieldPosition="0">
        <references count="1">
          <reference field="17" count="0"/>
        </references>
      </pivotArea>
    </format>
    <format dxfId="638">
      <pivotArea dataOnly="0" labelOnly="1" grandCol="1" outline="0" fieldPosition="0"/>
    </format>
  </formats>
  <chartFormats count="3">
    <chartFormat chart="1" format="13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2"/>
          </reference>
        </references>
      </pivotArea>
    </chartFormat>
    <chartFormat chart="1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13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5">
  <location ref="J4:K5" firstHeaderRow="1" firstDataRow="1" firstDataCol="1" rowPageCount="1" colPageCount="1"/>
  <pivotFields count="75">
    <pivotField axis="axisPage" multipleItemSelectionAllowed="1" showAll="0" includeNewItemsInFilter="1">
      <items count="34">
        <item m="1" x="23"/>
        <item m="1" x="25"/>
        <item m="1" x="15"/>
        <item m="1" x="28"/>
        <item h="1" x="13"/>
        <item m="1" x="26"/>
        <item m="1" x="18"/>
        <item m="1" x="21"/>
        <item m="1" x="17"/>
        <item m="1" x="20"/>
        <item m="1" x="14"/>
        <item h="1" m="1" x="30"/>
        <item h="1" m="1" x="31"/>
        <item m="1" x="16"/>
        <item h="1" m="1" x="19"/>
        <item m="1" x="27"/>
        <item m="1" x="24"/>
        <item m="1" x="22"/>
        <item x="0"/>
        <item x="1"/>
        <item x="2"/>
        <item x="3"/>
        <item x="4"/>
        <item m="1" x="32"/>
        <item x="5"/>
        <item x="6"/>
        <item x="7"/>
        <item m="1" x="29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>
      <items count="64">
        <item m="1" x="22"/>
        <item m="1" x="21"/>
        <item m="1" x="16"/>
        <item m="1" x="17"/>
        <item m="1" x="37"/>
        <item m="1" x="45"/>
        <item m="1" x="44"/>
        <item m="1" x="58"/>
        <item m="1" x="20"/>
        <item m="1" x="61"/>
        <item m="1" x="26"/>
        <item m="1" x="15"/>
        <item m="1" x="43"/>
        <item m="1" x="57"/>
        <item m="1" x="10"/>
        <item m="1" x="23"/>
        <item m="1" x="19"/>
        <item m="1" x="56"/>
        <item m="1" x="1"/>
        <item m="1" x="50"/>
        <item m="1" x="9"/>
        <item m="1" x="12"/>
        <item x="0"/>
        <item m="1" x="53"/>
        <item m="1" x="47"/>
        <item m="1" x="48"/>
        <item m="1" x="34"/>
        <item m="1" x="41"/>
        <item m="1" x="46"/>
        <item m="1" x="51"/>
        <item m="1" x="4"/>
        <item m="1" x="52"/>
        <item m="1" x="36"/>
        <item m="1" x="11"/>
        <item m="1" x="38"/>
        <item m="1" x="29"/>
        <item m="1" x="5"/>
        <item m="1" x="2"/>
        <item m="1" x="27"/>
        <item m="1" x="54"/>
        <item m="1" x="42"/>
        <item m="1" x="60"/>
        <item m="1" x="6"/>
        <item m="1" x="7"/>
        <item m="1" x="59"/>
        <item m="1" x="25"/>
        <item m="1" x="33"/>
        <item m="1" x="55"/>
        <item m="1" x="40"/>
        <item m="1" x="14"/>
        <item m="1" x="31"/>
        <item m="1" x="35"/>
        <item m="1" x="39"/>
        <item m="1" x="13"/>
        <item m="1" x="24"/>
        <item m="1" x="62"/>
        <item m="1" x="32"/>
        <item m="1" x="28"/>
        <item m="1" x="3"/>
        <item m="1" x="8"/>
        <item m="1" x="49"/>
        <item m="1" x="30"/>
        <item m="1" x="18"/>
        <item t="default"/>
      </items>
    </pivotField>
    <pivotField showAll="0" defaultSubtota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axis="axisRow" dataField="1" showAll="0" includeNewItemsInFilter="1">
      <items count="4">
        <item x="1"/>
        <item h="1" m="1" x="2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7"/>
  </rowFields>
  <rowItems count="1">
    <i t="grand">
      <x/>
    </i>
  </rowItems>
  <colItems count="1">
    <i/>
  </colItems>
  <pageFields count="1">
    <pageField fld="0" hier="-1"/>
  </pageFields>
  <dataFields count="1">
    <dataField name="Nombre de valves - activité2" fld="17" subtotal="count" baseField="0" baseItem="0"/>
  </dataFields>
  <formats count="5">
    <format dxfId="649">
      <pivotArea type="all" dataOnly="0" outline="0" fieldPosition="0"/>
    </format>
    <format dxfId="648">
      <pivotArea field="0" type="button" dataOnly="0" labelOnly="1" outline="0" axis="axisPage" fieldPosition="0"/>
    </format>
    <format dxfId="647">
      <pivotArea dataOnly="0" labelOnly="1" outline="0" fieldPosition="0">
        <references count="1">
          <reference field="0" count="0"/>
        </references>
      </pivotArea>
    </format>
    <format dxfId="646">
      <pivotArea field="17" type="button" dataOnly="0" labelOnly="1" outline="0" axis="axisRow" fieldPosition="0"/>
    </format>
    <format dxfId="645">
      <pivotArea dataOnly="0" labelOnly="1" outline="0" axis="axisValues" fieldPosition="0"/>
    </format>
  </formats>
  <chartFormats count="1">
    <chartFormat chart="1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14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14" fieldListSortAscending="1">
  <location ref="A42:B54" firstHeaderRow="1" firstDataRow="1" firstDataCol="1" rowPageCount="1" colPageCount="1"/>
  <pivotFields count="75">
    <pivotField axis="axisPage" multipleItemSelectionAllowed="1" showAll="0" sortType="ascending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axis="axisRow" multipleItemSelectionAllowed="1" showAll="0">
      <items count="8">
        <item h="1" m="1" x="6"/>
        <item h="1" m="1" x="3"/>
        <item h="1" x="2"/>
        <item h="1" m="1" x="5"/>
        <item h="1" m="1" x="4"/>
        <item x="0"/>
        <item x="1"/>
        <item t="default"/>
      </items>
    </pivotField>
    <pivotField showAll="0"/>
    <pivotField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axis="axisRow" dataField="1" showAll="0" defaultSubtotal="0">
      <items count="6">
        <item x="4"/>
        <item x="0"/>
        <item x="1"/>
        <item x="3"/>
        <item x="2"/>
        <item m="1" x="5"/>
      </items>
    </pivotField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57"/>
    <field x="39"/>
  </rowFields>
  <rowItems count="12">
    <i>
      <x v="1"/>
    </i>
    <i r="1">
      <x v="5"/>
    </i>
    <i r="1">
      <x v="6"/>
    </i>
    <i>
      <x v="2"/>
    </i>
    <i r="1">
      <x v="5"/>
    </i>
    <i r="1">
      <x v="6"/>
    </i>
    <i>
      <x v="3"/>
    </i>
    <i r="1">
      <x v="5"/>
    </i>
    <i r="1">
      <x v="6"/>
    </i>
    <i>
      <x v="4"/>
    </i>
    <i r="1">
      <x v="5"/>
    </i>
    <i r="1">
      <x v="6"/>
    </i>
  </rowItems>
  <colItems count="1">
    <i/>
  </colItems>
  <pageFields count="1">
    <pageField fld="0" hier="-1"/>
  </pageFields>
  <dataFields count="1">
    <dataField name="Nombre de délai intervention5" fld="57" subtotal="count" showDataAs="percentOfCol" baseField="39" baseItem="5" numFmtId="10"/>
  </dataFields>
  <formats count="9">
    <format dxfId="629">
      <pivotArea outline="0" collapsedLevelsAreSubtotals="1" fieldPosition="0"/>
    </format>
    <format dxfId="628">
      <pivotArea outline="0" fieldPosition="0">
        <references count="1">
          <reference field="4294967294" count="1">
            <x v="0"/>
          </reference>
        </references>
      </pivotArea>
    </format>
    <format dxfId="627">
      <pivotArea collapsedLevelsAreSubtotals="1" fieldPosition="0">
        <references count="2">
          <reference field="39" count="0"/>
          <reference field="57" count="1" selected="0">
            <x v="1"/>
          </reference>
        </references>
      </pivotArea>
    </format>
    <format dxfId="626">
      <pivotArea collapsedLevelsAreSubtotals="1" fieldPosition="0">
        <references count="1">
          <reference field="57" count="1">
            <x v="2"/>
          </reference>
        </references>
      </pivotArea>
    </format>
    <format dxfId="625">
      <pivotArea collapsedLevelsAreSubtotals="1" fieldPosition="0">
        <references count="2">
          <reference field="39" count="0"/>
          <reference field="57" count="1" selected="0">
            <x v="2"/>
          </reference>
        </references>
      </pivotArea>
    </format>
    <format dxfId="624">
      <pivotArea collapsedLevelsAreSubtotals="1" fieldPosition="0">
        <references count="1">
          <reference field="57" count="1">
            <x v="3"/>
          </reference>
        </references>
      </pivotArea>
    </format>
    <format dxfId="623">
      <pivotArea collapsedLevelsAreSubtotals="1" fieldPosition="0">
        <references count="2">
          <reference field="39" count="0"/>
          <reference field="57" count="1" selected="0">
            <x v="3"/>
          </reference>
        </references>
      </pivotArea>
    </format>
    <format dxfId="622">
      <pivotArea collapsedLevelsAreSubtotals="1" fieldPosition="0">
        <references count="1">
          <reference field="57" count="1">
            <x v="4"/>
          </reference>
        </references>
      </pivotArea>
    </format>
    <format dxfId="621">
      <pivotArea collapsedLevelsAreSubtotals="1" fieldPosition="0">
        <references count="2">
          <reference field="39" count="0"/>
          <reference field="57" count="1" selected="0">
            <x v="4"/>
          </reference>
        </references>
      </pivotArea>
    </format>
  </formats>
  <chartFormats count="5">
    <chartFormat chart="5" format="24" series="1">
      <pivotArea type="data" outline="0" fieldPosition="0">
        <references count="2">
          <reference field="4294967294" count="1" selected="0">
            <x v="0"/>
          </reference>
          <reference field="57" count="1" selected="0">
            <x v="1"/>
          </reference>
        </references>
      </pivotArea>
    </chartFormat>
    <chartFormat chart="5" format="25" series="1">
      <pivotArea type="data" outline="0" fieldPosition="0">
        <references count="2">
          <reference field="4294967294" count="1" selected="0">
            <x v="0"/>
          </reference>
          <reference field="57" count="1" selected="0">
            <x v="2"/>
          </reference>
        </references>
      </pivotArea>
    </chartFormat>
    <chartFormat chart="5" format="26" series="1">
      <pivotArea type="data" outline="0" fieldPosition="0">
        <references count="2">
          <reference field="4294967294" count="1" selected="0">
            <x v="0"/>
          </reference>
          <reference field="57" count="1" selected="0">
            <x v="3"/>
          </reference>
        </references>
      </pivotArea>
    </chartFormat>
    <chartFormat chart="5" format="27" series="1">
      <pivotArea type="data" outline="0" fieldPosition="0">
        <references count="2">
          <reference field="4294967294" count="1" selected="0">
            <x v="0"/>
          </reference>
          <reference field="57" count="1" selected="0">
            <x v="4"/>
          </reference>
        </references>
      </pivotArea>
    </chartFormat>
    <chartFormat chart="5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3" fieldListSortAscending="1">
  <location ref="A23:B25" firstHeaderRow="1" firstDataRow="1" firstDataCol="1" rowPageCount="1" colPageCount="1"/>
  <pivotFields count="75">
    <pivotField axis="axisPage" multipleItemSelectionAllowed="1" showAll="0" sortType="ascending">
      <items count="15">
        <item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axis="axisRow" multipleItemSelectionAllowed="1" showAll="0">
      <items count="8">
        <item m="1" x="6"/>
        <item m="1" x="3"/>
        <item x="2"/>
        <item m="1" x="5"/>
        <item m="1" x="4"/>
        <item x="0"/>
        <item x="1"/>
        <item t="default"/>
      </items>
    </pivotField>
    <pivotField showAll="0"/>
    <pivotField dataField="1"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9"/>
  </rowFields>
  <rowItems count="2">
    <i>
      <x v="5"/>
    </i>
    <i>
      <x v="6"/>
    </i>
  </rowItems>
  <colItems count="1">
    <i/>
  </colItems>
  <pageFields count="1">
    <pageField fld="0" hier="-1"/>
  </pageFields>
  <dataFields count="1">
    <dataField name="Nombre de Délai intervention" fld="41" subtotal="count" baseField="0" baseItem="0"/>
  </dataFields>
  <formats count="1">
    <format dxfId="63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7" firstHeaderRow="0" firstDataRow="0" firstDataCol="0" rowPageCount="1" colPageCount="1"/>
  <pivotFields count="75"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G49:H51" firstHeaderRow="1" firstDataRow="2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axis="axisCol" showAll="0">
      <items count="4">
        <item m="1" x="1"/>
        <item m="1" x="2"/>
        <item h="1" x="0"/>
        <item t="default"/>
      </items>
    </pivotField>
    <pivotField showAll="0"/>
    <pivotField axis="axisRow" dataField="1" showAll="0">
      <items count="6">
        <item h="1" x="0"/>
        <item m="1" x="2"/>
        <item m="1" x="4"/>
        <item m="1" x="1"/>
        <item m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1"/>
  </rowFields>
  <rowItems count="1">
    <i t="grand">
      <x/>
    </i>
  </rowItems>
  <colFields count="1">
    <field x="39"/>
  </colFields>
  <colItems count="1">
    <i t="grand">
      <x/>
    </i>
  </colItems>
  <pageFields count="1">
    <pageField fld="0" hier="-1"/>
  </pageFields>
  <dataFields count="1">
    <dataField name="Nombre de Délai intervention" fld="41" subtotal="count" showDataAs="percentOfRow" baseField="41" baseItem="1" numFmtId="10"/>
  </dataFields>
  <formats count="3">
    <format dxfId="633">
      <pivotArea dataOnly="0" labelOnly="1" fieldPosition="0">
        <references count="1">
          <reference field="41" count="0"/>
        </references>
      </pivotArea>
    </format>
    <format dxfId="632">
      <pivotArea dataOnly="0" labelOnly="1" grandCol="1" outline="0" fieldPosition="0"/>
    </format>
    <format dxfId="631">
      <pivotArea outline="0" fieldPosition="0">
        <references count="1">
          <reference field="4294967294" count="1">
            <x v="0"/>
          </reference>
        </references>
      </pivotArea>
    </format>
  </formats>
  <chartFormats count="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1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1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1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1" count="1" selected="0">
            <x v="4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39" count="1" selected="0">
            <x v="1"/>
          </reference>
          <reference field="41" count="1" selected="0">
            <x v="4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0"/>
          </reference>
          <reference field="39" count="1" selected="0">
            <x v="1"/>
          </reference>
          <reference field="41" count="1" selected="0">
            <x v="3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29:H30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axis="axisRow" showAll="0">
      <items count="4">
        <item m="1" x="1"/>
        <item m="1" x="2"/>
        <item h="1" x="0"/>
        <item t="default"/>
      </items>
    </pivotField>
    <pivotField showAll="0"/>
    <pivotField axis="axisRow" dataField="1" showAll="0">
      <items count="6">
        <item h="1" x="0"/>
        <item m="1" x="2"/>
        <item m="1" x="4"/>
        <item m="1" x="1"/>
        <item m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41"/>
    <field x="39"/>
  </rowFields>
  <rowItems count="1">
    <i t="grand">
      <x/>
    </i>
  </rowItems>
  <colItems count="1">
    <i/>
  </colItems>
  <pageFields count="1">
    <pageField fld="0" hier="-1"/>
  </pageFields>
  <dataFields count="1">
    <dataField name="Nombre de Délai intervention" fld="4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7" fieldListSortAscending="1">
  <location ref="A33:B37" firstHeaderRow="1" firstDataRow="1" firstDataCol="1" rowPageCount="1" colPageCount="1"/>
  <pivotFields count="75">
    <pivotField axis="axisPage" multipleItemSelectionAllowed="1" showAll="0" sortType="ascending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multipleItemSelectionAllowed="1" showAll="0"/>
    <pivotField showAll="0"/>
    <pivotField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axis="axisRow" dataField="1" showAll="0" defaultSubtotal="0">
      <items count="6">
        <item x="4"/>
        <item x="0"/>
        <item x="1"/>
        <item x="3"/>
        <item x="2"/>
        <item m="1" x="5"/>
      </items>
    </pivotField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7"/>
  </rowFields>
  <rowItems count="4">
    <i>
      <x v="1"/>
    </i>
    <i>
      <x v="2"/>
    </i>
    <i>
      <x v="3"/>
    </i>
    <i>
      <x v="4"/>
    </i>
  </rowItems>
  <colItems count="1">
    <i/>
  </colItems>
  <pageFields count="1">
    <pageField fld="0" hier="-1"/>
  </pageFields>
  <dataFields count="1">
    <dataField name="Nombre de délai intervention5" fld="57" subtotal="count" showDataAs="percentOfCol" baseField="57" baseItem="1" numFmtId="10"/>
  </dataFields>
  <formats count="2">
    <format dxfId="635">
      <pivotArea outline="0" fieldPosition="0">
        <references count="1">
          <reference field="4294967294" count="1">
            <x v="0"/>
          </reference>
        </references>
      </pivotArea>
    </format>
    <format dxfId="634">
      <pivotArea outline="0" collapsedLevelsAreSubtotals="1" fieldPosition="0"/>
    </format>
  </formats>
  <chartFormats count="1">
    <chartFormat chart="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9" fieldListSortAscending="1">
  <location ref="A14" firstHeaderRow="0" firstDataRow="0" firstDataCol="0" rowPageCount="1" colPageCount="1"/>
  <pivotFields count="75">
    <pivotField axis="axisPage" multipleItemSelectionAllowed="1" showAll="0" sortType="ascending">
      <items count="15">
        <item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multipleItemSelectionAllowed="1" showAll="0"/>
    <pivotField showAll="0"/>
    <pivotField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hier="-1"/>
  </pageFields>
  <formats count="1">
    <format dxfId="636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5" fieldListSortAscending="1">
  <location ref="A3:H4" firstHeaderRow="1" firstDataRow="2" firstDataCol="0"/>
  <pivotFields count="75">
    <pivotField axis="axisCol" multipleItemSelectionAllowed="1" showAll="0" sortType="ascending">
      <items count="15">
        <item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multipleItemSelectionAllowed="1" showAll="0"/>
    <pivotField showAll="0"/>
    <pivotField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formats count="1">
    <format dxfId="637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showMissing="0" updatedVersion="4" minRefreshableVersion="3" useAutoFormatting="1" itemPrintTitles="1" createdVersion="4" indent="0" outline="1" outlineData="1" multipleFieldFilters="0" chartFormat="46" fieldListSortAscending="1">
  <location ref="G4:H5" firstHeaderRow="1" firstDataRow="1" firstDataCol="1" rowPageCount="1" colPageCount="1"/>
  <pivotFields count="75">
    <pivotField axis="axisPage" multipleItemSelectionAllowed="1" showAll="0" includeNewItemsInFilter="1">
      <items count="34">
        <item m="1" x="23"/>
        <item m="1" x="25"/>
        <item m="1" x="15"/>
        <item m="1" x="28"/>
        <item h="1" x="13"/>
        <item m="1" x="26"/>
        <item m="1" x="18"/>
        <item m="1" x="21"/>
        <item h="1" m="1" x="17"/>
        <item m="1" x="20"/>
        <item m="1" x="14"/>
        <item h="1" m="1" x="30"/>
        <item h="1" m="1" x="31"/>
        <item m="1" x="16"/>
        <item h="1" m="1" x="19"/>
        <item m="1" x="27"/>
        <item m="1" x="24"/>
        <item m="1" x="22"/>
        <item x="0"/>
        <item x="1"/>
        <item x="2"/>
        <item x="3"/>
        <item x="4"/>
        <item m="1" x="32"/>
        <item x="5"/>
        <item x="6"/>
        <item x="7"/>
        <item m="1" x="29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>
      <items count="64">
        <item m="1" x="22"/>
        <item m="1" x="21"/>
        <item m="1" x="16"/>
        <item m="1" x="17"/>
        <item m="1" x="37"/>
        <item m="1" x="45"/>
        <item m="1" x="44"/>
        <item m="1" x="58"/>
        <item m="1" x="20"/>
        <item m="1" x="61"/>
        <item m="1" x="26"/>
        <item m="1" x="15"/>
        <item m="1" x="43"/>
        <item m="1" x="57"/>
        <item m="1" x="10"/>
        <item m="1" x="23"/>
        <item m="1" x="19"/>
        <item m="1" x="56"/>
        <item m="1" x="1"/>
        <item m="1" x="50"/>
        <item m="1" x="9"/>
        <item m="1" x="12"/>
        <item x="0"/>
        <item m="1" x="53"/>
        <item m="1" x="47"/>
        <item m="1" x="48"/>
        <item m="1" x="34"/>
        <item m="1" x="41"/>
        <item m="1" x="46"/>
        <item m="1" x="51"/>
        <item m="1" x="4"/>
        <item m="1" x="52"/>
        <item m="1" x="36"/>
        <item m="1" x="11"/>
        <item m="1" x="38"/>
        <item m="1" x="29"/>
        <item m="1" x="5"/>
        <item m="1" x="2"/>
        <item m="1" x="27"/>
        <item m="1" x="54"/>
        <item m="1" x="42"/>
        <item m="1" x="60"/>
        <item m="1" x="6"/>
        <item m="1" x="7"/>
        <item m="1" x="59"/>
        <item m="1" x="25"/>
        <item m="1" x="33"/>
        <item m="1" x="55"/>
        <item m="1" x="40"/>
        <item m="1" x="14"/>
        <item m="1" x="31"/>
        <item m="1" x="35"/>
        <item m="1" x="39"/>
        <item m="1" x="13"/>
        <item m="1" x="24"/>
        <item m="1" x="62"/>
        <item m="1" x="32"/>
        <item m="1" x="28"/>
        <item m="1" x="3"/>
        <item m="1" x="8"/>
        <item m="1" x="49"/>
        <item m="1" x="30"/>
        <item m="1" x="18"/>
        <item t="default"/>
      </items>
    </pivotField>
    <pivotField showAll="0" defaultSubtota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dataField="1" showAll="0" includeNewItemsInFilter="1">
      <items count="8">
        <item h="1" m="1" x="1"/>
        <item h="1" m="1" x="5"/>
        <item h="1" x="0"/>
        <item h="1" m="1" x="3"/>
        <item h="1" m="1" x="2"/>
        <item m="1" x="6"/>
        <item m="1" x="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39"/>
  </rowFields>
  <rowItems count="1">
    <i t="grand">
      <x/>
    </i>
  </rowItems>
  <colItems count="1">
    <i/>
  </colItems>
  <pageFields count="1">
    <pageField fld="0" hier="-1"/>
  </pageFields>
  <dataFields count="1">
    <dataField name="% TOTAL" fld="39" subtotal="count" baseField="0" baseItem="0"/>
  </dataFields>
  <formats count="12">
    <format dxfId="604">
      <pivotArea field="39" type="button" dataOnly="0" labelOnly="1" outline="0" axis="axisRow" fieldPosition="0"/>
    </format>
    <format dxfId="603">
      <pivotArea field="-2" type="button" dataOnly="0" labelOnly="1" outline="0" axis="axisValues" fieldPosition="0"/>
    </format>
    <format dxfId="602">
      <pivotArea type="topRight" dataOnly="0" labelOnly="1" outline="0" fieldPosition="0"/>
    </format>
    <format dxfId="601">
      <pivotArea type="topRight" dataOnly="0" labelOnly="1" outline="0" offset="C1:D1" fieldPosition="0"/>
    </format>
    <format dxfId="600">
      <pivotArea field="39" dataOnly="0" labelOnly="1" grandCol="1" outline="0" axis="axisRow" fieldPosition="0">
        <references count="1">
          <reference field="4294967294" count="1" selected="0">
            <x v="0"/>
          </reference>
        </references>
      </pivotArea>
    </format>
    <format dxfId="599">
      <pivotArea type="topRight" dataOnly="0" labelOnly="1" outline="0" offset="E1:F1" fieldPosition="0"/>
    </format>
    <format dxfId="598">
      <pivotArea outline="0" fieldPosition="0">
        <references count="1">
          <reference field="4294967294" count="1">
            <x v="0"/>
          </reference>
        </references>
      </pivotArea>
    </format>
    <format dxfId="597">
      <pivotArea type="all" dataOnly="0" outline="0" fieldPosition="0"/>
    </format>
    <format dxfId="596">
      <pivotArea field="0" type="button" dataOnly="0" labelOnly="1" outline="0" axis="axisPage" fieldPosition="0"/>
    </format>
    <format dxfId="595">
      <pivotArea dataOnly="0" labelOnly="1" outline="0" fieldPosition="0">
        <references count="1">
          <reference field="0" count="0"/>
        </references>
      </pivotArea>
    </format>
    <format dxfId="594">
      <pivotArea field="39" type="button" dataOnly="0" labelOnly="1" outline="0" axis="axisRow" fieldPosition="0"/>
    </format>
    <format dxfId="593">
      <pivotArea dataOnly="0" labelOnly="1" outline="0" axis="axisValues" fieldPosition="0"/>
    </format>
  </formats>
  <chartFormats count="9"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39" count="1" selected="0">
            <x v="0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6">
      <pivotArea type="data" outline="0" fieldPosition="0">
        <references count="2">
          <reference field="4294967294" count="1" selected="0">
            <x v="0"/>
          </reference>
          <reference field="39" count="1" selected="0">
            <x v="0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39" count="1" selected="0">
            <x v="1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0"/>
          </reference>
          <reference field="39" count="1" selected="0">
            <x v="1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0"/>
          </reference>
          <reference field="39" count="1" selected="0">
            <x v="1"/>
          </reference>
        </references>
      </pivotArea>
    </chartFormat>
    <chartFormat chart="2" format="6">
      <pivotArea type="data" outline="0" fieldPosition="0">
        <references count="2">
          <reference field="4294967294" count="1" selected="0">
            <x v="0"/>
          </reference>
          <reference field="39" count="1" selected="0">
            <x v="2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39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3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showMissing="0" updatedVersion="4" minRefreshableVersion="3" useAutoFormatting="1" itemPrintTitles="1" createdVersion="4" indent="0" outline="1" outlineData="1" multipleFieldFilters="0" chartFormat="2" fieldListSortAscending="1">
  <location ref="A3:B5" firstHeaderRow="1" firstDataRow="2" firstDataCol="1"/>
  <pivotFields count="75">
    <pivotField axis="axisRow" showAll="0" includeNewItemsInFilter="1">
      <items count="34">
        <item h="1" m="1" x="23"/>
        <item h="1" m="1" x="25"/>
        <item h="1" m="1" x="15"/>
        <item h="1" m="1" x="28"/>
        <item h="1" x="13"/>
        <item h="1" m="1" x="26"/>
        <item h="1" m="1" x="18"/>
        <item h="1" m="1" x="21"/>
        <item h="1" m="1" x="17"/>
        <item h="1" m="1" x="20"/>
        <item h="1" m="1" x="14"/>
        <item h="1" m="1" x="30"/>
        <item h="1" m="1" x="31"/>
        <item h="1" m="1" x="16"/>
        <item h="1" m="1" x="19"/>
        <item h="1" m="1" x="27"/>
        <item h="1" m="1" x="24"/>
        <item h="1" m="1" x="22"/>
        <item x="0"/>
        <item x="1"/>
        <item x="2"/>
        <item x="3"/>
        <item x="4"/>
        <item h="1" m="1" x="32"/>
        <item x="5"/>
        <item x="6"/>
        <item x="7"/>
        <item h="1" m="1" x="29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>
      <items count="64">
        <item m="1" x="22"/>
        <item m="1" x="21"/>
        <item m="1" x="16"/>
        <item m="1" x="17"/>
        <item m="1" x="37"/>
        <item m="1" x="45"/>
        <item m="1" x="44"/>
        <item m="1" x="58"/>
        <item m="1" x="20"/>
        <item m="1" x="61"/>
        <item m="1" x="26"/>
        <item m="1" x="15"/>
        <item m="1" x="43"/>
        <item m="1" x="57"/>
        <item m="1" x="10"/>
        <item m="1" x="23"/>
        <item m="1" x="19"/>
        <item m="1" x="56"/>
        <item m="1" x="1"/>
        <item m="1" x="50"/>
        <item m="1" x="9"/>
        <item m="1" x="12"/>
        <item x="0"/>
        <item m="1" x="53"/>
        <item m="1" x="47"/>
        <item m="1" x="48"/>
        <item m="1" x="34"/>
        <item m="1" x="41"/>
        <item m="1" x="46"/>
        <item m="1" x="51"/>
        <item m="1" x="4"/>
        <item m="1" x="52"/>
        <item m="1" x="36"/>
        <item m="1" x="11"/>
        <item m="1" x="38"/>
        <item m="1" x="29"/>
        <item m="1" x="5"/>
        <item m="1" x="2"/>
        <item m="1" x="27"/>
        <item m="1" x="54"/>
        <item m="1" x="42"/>
        <item m="1" x="60"/>
        <item m="1" x="6"/>
        <item m="1" x="7"/>
        <item m="1" x="59"/>
        <item m="1" x="25"/>
        <item m="1" x="33"/>
        <item m="1" x="55"/>
        <item m="1" x="40"/>
        <item m="1" x="14"/>
        <item m="1" x="31"/>
        <item m="1" x="35"/>
        <item m="1" x="39"/>
        <item m="1" x="13"/>
        <item m="1" x="24"/>
        <item m="1" x="62"/>
        <item m="1" x="32"/>
        <item m="1" x="28"/>
        <item m="1" x="3"/>
        <item m="1" x="8"/>
        <item m="1" x="49"/>
        <item m="1" x="30"/>
        <item m="1" x="18"/>
        <item t="default"/>
      </items>
    </pivotField>
    <pivotField showAll="0" defaultSubtota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Col" dataField="1" showAll="0" includeNewItemsInFilter="1">
      <items count="8">
        <item h="1" m="1" x="1"/>
        <item h="1" m="1" x="5"/>
        <item h="1" x="0"/>
        <item h="1" m="1" x="3"/>
        <item h="1" m="1" x="2"/>
        <item m="1" x="6"/>
        <item m="1" x="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0"/>
  </rowFields>
  <rowItems count="1">
    <i t="grand">
      <x/>
    </i>
  </rowItems>
  <colFields count="1">
    <field x="39"/>
  </colFields>
  <colItems count="1">
    <i t="grand">
      <x/>
    </i>
  </colItems>
  <dataFields count="1">
    <dataField name="Nombre de Alive" fld="39" subtotal="count" showDataAs="percentOfRow" baseField="0" baseItem="0" numFmtId="10"/>
  </dataFields>
  <formats count="16">
    <format dxfId="620">
      <pivotArea field="39" type="button" dataOnly="0" labelOnly="1" outline="0" axis="axisCol" fieldPosition="0"/>
    </format>
    <format dxfId="619">
      <pivotArea field="-2" type="button" dataOnly="0" labelOnly="1" outline="0" axis="axisValues" fieldPosition="0"/>
    </format>
    <format dxfId="618">
      <pivotArea dataOnly="0" labelOnly="1" fieldPosition="0">
        <references count="1">
          <reference field="39" count="1">
            <x v="0"/>
          </reference>
        </references>
      </pivotArea>
    </format>
    <format dxfId="617">
      <pivotArea type="topRight" dataOnly="0" labelOnly="1" outline="0" fieldPosition="0"/>
    </format>
    <format dxfId="616">
      <pivotArea dataOnly="0" labelOnly="1" fieldPosition="0">
        <references count="1">
          <reference field="39" count="1">
            <x v="1"/>
          </reference>
        </references>
      </pivotArea>
    </format>
    <format dxfId="615">
      <pivotArea type="topRight" dataOnly="0" labelOnly="1" outline="0" offset="C1:D1" fieldPosition="0"/>
    </format>
    <format dxfId="614">
      <pivotArea type="topRight" dataOnly="0" labelOnly="1" outline="0" offset="E1:F1" fieldPosition="0"/>
    </format>
    <format dxfId="613">
      <pivotArea outline="0" fieldPosition="0">
        <references count="1">
          <reference field="4294967294" count="1">
            <x v="0"/>
          </reference>
        </references>
      </pivotArea>
    </format>
    <format dxfId="612">
      <pivotArea type="all" dataOnly="0" outline="0" fieldPosition="0"/>
    </format>
    <format dxfId="611">
      <pivotArea type="origin" dataOnly="0" labelOnly="1" outline="0" fieldPosition="0"/>
    </format>
    <format dxfId="610">
      <pivotArea field="0" type="button" dataOnly="0" labelOnly="1" outline="0" axis="axisRow" fieldPosition="0"/>
    </format>
    <format dxfId="609">
      <pivotArea field="39" type="button" dataOnly="0" labelOnly="1" outline="0" axis="axisCol" fieldPosition="0"/>
    </format>
    <format dxfId="608">
      <pivotArea type="topRight" dataOnly="0" labelOnly="1" outline="0" fieldPosition="0"/>
    </format>
    <format dxfId="607">
      <pivotArea dataOnly="0" labelOnly="1" fieldPosition="0">
        <references count="1">
          <reference field="39" count="0"/>
        </references>
      </pivotArea>
    </format>
    <format dxfId="606">
      <pivotArea dataOnly="0" labelOnly="1" grandCol="1" outline="0" fieldPosition="0"/>
    </format>
    <format dxfId="605">
      <pivotArea outline="0" collapsedLevelsAreSubtotals="1" fieldPosition="0">
        <references count="1">
          <reference field="39" count="0" selected="0"/>
        </references>
      </pivotArea>
    </format>
  </formats>
  <chartFormats count="7">
    <chartFormat chart="1" format="5" series="1">
      <pivotArea type="data" outline="0" fieldPosition="0">
        <references count="1">
          <reference field="39" count="1" selected="0">
            <x v="0"/>
          </reference>
        </references>
      </pivotArea>
    </chartFormat>
    <chartFormat chart="1" format="6" series="1">
      <pivotArea type="data" outline="0" fieldPosition="0">
        <references count="1">
          <reference field="39" count="1" selected="0">
            <x v="1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0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1"/>
          </reference>
        </references>
      </pivotArea>
    </chartFormat>
    <chartFormat chart="1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3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4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4.xml><?xml version="1.0" encoding="utf-8"?>
<pivotTableDefinition xmlns="http://schemas.openxmlformats.org/spreadsheetml/2006/main" name="Tableau croisé dynamique4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 fieldListSortAscending="1">
  <location ref="G4:K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0"/>
        <item m="1" x="6"/>
        <item h="1" m="1" x="5"/>
        <item h="1" m="1" x="8"/>
        <item x="0"/>
        <item m="1" x="11"/>
        <item m="1" x="15"/>
        <item h="1" m="1" x="16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43">
        <item m="1" x="22"/>
        <item m="1" x="9"/>
        <item m="1" x="24"/>
        <item m="1" x="40"/>
        <item m="1" x="4"/>
        <item m="1" x="10"/>
        <item m="1" x="16"/>
        <item m="1" x="29"/>
        <item m="1" x="32"/>
        <item m="1" x="8"/>
        <item m="1" x="20"/>
        <item m="1" x="31"/>
        <item m="1" x="26"/>
        <item h="1" x="0"/>
        <item h="1" x="1"/>
        <item m="1" x="13"/>
        <item m="1" x="18"/>
        <item m="1" x="36"/>
        <item m="1" x="25"/>
        <item m="1" x="5"/>
        <item m="1" x="42"/>
        <item m="1" x="14"/>
        <item m="1" x="38"/>
        <item m="1" x="3"/>
        <item m="1" x="7"/>
        <item m="1" x="21"/>
        <item m="1" x="6"/>
        <item m="1" x="30"/>
        <item m="1" x="39"/>
        <item m="1" x="37"/>
        <item m="1" x="28"/>
        <item m="1" x="34"/>
        <item m="1" x="35"/>
        <item m="1" x="11"/>
        <item m="1" x="17"/>
        <item m="1" x="27"/>
        <item m="1" x="12"/>
        <item m="1" x="19"/>
        <item m="1" x="2"/>
        <item m="1" x="23"/>
        <item m="1" x="15"/>
        <item m="1" x="33"/>
        <item m="1" x="4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6" hier="-1"/>
  </pageFields>
  <dataFields count="4">
    <dataField name="Min de Nbr de j USI_RV" fld="66" subtotal="min" baseField="0" baseItem="0"/>
    <dataField name="Moyenne de Nbr de j USI" fld="66" subtotal="average" baseField="9" baseItem="1" numFmtId="167"/>
    <dataField name="Max de Nbr de j USI_RV" fld="66" subtotal="max" baseField="0" baseItem="0" numFmtId="167"/>
    <dataField name="Écartype de Nbr de j USI" fld="66" subtotal="stdDev" baseField="9" baseItem="2" numFmtId="167"/>
  </dataFields>
  <formats count="37">
    <format dxfId="592">
      <pivotArea field="14" type="button" dataOnly="0" labelOnly="1" outline="0" axis="axisPage" fieldPosition="0"/>
    </format>
    <format dxfId="591">
      <pivotArea dataOnly="0" labelOnly="1" outline="0" fieldPosition="0">
        <references count="1">
          <reference field="14" count="0"/>
        </references>
      </pivotArea>
    </format>
    <format dxfId="590">
      <pivotArea field="66" type="button" dataOnly="0" labelOnly="1" outline="0" axis="axisPage" fieldPosition="1"/>
    </format>
    <format dxfId="589">
      <pivotArea dataOnly="0" labelOnly="1" outline="0" fieldPosition="0">
        <references count="1">
          <reference field="66" count="0"/>
        </references>
      </pivotArea>
    </format>
    <format dxfId="588">
      <pivotArea type="all" dataOnly="0" outline="0" fieldPosition="0"/>
    </format>
    <format dxfId="587">
      <pivotArea field="14" type="button" dataOnly="0" labelOnly="1" outline="0" axis="axisPage" fieldPosition="0"/>
    </format>
    <format dxfId="586">
      <pivotArea dataOnly="0" labelOnly="1" outline="0" fieldPosition="0">
        <references count="1">
          <reference field="14" count="0"/>
        </references>
      </pivotArea>
    </format>
    <format dxfId="585">
      <pivotArea field="66" type="button" dataOnly="0" labelOnly="1" outline="0" axis="axisPage" fieldPosition="1"/>
    </format>
    <format dxfId="584">
      <pivotArea dataOnly="0" labelOnly="1" outline="0" fieldPosition="0">
        <references count="1">
          <reference field="66" count="0"/>
        </references>
      </pivotArea>
    </format>
    <format dxfId="583">
      <pivotArea type="origin" dataOnly="0" labelOnly="1" outline="0" fieldPosition="0"/>
    </format>
    <format dxfId="582">
      <pivotArea field="11" type="button" dataOnly="0" labelOnly="1" outline="0" axis="axisRow" fieldPosition="0"/>
    </format>
    <format dxfId="581">
      <pivotArea field="-2" type="button" dataOnly="0" labelOnly="1" outline="0" axis="axisCol" fieldPosition="0"/>
    </format>
    <format dxfId="580">
      <pivotArea type="topRight" dataOnly="0" labelOnly="1" outline="0" fieldPosition="0"/>
    </format>
    <format dxfId="57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78">
      <pivotArea type="origin" dataOnly="0" labelOnly="1" outline="0" fieldPosition="0"/>
    </format>
    <format dxfId="577">
      <pivotArea field="11" type="button" dataOnly="0" labelOnly="1" outline="0" axis="axisRow" fieldPosition="0"/>
    </format>
    <format dxfId="576">
      <pivotArea field="-2" type="button" dataOnly="0" labelOnly="1" outline="0" axis="axisCol" fieldPosition="0"/>
    </format>
    <format dxfId="575">
      <pivotArea type="topRight" dataOnly="0" labelOnly="1" outline="0" fieldPosition="0"/>
    </format>
    <format dxfId="57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73">
      <pivotArea outline="0" collapsedLevelsAreSubtotals="1" fieldPosition="0"/>
    </format>
    <format dxfId="572">
      <pivotArea dataOnly="0" labelOnly="1" fieldPosition="0">
        <references count="1">
          <reference field="11" count="0"/>
        </references>
      </pivotArea>
    </format>
    <format dxfId="571">
      <pivotArea dataOnly="0" labelOnly="1" grandRow="1" outline="0" fieldPosition="0"/>
    </format>
    <format dxfId="570">
      <pivotArea field="14" type="button" dataOnly="0" labelOnly="1" outline="0" axis="axisPage" fieldPosition="0"/>
    </format>
    <format dxfId="569">
      <pivotArea dataOnly="0" labelOnly="1" outline="0" fieldPosition="0">
        <references count="1">
          <reference field="14" count="0"/>
        </references>
      </pivotArea>
    </format>
    <format dxfId="568">
      <pivotArea field="66" type="button" dataOnly="0" labelOnly="1" outline="0" axis="axisPage" fieldPosition="1"/>
    </format>
    <format dxfId="567">
      <pivotArea dataOnly="0" labelOnly="1" outline="0" fieldPosition="0">
        <references count="1">
          <reference field="66" count="0"/>
        </references>
      </pivotArea>
    </format>
    <format dxfId="566">
      <pivotArea type="origin" dataOnly="0" labelOnly="1" outline="0" fieldPosition="0"/>
    </format>
    <format dxfId="565">
      <pivotArea field="11" type="button" dataOnly="0" labelOnly="1" outline="0" axis="axisRow" fieldPosition="0"/>
    </format>
    <format dxfId="564">
      <pivotArea field="-2" type="button" dataOnly="0" labelOnly="1" outline="0" axis="axisCol" fieldPosition="0"/>
    </format>
    <format dxfId="563">
      <pivotArea type="topRight" dataOnly="0" labelOnly="1" outline="0" fieldPosition="0"/>
    </format>
    <format dxfId="56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61">
      <pivotArea field="11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560">
      <pivotArea collapsedLevelsAreSubtotals="1" fieldPosition="0">
        <references count="2">
          <reference field="4294967294" count="1" selected="0">
            <x v="1"/>
          </reference>
          <reference field="11" count="1">
            <x v="1"/>
          </reference>
        </references>
      </pivotArea>
    </format>
    <format dxfId="559">
      <pivotArea collapsedLevelsAreSubtotals="1" fieldPosition="0">
        <references count="2">
          <reference field="4294967294" count="1" selected="0">
            <x v="1"/>
          </reference>
          <reference field="11" count="1">
            <x v="2"/>
          </reference>
        </references>
      </pivotArea>
    </format>
    <format dxfId="558">
      <pivotArea collapsedLevelsAreSubtotals="1" fieldPosition="0">
        <references count="2">
          <reference field="4294967294" count="1" selected="0">
            <x v="1"/>
          </reference>
          <reference field="11" count="1">
            <x v="3"/>
          </reference>
        </references>
      </pivotArea>
    </format>
    <format dxfId="557">
      <pivotArea field="11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556">
      <pivotArea outline="0" collapsedLevelsAreSubtotals="1" fieldPosition="0">
        <references count="1">
          <reference field="4294967294" count="3" selected="0">
            <x v="1"/>
            <x v="2"/>
            <x v="3"/>
          </reference>
        </references>
      </pivotArea>
    </format>
  </formats>
  <chartFormats count="4">
    <chartFormat chart="1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5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7" fieldListSortAscending="1">
  <location ref="A4:E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0"/>
        <item m="1" x="6"/>
        <item m="1" x="5"/>
        <item m="1" x="8"/>
        <item x="0"/>
        <item m="1" x="11"/>
        <item m="1" x="15"/>
        <item m="1" x="16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43">
        <item m="1" x="22"/>
        <item m="1" x="9"/>
        <item m="1" x="24"/>
        <item m="1" x="40"/>
        <item m="1" x="4"/>
        <item m="1" x="10"/>
        <item m="1" x="16"/>
        <item m="1" x="29"/>
        <item m="1" x="32"/>
        <item m="1" x="8"/>
        <item m="1" x="20"/>
        <item m="1" x="31"/>
        <item m="1" x="26"/>
        <item h="1" x="0"/>
        <item h="1" x="1"/>
        <item m="1" x="13"/>
        <item m="1" x="18"/>
        <item m="1" x="36"/>
        <item m="1" x="25"/>
        <item m="1" x="5"/>
        <item m="1" x="42"/>
        <item m="1" x="14"/>
        <item m="1" x="38"/>
        <item m="1" x="3"/>
        <item m="1" x="7"/>
        <item m="1" x="21"/>
        <item m="1" x="6"/>
        <item m="1" x="30"/>
        <item m="1" x="39"/>
        <item m="1" x="37"/>
        <item m="1" x="28"/>
        <item m="1" x="34"/>
        <item m="1" x="35"/>
        <item m="1" x="11"/>
        <item m="1" x="17"/>
        <item m="1" x="27"/>
        <item m="1" x="12"/>
        <item m="1" x="19"/>
        <item m="1" x="2"/>
        <item m="1" x="23"/>
        <item m="1" x="15"/>
        <item m="1" x="33"/>
        <item m="1" x="4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6" hier="-1"/>
  </pageFields>
  <dataFields count="4">
    <dataField name="Min de Nbr de j USI_RV" fld="66" subtotal="min" baseField="9" baseItem="3"/>
    <dataField name="Moyenne de Nbr de j USI" fld="66" subtotal="average" baseField="9" baseItem="1" numFmtId="4"/>
    <dataField name="Max de Nbr de j USI_RV" fld="66" subtotal="max" baseField="9" baseItem="3"/>
    <dataField name="Écartype de Nbr de j USI" fld="66" subtotal="stdDev" baseField="9" baseItem="1" numFmtId="4"/>
  </dataFields>
  <chartFormats count="4">
    <chartFormat chart="12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5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6.xml><?xml version="1.0" encoding="utf-8"?>
<pivotTableDefinition xmlns="http://schemas.openxmlformats.org/spreadsheetml/2006/main" name="Tableau croisé dynamique5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4" fieldListSortAscending="1">
  <location ref="M4:Q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>
      <items count="18">
        <item h="1" x="2"/>
        <item h="1" x="1"/>
        <item h="1" m="1" x="13"/>
        <item h="1" m="1" x="3"/>
        <item h="1" m="1" x="9"/>
        <item h="1" m="1" x="4"/>
        <item h="1" m="1" x="10"/>
        <item h="1" m="1" x="6"/>
        <item m="1" x="5"/>
        <item m="1" x="8"/>
        <item h="1" x="0"/>
        <item h="1" m="1" x="11"/>
        <item h="1" m="1" x="15"/>
        <item m="1" x="16"/>
        <item h="1"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43">
        <item m="1" x="22"/>
        <item m="1" x="9"/>
        <item m="1" x="24"/>
        <item m="1" x="40"/>
        <item m="1" x="4"/>
        <item m="1" x="10"/>
        <item m="1" x="16"/>
        <item m="1" x="29"/>
        <item m="1" x="32"/>
        <item m="1" x="8"/>
        <item m="1" x="20"/>
        <item m="1" x="31"/>
        <item m="1" x="26"/>
        <item h="1" x="0"/>
        <item h="1" x="1"/>
        <item m="1" x="13"/>
        <item m="1" x="18"/>
        <item m="1" x="36"/>
        <item m="1" x="25"/>
        <item m="1" x="5"/>
        <item m="1" x="42"/>
        <item m="1" x="14"/>
        <item m="1" x="38"/>
        <item m="1" x="3"/>
        <item m="1" x="7"/>
        <item m="1" x="21"/>
        <item m="1" x="6"/>
        <item m="1" x="30"/>
        <item m="1" x="39"/>
        <item m="1" x="37"/>
        <item m="1" x="28"/>
        <item m="1" x="34"/>
        <item m="1" x="35"/>
        <item m="1" x="11"/>
        <item m="1" x="17"/>
        <item m="1" x="27"/>
        <item m="1" x="12"/>
        <item m="1" x="19"/>
        <item m="1" x="2"/>
        <item m="1" x="23"/>
        <item m="1" x="15"/>
        <item m="1" x="33"/>
        <item m="1" x="4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6" hier="-1"/>
  </pageFields>
  <dataFields count="4">
    <dataField name="Min de Nbr de j USI_RV2" fld="66" subtotal="min" baseField="0" baseItem="0"/>
    <dataField name="Moyenne de Nbr de j USI" fld="66" subtotal="average" baseField="9" baseItem="1" numFmtId="4"/>
    <dataField name="Max de Nbr de j USI_RV2" fld="66" subtotal="max" baseField="0" baseItem="0"/>
    <dataField name="Écartype de Nbr de j USI_RV" fld="66" subtotal="stdDev" baseField="0" baseItem="0"/>
  </dataFields>
  <chartFormats count="6">
    <chartFormat chart="1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0" format="2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0" format="21">
      <pivotArea type="data" outline="0" fieldPosition="0">
        <references count="2">
          <reference field="4294967294" count="1" selected="0">
            <x v="0"/>
          </reference>
          <reference field="11" count="1" selected="0">
            <x v="4"/>
          </reference>
        </references>
      </pivotArea>
    </chartFormat>
    <chartFormat chart="10" format="22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7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5" fieldListSortAscending="1">
  <location ref="A4:E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0"/>
        <item m="1" x="6"/>
        <item m="1" x="5"/>
        <item m="1" x="8"/>
        <item x="0"/>
        <item m="1" x="11"/>
        <item m="1" x="15"/>
        <item m="1" x="16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81">
        <item m="1" x="23"/>
        <item m="1" x="36"/>
        <item m="1" x="54"/>
        <item m="1" x="21"/>
        <item m="1" x="2"/>
        <item m="1" x="67"/>
        <item m="1" x="20"/>
        <item m="1" x="53"/>
        <item m="1" x="80"/>
        <item m="1" x="34"/>
        <item m="1" x="66"/>
        <item m="1" x="19"/>
        <item m="1" x="52"/>
        <item m="1" x="79"/>
        <item m="1" x="60"/>
        <item m="1" x="33"/>
        <item m="1" x="65"/>
        <item m="1" x="51"/>
        <item m="1" x="59"/>
        <item m="1" x="42"/>
        <item m="1" x="26"/>
        <item m="1" x="46"/>
        <item m="1" x="24"/>
        <item m="1" x="6"/>
        <item m="1" x="5"/>
        <item h="1" x="0"/>
        <item h="1" x="1"/>
        <item m="1" x="10"/>
        <item m="1" x="75"/>
        <item m="1" x="77"/>
        <item m="1" x="35"/>
        <item m="1" x="73"/>
        <item m="1" x="32"/>
        <item m="1" x="71"/>
        <item m="1" x="38"/>
        <item m="1" x="9"/>
        <item m="1" x="13"/>
        <item m="1" x="74"/>
        <item m="1" x="49"/>
        <item m="1" x="43"/>
        <item m="1" x="3"/>
        <item m="1" x="12"/>
        <item m="1" x="58"/>
        <item m="1" x="40"/>
        <item m="1" x="63"/>
        <item m="1" x="55"/>
        <item m="1" x="16"/>
        <item m="1" x="62"/>
        <item m="1" x="11"/>
        <item m="1" x="29"/>
        <item m="1" x="17"/>
        <item m="1" x="45"/>
        <item m="1" x="56"/>
        <item m="1" x="47"/>
        <item m="1" x="25"/>
        <item m="1" x="28"/>
        <item m="1" x="57"/>
        <item m="1" x="30"/>
        <item m="1" x="15"/>
        <item m="1" x="48"/>
        <item m="1" x="31"/>
        <item m="1" x="7"/>
        <item m="1" x="69"/>
        <item m="1" x="70"/>
        <item m="1" x="39"/>
        <item m="1" x="14"/>
        <item m="1" x="78"/>
        <item m="1" x="50"/>
        <item m="1" x="61"/>
        <item m="1" x="41"/>
        <item m="1" x="76"/>
        <item m="1" x="18"/>
        <item m="1" x="64"/>
        <item m="1" x="72"/>
        <item m="1" x="22"/>
        <item m="1" x="8"/>
        <item m="1" x="68"/>
        <item m="1" x="27"/>
        <item m="1" x="37"/>
        <item m="1" x="44"/>
        <item m="1" x="4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3" hier="-1"/>
  </pageFields>
  <dataFields count="4">
    <dataField name="Min de Nbr de j hospi_RV" fld="63" subtotal="min" baseField="9" baseItem="3"/>
    <dataField name="Moyenne de Nbr de j hospi" fld="63" subtotal="average" baseField="9" baseItem="2" numFmtId="4"/>
    <dataField name="Max de Nbr de j hospi_RV" fld="63" subtotal="max" baseField="9" baseItem="3"/>
    <dataField name="Écartype de Nbr de j hospi" fld="63" subtotal="stdDev" baseField="9" baseItem="1" numFmtId="4"/>
  </dataFields>
  <chartFormats count="8">
    <chartFormat chart="9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1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3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8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1" fieldListSortAscending="1">
  <location ref="G4:K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0"/>
        <item m="1" x="6"/>
        <item h="1" m="1" x="5"/>
        <item h="1" m="1" x="8"/>
        <item x="0"/>
        <item m="1" x="11"/>
        <item m="1" x="15"/>
        <item h="1" m="1" x="16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81">
        <item m="1" x="23"/>
        <item m="1" x="36"/>
        <item m="1" x="54"/>
        <item m="1" x="21"/>
        <item m="1" x="2"/>
        <item m="1" x="67"/>
        <item m="1" x="20"/>
        <item m="1" x="53"/>
        <item m="1" x="80"/>
        <item m="1" x="34"/>
        <item m="1" x="66"/>
        <item m="1" x="19"/>
        <item m="1" x="52"/>
        <item m="1" x="79"/>
        <item m="1" x="60"/>
        <item m="1" x="33"/>
        <item m="1" x="65"/>
        <item m="1" x="51"/>
        <item m="1" x="59"/>
        <item m="1" x="42"/>
        <item m="1" x="26"/>
        <item m="1" x="46"/>
        <item m="1" x="24"/>
        <item m="1" x="6"/>
        <item m="1" x="5"/>
        <item h="1" x="0"/>
        <item h="1" x="1"/>
        <item m="1" x="10"/>
        <item m="1" x="75"/>
        <item m="1" x="77"/>
        <item m="1" x="35"/>
        <item m="1" x="73"/>
        <item m="1" x="32"/>
        <item m="1" x="71"/>
        <item m="1" x="38"/>
        <item m="1" x="9"/>
        <item m="1" x="13"/>
        <item m="1" x="74"/>
        <item m="1" x="49"/>
        <item m="1" x="43"/>
        <item m="1" x="3"/>
        <item m="1" x="12"/>
        <item m="1" x="58"/>
        <item m="1" x="40"/>
        <item m="1" x="63"/>
        <item m="1" x="55"/>
        <item m="1" x="16"/>
        <item m="1" x="62"/>
        <item m="1" x="11"/>
        <item m="1" x="29"/>
        <item m="1" x="17"/>
        <item m="1" x="45"/>
        <item m="1" x="56"/>
        <item m="1" x="47"/>
        <item m="1" x="25"/>
        <item m="1" x="28"/>
        <item m="1" x="57"/>
        <item m="1" x="30"/>
        <item m="1" x="15"/>
        <item m="1" x="48"/>
        <item m="1" x="31"/>
        <item m="1" x="7"/>
        <item m="1" x="69"/>
        <item m="1" x="70"/>
        <item m="1" x="39"/>
        <item m="1" x="14"/>
        <item m="1" x="78"/>
        <item m="1" x="50"/>
        <item m="1" x="61"/>
        <item m="1" x="41"/>
        <item m="1" x="76"/>
        <item m="1" x="18"/>
        <item m="1" x="64"/>
        <item m="1" x="72"/>
        <item m="1" x="22"/>
        <item m="1" x="8"/>
        <item m="1" x="68"/>
        <item m="1" x="27"/>
        <item m="1" x="37"/>
        <item m="1" x="44"/>
        <item m="1" x="4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3" hier="-1"/>
  </pageFields>
  <dataFields count="4">
    <dataField name="Min de Nbr de j hospi_RV" fld="63" subtotal="min" baseField="9" baseItem="5"/>
    <dataField name="Moyenne de Nbr de j hospi" fld="63" subtotal="average" baseField="9" baseItem="2" numFmtId="167"/>
    <dataField name="Max de Nbr de j hospi_RV2" fld="63" subtotal="max" baseField="9" baseItem="5"/>
    <dataField name="Écartype de Nbr de j hospi" fld="63" subtotal="stdDev" baseField="9" baseItem="1" numFmtId="4"/>
  </dataFields>
  <formats count="12">
    <format dxfId="555">
      <pivotArea field="14" type="button" dataOnly="0" labelOnly="1" outline="0" axis="axisPage" fieldPosition="0"/>
    </format>
    <format dxfId="554">
      <pivotArea dataOnly="0" labelOnly="1" outline="0" fieldPosition="0">
        <references count="1">
          <reference field="14" count="0"/>
        </references>
      </pivotArea>
    </format>
    <format dxfId="553">
      <pivotArea field="63" type="button" dataOnly="0" labelOnly="1" outline="0" axis="axisPage" fieldPosition="1"/>
    </format>
    <format dxfId="552">
      <pivotArea dataOnly="0" labelOnly="1" outline="0" fieldPosition="0">
        <references count="1">
          <reference field="63" count="0"/>
        </references>
      </pivotArea>
    </format>
    <format dxfId="551">
      <pivotArea type="all" dataOnly="0" outline="0" fieldPosition="0"/>
    </format>
    <format dxfId="550">
      <pivotArea type="origin" dataOnly="0" labelOnly="1" outline="0" fieldPosition="0"/>
    </format>
    <format dxfId="549">
      <pivotArea field="11" type="button" dataOnly="0" labelOnly="1" outline="0" axis="axisRow" fieldPosition="0"/>
    </format>
    <format dxfId="548">
      <pivotArea field="-2" type="button" dataOnly="0" labelOnly="1" outline="0" axis="axisCol" fieldPosition="0"/>
    </format>
    <format dxfId="547">
      <pivotArea type="topRight" dataOnly="0" labelOnly="1" outline="0" fieldPosition="0"/>
    </format>
    <format dxfId="54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45">
      <pivotArea field="11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54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4">
    <chartFormat chart="9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9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9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 fieldListSortAscending="1">
  <location ref="M4:Q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>
      <items count="18">
        <item h="1" x="2"/>
        <item h="1" x="1"/>
        <item h="1" m="1" x="13"/>
        <item h="1" m="1" x="3"/>
        <item h="1" m="1" x="9"/>
        <item h="1" m="1" x="4"/>
        <item h="1" m="1" x="10"/>
        <item h="1" m="1" x="6"/>
        <item m="1" x="5"/>
        <item m="1" x="8"/>
        <item h="1" x="0"/>
        <item h="1" m="1" x="11"/>
        <item h="1" m="1" x="15"/>
        <item m="1" x="16"/>
        <item h="1"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81">
        <item m="1" x="23"/>
        <item m="1" x="36"/>
        <item m="1" x="54"/>
        <item m="1" x="21"/>
        <item m="1" x="2"/>
        <item m="1" x="67"/>
        <item m="1" x="20"/>
        <item m="1" x="53"/>
        <item m="1" x="80"/>
        <item m="1" x="34"/>
        <item m="1" x="66"/>
        <item m="1" x="19"/>
        <item m="1" x="52"/>
        <item m="1" x="79"/>
        <item m="1" x="60"/>
        <item m="1" x="33"/>
        <item m="1" x="65"/>
        <item m="1" x="51"/>
        <item m="1" x="59"/>
        <item m="1" x="42"/>
        <item m="1" x="26"/>
        <item m="1" x="46"/>
        <item m="1" x="24"/>
        <item m="1" x="6"/>
        <item m="1" x="5"/>
        <item h="1" x="0"/>
        <item h="1" x="1"/>
        <item m="1" x="10"/>
        <item m="1" x="75"/>
        <item m="1" x="77"/>
        <item m="1" x="35"/>
        <item m="1" x="73"/>
        <item m="1" x="32"/>
        <item m="1" x="71"/>
        <item m="1" x="38"/>
        <item m="1" x="9"/>
        <item m="1" x="13"/>
        <item m="1" x="74"/>
        <item m="1" x="49"/>
        <item m="1" x="43"/>
        <item m="1" x="3"/>
        <item m="1" x="12"/>
        <item m="1" x="58"/>
        <item m="1" x="40"/>
        <item m="1" x="63"/>
        <item m="1" x="55"/>
        <item m="1" x="16"/>
        <item m="1" x="62"/>
        <item m="1" x="11"/>
        <item m="1" x="29"/>
        <item m="1" x="17"/>
        <item m="1" x="45"/>
        <item m="1" x="56"/>
        <item m="1" x="47"/>
        <item m="1" x="25"/>
        <item m="1" x="28"/>
        <item m="1" x="57"/>
        <item m="1" x="30"/>
        <item m="1" x="15"/>
        <item m="1" x="48"/>
        <item m="1" x="31"/>
        <item m="1" x="7"/>
        <item m="1" x="69"/>
        <item m="1" x="70"/>
        <item m="1" x="39"/>
        <item m="1" x="14"/>
        <item m="1" x="78"/>
        <item m="1" x="50"/>
        <item m="1" x="61"/>
        <item m="1" x="41"/>
        <item m="1" x="76"/>
        <item m="1" x="18"/>
        <item m="1" x="64"/>
        <item m="1" x="72"/>
        <item m="1" x="22"/>
        <item m="1" x="8"/>
        <item m="1" x="68"/>
        <item m="1" x="27"/>
        <item m="1" x="37"/>
        <item m="1" x="44"/>
        <item m="1" x="4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3" hier="-1"/>
  </pageFields>
  <dataFields count="4">
    <dataField name="Min de Nbr de j hospi_RV" fld="63" subtotal="min" baseField="9" baseItem="2"/>
    <dataField name="Moyenne de Nbr de j hospi" fld="63" subtotal="average" baseField="9" baseItem="1" numFmtId="4"/>
    <dataField name="Max de Nbr de j hospi_RV2" fld="63" subtotal="max" baseField="9" baseItem="2"/>
    <dataField name="Écartype de Nbr de j hospi" fld="63" subtotal="stdDev" baseField="9" baseItem="1" numFmtId="4"/>
  </dataFields>
  <chartFormats count="4">
    <chartFormat chart="1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0.xml><?xml version="1.0" encoding="utf-8"?>
<pivotTableDefinition xmlns="http://schemas.openxmlformats.org/spreadsheetml/2006/main" name="Tableau croisé dynamique5" cacheId="30" dataOnRows="1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20" fieldListSortAscending="1">
  <location ref="A10:B11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includeNewItemsInFilter="1" defaultSubtotal="0">
      <items count="3">
        <item x="0"/>
        <item m="1" x="2"/>
        <item h="1"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1"/>
  </rowFields>
  <rowItems count="1">
    <i t="grand">
      <x/>
    </i>
  </rowItems>
  <colItems count="1">
    <i/>
  </colItems>
  <pageFields count="1">
    <pageField fld="11" hier="-1"/>
  </pageFields>
  <dataFields count="1">
    <dataField name="Nombre de Révision &lt; 24h" fld="61" subtotal="count" showDataAs="percentOfCol" baseField="53" baseItem="1" numFmtId="9"/>
  </dataFields>
  <formats count="6">
    <format dxfId="531">
      <pivotArea type="all" dataOnly="0" outline="0" fieldPosition="0"/>
    </format>
    <format dxfId="530">
      <pivotArea field="11" type="button" dataOnly="0" labelOnly="1" outline="0" axis="axisPage" fieldPosition="0"/>
    </format>
    <format dxfId="529">
      <pivotArea dataOnly="0" labelOnly="1" outline="0" fieldPosition="0">
        <references count="1">
          <reference field="11" count="0"/>
        </references>
      </pivotArea>
    </format>
    <format dxfId="528">
      <pivotArea field="61" type="button" dataOnly="0" labelOnly="1" outline="0" axis="axisRow" fieldPosition="0"/>
    </format>
    <format dxfId="527">
      <pivotArea dataOnly="0" labelOnly="1" outline="0" axis="axisValues" fieldPosition="0"/>
    </format>
    <format dxfId="526">
      <pivotArea outline="0" collapsedLevelsAreSubtotals="1" fieldPosition="0"/>
    </format>
  </formats>
  <chartFormats count="3">
    <chartFormat chart="1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1.xml><?xml version="1.0" encoding="utf-8"?>
<pivotTableDefinition xmlns="http://schemas.openxmlformats.org/spreadsheetml/2006/main" name="Tableau croisé dynamique3" cacheId="30" dataOnRows="1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6" fieldListSortAscending="1">
  <location ref="D3:E5" firstHeaderRow="1" firstDataRow="2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n="avril"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includeNewItemsInFilter="1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1"/>
  </colFields>
  <colItems count="1">
    <i t="grand">
      <x/>
    </i>
  </colItems>
  <dataFields count="1">
    <dataField name="Nombre de Révision &lt; 24h_RV" fld="61" subtotal="count" baseField="0" baseItem="0"/>
  </dataFields>
  <formats count="7">
    <format dxfId="538">
      <pivotArea type="all" dataOnly="0" outline="0" fieldPosition="0"/>
    </format>
    <format dxfId="537">
      <pivotArea type="origin" dataOnly="0" labelOnly="1" outline="0" fieldPosition="0"/>
    </format>
    <format dxfId="536">
      <pivotArea field="11" type="button" dataOnly="0" labelOnly="1" outline="0" axis="axisRow" fieldPosition="0"/>
    </format>
    <format dxfId="535">
      <pivotArea field="61" type="button" dataOnly="0" labelOnly="1" outline="0" axis="axisCol" fieldPosition="0"/>
    </format>
    <format dxfId="534">
      <pivotArea type="topRight" dataOnly="0" labelOnly="1" outline="0" fieldPosition="0"/>
    </format>
    <format dxfId="533">
      <pivotArea dataOnly="0" labelOnly="1" fieldPosition="0">
        <references count="1">
          <reference field="61" count="2">
            <x v="0"/>
            <x v="1"/>
          </reference>
        </references>
      </pivotArea>
    </format>
    <format dxfId="532">
      <pivotArea dataOnly="0" labelOnly="1" grandCol="1" outline="0" fieldPosition="0"/>
    </format>
  </formats>
  <chartFormats count="13">
    <chartFormat chart="14" format="8" series="1">
      <pivotArea type="data" outline="0" fieldPosition="0">
        <references count="2">
          <reference field="4294967294" count="1" selected="0">
            <x v="0"/>
          </reference>
          <reference field="61" count="1" selected="0">
            <x v="0"/>
          </reference>
        </references>
      </pivotArea>
    </chartFormat>
    <chartFormat chart="14" format="9" series="1">
      <pivotArea type="data" outline="0" fieldPosition="0">
        <references count="2">
          <reference field="4294967294" count="1" selected="0">
            <x v="0"/>
          </reference>
          <reference field="61" count="1" selected="0">
            <x v="1"/>
          </reference>
        </references>
      </pivotArea>
    </chartFormat>
    <chartFormat chart="14" format="10">
      <pivotArea type="data" outline="0" fieldPosition="0">
        <references count="3">
          <reference field="4294967294" count="1" selected="0">
            <x v="0"/>
          </reference>
          <reference field="11" count="1" selected="0">
            <x v="1"/>
          </reference>
          <reference field="61" count="1" selected="0">
            <x v="1"/>
          </reference>
        </references>
      </pivotArea>
    </chartFormat>
    <chartFormat chart="14" format="11">
      <pivotArea type="data" outline="0" fieldPosition="0">
        <references count="3">
          <reference field="4294967294" count="1" selected="0">
            <x v="0"/>
          </reference>
          <reference field="11" count="1" selected="0">
            <x v="1"/>
          </reference>
          <reference field="61" count="1" selected="0">
            <x v="0"/>
          </reference>
        </references>
      </pivotArea>
    </chartFormat>
    <chartFormat chart="14" format="12">
      <pivotArea type="data" outline="0" fieldPosition="0">
        <references count="3">
          <reference field="4294967294" count="1" selected="0">
            <x v="0"/>
          </reference>
          <reference field="11" count="1" selected="0">
            <x v="2"/>
          </reference>
          <reference field="61" count="1" selected="0">
            <x v="0"/>
          </reference>
        </references>
      </pivotArea>
    </chartFormat>
    <chartFormat chart="14" format="13">
      <pivotArea type="data" outline="0" fieldPosition="0">
        <references count="3">
          <reference field="4294967294" count="1" selected="0">
            <x v="0"/>
          </reference>
          <reference field="11" count="1" selected="0">
            <x v="2"/>
          </reference>
          <reference field="61" count="1" selected="0">
            <x v="1"/>
          </reference>
        </references>
      </pivotArea>
    </chartFormat>
    <chartFormat chart="14" format="13">
      <pivotArea type="data" outline="0" fieldPosition="0">
        <references count="3">
          <reference field="4294967294" count="1" selected="0">
            <x v="0"/>
          </reference>
          <reference field="11" count="1" selected="0">
            <x v="2"/>
          </reference>
          <reference field="61" count="1" selected="0">
            <x v="1"/>
          </reference>
        </references>
      </pivotArea>
    </chartFormat>
    <chartFormat chart="14" format="14">
      <pivotArea type="data" outline="0" fieldPosition="0">
        <references count="3">
          <reference field="4294967294" count="1" selected="0">
            <x v="0"/>
          </reference>
          <reference field="11" count="1" selected="0">
            <x v="3"/>
          </reference>
          <reference field="61" count="1" selected="0">
            <x v="1"/>
          </reference>
        </references>
      </pivotArea>
    </chartFormat>
    <chartFormat chart="14" format="15">
      <pivotArea type="data" outline="0" fieldPosition="0">
        <references count="3">
          <reference field="4294967294" count="1" selected="0">
            <x v="0"/>
          </reference>
          <reference field="11" count="1" selected="0">
            <x v="3"/>
          </reference>
          <reference field="61" count="1" selected="0">
            <x v="0"/>
          </reference>
        </references>
      </pivotArea>
    </chartFormat>
    <chartFormat chart="14" format="16">
      <pivotArea type="data" outline="0" fieldPosition="0">
        <references count="3">
          <reference field="4294967294" count="1" selected="0">
            <x v="0"/>
          </reference>
          <reference field="11" count="1" selected="0">
            <x v="4"/>
          </reference>
          <reference field="61" count="1" selected="0">
            <x v="1"/>
          </reference>
        </references>
      </pivotArea>
    </chartFormat>
    <chartFormat chart="14" format="17">
      <pivotArea type="data" outline="0" fieldPosition="0">
        <references count="3">
          <reference field="4294967294" count="1" selected="0">
            <x v="0"/>
          </reference>
          <reference field="11" count="1" selected="0">
            <x v="4"/>
          </reference>
          <reference field="61" count="1" selected="0">
            <x v="0"/>
          </reference>
        </references>
      </pivotArea>
    </chartFormat>
    <chartFormat chart="14" format="18" series="1">
      <pivotArea type="data" outline="0" fieldPosition="0">
        <references count="2">
          <reference field="4294967294" count="1" selected="0">
            <x v="0"/>
          </reference>
          <reference field="61" count="1" selected="0">
            <x v="2"/>
          </reference>
        </references>
      </pivotArea>
    </chartFormat>
    <chartFormat chart="14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2.xml><?xml version="1.0" encoding="utf-8"?>
<pivotTableDefinition xmlns="http://schemas.openxmlformats.org/spreadsheetml/2006/main" name="Tableau croisé dynamique2" cacheId="30" dataOnRows="1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66" fieldListSortAscending="1">
  <location ref="A3:B4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includeNewItemsInFilter="1" defaultSubtotal="0">
      <items count="3">
        <item x="0"/>
        <item m="1" x="2"/>
        <item h="1"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1"/>
  </rowFields>
  <rowItems count="1">
    <i t="grand">
      <x/>
    </i>
  </rowItems>
  <colItems count="1">
    <i/>
  </colItems>
  <pageFields count="1">
    <pageField fld="11" hier="-1"/>
  </pageFields>
  <dataFields count="1">
    <dataField name="Nombre de Révision &lt; 24h" fld="61" subtotal="count" baseField="53" baseItem="0"/>
  </dataFields>
  <formats count="5">
    <format dxfId="543">
      <pivotArea type="all" dataOnly="0" outline="0" fieldPosition="0"/>
    </format>
    <format dxfId="542">
      <pivotArea field="11" type="button" dataOnly="0" labelOnly="1" outline="0" axis="axisPage" fieldPosition="0"/>
    </format>
    <format dxfId="541">
      <pivotArea dataOnly="0" labelOnly="1" outline="0" fieldPosition="0">
        <references count="1">
          <reference field="11" count="0"/>
        </references>
      </pivotArea>
    </format>
    <format dxfId="540">
      <pivotArea field="61" type="button" dataOnly="0" labelOnly="1" outline="0" axis="axisRow" fieldPosition="0"/>
    </format>
    <format dxfId="539">
      <pivotArea dataOnly="0" labelOnly="1" outline="0" axis="axisValues" fieldPosition="0"/>
    </format>
  </formats>
  <chartFormats count="6">
    <chartFormat chart="1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3">
      <pivotArea type="data" outline="0" fieldPosition="0">
        <references count="2">
          <reference field="4294967294" count="1" selected="0">
            <x v="0"/>
          </reference>
          <reference field="61" count="1" selected="0">
            <x v="1"/>
          </reference>
        </references>
      </pivotArea>
    </chartFormat>
    <chartFormat chart="14" format="3">
      <pivotArea type="data" outline="0" fieldPosition="0">
        <references count="2">
          <reference field="4294967294" count="1" selected="0">
            <x v="0"/>
          </reference>
          <reference field="61" count="1" selected="0">
            <x v="1"/>
          </reference>
        </references>
      </pivotArea>
    </chartFormat>
    <chartFormat chart="14" format="4">
      <pivotArea type="data" outline="0" fieldPosition="0">
        <references count="2">
          <reference field="4294967294" count="1" selected="0">
            <x v="0"/>
          </reference>
          <reference field="61" count="1" selected="0">
            <x v="0"/>
          </reference>
        </references>
      </pivotArea>
    </chartFormat>
    <chartFormat chart="48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9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3.xml><?xml version="1.0" encoding="utf-8"?>
<pivotTableDefinition xmlns="http://schemas.openxmlformats.org/spreadsheetml/2006/main" name="Tableau croisé dynamique1" cacheId="30" dataOnRows="1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66" fieldListSortAscending="1">
  <location ref="A6:B7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Row" multipleItemSelectionAllowed="1" showAll="0">
      <items count="6">
        <item x="0"/>
        <item m="1" x="3"/>
        <item m="1" x="4"/>
        <item m="1" x="2"/>
        <item m="1" x="1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includeNewItemsInFilter="1" defaultSubtotal="0">
      <items count="3">
        <item m="1" x="2"/>
        <item h="1" x="1"/>
        <item sd="0"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2">
    <field x="62"/>
    <field x="45"/>
  </rowFields>
  <rowItems count="1">
    <i t="grand">
      <x/>
    </i>
  </rowItems>
  <colItems count="1">
    <i/>
  </colItems>
  <pageFields count="1">
    <pageField fld="11" hier="-1"/>
  </pageFields>
  <dataFields count="1">
    <dataField name="Nombre de Réhosp.&lt; 30 j_RV" fld="62" subtotal="count" baseField="0" baseItem="0"/>
  </dataFields>
  <formats count="5">
    <format dxfId="509">
      <pivotArea type="all" dataOnly="0" outline="0" fieldPosition="0"/>
    </format>
    <format dxfId="508">
      <pivotArea field="11" type="button" dataOnly="0" labelOnly="1" outline="0" axis="axisPage" fieldPosition="0"/>
    </format>
    <format dxfId="507">
      <pivotArea dataOnly="0" labelOnly="1" outline="0" fieldPosition="0">
        <references count="1">
          <reference field="11" count="0"/>
        </references>
      </pivotArea>
    </format>
    <format dxfId="506">
      <pivotArea field="62" type="button" dataOnly="0" labelOnly="1" outline="0" axis="axisRow" fieldPosition="0"/>
    </format>
    <format dxfId="505">
      <pivotArea dataOnly="0" labelOnly="1" outline="0" axis="axisValues" fieldPosition="0"/>
    </format>
  </formats>
  <chartFormats count="11"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>
      <pivotArea type="data" outline="0" fieldPosition="0">
        <references count="2">
          <reference field="4294967294" count="1" selected="0">
            <x v="0"/>
          </reference>
          <reference field="62" count="1" selected="0">
            <x v="0"/>
          </reference>
        </references>
      </pivotArea>
    </chartFormat>
    <chartFormat chart="11" format="7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2"/>
          </reference>
        </references>
      </pivotArea>
    </chartFormat>
    <chartFormat chart="11" format="10">
      <pivotArea type="data" outline="0" fieldPosition="0">
        <references count="2">
          <reference field="4294967294" count="1" selected="0">
            <x v="0"/>
          </reference>
          <reference field="62" count="1" selected="0">
            <x v="2"/>
          </reference>
        </references>
      </pivotArea>
    </chartFormat>
    <chartFormat chart="11" format="11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1"/>
          </reference>
        </references>
      </pivotArea>
    </chartFormat>
    <chartFormat chart="11" format="30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0"/>
          </reference>
        </references>
      </pivotArea>
    </chartFormat>
    <chartFormat chart="11" format="31">
      <pivotArea type="data" outline="0" fieldPosition="0">
        <references count="3">
          <reference field="4294967294" count="1" selected="0">
            <x v="0"/>
          </reference>
          <reference field="45" count="1" selected="0">
            <x v="1"/>
          </reference>
          <reference field="62" count="1" selected="0">
            <x v="0"/>
          </reference>
        </references>
      </pivotArea>
    </chartFormat>
    <chartFormat chart="11" format="32">
      <pivotArea type="data" outline="0" fieldPosition="0">
        <references count="3">
          <reference field="4294967294" count="1" selected="0">
            <x v="0"/>
          </reference>
          <reference field="45" count="1" selected="0">
            <x v="2"/>
          </reference>
          <reference field="62" count="1" selected="0">
            <x v="0"/>
          </reference>
        </references>
      </pivotArea>
    </chartFormat>
    <chartFormat chart="11" format="34">
      <pivotArea type="data" outline="0" fieldPosition="0">
        <references count="3">
          <reference field="4294967294" count="1" selected="0">
            <x v="0"/>
          </reference>
          <reference field="45" count="1" selected="0">
            <x v="3"/>
          </reference>
          <reference field="62" count="1" selected="0">
            <x v="0"/>
          </reference>
        </references>
      </pivotArea>
    </chartFormat>
    <chartFormat chart="11" format="35">
      <pivotArea type="data" outline="0" fieldPosition="0">
        <references count="3">
          <reference field="4294967294" count="1" selected="0">
            <x v="0"/>
          </reference>
          <reference field="45" count="1" selected="0">
            <x v="4"/>
          </reference>
          <reference field="62" count="1" selected="0">
            <x v="0"/>
          </reference>
        </references>
      </pivotArea>
    </chartFormat>
    <chartFormat chart="11" format="39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4.xml><?xml version="1.0" encoding="utf-8"?>
<pivotTableDefinition xmlns="http://schemas.openxmlformats.org/spreadsheetml/2006/main" name="Tableau croisé dynamique6" cacheId="30" dataOnRows="1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4" fieldListSortAscending="1">
  <location ref="A16:B17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Row" multipleItemSelectionAllowed="1" showAll="0">
      <items count="6">
        <item x="0"/>
        <item m="1" x="3"/>
        <item m="1" x="4"/>
        <item m="1" x="2"/>
        <item m="1" x="1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includeNewItemsInFilter="1" defaultSubtotal="0">
      <items count="3">
        <item m="1" x="2"/>
        <item h="1" x="1"/>
        <item sd="0"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2">
    <field x="62"/>
    <field x="45"/>
  </rowFields>
  <rowItems count="1">
    <i t="grand">
      <x/>
    </i>
  </rowItems>
  <colItems count="1">
    <i/>
  </colItems>
  <pageFields count="1">
    <pageField fld="11" hier="-1"/>
  </pageFields>
  <dataFields count="1">
    <dataField name="Nombre de Réhosp.&lt; 30 j_RV" fld="62" subtotal="count" showDataAs="percentOfCol" baseField="35" baseItem="0" numFmtId="10"/>
  </dataFields>
  <formats count="5">
    <format dxfId="514">
      <pivotArea type="all" dataOnly="0" outline="0" fieldPosition="0"/>
    </format>
    <format dxfId="513">
      <pivotArea field="11" type="button" dataOnly="0" labelOnly="1" outline="0" axis="axisPage" fieldPosition="0"/>
    </format>
    <format dxfId="512">
      <pivotArea dataOnly="0" labelOnly="1" outline="0" fieldPosition="0">
        <references count="1">
          <reference field="11" count="0"/>
        </references>
      </pivotArea>
    </format>
    <format dxfId="511">
      <pivotArea field="62" type="button" dataOnly="0" labelOnly="1" outline="0" axis="axisRow" fieldPosition="0"/>
    </format>
    <format dxfId="510">
      <pivotArea dataOnly="0" labelOnly="1" outline="0" axis="axisValues" fieldPosition="0"/>
    </format>
  </formats>
  <chartFormats count="4"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>
      <pivotArea type="data" outline="0" fieldPosition="0">
        <references count="2">
          <reference field="4294967294" count="1" selected="0">
            <x v="0"/>
          </reference>
          <reference field="62" count="1" selected="0">
            <x v="0"/>
          </reference>
        </references>
      </pivotArea>
    </chartFormat>
    <chartFormat chart="11" format="7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2"/>
          </reference>
        </references>
      </pivotArea>
    </chartFormat>
    <chartFormat chart="1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5.xml><?xml version="1.0" encoding="utf-8"?>
<pivotTableDefinition xmlns="http://schemas.openxmlformats.org/spreadsheetml/2006/main" name="Tableau croisé dynamique4" cacheId="30" dataOnRows="1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2" fieldListSortAscending="1">
  <location ref="E5:F8" firstHeaderRow="1" firstDataRow="3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Col" showAll="0" includeNewItemsInFilter="1">
      <items count="6">
        <item x="0"/>
        <item m="1" x="3"/>
        <item m="1" x="4"/>
        <item m="1" x="2"/>
        <item m="1" x="1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includeNewItemsInFilter="1" defaultSubtotal="0">
      <items count="3">
        <item m="1" x="2"/>
        <item x="1"/>
        <item sd="0"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2">
    <field x="62"/>
    <field x="45"/>
  </colFields>
  <colItems count="1">
    <i t="grand">
      <x/>
    </i>
  </colItems>
  <dataFields count="1">
    <dataField name="Nombre de Réhosp.&lt; 30 j_RV" fld="62" subtotal="count" baseField="0" baseItem="0"/>
  </dataFields>
  <formats count="11">
    <format dxfId="525">
      <pivotArea field="62" type="button" dataOnly="0" labelOnly="1" outline="0" axis="axisCol" fieldPosition="0"/>
    </format>
    <format dxfId="524">
      <pivotArea field="45" type="button" dataOnly="0" labelOnly="1" outline="0" axis="axisCol" fieldPosition="1"/>
    </format>
    <format dxfId="523">
      <pivotArea dataOnly="0" labelOnly="1" fieldPosition="0">
        <references count="1">
          <reference field="62" count="1">
            <x v="0"/>
          </reference>
        </references>
      </pivotArea>
    </format>
    <format dxfId="522">
      <pivotArea type="all" dataOnly="0" outline="0" fieldPosition="0"/>
    </format>
    <format dxfId="521">
      <pivotArea type="origin" dataOnly="0" labelOnly="1" outline="0" fieldPosition="0"/>
    </format>
    <format dxfId="520">
      <pivotArea field="11" type="button" dataOnly="0" labelOnly="1" outline="0" axis="axisRow" fieldPosition="0"/>
    </format>
    <format dxfId="519">
      <pivotArea field="62" type="button" dataOnly="0" labelOnly="1" outline="0" axis="axisCol" fieldPosition="0"/>
    </format>
    <format dxfId="518">
      <pivotArea field="45" type="button" dataOnly="0" labelOnly="1" outline="0" axis="axisCol" fieldPosition="1"/>
    </format>
    <format dxfId="517">
      <pivotArea type="topRight" dataOnly="0" labelOnly="1" outline="0" fieldPosition="0"/>
    </format>
    <format dxfId="516">
      <pivotArea dataOnly="0" labelOnly="1" fieldPosition="0">
        <references count="1">
          <reference field="62" count="2">
            <x v="0"/>
            <x v="2"/>
          </reference>
        </references>
      </pivotArea>
    </format>
    <format dxfId="515">
      <pivotArea dataOnly="0" labelOnly="1" grandCol="1" outline="0" fieldPosition="0"/>
    </format>
  </formats>
  <chartFormats count="9">
    <chartFormat chart="11" format="19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2"/>
          </reference>
        </references>
      </pivotArea>
    </chartFormat>
    <chartFormat chart="11" format="20" series="1">
      <pivotArea type="data" outline="0" fieldPosition="0">
        <references count="2">
          <reference field="4294967294" count="1" selected="0">
            <x v="0"/>
          </reference>
          <reference field="62" count="1" selected="0">
            <x v="2"/>
          </reference>
        </references>
      </pivotArea>
    </chartFormat>
    <chartFormat chart="11" format="21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1"/>
          </reference>
        </references>
      </pivotArea>
    </chartFormat>
    <chartFormat chart="11" format="46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0"/>
          </reference>
        </references>
      </pivotArea>
    </chartFormat>
    <chartFormat chart="11" format="47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1"/>
          </reference>
          <reference field="62" count="1" selected="0">
            <x v="0"/>
          </reference>
        </references>
      </pivotArea>
    </chartFormat>
    <chartFormat chart="11" format="48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2"/>
          </reference>
          <reference field="62" count="1" selected="0">
            <x v="0"/>
          </reference>
        </references>
      </pivotArea>
    </chartFormat>
    <chartFormat chart="11" format="50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3"/>
          </reference>
          <reference field="62" count="1" selected="0">
            <x v="0"/>
          </reference>
        </references>
      </pivotArea>
    </chartFormat>
    <chartFormat chart="11" format="51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4"/>
          </reference>
          <reference field="62" count="1" selected="0">
            <x v="0"/>
          </reference>
        </references>
      </pivotArea>
    </chartFormat>
    <chartFormat chart="11" format="5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6.xml><?xml version="1.0" encoding="utf-8"?>
<pivotTableDefinition xmlns="http://schemas.openxmlformats.org/spreadsheetml/2006/main" name="Tableau croisé dynamique4" cacheId="30" dataOnRows="1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2" fieldListSortAscending="1">
  <location ref="E6:F8" firstHeaderRow="1" firstDataRow="2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Col" showAll="0" includeNewItemsInFilter="1">
      <items count="6">
        <item x="0"/>
        <item h="1" m="1" x="3"/>
        <item h="1" m="1" x="4"/>
        <item h="1" m="1" x="2"/>
        <item h="1" m="1" x="1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45"/>
  </colFields>
  <colItems count="1">
    <i t="grand">
      <x/>
    </i>
  </colItems>
  <dataFields count="1">
    <dataField name="Nombre de Réhosp.&lt; 30 j_RV" fld="62" subtotal="count" showDataAs="percentOfRow" baseField="9" baseItem="3" numFmtId="9"/>
  </dataFields>
  <formats count="15">
    <format dxfId="485">
      <pivotArea type="all" dataOnly="0" outline="0" fieldPosition="0"/>
    </format>
    <format dxfId="484">
      <pivotArea type="origin" dataOnly="0" labelOnly="1" outline="0" fieldPosition="0"/>
    </format>
    <format dxfId="483">
      <pivotArea field="11" type="button" dataOnly="0" labelOnly="1" outline="0" axis="axisRow" fieldPosition="0"/>
    </format>
    <format dxfId="482">
      <pivotArea field="45" type="button" dataOnly="0" labelOnly="1" outline="0" axis="axisCol" fieldPosition="0"/>
    </format>
    <format dxfId="481">
      <pivotArea type="topRight" dataOnly="0" labelOnly="1" outline="0" fieldPosition="0"/>
    </format>
    <format dxfId="480">
      <pivotArea dataOnly="0" labelOnly="1" fieldPosition="0">
        <references count="1">
          <reference field="45" count="0"/>
        </references>
      </pivotArea>
    </format>
    <format dxfId="479">
      <pivotArea dataOnly="0" labelOnly="1" grandCol="1" outline="0" fieldPosition="0"/>
    </format>
    <format dxfId="478">
      <pivotArea type="origin" dataOnly="0" labelOnly="1" outline="0" fieldPosition="0"/>
    </format>
    <format dxfId="477">
      <pivotArea field="11" type="button" dataOnly="0" labelOnly="1" outline="0" axis="axisRow" fieldPosition="0"/>
    </format>
    <format dxfId="476">
      <pivotArea field="45" type="button" dataOnly="0" labelOnly="1" outline="0" axis="axisCol" fieldPosition="0"/>
    </format>
    <format dxfId="475">
      <pivotArea type="topRight" dataOnly="0" labelOnly="1" outline="0" fieldPosition="0"/>
    </format>
    <format dxfId="474">
      <pivotArea dataOnly="0" labelOnly="1" fieldPosition="0">
        <references count="1">
          <reference field="45" count="0"/>
        </references>
      </pivotArea>
    </format>
    <format dxfId="473">
      <pivotArea dataOnly="0" labelOnly="1" grandCol="1" outline="0" fieldPosition="0"/>
    </format>
    <format dxfId="472">
      <pivotArea outline="0" collapsedLevelsAreSubtotals="1" fieldPosition="0">
        <references count="1">
          <reference field="45" count="1" selected="0">
            <x v="0"/>
          </reference>
        </references>
      </pivotArea>
    </format>
    <format dxfId="471">
      <pivotArea outline="0" collapsedLevelsAreSubtotals="1" fieldPosition="0"/>
    </format>
  </formats>
  <pivotTableStyleInfo name="PivotStyleMedium3" showRowHeaders="1" showColHeaders="1" showRowStripes="1" showColStripes="1" showLastColumn="1"/>
</pivotTableDefinition>
</file>

<file path=xl/pivotTables/pivotTable37.xml><?xml version="1.0" encoding="utf-8"?>
<pivotTableDefinition xmlns="http://schemas.openxmlformats.org/spreadsheetml/2006/main" name="Tableau croisé dynamique1" cacheId="30" dataOnRows="1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2" fieldListSortAscending="1">
  <location ref="A7:B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Page" multipleItemSelectionAllowed="1" showAll="0">
      <items count="6">
        <item x="0"/>
        <item m="1" x="3"/>
        <item m="1" x="4"/>
        <item m="1" x="2"/>
        <item m="1" x="1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2"/>
  </rowFields>
  <rowItems count="1">
    <i t="grand">
      <x/>
    </i>
  </rowItems>
  <colItems count="1">
    <i/>
  </colItems>
  <pageFields count="2">
    <pageField fld="11" hier="-1"/>
    <pageField fld="45" hier="-1"/>
  </pageFields>
  <dataFields count="1">
    <dataField name="Nombre de Réhosp.&lt; 30 j" fld="62" subtotal="count" showDataAs="percentOfCol" baseField="54" baseItem="0" numFmtId="10"/>
  </dataFields>
  <formats count="19">
    <format dxfId="504">
      <pivotArea field="11" type="button" dataOnly="0" labelOnly="1" outline="0" axis="axisPage" fieldPosition="0"/>
    </format>
    <format dxfId="503">
      <pivotArea dataOnly="0" labelOnly="1" outline="0" fieldPosition="0">
        <references count="1">
          <reference field="11" count="0"/>
        </references>
      </pivotArea>
    </format>
    <format dxfId="502">
      <pivotArea field="45" type="button" dataOnly="0" labelOnly="1" outline="0" axis="axisPage" fieldPosition="1"/>
    </format>
    <format dxfId="501">
      <pivotArea dataOnly="0" labelOnly="1" outline="0" fieldPosition="0">
        <references count="1">
          <reference field="45" count="0"/>
        </references>
      </pivotArea>
    </format>
    <format dxfId="500">
      <pivotArea type="all" dataOnly="0" outline="0" fieldPosition="0"/>
    </format>
    <format dxfId="499">
      <pivotArea field="62" type="button" dataOnly="0" labelOnly="1" outline="0" axis="axisRow" fieldPosition="0"/>
    </format>
    <format dxfId="498">
      <pivotArea dataOnly="0" labelOnly="1" outline="0" axis="axisValues" fieldPosition="0"/>
    </format>
    <format dxfId="497">
      <pivotArea field="11" type="button" dataOnly="0" labelOnly="1" outline="0" axis="axisPage" fieldPosition="0"/>
    </format>
    <format dxfId="496">
      <pivotArea dataOnly="0" labelOnly="1" outline="0" fieldPosition="0">
        <references count="1">
          <reference field="11" count="0"/>
        </references>
      </pivotArea>
    </format>
    <format dxfId="495">
      <pivotArea field="45" type="button" dataOnly="0" labelOnly="1" outline="0" axis="axisPage" fieldPosition="1"/>
    </format>
    <format dxfId="494">
      <pivotArea dataOnly="0" labelOnly="1" outline="0" fieldPosition="0">
        <references count="1">
          <reference field="45" count="0"/>
        </references>
      </pivotArea>
    </format>
    <format dxfId="493">
      <pivotArea field="62" type="button" dataOnly="0" labelOnly="1" outline="0" axis="axisRow" fieldPosition="0"/>
    </format>
    <format dxfId="492">
      <pivotArea dataOnly="0" labelOnly="1" outline="0" axis="axisValues" fieldPosition="0"/>
    </format>
    <format dxfId="491">
      <pivotArea field="11" type="button" dataOnly="0" labelOnly="1" outline="0" axis="axisPage" fieldPosition="0"/>
    </format>
    <format dxfId="490">
      <pivotArea dataOnly="0" labelOnly="1" outline="0" fieldPosition="0">
        <references count="1">
          <reference field="11" count="0"/>
        </references>
      </pivotArea>
    </format>
    <format dxfId="489">
      <pivotArea field="45" type="button" dataOnly="0" labelOnly="1" outline="0" axis="axisPage" fieldPosition="1"/>
    </format>
    <format dxfId="488">
      <pivotArea dataOnly="0" labelOnly="1" outline="0" fieldPosition="0">
        <references count="1">
          <reference field="45" count="0"/>
        </references>
      </pivotArea>
    </format>
    <format dxfId="487">
      <pivotArea field="62" type="button" dataOnly="0" labelOnly="1" outline="0" axis="axisRow" fieldPosition="0"/>
    </format>
    <format dxfId="486">
      <pivotArea dataOnly="0" labelOnly="1" outline="0" axis="axisValues" fieldPosition="0"/>
    </format>
  </formats>
  <pivotTableStyleInfo name="PivotStyleMedium3" showRowHeaders="1" showColHeaders="1" showRowStripes="1" showColStripes="1" showLastColumn="1"/>
</pivotTableDefinition>
</file>

<file path=xl/pivotTables/pivotTable38.xml><?xml version="1.0" encoding="utf-8"?>
<pivotTableDefinition xmlns="http://schemas.openxmlformats.org/spreadsheetml/2006/main" name="Tableau croisé dynamique4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7" fieldListSortAscending="1">
  <location ref="I3:J5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12"/>
        <item m="1" x="8"/>
        <item x="0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58"/>
  </colFields>
  <colItems count="1">
    <i t="grand">
      <x/>
    </i>
  </colItems>
  <pageFields count="1">
    <pageField fld="14" hier="-1"/>
  </pageFields>
  <dataFields count="1">
    <dataField name="Nombre de Inf p.op_RV6" fld="58" subtotal="count" showDataAs="percentOfRow" baseField="11" baseItem="4" numFmtId="10"/>
  </dataFields>
  <formats count="10">
    <format dxfId="455">
      <pivotArea type="all" dataOnly="0" outline="0" fieldPosition="0"/>
    </format>
    <format dxfId="454">
      <pivotArea type="all" dataOnly="0" outline="0" fieldPosition="0"/>
    </format>
    <format dxfId="453">
      <pivotArea type="origin" dataOnly="0" labelOnly="1" outline="0" fieldPosition="0"/>
    </format>
    <format dxfId="452">
      <pivotArea field="11" type="button" dataOnly="0" labelOnly="1" outline="0" axis="axisRow" fieldPosition="0"/>
    </format>
    <format dxfId="451">
      <pivotArea type="topRight" dataOnly="0" labelOnly="1" outline="0" fieldPosition="0"/>
    </format>
    <format dxfId="450">
      <pivotArea dataOnly="0" labelOnly="1" grandCol="1" outline="0" fieldPosition="0"/>
    </format>
    <format dxfId="449">
      <pivotArea grandRow="1" grandCol="1" outline="0" collapsedLevelsAreSubtotals="1" fieldPosition="0"/>
    </format>
    <format dxfId="448">
      <pivotArea outline="0" collapsedLevelsAreSubtotals="1" fieldPosition="0"/>
    </format>
    <format dxfId="447">
      <pivotArea outline="0" fieldPosition="0">
        <references count="1">
          <reference field="4294967294" count="1">
            <x v="0"/>
          </reference>
        </references>
      </pivotArea>
    </format>
    <format dxfId="446">
      <pivotArea dataOnly="0" labelOnly="1" fieldPosition="0">
        <references count="1">
          <reference field="58" count="2">
            <x v="0"/>
            <x v="1"/>
          </reference>
        </references>
      </pivotArea>
    </format>
  </formats>
  <chartFormats count="3">
    <chartFormat chart="16" format="12" series="1">
      <pivotArea type="data" outline="0" fieldPosition="0">
        <references count="2">
          <reference field="4294967294" count="1" selected="0">
            <x v="0"/>
          </reference>
          <reference field="58" count="1" selected="0">
            <x v="0"/>
          </reference>
        </references>
      </pivotArea>
    </chartFormat>
    <chartFormat chart="16" format="13" series="1">
      <pivotArea type="data" outline="0" fieldPosition="0">
        <references count="2">
          <reference field="4294967294" count="1" selected="0">
            <x v="0"/>
          </reference>
          <reference field="58" count="1" selected="0">
            <x v="1"/>
          </reference>
        </references>
      </pivotArea>
    </chartFormat>
    <chartFormat chart="16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9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6" fieldListSortAscending="1">
  <location ref="D7:E9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58"/>
  </colFields>
  <colItems count="1">
    <i t="grand">
      <x/>
    </i>
  </colItems>
  <pageFields count="1">
    <pageField fld="14" hier="-1"/>
  </pageFields>
  <dataFields count="1">
    <dataField name="Nombre de Inf p.op_RV6" fld="58" subtotal="count" baseField="0" baseItem="0"/>
  </dataFields>
  <formats count="15">
    <format dxfId="470">
      <pivotArea field="14" type="button" dataOnly="0" labelOnly="1" outline="0" axis="axisPage" fieldPosition="0"/>
    </format>
    <format dxfId="469">
      <pivotArea dataOnly="0" labelOnly="1" outline="0" fieldPosition="0">
        <references count="1">
          <reference field="14" count="0"/>
        </references>
      </pivotArea>
    </format>
    <format dxfId="468">
      <pivotArea field="14" type="button" dataOnly="0" labelOnly="1" outline="0" axis="axisPage" fieldPosition="0"/>
    </format>
    <format dxfId="467">
      <pivotArea dataOnly="0" labelOnly="1" outline="0" fieldPosition="0">
        <references count="1">
          <reference field="14" count="0"/>
        </references>
      </pivotArea>
    </format>
    <format dxfId="466">
      <pivotArea type="all" dataOnly="0" outline="0" fieldPosition="0"/>
    </format>
    <format dxfId="465">
      <pivotArea type="origin" dataOnly="0" labelOnly="1" outline="0" fieldPosition="0"/>
    </format>
    <format dxfId="464">
      <pivotArea field="11" type="button" dataOnly="0" labelOnly="1" outline="0" axis="axisRow" fieldPosition="0"/>
    </format>
    <format dxfId="463">
      <pivotArea type="topRight" dataOnly="0" labelOnly="1" outline="0" fieldPosition="0"/>
    </format>
    <format dxfId="462">
      <pivotArea dataOnly="0" labelOnly="1" grandCol="1" outline="0" fieldPosition="0"/>
    </format>
    <format dxfId="461">
      <pivotArea type="origin" dataOnly="0" labelOnly="1" outline="0" fieldPosition="0"/>
    </format>
    <format dxfId="460">
      <pivotArea field="11" type="button" dataOnly="0" labelOnly="1" outline="0" axis="axisRow" fieldPosition="0"/>
    </format>
    <format dxfId="459">
      <pivotArea type="topRight" dataOnly="0" labelOnly="1" outline="0" fieldPosition="0"/>
    </format>
    <format dxfId="458">
      <pivotArea dataOnly="0" labelOnly="1" grandCol="1" outline="0" fieldPosition="0"/>
    </format>
    <format dxfId="457">
      <pivotArea field="14" type="button" dataOnly="0" labelOnly="1" outline="0" axis="axisPage" fieldPosition="0"/>
    </format>
    <format dxfId="456">
      <pivotArea dataOnly="0" labelOnly="1" outline="0" fieldPosition="0">
        <references count="1">
          <reference field="14" count="0"/>
        </references>
      </pivotArea>
    </format>
  </formats>
  <chartFormats count="3">
    <chartFormat chart="14" format="39" series="1">
      <pivotArea type="data" outline="0" fieldPosition="0">
        <references count="2">
          <reference field="4294967294" count="1" selected="0">
            <x v="0"/>
          </reference>
          <reference field="58" count="1" selected="0">
            <x v="0"/>
          </reference>
        </references>
      </pivotArea>
    </chartFormat>
    <chartFormat chart="14" format="40" series="1">
      <pivotArea type="data" outline="0" fieldPosition="0">
        <references count="2">
          <reference field="4294967294" count="1" selected="0">
            <x v="0"/>
          </reference>
          <reference field="58" count="1" selected="0">
            <x v="1"/>
          </reference>
        </references>
      </pivotArea>
    </chartFormat>
    <chartFormat chart="14" format="4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40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6" fieldListSortAscending="1">
  <location ref="A4" firstHeaderRow="0" firstDataRow="0" firstDataCol="0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 sortType="ascending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pageFields count="1">
    <pageField fld="11" hier="-1"/>
  </pageFields>
  <pivotTableStyleInfo name="PivotStyleMedium3" showRowHeaders="1" showColHeaders="1" showRowStripes="1" showColStripes="1" showLastColumn="1"/>
</pivotTableDefinition>
</file>

<file path=xl/pivotTables/pivotTable41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5" fieldListSortAscending="1">
  <location ref="A22:A23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m="1" x="11"/>
        <item h="1" m="1" x="10"/>
        <item m="1" x="6"/>
        <item m="1" x="16"/>
        <item m="1" x="5"/>
        <item m="1" x="15"/>
        <item m="1" x="12"/>
        <item m="1" x="8"/>
        <item h="1" x="0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2">
    <pageField fld="58" hier="-1"/>
    <pageField fld="14" hier="-1"/>
  </pageFields>
  <formats count="7">
    <format dxfId="435">
      <pivotArea field="11" type="button" dataOnly="0" labelOnly="1" outline="0" axis="axisRow" fieldPosition="0"/>
    </format>
    <format dxfId="434">
      <pivotArea dataOnly="0" labelOnly="1" outline="0" axis="axisValues" fieldPosition="0"/>
    </format>
    <format dxfId="433">
      <pivotArea field="11" type="button" dataOnly="0" labelOnly="1" outline="0" axis="axisRow" fieldPosition="0"/>
    </format>
    <format dxfId="432">
      <pivotArea dataOnly="0" labelOnly="1" outline="0" axis="axisValues" fieldPosition="0"/>
    </format>
    <format dxfId="431">
      <pivotArea outline="0" collapsedLevelsAreSubtotals="1" fieldPosition="0"/>
    </format>
    <format dxfId="430">
      <pivotArea dataOnly="0" labelOnly="1" fieldPosition="0">
        <references count="1">
          <reference field="11" count="4">
            <x v="3"/>
            <x v="4"/>
            <x v="5"/>
            <x v="6"/>
          </reference>
        </references>
      </pivotArea>
    </format>
    <format dxfId="429">
      <pivotArea dataOnly="0" labelOnly="1" grandRow="1" outline="0" fieldPosition="0"/>
    </format>
  </formats>
  <pivotTableStyleInfo name="PivotStyleMedium3" showRowHeaders="1" showColHeaders="1" showRowStripes="1" showColStripes="1" showLastColumn="1"/>
</pivotTableDefinition>
</file>

<file path=xl/pivotTables/pivotTable42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64" fieldListSortAscending="1">
  <location ref="A6:B7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12"/>
        <item m="1" x="8"/>
        <item x="0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58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Inf p.op_RV6" fld="58" subtotal="count" showDataAs="percentOfCol" baseField="58" baseItem="0" numFmtId="9"/>
  </dataFields>
  <formats count="10">
    <format dxfId="445">
      <pivotArea field="11" type="button" dataOnly="0" labelOnly="1" outline="0" axis="axisPage" fieldPosition="0"/>
    </format>
    <format dxfId="444">
      <pivotArea dataOnly="0" labelOnly="1" outline="0" fieldPosition="0">
        <references count="1">
          <reference field="11" count="0"/>
        </references>
      </pivotArea>
    </format>
    <format dxfId="443">
      <pivotArea dataOnly="0" labelOnly="1" outline="0" axis="axisValues" fieldPosition="0"/>
    </format>
    <format dxfId="442">
      <pivotArea field="11" type="button" dataOnly="0" labelOnly="1" outline="0" axis="axisPage" fieldPosition="0"/>
    </format>
    <format dxfId="441">
      <pivotArea dataOnly="0" labelOnly="1" outline="0" fieldPosition="0">
        <references count="1">
          <reference field="11" count="0"/>
        </references>
      </pivotArea>
    </format>
    <format dxfId="440">
      <pivotArea dataOnly="0" labelOnly="1" outline="0" axis="axisValues" fieldPosition="0"/>
    </format>
    <format dxfId="439">
      <pivotArea outline="0" collapsedLevelsAreSubtotals="1" fieldPosition="0"/>
    </format>
    <format dxfId="438">
      <pivotArea dataOnly="0" labelOnly="1" grandRow="1" outline="0" fieldPosition="0"/>
    </format>
    <format dxfId="437">
      <pivotArea outline="0" fieldPosition="0">
        <references count="1">
          <reference field="4294967294" count="1">
            <x v="0"/>
          </reference>
        </references>
      </pivotArea>
    </format>
    <format dxfId="436">
      <pivotArea outline="0" collapsedLevelsAreSubtotals="1" fieldPosition="0"/>
    </format>
  </formats>
  <chartFormats count="1">
    <chartFormat chart="14" format="4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43.xml><?xml version="1.0" encoding="utf-8"?>
<pivotTableDefinition xmlns="http://schemas.openxmlformats.org/spreadsheetml/2006/main" name="Tableau croisé dynamique5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F7:G9" firstHeaderRow="1" firstDataRow="1" firstDataCol="1" rowPageCount="2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axis="axisPage" multipleItemSelectionAllowed="1" showAll="0">
      <items count="13">
        <item x="2"/>
        <item x="1"/>
        <item m="1" x="9"/>
        <item m="1" x="3"/>
        <item m="1" x="7"/>
        <item m="1" x="4"/>
        <item m="1" x="8"/>
        <item h="1" m="1" x="11"/>
        <item h="1" m="1" x="5"/>
        <item x="0"/>
        <item h="1" m="1" x="6"/>
        <item h="1" m="1" x="10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">
        <item m="1" x="2"/>
        <item m="1" x="3"/>
        <item x="1"/>
        <item x="0"/>
        <item t="default"/>
      </items>
    </pivotField>
    <pivotField showAll="0" defaultSubtotal="0"/>
    <pivotField showAll="0"/>
  </pivotFields>
  <rowFields count="1">
    <field x="72"/>
  </rowFields>
  <rowItems count="2">
    <i>
      <x v="3"/>
    </i>
    <i t="grand">
      <x/>
    </i>
  </rowItems>
  <colItems count="1">
    <i/>
  </colItems>
  <pageFields count="2">
    <pageField fld="14" hier="-1"/>
    <pageField fld="0" hier="-1"/>
  </pageFields>
  <dataFields count="1">
    <dataField name="Nombre de AVC_RV" fld="72" subtotal="count" showDataAs="percentOfTotal" baseField="0" baseItem="4" numFmtId="166"/>
  </dataFields>
  <formats count="1">
    <format dxfId="428">
      <pivotArea outline="0" collapsedLevelsAreSubtotals="1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7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72" count="1" selected="0">
            <x v="1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4.xml><?xml version="1.0" encoding="utf-8"?>
<pivotTableDefinition xmlns="http://schemas.openxmlformats.org/spreadsheetml/2006/main" name="Tableau croisé dynamique3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3:C15" firstHeaderRow="1" firstDataRow="2" firstDataCol="1"/>
  <pivotFields count="75">
    <pivotField axis="axisRow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5">
        <item m="1" x="2"/>
        <item m="1" x="3"/>
        <item x="1"/>
        <item x="0"/>
        <item t="default"/>
      </items>
    </pivotField>
    <pivotField showAll="0" defaultSubtotal="0"/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 t="grand">
      <x/>
    </i>
  </rowItems>
  <colFields count="1">
    <field x="72"/>
  </colFields>
  <colItems count="2">
    <i>
      <x v="3"/>
    </i>
    <i t="grand">
      <x/>
    </i>
  </colItems>
  <dataFields count="1">
    <dataField name="Nombre de AVC_RV" fld="7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5.xml><?xml version="1.0" encoding="utf-8"?>
<pivotTableDefinition xmlns="http://schemas.openxmlformats.org/spreadsheetml/2006/main" name="Tableau croisé dynamique8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F8:G10" firstHeaderRow="1" firstDataRow="1" firstDataCol="1" rowPageCount="2" colPageCount="1"/>
  <pivotFields count="75">
    <pivotField axis="axisPage" multipleItemSelectionAllowed="1" showAll="0">
      <items count="16">
        <item x="0"/>
        <item x="1"/>
        <item x="2"/>
        <item x="3"/>
        <item x="4"/>
        <item x="5"/>
        <item x="6"/>
        <item h="1" m="1" x="14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axis="axisPage" multipleItemSelectionAllowed="1" showAll="0">
      <items count="13">
        <item m="1" x="5"/>
        <item x="1"/>
        <item m="1" x="9"/>
        <item m="1" x="2"/>
        <item m="1" x="7"/>
        <item m="1" x="3"/>
        <item m="1" x="8"/>
        <item h="1" m="1" x="11"/>
        <item h="1" m="1" x="4"/>
        <item x="0"/>
        <item h="1" m="1" x="6"/>
        <item h="1" m="1" x="10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defaultSubtotal="0">
      <items count="3">
        <item m="1" x="2"/>
        <item x="1"/>
        <item x="0"/>
      </items>
    </pivotField>
    <pivotField showAll="0"/>
  </pivotFields>
  <rowFields count="1">
    <field x="73"/>
  </rowFields>
  <rowItems count="2">
    <i>
      <x v="2"/>
    </i>
    <i t="grand">
      <x/>
    </i>
  </rowItems>
  <colItems count="1">
    <i/>
  </colItems>
  <pageFields count="2">
    <pageField fld="0" hier="-1"/>
    <pageField fld="14" hier="-1"/>
  </pageFields>
  <dataFields count="1">
    <dataField name="Nombre de IM_RV" fld="73" subtotal="count" showDataAs="percentOfTotal" baseField="68" baseItem="0" numFmtId="9"/>
  </dataFields>
  <formats count="1">
    <format dxfId="427">
      <pivotArea outline="0" collapsedLevelsAreSubtotals="1" fieldPosition="0"/>
    </format>
  </formats>
  <chartFormats count="2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6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15" firstHeaderRow="1" firstDataRow="2" firstDataCol="1"/>
  <pivotFields count="75">
    <pivotField axis="axisRow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 defaultSubtotal="0">
      <items count="1">
        <item x="0"/>
      </items>
    </pivotField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 t="grand">
      <x/>
    </i>
  </rowItems>
  <colFields count="1">
    <field x="73"/>
  </colFields>
  <colItems count="2">
    <i>
      <x/>
    </i>
    <i t="grand">
      <x/>
    </i>
  </colItems>
  <dataFields count="1">
    <dataField name="Nombre de IM_RV" fld="7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7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20" fieldListSortAscending="1">
  <location ref="A5:C7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 &gt;24 h_RV8" fld="60" subtotal="count" baseField="0" baseItem="0"/>
    <dataField name="Somme de T &gt;24 h - nb trans" fld="33" baseField="52" baseItem="4"/>
  </dataFields>
  <chartFormats count="4">
    <chartFormat chart="17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9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9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48.xml><?xml version="1.0" encoding="utf-8"?>
<pivotTableDefinition xmlns="http://schemas.openxmlformats.org/spreadsheetml/2006/main" name="Tableau croisé dynamique11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0" fieldListSortAscending="1">
  <location ref="G17:H19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0"/>
  </colFields>
  <colItems count="1">
    <i t="grand">
      <x/>
    </i>
  </colItems>
  <pageFields count="1">
    <pageField fld="14" hier="-1"/>
  </pageFields>
  <dataFields count="1">
    <dataField name="Nombre de Transfu &gt;24 h_RV8" fld="60" subtotal="count" showDataAs="percentOfRow" baseField="11" baseItem="1" numFmtId="10"/>
  </dataFields>
  <chartFormats count="3">
    <chartFormat chart="19" format="11" series="1">
      <pivotArea type="data" outline="0" fieldPosition="0">
        <references count="1">
          <reference field="60" count="1" selected="0">
            <x v="0"/>
          </reference>
        </references>
      </pivotArea>
    </chartFormat>
    <chartFormat chart="19" format="12" series="1">
      <pivotArea type="data" outline="0" fieldPosition="0">
        <references count="1">
          <reference field="60" count="1" selected="0">
            <x v="1"/>
          </reference>
        </references>
      </pivotArea>
    </chartFormat>
    <chartFormat chart="19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49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9" fieldListSortAscending="1">
  <location ref="A18:C20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 &gt;24 h_RV8" fld="60" subtotal="count" baseField="0" baseItem="0"/>
    <dataField name="Somme de T &gt;24 h - nb trans" fld="33" baseField="52" baseItem="4"/>
  </dataFields>
  <chartFormats count="3">
    <chartFormat chart="1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0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60" fieldListSortAscending="1">
  <location ref="A36:C38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 &gt;24 h_RV8" fld="60" subtotal="count" baseField="0" baseItem="0"/>
    <dataField name="Somme de T &gt;24 h - nb trans" fld="33" baseField="52" baseItem="4"/>
  </dataFields>
  <formats count="6">
    <format dxfId="417">
      <pivotArea type="all" dataOnly="0" outline="0" fieldPosition="0"/>
    </format>
    <format dxfId="416">
      <pivotArea type="all" dataOnly="0" outline="0" fieldPosition="0"/>
    </format>
    <format dxfId="415">
      <pivotArea field="11" type="button" dataOnly="0" labelOnly="1" outline="0" axis="axisPage" fieldPosition="0"/>
    </format>
    <format dxfId="414">
      <pivotArea dataOnly="0" labelOnly="1" outline="0" fieldPosition="0">
        <references count="1">
          <reference field="11" count="0"/>
        </references>
      </pivotArea>
    </format>
    <format dxfId="413">
      <pivotArea field="14" type="button" dataOnly="0" labelOnly="1" outline="0" axis="axisPage" fieldPosition="1"/>
    </format>
    <format dxfId="412">
      <pivotArea dataOnly="0" labelOnly="1" outline="0" fieldPosition="0">
        <references count="1">
          <reference field="14" count="0"/>
        </references>
      </pivotArea>
    </format>
  </formats>
  <chartFormats count="5">
    <chartFormat chart="1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1.xml><?xml version="1.0" encoding="utf-8"?>
<pivotTableDefinition xmlns="http://schemas.openxmlformats.org/spreadsheetml/2006/main" name="Tableau croisé dynamique10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6" fieldListSortAscending="1">
  <location ref="G5:H6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chartFormats count="1">
    <chartFormat chart="1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2.xml><?xml version="1.0" encoding="utf-8"?>
<pivotTableDefinition xmlns="http://schemas.openxmlformats.org/spreadsheetml/2006/main" name="Tableau croisé dynamique4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9" fieldListSortAscending="1">
  <location ref="A52:C54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 &gt;24 h_RV8" fld="60" subtotal="count" baseField="0" baseItem="0"/>
    <dataField name="Somme de T &gt;24 h - nb trans" fld="33" baseField="52" baseItem="4"/>
  </dataFields>
  <chartFormats count="3">
    <chartFormat chart="1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3.xml><?xml version="1.0" encoding="utf-8"?>
<pivotTableDefinition xmlns="http://schemas.openxmlformats.org/spreadsheetml/2006/main" name="Tableau croisé dynamique6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0" fieldListSortAscending="1">
  <location ref="G53:H55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0"/>
  </colFields>
  <colItems count="1">
    <i t="grand">
      <x/>
    </i>
  </colItems>
  <pageFields count="1">
    <pageField fld="14" hier="-1"/>
  </pageFields>
  <dataFields count="1">
    <dataField name="Nombre de Transfu &gt;24 h_RV8" fld="60" subtotal="count" showDataAs="percentOfRow" baseField="11" baseItem="1" numFmtId="10"/>
  </dataFields>
  <formats count="2">
    <format dxfId="419">
      <pivotArea outline="0" collapsedLevelsAreSubtotals="1" fieldPosition="0"/>
    </format>
    <format dxfId="41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54.xml><?xml version="1.0" encoding="utf-8"?>
<pivotTableDefinition xmlns="http://schemas.openxmlformats.org/spreadsheetml/2006/main" name="Tableau croisé dynamique5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0" fieldListSortAscending="1">
  <location ref="G34:H36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0"/>
  </colFields>
  <colItems count="1">
    <i t="grand">
      <x/>
    </i>
  </colItems>
  <pageFields count="1">
    <pageField fld="14" hier="-1"/>
  </pageFields>
  <dataFields count="1">
    <dataField name="Nombre de Transfu &gt;24 h_RV8" fld="60" subtotal="count" showDataAs="percentOfRow" baseField="11" baseItem="1" numFmtId="10"/>
  </dataFields>
  <formats count="7">
    <format dxfId="426">
      <pivotArea type="all" dataOnly="0" outline="0" fieldPosition="0"/>
    </format>
    <format dxfId="425">
      <pivotArea type="all" dataOnly="0" outline="0" fieldPosition="0"/>
    </format>
    <format dxfId="424">
      <pivotArea dataOnly="0" fieldPosition="0">
        <references count="1">
          <reference field="11" count="3">
            <x v="3"/>
            <x v="4"/>
            <x v="5"/>
          </reference>
        </references>
      </pivotArea>
    </format>
    <format dxfId="423">
      <pivotArea field="11" dataOnly="0" grandRow="1" axis="axisRow" fieldPosition="0">
        <references count="1">
          <reference field="11" count="1">
            <x v="6"/>
          </reference>
        </references>
      </pivotArea>
    </format>
    <format dxfId="422">
      <pivotArea dataOnly="0" fieldPosition="0">
        <references count="1">
          <reference field="11" count="1">
            <x v="6"/>
          </reference>
        </references>
      </pivotArea>
    </format>
    <format dxfId="421">
      <pivotArea outline="0" collapsedLevelsAreSubtotals="1" fieldPosition="0"/>
    </format>
    <format dxfId="42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55.xml><?xml version="1.0" encoding="utf-8"?>
<pivotTableDefinition xmlns="http://schemas.openxmlformats.org/spreadsheetml/2006/main" name="Tableau croisé dynamique7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5" fieldListSortAscending="1">
  <location ref="F7:G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formats count="2">
    <format dxfId="397">
      <pivotArea outline="0" collapsedLevelsAreSubtotals="1" fieldPosition="0"/>
    </format>
    <format dxfId="39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56.xml><?xml version="1.0" encoding="utf-8"?>
<pivotTableDefinition xmlns="http://schemas.openxmlformats.org/spreadsheetml/2006/main" name="Tableau croisé dynamique8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5" fieldListSortAscending="1">
  <location ref="F17:G1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formats count="6">
    <format dxfId="403">
      <pivotArea outline="0" collapsedLevelsAreSubtotals="1" fieldPosition="0"/>
    </format>
    <format dxfId="402">
      <pivotArea field="11" type="button" dataOnly="0" labelOnly="1" outline="0" axis="axisPage" fieldPosition="0"/>
    </format>
    <format dxfId="401">
      <pivotArea dataOnly="0" labelOnly="1" outline="0" fieldPosition="0">
        <references count="1">
          <reference field="11" count="0"/>
        </references>
      </pivotArea>
    </format>
    <format dxfId="400">
      <pivotArea field="14" type="button" dataOnly="0" labelOnly="1" outline="0" axis="axisPage" fieldPosition="1"/>
    </format>
    <format dxfId="399">
      <pivotArea dataOnly="0" labelOnly="1" outline="0" fieldPosition="0">
        <references count="1">
          <reference field="14" count="0"/>
        </references>
      </pivotArea>
    </format>
    <format dxfId="39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57.xml><?xml version="1.0" encoding="utf-8"?>
<pivotTableDefinition xmlns="http://schemas.openxmlformats.org/spreadsheetml/2006/main" name="Tableau croisé dynamique9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5" fieldListSortAscending="1">
  <location ref="F28:G29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formats count="2">
    <format dxfId="405">
      <pivotArea outline="0" collapsedLevelsAreSubtotals="1" fieldPosition="0"/>
    </format>
    <format dxfId="40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58.xml><?xml version="1.0" encoding="utf-8"?>
<pivotTableDefinition xmlns="http://schemas.openxmlformats.org/spreadsheetml/2006/main" name="Tableau croisé dynamique13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6" fieldListSortAscending="1">
  <location ref="K8:L9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dataFields count="1">
    <dataField name="Moyenne de T &gt;24 h - nb trans" fld="33" subtotal="average" baseField="52" baseItem="7" numFmtId="165"/>
  </dataFields>
  <formats count="1">
    <format dxfId="406">
      <pivotArea outline="0" collapsedLevelsAreSubtotals="1" fieldPosition="0"/>
    </format>
  </formats>
  <chartFormats count="2">
    <chartFormat chart="1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9.xml><?xml version="1.0" encoding="utf-8"?>
<pivotTableDefinition xmlns="http://schemas.openxmlformats.org/spreadsheetml/2006/main" name="Tableau croisé dynamique15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6" fieldListSortAscending="1">
  <location ref="K41:L42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dataFields count="1">
    <dataField name="Moyenne de T &gt;24 h - nb trans" fld="33" subtotal="average" baseField="52" baseItem="7" numFmtId="165"/>
  </dataFields>
  <formats count="1">
    <format dxfId="407">
      <pivotArea outline="0" collapsedLevelsAreSubtotals="1" fieldPosition="0"/>
    </format>
  </formats>
  <chartFormats count="2">
    <chartFormat chart="1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60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5" fieldListSortAscending="1">
  <location ref="A7:B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formats count="2">
    <format dxfId="409">
      <pivotArea outline="0" collapsedLevelsAreSubtotals="1" fieldPosition="0"/>
    </format>
    <format dxfId="40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61.xml><?xml version="1.0" encoding="utf-8"?>
<pivotTableDefinition xmlns="http://schemas.openxmlformats.org/spreadsheetml/2006/main" name="Tableau croisé dynamique14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6" fieldListSortAscending="1">
  <location ref="K24:L25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dataFields count="1">
    <dataField name="Moyenne de T &gt;24 h - nb trans" fld="33" subtotal="average" baseField="52" baseItem="7" numFmtId="165"/>
  </dataFields>
  <formats count="1">
    <format dxfId="410">
      <pivotArea outline="0" collapsedLevelsAreSubtotals="1" fieldPosition="0"/>
    </format>
  </formats>
  <chartFormats count="2">
    <chartFormat chart="1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62.xml><?xml version="1.0" encoding="utf-8"?>
<pivotTableDefinition xmlns="http://schemas.openxmlformats.org/spreadsheetml/2006/main" name="Tableau croisé dynamique6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6" fieldListSortAscending="1">
  <location ref="A18:B19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dataFields count="1">
    <dataField name="Moyenne de T &gt;24 h - nb trans" fld="33" subtotal="average" baseField="52" baseItem="7" numFmtId="165"/>
  </dataFields>
  <formats count="1">
    <format dxfId="411">
      <pivotArea outline="0" collapsedLevelsAreSubtotals="1" fieldPosition="0"/>
    </format>
  </formats>
  <chartFormats count="2">
    <chartFormat chart="1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63.xml><?xml version="1.0" encoding="utf-8"?>
<pivotTableDefinition xmlns="http://schemas.openxmlformats.org/spreadsheetml/2006/main" name="Tableau croisé dynamique7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5" fieldListSortAscending="1">
  <location ref="E5:E6" firstHeaderRow="1" firstDataRow="1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h="1" x="1"/>
        <item h="1" x="2"/>
        <item x="3"/>
        <item x="4"/>
        <item x="5"/>
        <item x="6"/>
        <item x="7"/>
        <item h="1" x="8"/>
        <item h="1" x="9"/>
        <item h="1" x="10"/>
        <item h="1" x="11"/>
        <item h="1" x="12"/>
        <item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ivotTableStyleInfo name="PivotStyleMedium3" showRowHeaders="1" showColHeaders="1" showRowStripes="1" showColStripes="1" showLastColumn="1"/>
</pivotTableDefinition>
</file>

<file path=xl/pivotTables/pivotTable64.xml><?xml version="1.0" encoding="utf-8"?>
<pivotTableDefinition xmlns="http://schemas.openxmlformats.org/spreadsheetml/2006/main" name="Tableau croisé dynamique8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22" fieldListSortAscending="1">
  <location ref="A16" firstHeaderRow="0" firstDataRow="0" firstDataCol="0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h="1" x="1"/>
        <item h="1" x="2"/>
        <item x="3"/>
        <item x="4"/>
        <item x="5"/>
        <item x="6"/>
        <item x="7"/>
        <item h="1" x="8"/>
        <item h="1" x="9"/>
        <item h="1" x="10"/>
        <item h="1" x="11"/>
        <item h="1" x="12"/>
        <item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pageFields count="2">
    <pageField fld="11" hier="-1"/>
    <pageField fld="14" hier="-1"/>
  </pageFields>
  <pivotTableStyleInfo name="PivotStyleMedium3" showRowHeaders="1" showColHeaders="1" showRowStripes="1" showColStripes="1" showLastColumn="1"/>
</pivotTableDefinition>
</file>

<file path=xl/pivotTables/pivotTable65.xml><?xml version="1.0" encoding="utf-8"?>
<pivotTableDefinition xmlns="http://schemas.openxmlformats.org/spreadsheetml/2006/main" name="Tableau croisé dynamique9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7" fieldListSortAscending="1">
  <location ref="J5:K7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1"/>
        <item x="0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59"/>
  </colFields>
  <colItems count="1">
    <i t="grand">
      <x/>
    </i>
  </colItems>
  <pageFields count="1">
    <pageField fld="14" hier="-1"/>
  </pageFields>
  <dataFields count="1">
    <dataField name="Nombre de Transfu &lt;24 h_RV7" fld="59" subtotal="count" showDataAs="percentOfRow" baseField="11" baseItem="2" numFmtId="10"/>
  </dataFields>
  <formats count="2">
    <format dxfId="384">
      <pivotArea outline="0" collapsedLevelsAreSubtotals="1" fieldPosition="0"/>
    </format>
    <format dxfId="383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15" format="15" series="1">
      <pivotArea type="data" outline="0" fieldPosition="0">
        <references count="1">
          <reference field="59" count="1" selected="0">
            <x v="0"/>
          </reference>
        </references>
      </pivotArea>
    </chartFormat>
    <chartFormat chart="15" format="16" series="1">
      <pivotArea type="data" outline="0" fieldPosition="0">
        <references count="1">
          <reference field="59" count="1" selected="0">
            <x v="1"/>
          </reference>
        </references>
      </pivotArea>
    </chartFormat>
    <chartFormat chart="15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66.xml><?xml version="1.0" encoding="utf-8"?>
<pivotTableDefinition xmlns="http://schemas.openxmlformats.org/spreadsheetml/2006/main" name="Tableau croisé dynamique6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41" fieldListSortAscending="1">
  <location ref="A6:A7" firstHeaderRow="1" firstDataRow="1" firstDataCol="0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Items count="1">
    <i/>
  </rowItems>
  <colItems count="1">
    <i/>
  </colItems>
  <pageFields count="2">
    <pageField fld="11" hier="-1"/>
    <pageField fld="14" hier="-1"/>
  </pageFields>
  <dataFields count="1">
    <dataField name="Somme de T &lt;24 - nb trans" fld="31" baseField="51" baseItem="0"/>
  </dataFields>
  <pivotTableStyleInfo name="PivotStyleMedium3" showRowHeaders="1" showColHeaders="1" showRowStripes="1" showColStripes="1" showLastColumn="1"/>
</pivotTableDefinition>
</file>

<file path=xl/pivotTables/pivotTable67.xml><?xml version="1.0" encoding="utf-8"?>
<pivotTableDefinition xmlns="http://schemas.openxmlformats.org/spreadsheetml/2006/main" name="Tableau croisé dynamique11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60" fieldListSortAscending="1">
  <location ref="A25" firstHeaderRow="0" firstDataRow="0" firstDataCol="0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pageFields count="2">
    <pageField fld="11" hier="-1"/>
    <pageField fld="14" hier="-1"/>
  </pageFields>
  <pivotTableStyleInfo name="PivotStyleMedium3" showRowHeaders="1" showColHeaders="1" showRowStripes="1" showColStripes="1" showLastColumn="1"/>
</pivotTableDefinition>
</file>

<file path=xl/pivotTables/pivotTable68.xml><?xml version="1.0" encoding="utf-8"?>
<pivotTableDefinition xmlns="http://schemas.openxmlformats.org/spreadsheetml/2006/main" name="Tableau croisé dynamique12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6" fieldListSortAscending="1">
  <location ref="E20:E21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h="1" x="1"/>
        <item h="1" x="2"/>
        <item x="3"/>
        <item x="4"/>
        <item x="5"/>
        <item x="6"/>
        <item x="7"/>
        <item h="1" x="8"/>
        <item h="1" x="9"/>
        <item h="1" x="10"/>
        <item h="1" x="11"/>
        <item h="1" x="12"/>
        <item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formats count="11">
    <format dxfId="395">
      <pivotArea type="all" dataOnly="0" outline="0" fieldPosition="0"/>
    </format>
    <format dxfId="394">
      <pivotArea type="all" dataOnly="0" outline="0" fieldPosition="0"/>
    </format>
    <format dxfId="393">
      <pivotArea outline="0" collapsedLevelsAreSubtotals="1" fieldPosition="0"/>
    </format>
    <format dxfId="392">
      <pivotArea dataOnly="0" labelOnly="1" fieldPosition="0">
        <references count="1">
          <reference field="11" count="4">
            <x v="3"/>
            <x v="4"/>
            <x v="5"/>
            <x v="6"/>
          </reference>
        </references>
      </pivotArea>
    </format>
    <format dxfId="391">
      <pivotArea dataOnly="0" labelOnly="1" grandRow="1" outline="0" fieldPosition="0"/>
    </format>
    <format dxfId="390">
      <pivotArea field="14" type="button" dataOnly="0" labelOnly="1" outline="0" axis="axisPage" fieldPosition="0"/>
    </format>
    <format dxfId="389">
      <pivotArea dataOnly="0" labelOnly="1" outline="0" fieldPosition="0">
        <references count="1">
          <reference field="14" count="0"/>
        </references>
      </pivotArea>
    </format>
    <format dxfId="388">
      <pivotArea type="origin" dataOnly="0" labelOnly="1" outline="0" fieldPosition="0"/>
    </format>
    <format dxfId="387">
      <pivotArea field="11" type="button" dataOnly="0" labelOnly="1" outline="0" axis="axisRow" fieldPosition="0"/>
    </format>
    <format dxfId="386">
      <pivotArea type="topRight" dataOnly="0" labelOnly="1" outline="0" fieldPosition="0"/>
    </format>
    <format dxfId="385">
      <pivotArea dataOnly="0" labelOnly="1" grandCol="1" outline="0" fieldPosition="0"/>
    </format>
  </formats>
  <pivotTableStyleInfo name="PivotStyleMedium3" showRowHeaders="1" showColHeaders="1" showRowStripes="1" showColStripes="1" showLastColumn="1"/>
</pivotTableDefinition>
</file>

<file path=xl/pivotTables/pivotTable69.xml><?xml version="1.0" encoding="utf-8"?>
<pivotTableDefinition xmlns="http://schemas.openxmlformats.org/spreadsheetml/2006/main" name="Tableau croisé dynamique10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4" fieldListSortAscending="1">
  <location ref="J24:K26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1"/>
        <item x="0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59"/>
  </colFields>
  <colItems count="1">
    <i t="grand">
      <x/>
    </i>
  </colItems>
  <pageFields count="1">
    <pageField fld="14" hier="-1"/>
  </pageFields>
  <dataFields count="1">
    <dataField name="Nombre de Transfu &lt;24 h_RV7" fld="59" subtotal="count" baseField="0" baseItem="0"/>
  </dataFields>
  <pivotTableStyleInfo name="PivotStyleMedium3" showRowHeaders="1" showColHeaders="1" showRowStripes="1" showColStripes="1" showLastColumn="1"/>
</pivotTableDefinition>
</file>

<file path=xl/pivotTables/pivotTable70.xml><?xml version="1.0" encoding="utf-8"?>
<pivotTableDefinition xmlns="http://schemas.openxmlformats.org/spreadsheetml/2006/main" name="Tableau croisé dynamique6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7" fieldListSortAscending="1">
  <location ref="A24:B25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3">
        <item x="1"/>
        <item x="0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2">
    <pageField fld="59" hier="-1"/>
    <pageField fld="14" hier="-1"/>
  </pageFields>
  <dataFields count="1">
    <dataField name="Moyenne de T &lt;24 - nb trans" fld="31" subtotal="average" baseField="9" baseItem="4" numFmtId="165"/>
  </dataFields>
  <formats count="1">
    <format dxfId="380">
      <pivotArea outline="0" collapsedLevelsAreSubtotals="1" fieldPosition="0"/>
    </format>
  </formats>
  <chartFormats count="1">
    <chartFormat chart="16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27" fieldListSortAscending="1">
  <location ref="A7:B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1"/>
        <item x="0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59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lt;24 h_RV7" fld="59" subtotal="count" showDataAs="percentOfCol" baseField="59" baseItem="0" numFmtId="9"/>
  </dataFields>
  <formats count="2">
    <format dxfId="382">
      <pivotArea outline="0" fieldPosition="0">
        <references count="1">
          <reference field="4294967294" count="1">
            <x v="0"/>
          </reference>
        </references>
      </pivotArea>
    </format>
    <format dxfId="381">
      <pivotArea outline="0" collapsedLevelsAreSubtotals="1" fieldPosition="0"/>
    </format>
  </formats>
  <chartFormats count="1">
    <chartFormat chart="1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2.xml><?xml version="1.0" encoding="utf-8"?>
<pivotTableDefinition xmlns="http://schemas.openxmlformats.org/spreadsheetml/2006/main" name="Tableau croisé dynamique8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24" fieldListSortAscending="1">
  <location ref="A16:B17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h="1" x="1"/>
        <item h="1" x="2"/>
        <item x="3"/>
        <item x="4"/>
        <item h="1" x="5"/>
        <item h="1" x="6"/>
        <item h="1" x="7"/>
        <item h="1" x="8"/>
        <item h="1" x="9"/>
        <item h="1" x="10"/>
        <item h="1" x="11"/>
        <item h="1" x="12"/>
        <item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9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_RV" fld="69" subtotal="count" showDataAs="percentOfCol" baseField="0" baseItem="0" numFmtId="10"/>
  </dataFields>
  <chartFormats count="1">
    <chartFormat chart="2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3.xml><?xml version="1.0" encoding="utf-8"?>
<pivotTableDefinition xmlns="http://schemas.openxmlformats.org/spreadsheetml/2006/main" name="Tableau croisé dynamique15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6" fieldListSortAscending="1">
  <location ref="E44:F46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baseField="0" baseItem="0"/>
  </dataFields>
  <chartFormats count="2">
    <chartFormat chart="15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4.xml><?xml version="1.0" encoding="utf-8"?>
<pivotTableDefinition xmlns="http://schemas.openxmlformats.org/spreadsheetml/2006/main" name="Tableau croisé dynamique6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61" fieldListSortAscending="1">
  <location ref="A6:C8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4">
        <item x="1"/>
        <item x="0"/>
        <item x="2"/>
        <item m="1" x="3"/>
      </items>
    </pivotField>
    <pivotField dataField="1"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9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_RV" fld="69" subtotal="count" baseField="0" baseItem="0"/>
    <dataField name="Somme de Transfu_Total_RV" fld="70" baseField="0" baseItem="0"/>
  </dataFields>
  <chartFormats count="22">
    <chartFormat chart="2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5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7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4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5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7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8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8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3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4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9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9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5.xml><?xml version="1.0" encoding="utf-8"?>
<pivotTableDefinition xmlns="http://schemas.openxmlformats.org/spreadsheetml/2006/main" name="Tableau croisé dynamique5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1" fieldListSortAscending="1">
  <location ref="J23:K25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showDataAs="percentOfRow" baseField="0" baseItem="0" numFmtId="9"/>
  </dataFields>
  <formats count="9">
    <format dxfId="366">
      <pivotArea type="all" dataOnly="0" outline="0" fieldPosition="0"/>
    </format>
    <format dxfId="365">
      <pivotArea type="all" dataOnly="0" outline="0" fieldPosition="0"/>
    </format>
    <format dxfId="364">
      <pivotArea outline="0" collapsedLevelsAreSubtotals="1" fieldPosition="0"/>
    </format>
    <format dxfId="363">
      <pivotArea dataOnly="0" labelOnly="1" fieldPosition="0">
        <references count="1">
          <reference field="11" count="4">
            <x v="3"/>
            <x v="4"/>
            <x v="5"/>
            <x v="6"/>
          </reference>
        </references>
      </pivotArea>
    </format>
    <format dxfId="362">
      <pivotArea dataOnly="0" labelOnly="1" grandRow="1" outline="0" fieldPosition="0"/>
    </format>
    <format dxfId="361">
      <pivotArea dataOnly="0" labelOnly="1" fieldPosition="0">
        <references count="1">
          <reference field="11" count="1">
            <x v="7"/>
          </reference>
        </references>
      </pivotArea>
    </format>
    <format dxfId="360">
      <pivotArea field="69" grandRow="1" outline="0" collapsedLevelsAreSubtotals="1" axis="axisCol" fieldPosition="0">
        <references count="1">
          <reference field="69" count="1" selected="0">
            <x v="1"/>
          </reference>
        </references>
      </pivotArea>
    </format>
    <format dxfId="359">
      <pivotArea field="69" grandRow="1" outline="0" collapsedLevelsAreSubtotals="1" axis="axisCol" fieldPosition="0">
        <references count="1">
          <reference field="69" count="1" selected="0">
            <x v="0"/>
          </reference>
        </references>
      </pivotArea>
    </format>
    <format dxfId="358">
      <pivotArea outline="0" collapsedLevelsAreSubtotals="1" fieldPosition="0"/>
    </format>
  </formats>
  <chartFormats count="2">
    <chartFormat chart="17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7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6.xml><?xml version="1.0" encoding="utf-8"?>
<pivotTableDefinition xmlns="http://schemas.openxmlformats.org/spreadsheetml/2006/main" name="Tableau croisé dynamique13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8" fieldListSortAscending="1">
  <location ref="E26:F28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baseField="0" baseItem="0"/>
  </dataFields>
  <formats count="11">
    <format dxfId="377">
      <pivotArea type="all" dataOnly="0" outline="0" fieldPosition="0"/>
    </format>
    <format dxfId="376">
      <pivotArea field="14" type="button" dataOnly="0" labelOnly="1" outline="0" axis="axisPage" fieldPosition="0"/>
    </format>
    <format dxfId="375">
      <pivotArea dataOnly="0" labelOnly="1" outline="0" fieldPosition="0">
        <references count="1">
          <reference field="14" count="0"/>
        </references>
      </pivotArea>
    </format>
    <format dxfId="374">
      <pivotArea type="origin" dataOnly="0" labelOnly="1" outline="0" fieldPosition="0"/>
    </format>
    <format dxfId="373">
      <pivotArea field="11" type="button" dataOnly="0" labelOnly="1" outline="0" axis="axisRow" fieldPosition="0"/>
    </format>
    <format dxfId="372">
      <pivotArea field="69" type="button" dataOnly="0" labelOnly="1" outline="0" axis="axisCol" fieldPosition="0"/>
    </format>
    <format dxfId="371">
      <pivotArea type="topRight" dataOnly="0" labelOnly="1" outline="0" fieldPosition="0"/>
    </format>
    <format dxfId="370">
      <pivotArea dataOnly="0" labelOnly="1" grandCol="1" outline="0" fieldPosition="0"/>
    </format>
    <format dxfId="369">
      <pivotArea outline="0" collapsedLevelsAreSubtotals="1" fieldPosition="0"/>
    </format>
    <format dxfId="368">
      <pivotArea dataOnly="0" labelOnly="1" grandRow="1" outline="0" fieldPosition="0"/>
    </format>
    <format dxfId="367">
      <pivotArea dataOnly="0" labelOnly="1" fieldPosition="0">
        <references count="1">
          <reference field="11" count="0"/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77.xml><?xml version="1.0" encoding="utf-8"?>
<pivotTableDefinition xmlns="http://schemas.openxmlformats.org/spreadsheetml/2006/main" name="Tableau croisé dynamique10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8" fieldListSortAscending="1">
  <location ref="J39:K41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showDataAs="percentOfRow" baseField="0" baseItem="0" numFmtId="9"/>
  </dataFields>
  <formats count="1">
    <format dxfId="378">
      <pivotArea outline="0" collapsedLevelsAreSubtotals="1" fieldPosition="0"/>
    </format>
  </formats>
  <chartFormats count="2">
    <chartFormat chart="17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7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8.xml><?xml version="1.0" encoding="utf-8"?>
<pivotTableDefinition xmlns="http://schemas.openxmlformats.org/spreadsheetml/2006/main" name="Tableau croisé dynamique7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6" fieldListSortAscending="1">
  <location ref="E5:F7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baseField="0" baseItem="0"/>
  </dataFields>
  <chartFormats count="4">
    <chartFormat chart="15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  <chartFormat chart="15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9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9.xml><?xml version="1.0" encoding="utf-8"?>
<pivotTableDefinition xmlns="http://schemas.openxmlformats.org/spreadsheetml/2006/main" name="Tableau croisé dynamique9" cacheId="3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8" fieldListSortAscending="1">
  <location ref="J5:K7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showDataAs="percentOfRow" baseField="0" baseItem="0" numFmtId="9"/>
  </dataFields>
  <formats count="1">
    <format dxfId="379">
      <pivotArea outline="0" collapsedLevelsAreSubtotals="1" fieldPosition="0"/>
    </format>
  </formats>
  <chartFormats count="4">
    <chartFormat chart="17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7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  <chartFormat chart="17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9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0.xml><?xml version="1.0" encoding="utf-8"?>
<pivotTableDefinition xmlns="http://schemas.openxmlformats.org/spreadsheetml/2006/main" name="Tableau croisé dynamique12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28" fieldListSortAscending="1">
  <location ref="D7:E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9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_RV" fld="69" subtotal="count" showDataAs="percentOfCol" baseField="0" baseItem="0" numFmtId="10"/>
  </dataFields>
  <formats count="11">
    <format dxfId="344">
      <pivotArea type="all" dataOnly="0" outline="0" fieldPosition="0"/>
    </format>
    <format dxfId="343">
      <pivotArea type="all" dataOnly="0" outline="0" fieldPosition="0"/>
    </format>
    <format dxfId="342">
      <pivotArea field="11" type="button" dataOnly="0" labelOnly="1" outline="0" axis="axisPage" fieldPosition="0"/>
    </format>
    <format dxfId="341">
      <pivotArea dataOnly="0" labelOnly="1" outline="0" fieldPosition="0">
        <references count="1">
          <reference field="11" count="0"/>
        </references>
      </pivotArea>
    </format>
    <format dxfId="340">
      <pivotArea field="14" type="button" dataOnly="0" labelOnly="1" outline="0" axis="axisPage" fieldPosition="1"/>
    </format>
    <format dxfId="339">
      <pivotArea dataOnly="0" labelOnly="1" outline="0" fieldPosition="0">
        <references count="1">
          <reference field="14" count="0"/>
        </references>
      </pivotArea>
    </format>
    <format dxfId="338">
      <pivotArea field="69" type="button" dataOnly="0" labelOnly="1" outline="0" axis="axisRow" fieldPosition="0"/>
    </format>
    <format dxfId="337">
      <pivotArea dataOnly="0" labelOnly="1" outline="0" axis="axisValues" fieldPosition="0"/>
    </format>
    <format dxfId="336">
      <pivotArea grandRow="1" outline="0" collapsedLevelsAreSubtotals="1" fieldPosition="0"/>
    </format>
    <format dxfId="335">
      <pivotArea collapsedLevelsAreSubtotals="1" fieldPosition="0">
        <references count="1">
          <reference field="69" count="1">
            <x v="0"/>
          </reference>
        </references>
      </pivotArea>
    </format>
    <format dxfId="334">
      <pivotArea collapsedLevelsAreSubtotals="1" fieldPosition="0">
        <references count="1">
          <reference field="69" count="1">
            <x v="1"/>
          </reference>
        </references>
      </pivotArea>
    </format>
  </formats>
  <chartFormats count="10">
    <chartFormat chart="18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5" format="5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25" format="6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  <chartFormat chart="26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8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26" format="9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6" fieldListSortAscending="1">
  <location ref="A7:B8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69"/>
  </rowFields>
  <rowItems count="1">
    <i t="grand">
      <x/>
    </i>
  </rowItems>
  <colItems count="1">
    <i/>
  </colItems>
  <pageFields count="1">
    <pageField fld="11" hier="-1"/>
  </pageFields>
  <dataFields count="1">
    <dataField name="Nombre de Transfu_RV" fld="69" subtotal="count" showDataAs="percentOfCol" baseField="0" baseItem="0" numFmtId="9"/>
  </dataFields>
  <formats count="2">
    <format dxfId="346">
      <pivotArea grandRow="1" outline="0" collapsedLevelsAreSubtotals="1" fieldPosition="0"/>
    </format>
    <format dxfId="345">
      <pivotArea outline="0" collapsedLevelsAreSubtotals="1" fieldPosition="0"/>
    </format>
  </formats>
  <pivotTableStyleInfo name="PivotStyleMedium3" showRowHeaders="1" showColHeaders="1" showRowStripes="1" showColStripes="1" showLastColumn="1"/>
</pivotTableDefinition>
</file>

<file path=xl/pivotTables/pivotTable82.xml><?xml version="1.0" encoding="utf-8"?>
<pivotTableDefinition xmlns="http://schemas.openxmlformats.org/spreadsheetml/2006/main" name="Tableau croisé dynamique6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9" fieldListSortAscending="1">
  <location ref="A24:B25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4">
        <item h="1" x="1"/>
        <item x="0"/>
        <item h="1" x="2"/>
        <item h="1" m="1" x="3"/>
      </items>
    </pivotField>
    <pivotField dataField="1"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2">
    <pageField fld="69" hier="-1"/>
    <pageField fld="14" hier="-1"/>
  </pageFields>
  <dataFields count="1">
    <dataField name="Moyenne de Transfu_Total_RV" fld="70" subtotal="average" baseField="0" baseItem="0" numFmtId="167"/>
  </dataFields>
  <formats count="1">
    <format dxfId="347">
      <pivotArea outline="0" collapsedLevelsAreSubtotals="1" fieldPosition="0"/>
    </format>
  </formats>
  <chartFormats count="1">
    <chartFormat chart="18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3.xml><?xml version="1.0" encoding="utf-8"?>
<pivotTableDefinition xmlns="http://schemas.openxmlformats.org/spreadsheetml/2006/main" name="Tableau croisé dynamique13" cacheId="3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19" fieldListSortAscending="1">
  <location ref="D24:E25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54"/>
        <item m="1" x="46"/>
        <item m="1" x="35"/>
        <item m="1" x="11"/>
        <item m="1" x="22"/>
        <item m="1" x="21"/>
        <item m="1" x="55"/>
        <item m="1" x="3"/>
        <item m="1" x="49"/>
        <item m="1" x="16"/>
        <item m="1" x="17"/>
        <item m="1" x="29"/>
        <item m="1" x="37"/>
        <item m="1" x="5"/>
        <item m="1" x="45"/>
        <item m="1" x="52"/>
        <item m="1" x="48"/>
        <item m="1" x="44"/>
        <item m="1" x="53"/>
        <item m="1" x="38"/>
        <item m="1" x="47"/>
        <item m="1" x="58"/>
        <item m="1" x="13"/>
        <item m="1" x="20"/>
        <item m="1" x="31"/>
        <item m="1" x="61"/>
        <item m="1" x="51"/>
        <item m="1" x="26"/>
        <item m="1" x="15"/>
        <item m="1" x="43"/>
        <item m="1" x="57"/>
        <item m="1" x="36"/>
        <item m="1" x="60"/>
        <item m="1" x="27"/>
        <item m="1" x="10"/>
        <item m="1" x="34"/>
        <item m="1" x="23"/>
        <item m="1" x="19"/>
        <item m="1" x="56"/>
        <item m="1" x="42"/>
        <item m="1" x="1"/>
        <item m="1" x="33"/>
        <item m="1" x="39"/>
        <item m="1" x="8"/>
        <item m="1" x="62"/>
        <item m="1" x="40"/>
        <item m="1" x="4"/>
        <item m="1" x="41"/>
        <item m="1" x="14"/>
        <item m="1" x="50"/>
        <item m="1" x="24"/>
        <item m="1" x="9"/>
        <item m="1" x="12"/>
        <item m="1" x="30"/>
        <item m="1" x="18"/>
        <item m="1" x="6"/>
        <item m="1" x="28"/>
        <item m="1" x="2"/>
        <item m="1" x="59"/>
        <item m="1" x="7"/>
        <item m="1" x="32"/>
        <item m="1" x="25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4">
        <item h="1" x="1"/>
        <item x="0"/>
        <item h="1" x="2"/>
        <item h="1" m="1" x="3"/>
      </items>
    </pivotField>
    <pivotField dataField="1"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2">
    <pageField fld="69" hier="-1"/>
    <pageField fld="14" hier="-1"/>
  </pageFields>
  <dataFields count="1">
    <dataField name="Moyenne de Transfu_Total_RV" fld="70" subtotal="average" baseField="0" baseItem="0" numFmtId="167"/>
  </dataFields>
  <formats count="10">
    <format dxfId="357">
      <pivotArea type="all" dataOnly="0" outline="0" fieldPosition="0"/>
    </format>
    <format dxfId="356">
      <pivotArea type="all" dataOnly="0" outline="0" fieldPosition="0"/>
    </format>
    <format dxfId="355">
      <pivotArea field="69" type="button" dataOnly="0" labelOnly="1" outline="0" axis="axisPage" fieldPosition="0"/>
    </format>
    <format dxfId="354">
      <pivotArea dataOnly="0" labelOnly="1" outline="0" fieldPosition="0">
        <references count="1">
          <reference field="69" count="0"/>
        </references>
      </pivotArea>
    </format>
    <format dxfId="353">
      <pivotArea field="14" type="button" dataOnly="0" labelOnly="1" outline="0" axis="axisPage" fieldPosition="1"/>
    </format>
    <format dxfId="352">
      <pivotArea dataOnly="0" labelOnly="1" outline="0" fieldPosition="0">
        <references count="1">
          <reference field="14" count="0"/>
        </references>
      </pivotArea>
    </format>
    <format dxfId="351">
      <pivotArea field="11" type="button" dataOnly="0" labelOnly="1" outline="0" axis="axisRow" fieldPosition="0"/>
    </format>
    <format dxfId="350">
      <pivotArea dataOnly="0" labelOnly="1" outline="0" axis="axisValues" fieldPosition="0"/>
    </format>
    <format dxfId="349">
      <pivotArea outline="0" collapsedLevelsAreSubtotals="1" fieldPosition="0"/>
    </format>
    <format dxfId="348">
      <pivotArea grandRow="1" outline="0" collapsedLevelsAreSubtotals="1" fieldPosition="0"/>
    </format>
  </formats>
  <chartFormats count="1">
    <chartFormat chart="18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4.xml><?xml version="1.0" encoding="utf-8"?>
<pivotTableDefinition xmlns="http://schemas.openxmlformats.org/spreadsheetml/2006/main" name="Tableau croisé dynamique9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G23:H25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axis="axisRow" dataField="1" showAll="0">
      <items count="4">
        <item x="0"/>
        <item m="1" x="2"/>
        <item x="1"/>
        <item t="default"/>
      </items>
    </pivotField>
  </pivotFields>
  <rowFields count="1">
    <field x="74"/>
  </rowFields>
  <rowItems count="2">
    <i>
      <x/>
    </i>
    <i t="grand">
      <x/>
    </i>
  </rowItems>
  <colItems count="1">
    <i/>
  </colItems>
  <pageFields count="1">
    <pageField fld="0" hier="-1"/>
  </pageFields>
  <dataFields count="1">
    <dataField name="Nombre de HT" fld="74" subtotal="count" showDataAs="percentOfCol" baseField="67" baseItem="0" numFmtId="9"/>
  </dataFields>
  <formats count="1">
    <format dxfId="333">
      <pivotArea outline="0" collapsedLevelsAreSubtotals="1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5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G4:I16" firstHeaderRow="1" firstDataRow="2" firstDataCol="1"/>
  <pivotFields count="75">
    <pivotField axis="axisRow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axis="axisCol" dataField="1" showAll="0">
      <items count="4">
        <item x="0"/>
        <item m="1" x="2"/>
        <item x="1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 t="grand">
      <x/>
    </i>
  </rowItems>
  <colFields count="1">
    <field x="74"/>
  </colFields>
  <colItems count="2">
    <i>
      <x/>
    </i>
    <i t="grand">
      <x/>
    </i>
  </colItems>
  <dataFields count="1">
    <dataField name="Nombre de HT" fld="74" subtotal="count" baseField="0" baseItem="0"/>
  </dataFields>
  <chartFormats count="2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74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7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6.xml><?xml version="1.0" encoding="utf-8"?>
<pivotTableDefinition xmlns="http://schemas.openxmlformats.org/spreadsheetml/2006/main" name="Tableau croisé dynamique13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H13:I14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axis="axisRow" dataField="1" showAll="0">
      <items count="5">
        <item m="1" x="2"/>
        <item m="1" x="3"/>
        <item h="1" x="1"/>
        <item h="1" x="0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</pivotFields>
  <rowFields count="1">
    <field x="5"/>
  </rowFields>
  <rowItems count="1">
    <i t="grand">
      <x/>
    </i>
  </rowItems>
  <colItems count="1">
    <i/>
  </colItems>
  <pageFields count="1">
    <pageField fld="0" hier="-1"/>
  </pageFields>
  <dataFields count="1">
    <dataField name="Nombre de Cardiogéria" fld="5" subtotal="count" showDataAs="percentOfRow" baseField="5" baseItem="0" numFmtId="9"/>
  </dataFields>
  <formats count="1">
    <format dxfId="332">
      <pivotArea outline="0" collapsedLevelsAreSubtotals="1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7.xml><?xml version="1.0" encoding="utf-8"?>
<pivotTableDefinition xmlns="http://schemas.openxmlformats.org/spreadsheetml/2006/main" name="Tableau croisé dynamique1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13:B16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axis="axisRow" dataField="1" showAll="0">
      <items count="5">
        <item m="1" x="2"/>
        <item m="1" x="3"/>
        <item x="1"/>
        <item x="0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</pivotFields>
  <rowFields count="1">
    <field x="5"/>
  </rowFields>
  <rowItems count="3"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Nombre de Cardiogéria" fld="5" subtotal="count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hirurgien" sourceName="Chirurgien">
  <pivotTables>
    <pivotTable tabId="33" name="Tableau croisé dynamique3"/>
  </pivotTables>
  <data>
    <tabular pivotCacheId="1">
      <items count="6">
        <i x="2" s="1" nd="1"/>
        <i x="1" s="1" nd="1"/>
        <i x="4" s="1" nd="1"/>
        <i x="5" s="1" nd="1"/>
        <i x="3" s="1" nd="1"/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hirurgien 1" cache="Segment_Chirurgien" caption="Chirurgien" rowHeight="241300"/>
</slicers>
</file>

<file path=xl/tables/table1.xml><?xml version="1.0" encoding="utf-8"?>
<table xmlns="http://schemas.openxmlformats.org/spreadsheetml/2006/main" id="1" name="Tableau1" displayName="Tableau1" ref="A1:BX333" totalsRowShown="0" dataDxfId="832">
  <autoFilter ref="A1:BX333"/>
  <tableColumns count="76">
    <tableColumn id="1" name="Mois" dataDxfId="831"/>
    <tableColumn id="2" name="Nom" dataDxfId="830"/>
    <tableColumn id="3" name="Référence" dataDxfId="829"/>
    <tableColumn id="4" name="D/naissance" dataDxfId="828"/>
    <tableColumn id="5" name="Age" dataDxfId="827"/>
    <tableColumn id="6" name="Cardiogéria" dataDxfId="826"/>
    <tableColumn id="7" name="Référant" dataDxfId="825"/>
    <tableColumn id="8" name="Lieu activité" dataDxfId="824"/>
    <tableColumn id="9" name="Lieu activité2" dataDxfId="823"/>
    <tableColumn id="10" name="Chirurgien" dataDxfId="822"/>
    <tableColumn id="11" name="Sexe" dataDxfId="821"/>
    <tableColumn id="12" name="D/opératoire" dataDxfId="820"/>
    <tableColumn id="13" name="Disc HT" dataDxfId="819"/>
    <tableColumn id="14" name="Intervention" dataDxfId="818"/>
    <tableColumn id="15" name="Intervention-activité" dataDxfId="817"/>
    <tableColumn id="16" name="Intervention-activité par type" dataDxfId="816"/>
    <tableColumn id="17" name="intervention-valves" dataDxfId="815"/>
    <tableColumn id="18" name="valves - activité" dataDxfId="814"/>
    <tableColumn id="19" name="Lés. cor." dataDxfId="813"/>
    <tableColumn id="20" name="Type RC" dataDxfId="812"/>
    <tableColumn id="21" name="Marque V" dataDxfId="811"/>
    <tableColumn id="22" name="Type V" dataDxfId="810"/>
    <tableColumn id="23" name="Taille V" dataDxfId="809"/>
    <tableColumn id="24" name="Date révision" dataDxfId="808"/>
    <tableColumn id="25" name="Révision &lt; 24h" dataDxfId="807"/>
    <tableColumn id="26" name="Révision &gt;24h" dataDxfId="806"/>
    <tableColumn id="27" name="Redo" dataDxfId="805"/>
    <tableColumn id="28" name="AVC" dataDxfId="804"/>
    <tableColumn id="29" name="IM" dataDxfId="803"/>
    <tableColumn id="30" name="Inf p.op" dataDxfId="802"/>
    <tableColumn id="31" name="Transfu &lt;24 h" dataDxfId="801"/>
    <tableColumn id="32" name="T &lt;24 - nb trans" dataDxfId="800"/>
    <tableColumn id="33" name="Transfu &gt;24 h" dataDxfId="799"/>
    <tableColumn id="34" name="T &gt;24 h - nb trans" dataDxfId="798"/>
    <tableColumn id="35" name="T total" dataDxfId="797"/>
    <tableColumn id="36" name="Retour salle" dataDxfId="796"/>
    <tableColumn id="37" name="Nbr de j USI" dataDxfId="795"/>
    <tableColumn id="38" name="Date de sortie" dataDxfId="794"/>
    <tableColumn id="39" name="Nbr de j hospi" dataDxfId="793"/>
    <tableColumn id="40" name="Alive" dataDxfId="792"/>
    <tableColumn id="41" name="DCD Délai d'intervention" dataDxfId="791"/>
    <tableColumn id="42" name="Délai intervention" dataDxfId="790"/>
    <tableColumn id="43" name="Destination" dataDxfId="789"/>
    <tableColumn id="44" name="Réhosp." dataDxfId="788"/>
    <tableColumn id="45" name="Réhosp.&lt; 30 j" dataDxfId="787"/>
    <tableColumn id="46" name="Cause réhospit"/>
    <tableColumn id="47" name="Nom3" dataDxfId="786"/>
    <tableColumn id="48" name="RDV postop"/>
    <tableColumn id="49" name="Postopt imm"/>
    <tableColumn id="50" name="Statut 1"/>
    <tableColumn id="51" name="Commentaires"/>
    <tableColumn id="52" name="postop loint"/>
    <tableColumn id="53" name="Statut 2"/>
    <tableColumn id="54" name="Commentaires4"/>
    <tableColumn id="55" name="Inf p.op_RV"/>
    <tableColumn id="56" name="Transfu &lt;24 h_RV"/>
    <tableColumn id="57" name="Transfu &gt;24 h_RV"/>
    <tableColumn id="58" name="délai intervention5"/>
    <tableColumn id="59" name="Inf p.op_RV6" dataDxfId="785"/>
    <tableColumn id="60" name="Transfu &lt;24 h_RV7" dataDxfId="784"/>
    <tableColumn id="61" name="Transfu &gt;24 h_RV8" dataDxfId="783"/>
    <tableColumn id="62" name="Révision &lt; 24h_RV" dataDxfId="782"/>
    <tableColumn id="63" name="Réhosp.&lt; 30 j_RV" dataDxfId="781"/>
    <tableColumn id="64" name="Nbr de j hospi_RV" dataDxfId="780"/>
    <tableColumn id="65" name="Nbr de j hospi_Hors_RV" dataDxfId="779"/>
    <tableColumn id="66" name="Nbr de j hospi_LVAD-TX_RV" dataDxfId="778"/>
    <tableColumn id="67" name="Nbr de j USI_RV" dataDxfId="777"/>
    <tableColumn id="68" name="Nbr de j USI_Hors_RV" dataDxfId="776"/>
    <tableColumn id="69" name="Nbr de j USI_LVAD-TX_RV" dataDxfId="775"/>
    <tableColumn id="70" name="Transfu_RV" dataDxfId="774"/>
    <tableColumn id="71" name="Transfu_Total_RV" dataDxfId="773"/>
    <tableColumn id="72" name="Lieu activité_Groupe" dataDxfId="772"/>
    <tableColumn id="73" name="AVC_RV" dataDxfId="771"/>
    <tableColumn id="74" name="IM_RV" dataDxfId="770"/>
    <tableColumn id="75" name="HT" dataDxfId="769"/>
    <tableColumn id="76" name="Colonne1" dataDxfId="768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7" Type="http://schemas.microsoft.com/office/2007/relationships/slicer" Target="../slicers/slicer1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ivotTable" Target="../pivotTables/pivotTable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0.xml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Relationship Id="rId4" Type="http://schemas.openxmlformats.org/officeDocument/2006/relationships/pivotTable" Target="../pivotTables/pivotTable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1.xml"/><Relationship Id="rId3" Type="http://schemas.openxmlformats.org/officeDocument/2006/relationships/pivotTable" Target="../pivotTables/pivotTable16.xml"/><Relationship Id="rId7" Type="http://schemas.openxmlformats.org/officeDocument/2006/relationships/pivotTable" Target="../pivotTables/pivotTable20.xml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6" Type="http://schemas.openxmlformats.org/officeDocument/2006/relationships/pivotTable" Target="../pivotTables/pivotTable19.xml"/><Relationship Id="rId5" Type="http://schemas.openxmlformats.org/officeDocument/2006/relationships/pivotTable" Target="../pivotTables/pivotTable18.xml"/><Relationship Id="rId4" Type="http://schemas.openxmlformats.org/officeDocument/2006/relationships/pivotTable" Target="../pivotTables/pivotTable17.xml"/><Relationship Id="rId9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23.xml"/><Relationship Id="rId1" Type="http://schemas.openxmlformats.org/officeDocument/2006/relationships/pivotTable" Target="../pivotTables/pivotTable2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6.xml"/><Relationship Id="rId2" Type="http://schemas.openxmlformats.org/officeDocument/2006/relationships/pivotTable" Target="../pivotTables/pivotTable25.xml"/><Relationship Id="rId1" Type="http://schemas.openxmlformats.org/officeDocument/2006/relationships/pivotTable" Target="../pivotTables/pivotTable24.xml"/><Relationship Id="rId4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9.xml"/><Relationship Id="rId2" Type="http://schemas.openxmlformats.org/officeDocument/2006/relationships/pivotTable" Target="../pivotTables/pivotTable28.xml"/><Relationship Id="rId1" Type="http://schemas.openxmlformats.org/officeDocument/2006/relationships/pivotTable" Target="../pivotTables/pivotTable27.xml"/><Relationship Id="rId4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2.xml"/><Relationship Id="rId2" Type="http://schemas.openxmlformats.org/officeDocument/2006/relationships/pivotTable" Target="../pivotTables/pivotTable31.xml"/><Relationship Id="rId1" Type="http://schemas.openxmlformats.org/officeDocument/2006/relationships/pivotTable" Target="../pivotTables/pivotTable30.xml"/><Relationship Id="rId5" Type="http://schemas.openxmlformats.org/officeDocument/2006/relationships/drawing" Target="../drawings/drawing33.xml"/><Relationship Id="rId4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5.xml"/><Relationship Id="rId2" Type="http://schemas.openxmlformats.org/officeDocument/2006/relationships/pivotTable" Target="../pivotTables/pivotTable34.xml"/><Relationship Id="rId1" Type="http://schemas.openxmlformats.org/officeDocument/2006/relationships/pivotTable" Target="../pivotTables/pivotTable33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7.xml"/><Relationship Id="rId1" Type="http://schemas.openxmlformats.org/officeDocument/2006/relationships/pivotTable" Target="../pivotTables/pivotTable36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0.xml"/><Relationship Id="rId2" Type="http://schemas.openxmlformats.org/officeDocument/2006/relationships/pivotTable" Target="../pivotTables/pivotTable39.xml"/><Relationship Id="rId1" Type="http://schemas.openxmlformats.org/officeDocument/2006/relationships/pivotTable" Target="../pivotTables/pivotTable38.xml"/><Relationship Id="rId4" Type="http://schemas.openxmlformats.org/officeDocument/2006/relationships/drawing" Target="../drawings/drawing4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2.xml"/><Relationship Id="rId1" Type="http://schemas.openxmlformats.org/officeDocument/2006/relationships/pivotTable" Target="../pivotTables/pivotTable41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ivotTable" Target="../pivotTables/pivotTable44.xml"/><Relationship Id="rId1" Type="http://schemas.openxmlformats.org/officeDocument/2006/relationships/pivotTable" Target="../pivotTables/pivotTable4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ivotTable" Target="../pivotTables/pivotTable46.xml"/><Relationship Id="rId1" Type="http://schemas.openxmlformats.org/officeDocument/2006/relationships/pivotTable" Target="../pivotTables/pivotTable45.xm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54.xml"/><Relationship Id="rId3" Type="http://schemas.openxmlformats.org/officeDocument/2006/relationships/pivotTable" Target="../pivotTables/pivotTable49.xml"/><Relationship Id="rId7" Type="http://schemas.openxmlformats.org/officeDocument/2006/relationships/pivotTable" Target="../pivotTables/pivotTable53.xml"/><Relationship Id="rId2" Type="http://schemas.openxmlformats.org/officeDocument/2006/relationships/pivotTable" Target="../pivotTables/pivotTable48.xml"/><Relationship Id="rId1" Type="http://schemas.openxmlformats.org/officeDocument/2006/relationships/pivotTable" Target="../pivotTables/pivotTable47.xml"/><Relationship Id="rId6" Type="http://schemas.openxmlformats.org/officeDocument/2006/relationships/pivotTable" Target="../pivotTables/pivotTable52.xml"/><Relationship Id="rId5" Type="http://schemas.openxmlformats.org/officeDocument/2006/relationships/pivotTable" Target="../pivotTables/pivotTable51.xml"/><Relationship Id="rId4" Type="http://schemas.openxmlformats.org/officeDocument/2006/relationships/pivotTable" Target="../pivotTables/pivotTable50.xml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62.xml"/><Relationship Id="rId3" Type="http://schemas.openxmlformats.org/officeDocument/2006/relationships/pivotTable" Target="../pivotTables/pivotTable57.xml"/><Relationship Id="rId7" Type="http://schemas.openxmlformats.org/officeDocument/2006/relationships/pivotTable" Target="../pivotTables/pivotTable61.xml"/><Relationship Id="rId2" Type="http://schemas.openxmlformats.org/officeDocument/2006/relationships/pivotTable" Target="../pivotTables/pivotTable56.xml"/><Relationship Id="rId1" Type="http://schemas.openxmlformats.org/officeDocument/2006/relationships/pivotTable" Target="../pivotTables/pivotTable55.xml"/><Relationship Id="rId6" Type="http://schemas.openxmlformats.org/officeDocument/2006/relationships/pivotTable" Target="../pivotTables/pivotTable60.xml"/><Relationship Id="rId5" Type="http://schemas.openxmlformats.org/officeDocument/2006/relationships/pivotTable" Target="../pivotTables/pivotTable59.xml"/><Relationship Id="rId4" Type="http://schemas.openxmlformats.org/officeDocument/2006/relationships/pivotTable" Target="../pivotTables/pivotTable5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5.xml"/><Relationship Id="rId7" Type="http://schemas.openxmlformats.org/officeDocument/2006/relationships/pivotTable" Target="../pivotTables/pivotTable69.xml"/><Relationship Id="rId2" Type="http://schemas.openxmlformats.org/officeDocument/2006/relationships/pivotTable" Target="../pivotTables/pivotTable64.xml"/><Relationship Id="rId1" Type="http://schemas.openxmlformats.org/officeDocument/2006/relationships/pivotTable" Target="../pivotTables/pivotTable63.xml"/><Relationship Id="rId6" Type="http://schemas.openxmlformats.org/officeDocument/2006/relationships/pivotTable" Target="../pivotTables/pivotTable68.xml"/><Relationship Id="rId5" Type="http://schemas.openxmlformats.org/officeDocument/2006/relationships/pivotTable" Target="../pivotTables/pivotTable67.xml"/><Relationship Id="rId4" Type="http://schemas.openxmlformats.org/officeDocument/2006/relationships/pivotTable" Target="../pivotTables/pivotTable66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71.xml"/><Relationship Id="rId1" Type="http://schemas.openxmlformats.org/officeDocument/2006/relationships/pivotTable" Target="../pivotTables/pivotTable70.xml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79.xml"/><Relationship Id="rId3" Type="http://schemas.openxmlformats.org/officeDocument/2006/relationships/pivotTable" Target="../pivotTables/pivotTable74.xml"/><Relationship Id="rId7" Type="http://schemas.openxmlformats.org/officeDocument/2006/relationships/pivotTable" Target="../pivotTables/pivotTable78.xml"/><Relationship Id="rId2" Type="http://schemas.openxmlformats.org/officeDocument/2006/relationships/pivotTable" Target="../pivotTables/pivotTable73.xml"/><Relationship Id="rId1" Type="http://schemas.openxmlformats.org/officeDocument/2006/relationships/pivotTable" Target="../pivotTables/pivotTable72.xml"/><Relationship Id="rId6" Type="http://schemas.openxmlformats.org/officeDocument/2006/relationships/pivotTable" Target="../pivotTables/pivotTable77.xml"/><Relationship Id="rId5" Type="http://schemas.openxmlformats.org/officeDocument/2006/relationships/pivotTable" Target="../pivotTables/pivotTable76.xml"/><Relationship Id="rId4" Type="http://schemas.openxmlformats.org/officeDocument/2006/relationships/pivotTable" Target="../pivotTables/pivotTable75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2.xml"/><Relationship Id="rId2" Type="http://schemas.openxmlformats.org/officeDocument/2006/relationships/pivotTable" Target="../pivotTables/pivotTable81.xml"/><Relationship Id="rId1" Type="http://schemas.openxmlformats.org/officeDocument/2006/relationships/pivotTable" Target="../pivotTables/pivotTable80.xml"/><Relationship Id="rId4" Type="http://schemas.openxmlformats.org/officeDocument/2006/relationships/pivotTable" Target="../pivotTables/pivotTable83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85.xml"/><Relationship Id="rId1" Type="http://schemas.openxmlformats.org/officeDocument/2006/relationships/pivotTable" Target="../pivotTables/pivotTable8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87.xml"/><Relationship Id="rId1" Type="http://schemas.openxmlformats.org/officeDocument/2006/relationships/pivotTable" Target="../pivotTables/pivotTable8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N755"/>
  <sheetViews>
    <sheetView zoomScale="98" zoomScaleNormal="98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Y2" sqref="Y2:Y45"/>
    </sheetView>
  </sheetViews>
  <sheetFormatPr baseColWidth="10" defaultColWidth="10" defaultRowHeight="15" x14ac:dyDescent="0.25"/>
  <cols>
    <col min="1" max="1" width="13.5703125" style="46" customWidth="1"/>
    <col min="2" max="2" width="26.5703125" style="2" customWidth="1"/>
    <col min="3" max="3" width="13.28515625" style="2" customWidth="1"/>
    <col min="4" max="4" width="16.7109375" style="8" customWidth="1"/>
    <col min="5" max="5" width="9.28515625" style="1" customWidth="1"/>
    <col min="6" max="6" width="14.140625" style="1" customWidth="1"/>
    <col min="7" max="7" width="17.42578125" style="1" customWidth="1"/>
    <col min="8" max="9" width="23.5703125" style="1" customWidth="1"/>
    <col min="10" max="10" width="13" style="1" customWidth="1"/>
    <col min="11" max="11" width="9.140625" style="1" customWidth="1"/>
    <col min="12" max="12" width="17.140625" style="8" customWidth="1"/>
    <col min="13" max="13" width="12.5703125" style="8" customWidth="1"/>
    <col min="14" max="14" width="23.7109375" style="1" customWidth="1"/>
    <col min="15" max="15" width="21.5703125" style="1" customWidth="1"/>
    <col min="16" max="16" width="29.7109375" style="1" customWidth="1"/>
    <col min="17" max="17" width="20.7109375" style="1" customWidth="1"/>
    <col min="18" max="18" width="17.42578125" style="1" customWidth="1"/>
    <col min="19" max="19" width="11.140625" style="1" customWidth="1"/>
    <col min="20" max="20" width="11.42578125" style="1" customWidth="1"/>
    <col min="21" max="21" width="14.5703125" style="1" customWidth="1"/>
    <col min="22" max="22" width="12.140625" style="1" customWidth="1"/>
    <col min="23" max="23" width="11.28515625" style="1" customWidth="1"/>
    <col min="24" max="24" width="15.28515625" style="8" customWidth="1"/>
    <col min="25" max="25" width="16.5703125" style="1" customWidth="1"/>
    <col min="26" max="26" width="16" style="1" customWidth="1"/>
    <col min="27" max="27" width="10.42578125" style="1" customWidth="1"/>
    <col min="28" max="28" width="9.5703125" style="1" customWidth="1"/>
    <col min="29" max="29" width="10.140625" style="1" customWidth="1"/>
    <col min="30" max="30" width="10.7109375" style="1" customWidth="1"/>
    <col min="31" max="31" width="15.5703125" style="1" customWidth="1"/>
    <col min="32" max="32" width="17.28515625" style="1" customWidth="1"/>
    <col min="33" max="33" width="15.5703125" style="1" customWidth="1"/>
    <col min="34" max="34" width="19.140625" style="1" customWidth="1"/>
    <col min="35" max="35" width="11.140625" style="1" customWidth="1"/>
    <col min="36" max="36" width="15.5703125" style="1" customWidth="1"/>
    <col min="37" max="37" width="14.28515625" style="1" customWidth="1"/>
    <col min="38" max="39" width="16" style="8" customWidth="1"/>
    <col min="40" max="40" width="12.28515625" style="1" customWidth="1"/>
    <col min="41" max="41" width="25.85546875" style="1" customWidth="1"/>
    <col min="42" max="42" width="19.7109375" style="1" customWidth="1"/>
    <col min="43" max="43" width="13.5703125" style="1" customWidth="1"/>
    <col min="44" max="44" width="10.5703125" style="9" customWidth="1"/>
    <col min="45" max="45" width="15.5703125" style="18" customWidth="1"/>
    <col min="46" max="46" width="16.85546875" customWidth="1"/>
    <col min="47" max="47" width="24.5703125" style="2" customWidth="1"/>
    <col min="48" max="48" width="13.85546875" customWidth="1"/>
    <col min="49" max="49" width="14.7109375" customWidth="1"/>
    <col min="50" max="50" width="10.140625" customWidth="1"/>
    <col min="51" max="51" width="27" customWidth="1"/>
    <col min="52" max="52" width="14" customWidth="1"/>
    <col min="53" max="53" width="10.140625" customWidth="1"/>
    <col min="54" max="54" width="24.5703125" customWidth="1"/>
    <col min="55" max="55" width="15.42578125" customWidth="1"/>
    <col min="56" max="57" width="20.42578125" customWidth="1"/>
    <col min="58" max="58" width="20.5703125" style="64" customWidth="1"/>
    <col min="59" max="59" width="17.140625" style="1" customWidth="1"/>
    <col min="60" max="60" width="20.42578125" style="1" customWidth="1"/>
    <col min="61" max="61" width="20.42578125" style="1" hidden="1" customWidth="1"/>
    <col min="62" max="62" width="21" style="5" hidden="1" customWidth="1"/>
    <col min="63" max="66" width="20.28515625" style="5" hidden="1" customWidth="1"/>
    <col min="67" max="70" width="14" style="5" hidden="1" customWidth="1"/>
    <col min="71" max="71" width="20.5703125" style="5" hidden="1" customWidth="1"/>
    <col min="72" max="72" width="22.42578125" style="1" customWidth="1"/>
    <col min="73" max="74" width="17.140625" style="1" customWidth="1"/>
    <col min="75" max="75" width="20.28515625" style="5" bestFit="1" customWidth="1"/>
    <col min="76" max="76" width="12" style="5" customWidth="1"/>
    <col min="77" max="16384" width="10" style="5"/>
  </cols>
  <sheetData>
    <row r="1" spans="1:76" s="4" customFormat="1" ht="12.75" x14ac:dyDescent="0.2">
      <c r="A1" s="251" t="s">
        <v>8</v>
      </c>
      <c r="B1" s="52" t="s">
        <v>9</v>
      </c>
      <c r="C1" s="252" t="s">
        <v>10</v>
      </c>
      <c r="D1" s="253" t="s">
        <v>11</v>
      </c>
      <c r="E1" s="52" t="s">
        <v>12</v>
      </c>
      <c r="F1" s="52" t="s">
        <v>196</v>
      </c>
      <c r="G1" s="52" t="s">
        <v>13</v>
      </c>
      <c r="H1" s="52" t="s">
        <v>14</v>
      </c>
      <c r="I1" s="52" t="s">
        <v>329</v>
      </c>
      <c r="J1" s="52" t="s">
        <v>15</v>
      </c>
      <c r="K1" s="52" t="s">
        <v>16</v>
      </c>
      <c r="L1" s="253" t="s">
        <v>17</v>
      </c>
      <c r="M1" s="253" t="s">
        <v>198</v>
      </c>
      <c r="N1" s="254" t="s">
        <v>18</v>
      </c>
      <c r="O1" s="254" t="s">
        <v>60</v>
      </c>
      <c r="P1" s="254" t="s">
        <v>295</v>
      </c>
      <c r="Q1" s="254" t="s">
        <v>185</v>
      </c>
      <c r="R1" s="254" t="s">
        <v>61</v>
      </c>
      <c r="S1" s="52" t="s">
        <v>19</v>
      </c>
      <c r="T1" s="52" t="s">
        <v>20</v>
      </c>
      <c r="U1" s="52" t="s">
        <v>21</v>
      </c>
      <c r="V1" s="52" t="s">
        <v>22</v>
      </c>
      <c r="W1" s="52" t="s">
        <v>23</v>
      </c>
      <c r="X1" s="255" t="s">
        <v>68</v>
      </c>
      <c r="Y1" s="256" t="s">
        <v>69</v>
      </c>
      <c r="Z1" s="256" t="s">
        <v>142</v>
      </c>
      <c r="AA1" s="52" t="s">
        <v>141</v>
      </c>
      <c r="AB1" s="254" t="s">
        <v>207</v>
      </c>
      <c r="AC1" s="257" t="s">
        <v>208</v>
      </c>
      <c r="AD1" s="258" t="s">
        <v>74</v>
      </c>
      <c r="AE1" s="259" t="s">
        <v>75</v>
      </c>
      <c r="AF1" s="259" t="s">
        <v>66</v>
      </c>
      <c r="AG1" s="259" t="s">
        <v>76</v>
      </c>
      <c r="AH1" s="259" t="s">
        <v>67</v>
      </c>
      <c r="AI1" s="259" t="s">
        <v>153</v>
      </c>
      <c r="AJ1" s="52" t="s">
        <v>77</v>
      </c>
      <c r="AK1" s="52" t="s">
        <v>24</v>
      </c>
      <c r="AL1" s="253" t="s">
        <v>25</v>
      </c>
      <c r="AM1" s="52" t="s">
        <v>26</v>
      </c>
      <c r="AN1" s="260" t="s">
        <v>27</v>
      </c>
      <c r="AO1" s="260" t="s">
        <v>291</v>
      </c>
      <c r="AP1" s="260" t="s">
        <v>290</v>
      </c>
      <c r="AQ1" s="52" t="s">
        <v>28</v>
      </c>
      <c r="AR1" s="261" t="s">
        <v>70</v>
      </c>
      <c r="AS1" s="261" t="s">
        <v>71</v>
      </c>
      <c r="AT1" s="261" t="s">
        <v>59</v>
      </c>
      <c r="AU1" s="52" t="s">
        <v>330</v>
      </c>
      <c r="AV1" s="262" t="s">
        <v>29</v>
      </c>
      <c r="AW1" s="263" t="s">
        <v>30</v>
      </c>
      <c r="AX1" s="263" t="s">
        <v>31</v>
      </c>
      <c r="AY1" s="263" t="s">
        <v>32</v>
      </c>
      <c r="AZ1" s="263" t="s">
        <v>33</v>
      </c>
      <c r="BA1" s="263" t="s">
        <v>34</v>
      </c>
      <c r="BB1" s="263" t="s">
        <v>331</v>
      </c>
      <c r="BC1" s="264" t="s">
        <v>93</v>
      </c>
      <c r="BD1" s="264" t="s">
        <v>94</v>
      </c>
      <c r="BE1" s="264" t="s">
        <v>95</v>
      </c>
      <c r="BF1" s="264" t="s">
        <v>332</v>
      </c>
      <c r="BG1" s="264" t="s">
        <v>333</v>
      </c>
      <c r="BH1" s="264" t="s">
        <v>338</v>
      </c>
      <c r="BI1" s="264" t="s">
        <v>334</v>
      </c>
      <c r="BJ1" s="264" t="s">
        <v>96</v>
      </c>
      <c r="BK1" s="264" t="s">
        <v>97</v>
      </c>
      <c r="BL1" s="265" t="s">
        <v>101</v>
      </c>
      <c r="BM1" s="265" t="s">
        <v>132</v>
      </c>
      <c r="BN1" s="265" t="s">
        <v>133</v>
      </c>
      <c r="BO1" s="265" t="s">
        <v>99</v>
      </c>
      <c r="BP1" s="265" t="s">
        <v>136</v>
      </c>
      <c r="BQ1" s="265" t="s">
        <v>137</v>
      </c>
      <c r="BR1" s="265" t="s">
        <v>118</v>
      </c>
      <c r="BS1" s="265" t="s">
        <v>119</v>
      </c>
      <c r="BT1" s="266" t="s">
        <v>117</v>
      </c>
      <c r="BU1" s="264" t="s">
        <v>278</v>
      </c>
      <c r="BV1" s="264" t="s">
        <v>280</v>
      </c>
      <c r="BW1" s="267" t="s">
        <v>195</v>
      </c>
      <c r="BX1" s="4" t="s">
        <v>351</v>
      </c>
    </row>
    <row r="2" spans="1:76" ht="12.95" customHeight="1" x14ac:dyDescent="0.2">
      <c r="A2" s="268" t="s">
        <v>212</v>
      </c>
      <c r="B2" s="276"/>
      <c r="C2" s="269"/>
      <c r="D2" s="299"/>
      <c r="E2" s="320">
        <f>(L2-D2)/365</f>
        <v>0</v>
      </c>
      <c r="F2" s="320" t="str">
        <f>IF(E2&lt;80," ","1")</f>
        <v xml:space="preserve"> </v>
      </c>
      <c r="G2" s="298"/>
      <c r="H2" s="298"/>
      <c r="I2" s="298"/>
      <c r="J2" s="298"/>
      <c r="K2" s="298"/>
      <c r="L2" s="299"/>
      <c r="M2" s="285"/>
      <c r="N2" s="298"/>
      <c r="O2" s="307"/>
      <c r="P2" s="307" t="str">
        <f>IFERROR(VLOOKUP(O2,Références!$K$11:$N$19,2)," ")</f>
        <v xml:space="preserve"> </v>
      </c>
      <c r="Q2" s="307" t="str">
        <f>IFERROR(VLOOKUP(O2,Références!$K$11:$N$19,3)," ")</f>
        <v xml:space="preserve"> </v>
      </c>
      <c r="R2" s="307" t="str">
        <f>IFERROR(VLOOKUP(O2,Références!$K$11:$N$19,4)," ")</f>
        <v xml:space="preserve"> </v>
      </c>
      <c r="S2" s="298"/>
      <c r="T2" s="298"/>
      <c r="U2" s="298"/>
      <c r="V2" s="298"/>
      <c r="W2" s="298"/>
      <c r="X2" s="299"/>
      <c r="Y2" s="298">
        <v>1</v>
      </c>
      <c r="Z2" s="298"/>
      <c r="AA2" s="298"/>
      <c r="AB2" s="277"/>
      <c r="AC2" s="277"/>
      <c r="AD2" s="277"/>
      <c r="AE2" s="277"/>
      <c r="AF2" s="277">
        <v>8</v>
      </c>
      <c r="AG2" s="277"/>
      <c r="AH2" s="277">
        <v>15</v>
      </c>
      <c r="AI2" s="277">
        <f>SUM(AF2,AH2)</f>
        <v>23</v>
      </c>
      <c r="AJ2" s="299"/>
      <c r="AK2" s="298">
        <f>(AJ2-L2)</f>
        <v>0</v>
      </c>
      <c r="AL2" s="299"/>
      <c r="AM2" s="308">
        <f>(AL2-L2)</f>
        <v>0</v>
      </c>
      <c r="AN2" s="298"/>
      <c r="AO2" s="318"/>
      <c r="AP2" s="303" t="str">
        <f>IF(AO2=1,"ELECTIVE",IF(AO2=2,"URGENCY",IF(AO2=3,"EMERGENCY",IF(AO2=4,"SALVAGE"," "))))</f>
        <v xml:space="preserve"> </v>
      </c>
      <c r="AQ2" s="298"/>
      <c r="AR2" s="337"/>
      <c r="AS2" s="337"/>
      <c r="AT2" s="305"/>
      <c r="AU2" s="319"/>
      <c r="AV2" s="305"/>
      <c r="AW2" s="272"/>
      <c r="AX2" s="342"/>
      <c r="AY2" s="343"/>
      <c r="AZ2" s="272"/>
      <c r="BA2" s="342" t="s">
        <v>234</v>
      </c>
      <c r="BB2" s="337"/>
      <c r="BC2" s="270">
        <f>IF(BG2="Aucune",0,1)</f>
        <v>0</v>
      </c>
      <c r="BD2" s="270">
        <f>IF(BH2="Aucune",0,1)</f>
        <v>1</v>
      </c>
      <c r="BE2" s="270">
        <f t="shared" ref="BE2:BE65" si="0">IF(AG2="Aucune",0,1)</f>
        <v>1</v>
      </c>
      <c r="BF2" s="270" t="str">
        <f>IF(AO2=1,"ELECTIVE",IF(AO2=2,"URGENCY",IF(AO2=3,"EMERGENCY",IF(AO2=4,"SALVAGE","ALIVE"))))</f>
        <v>ALIVE</v>
      </c>
      <c r="BG2" s="250" t="str">
        <f>IF(AD2="","Aucune","Infection")</f>
        <v>Aucune</v>
      </c>
      <c r="BH2" s="250" t="str">
        <f t="shared" ref="BH2:BH65" si="1">IF(AI2&gt;0,"Transfusion","Aucune")</f>
        <v>Transfusion</v>
      </c>
      <c r="BI2" s="250" t="str">
        <f t="shared" ref="BI2:BI65" si="2">IF(AG2="","Aucune","Transfusé")</f>
        <v>Aucune</v>
      </c>
      <c r="BJ2" s="250" t="str">
        <f t="shared" ref="BJ2:BJ33" si="3">IF(X2&lt;&gt;"",IF(X2-L2&lt;2,"OUI","NON"),"NON")</f>
        <v>NON</v>
      </c>
      <c r="BK2" s="250" t="str">
        <f t="shared" ref="BK2:BK65" si="4">IF(AS2="","NON","OUI")</f>
        <v>NON</v>
      </c>
      <c r="BL2" s="250" t="str">
        <f t="shared" ref="BL2:BL33" si="5">IF(AL2-L2&gt;0,AL2-L2,"Inconnu")</f>
        <v>Inconnu</v>
      </c>
      <c r="BM2" s="250" t="str">
        <f>IF($O2&lt;&gt;"HTX",IF($O2&lt;&gt;"LVAD",BL2,"Inconnu"),"Inconnu")</f>
        <v>Inconnu</v>
      </c>
      <c r="BN2" s="250" t="str">
        <f>IF($O2="HTX",BL2,IF($O2="LVAD",BL2,"Inconnu"))</f>
        <v>Inconnu</v>
      </c>
      <c r="BO2" s="250" t="str">
        <f t="shared" ref="BO2:BO33" si="6">IF(AJ2-L2&gt;0,AJ2-L2,"Inconnu")</f>
        <v>Inconnu</v>
      </c>
      <c r="BP2" s="250" t="str">
        <f>IF($O2&lt;&gt;"HTX",IF($O2&lt;&gt;"LVAD",BO2,"Inconnu"),"Inconnu")</f>
        <v>Inconnu</v>
      </c>
      <c r="BQ2" s="250" t="str">
        <f>IF($O2="HTX",BO2,IF($O2="LVAD",BO2,"Inconnu"))</f>
        <v>Inconnu</v>
      </c>
      <c r="BR2" s="250" t="str">
        <f>IF(BH2="Aucune",IF(BI2="Aucune","Aucune","Transfusé"),"Transfusé")</f>
        <v>Transfusé</v>
      </c>
      <c r="BS2" s="250">
        <f t="shared" ref="BS2:BS33" si="7">AF2+AH2</f>
        <v>23</v>
      </c>
      <c r="BT2" s="271" t="e">
        <f>VLOOKUP($I2,Lieu_Activité!$A:$B,2,FALSE)</f>
        <v>#N/A</v>
      </c>
      <c r="BU2" s="250" t="str">
        <f t="shared" ref="BU2:BU65" si="8">IF(AB2="","Aucun","AVC")</f>
        <v>Aucun</v>
      </c>
      <c r="BV2" s="250" t="str">
        <f t="shared" ref="BV2:BV65" si="9">IF(AC2="","Aucun","IM")</f>
        <v>Aucun</v>
      </c>
      <c r="BW2" s="249" t="str">
        <f t="shared" ref="BW2:BW33" si="10">IF(M2="","NON","OUI")</f>
        <v>NON</v>
      </c>
      <c r="BX2" s="330"/>
    </row>
    <row r="3" spans="1:76" ht="12.95" customHeight="1" x14ac:dyDescent="0.2">
      <c r="A3" s="268" t="s">
        <v>212</v>
      </c>
      <c r="B3" s="276"/>
      <c r="C3" s="269"/>
      <c r="D3" s="299"/>
      <c r="E3" s="320">
        <f t="shared" ref="E3:E8" si="11">(L3-D3)/365</f>
        <v>0</v>
      </c>
      <c r="F3" s="320" t="str">
        <f t="shared" ref="F3:F66" si="12">IF(E3&lt;80," ","1")</f>
        <v xml:space="preserve"> </v>
      </c>
      <c r="G3" s="298"/>
      <c r="H3" s="298"/>
      <c r="I3" s="298"/>
      <c r="J3" s="298"/>
      <c r="K3" s="298"/>
      <c r="L3" s="299"/>
      <c r="M3" s="285"/>
      <c r="N3" s="298"/>
      <c r="O3" s="298"/>
      <c r="P3" s="307" t="str">
        <f>IFERROR(VLOOKUP(O3,Références!$K$11:$N$19,2)," ")</f>
        <v xml:space="preserve"> </v>
      </c>
      <c r="Q3" s="307" t="str">
        <f>IFERROR(VLOOKUP(O3,Références!$K$11:$N$19,3)," ")</f>
        <v xml:space="preserve"> </v>
      </c>
      <c r="R3" s="307" t="str">
        <f>IFERROR(VLOOKUP(O3,Références!$K$11:$N$19,4)," ")</f>
        <v xml:space="preserve"> </v>
      </c>
      <c r="S3" s="298"/>
      <c r="T3" s="298"/>
      <c r="U3" s="298"/>
      <c r="V3" s="298"/>
      <c r="W3" s="298"/>
      <c r="X3" s="299"/>
      <c r="Y3" s="298">
        <v>1</v>
      </c>
      <c r="Z3" s="298"/>
      <c r="AA3" s="298"/>
      <c r="AB3" s="277"/>
      <c r="AC3" s="277"/>
      <c r="AD3" s="277"/>
      <c r="AE3" s="277"/>
      <c r="AF3" s="277">
        <v>8</v>
      </c>
      <c r="AG3" s="277"/>
      <c r="AH3" s="277">
        <v>15</v>
      </c>
      <c r="AI3" s="277">
        <f t="shared" ref="AI3:AI8" si="13">SUM(AF3,AH3)</f>
        <v>23</v>
      </c>
      <c r="AJ3" s="299"/>
      <c r="AK3" s="298">
        <f t="shared" ref="AK3:AK8" si="14">(AJ3-L3)</f>
        <v>0</v>
      </c>
      <c r="AL3" s="299"/>
      <c r="AM3" s="308">
        <f t="shared" ref="AM3:AM8" si="15">(AL3-L3)</f>
        <v>0</v>
      </c>
      <c r="AN3" s="298"/>
      <c r="AO3" s="318"/>
      <c r="AP3" s="303" t="str">
        <f t="shared" ref="AP3:AP66" si="16">IF(AO3=1,"ELECTIVE",IF(AO3=2,"URGENCY",IF(AO3=3,"EMERGENCY",IF(AO3=4,"SALVAGE"," "))))</f>
        <v xml:space="preserve"> </v>
      </c>
      <c r="AQ3" s="298"/>
      <c r="AR3" s="337"/>
      <c r="AS3" s="337"/>
      <c r="AT3" s="305"/>
      <c r="AU3" s="319"/>
      <c r="AV3" s="305"/>
      <c r="AW3" s="272"/>
      <c r="AX3" s="342"/>
      <c r="AY3" s="343"/>
      <c r="AZ3" s="272"/>
      <c r="BA3" s="272" t="s">
        <v>234</v>
      </c>
      <c r="BB3" s="337"/>
      <c r="BC3" s="270">
        <f t="shared" ref="BC3:BC8" si="17">IF(BG3="Aucune",0,1)</f>
        <v>0</v>
      </c>
      <c r="BD3" s="270">
        <f t="shared" ref="BD3:BD8" si="18">IF(BH3="Aucune",0,1)</f>
        <v>1</v>
      </c>
      <c r="BE3" s="270">
        <f t="shared" si="0"/>
        <v>1</v>
      </c>
      <c r="BF3" s="270" t="str">
        <f t="shared" ref="BF3:BF66" si="19">IF(AO3=1,"ELECTIVE",IF(AO3=2,"URGENCY",IF(AO3=3,"EMERGENCY",IF(AO3=4,"SALVAGE","ALIVE"))))</f>
        <v>ALIVE</v>
      </c>
      <c r="BG3" s="250" t="str">
        <f t="shared" ref="BG3:BG65" si="20">IF(AD3="","Aucune","Infection")</f>
        <v>Aucune</v>
      </c>
      <c r="BH3" s="250" t="str">
        <f t="shared" si="1"/>
        <v>Transfusion</v>
      </c>
      <c r="BI3" s="250" t="str">
        <f t="shared" si="2"/>
        <v>Aucune</v>
      </c>
      <c r="BJ3" s="250" t="str">
        <f t="shared" si="3"/>
        <v>NON</v>
      </c>
      <c r="BK3" s="250" t="str">
        <f t="shared" si="4"/>
        <v>NON</v>
      </c>
      <c r="BL3" s="250" t="str">
        <f t="shared" si="5"/>
        <v>Inconnu</v>
      </c>
      <c r="BM3" s="250" t="str">
        <f t="shared" ref="BM3:BM8" si="21">IF($O3&lt;&gt;"HTX",IF($O3&lt;&gt;"LVAD",BL3,"Inconnu"),"Inconnu")</f>
        <v>Inconnu</v>
      </c>
      <c r="BN3" s="250" t="str">
        <f t="shared" ref="BN3:BN8" si="22">IF($O3="HTX",BL3,IF($O3="LVAD",BL3,"Inconnu"))</f>
        <v>Inconnu</v>
      </c>
      <c r="BO3" s="250" t="str">
        <f t="shared" si="6"/>
        <v>Inconnu</v>
      </c>
      <c r="BP3" s="250" t="str">
        <f t="shared" ref="BP3:BP8" si="23">IF($O3&lt;&gt;"HTX",IF($O3&lt;&gt;"LVAD",BO3,"Inconnu"),"Inconnu")</f>
        <v>Inconnu</v>
      </c>
      <c r="BQ3" s="250" t="str">
        <f t="shared" ref="BQ3:BQ8" si="24">IF($O3="HTX",BO3,IF($O3="LVAD",BO3,"Inconnu"))</f>
        <v>Inconnu</v>
      </c>
      <c r="BR3" s="250" t="str">
        <f t="shared" ref="BR3:BR8" si="25">IF(BH3="Aucune",IF(BI3="Aucune","Aucune","Transfusé"),"Transfusé")</f>
        <v>Transfusé</v>
      </c>
      <c r="BS3" s="250">
        <f t="shared" si="7"/>
        <v>23</v>
      </c>
      <c r="BT3" s="271" t="e">
        <f>VLOOKUP($I3,Lieu_Activité!$A:$B,2,FALSE)</f>
        <v>#N/A</v>
      </c>
      <c r="BU3" s="250" t="str">
        <f t="shared" si="8"/>
        <v>Aucun</v>
      </c>
      <c r="BV3" s="250" t="str">
        <f t="shared" si="9"/>
        <v>Aucun</v>
      </c>
      <c r="BW3" s="249" t="str">
        <f t="shared" si="10"/>
        <v>NON</v>
      </c>
      <c r="BX3" s="330"/>
    </row>
    <row r="4" spans="1:76" ht="12.95" customHeight="1" x14ac:dyDescent="0.2">
      <c r="A4" s="268" t="s">
        <v>212</v>
      </c>
      <c r="B4" s="276"/>
      <c r="C4" s="269"/>
      <c r="D4" s="299"/>
      <c r="E4" s="320">
        <f t="shared" si="11"/>
        <v>0</v>
      </c>
      <c r="F4" s="320" t="str">
        <f t="shared" si="12"/>
        <v xml:space="preserve"> </v>
      </c>
      <c r="G4" s="298"/>
      <c r="H4" s="298"/>
      <c r="I4" s="298"/>
      <c r="J4" s="298"/>
      <c r="K4" s="298"/>
      <c r="L4" s="299"/>
      <c r="M4" s="285"/>
      <c r="N4" s="298"/>
      <c r="O4" s="274"/>
      <c r="P4" s="307" t="str">
        <f>IFERROR(VLOOKUP(O4,Références!$K$11:$N$19,2)," ")</f>
        <v xml:space="preserve"> </v>
      </c>
      <c r="Q4" s="307" t="str">
        <f>IFERROR(VLOOKUP(O4,Références!$K$11:$N$19,3)," ")</f>
        <v xml:space="preserve"> </v>
      </c>
      <c r="R4" s="307" t="str">
        <f>IFERROR(VLOOKUP(O4,Références!$K$11:$N$19,4)," ")</f>
        <v xml:space="preserve"> </v>
      </c>
      <c r="S4" s="274"/>
      <c r="T4" s="298"/>
      <c r="U4" s="298"/>
      <c r="V4" s="298"/>
      <c r="W4" s="298"/>
      <c r="X4" s="299"/>
      <c r="Y4" s="298">
        <v>1</v>
      </c>
      <c r="Z4" s="298"/>
      <c r="AA4" s="298"/>
      <c r="AB4" s="277"/>
      <c r="AC4" s="277"/>
      <c r="AD4" s="277"/>
      <c r="AE4" s="277"/>
      <c r="AF4" s="277">
        <v>8</v>
      </c>
      <c r="AG4" s="277"/>
      <c r="AH4" s="277">
        <v>15</v>
      </c>
      <c r="AI4" s="277">
        <f t="shared" si="13"/>
        <v>23</v>
      </c>
      <c r="AJ4" s="299"/>
      <c r="AK4" s="298">
        <f t="shared" si="14"/>
        <v>0</v>
      </c>
      <c r="AL4" s="299"/>
      <c r="AM4" s="308">
        <f t="shared" si="15"/>
        <v>0</v>
      </c>
      <c r="AN4" s="298"/>
      <c r="AO4" s="318"/>
      <c r="AP4" s="303" t="str">
        <f t="shared" si="16"/>
        <v xml:space="preserve"> </v>
      </c>
      <c r="AQ4" s="298"/>
      <c r="AR4" s="337"/>
      <c r="AS4" s="337"/>
      <c r="AT4" s="305"/>
      <c r="AU4" s="319"/>
      <c r="AV4" s="305"/>
      <c r="AW4" s="272"/>
      <c r="AX4" s="342"/>
      <c r="AY4" s="343"/>
      <c r="AZ4" s="272"/>
      <c r="BA4" s="272" t="s">
        <v>234</v>
      </c>
      <c r="BB4" s="337"/>
      <c r="BC4" s="270">
        <f t="shared" si="17"/>
        <v>0</v>
      </c>
      <c r="BD4" s="270">
        <f t="shared" si="18"/>
        <v>1</v>
      </c>
      <c r="BE4" s="270">
        <f t="shared" si="0"/>
        <v>1</v>
      </c>
      <c r="BF4" s="270" t="str">
        <f t="shared" si="19"/>
        <v>ALIVE</v>
      </c>
      <c r="BG4" s="250" t="str">
        <f t="shared" si="20"/>
        <v>Aucune</v>
      </c>
      <c r="BH4" s="250" t="str">
        <f t="shared" si="1"/>
        <v>Transfusion</v>
      </c>
      <c r="BI4" s="250" t="str">
        <f t="shared" si="2"/>
        <v>Aucune</v>
      </c>
      <c r="BJ4" s="250" t="str">
        <f t="shared" si="3"/>
        <v>NON</v>
      </c>
      <c r="BK4" s="250" t="str">
        <f t="shared" si="4"/>
        <v>NON</v>
      </c>
      <c r="BL4" s="250" t="str">
        <f t="shared" si="5"/>
        <v>Inconnu</v>
      </c>
      <c r="BM4" s="250" t="str">
        <f t="shared" si="21"/>
        <v>Inconnu</v>
      </c>
      <c r="BN4" s="250" t="str">
        <f t="shared" si="22"/>
        <v>Inconnu</v>
      </c>
      <c r="BO4" s="250" t="str">
        <f t="shared" si="6"/>
        <v>Inconnu</v>
      </c>
      <c r="BP4" s="250" t="str">
        <f t="shared" si="23"/>
        <v>Inconnu</v>
      </c>
      <c r="BQ4" s="250" t="str">
        <f t="shared" si="24"/>
        <v>Inconnu</v>
      </c>
      <c r="BR4" s="250" t="str">
        <f t="shared" si="25"/>
        <v>Transfusé</v>
      </c>
      <c r="BS4" s="250">
        <f t="shared" si="7"/>
        <v>23</v>
      </c>
      <c r="BT4" s="271" t="e">
        <f>VLOOKUP($I4,Lieu_Activité!$A:$B,2,FALSE)</f>
        <v>#N/A</v>
      </c>
      <c r="BU4" s="250" t="str">
        <f t="shared" si="8"/>
        <v>Aucun</v>
      </c>
      <c r="BV4" s="250" t="str">
        <f t="shared" si="9"/>
        <v>Aucun</v>
      </c>
      <c r="BW4" s="249" t="str">
        <f t="shared" si="10"/>
        <v>NON</v>
      </c>
      <c r="BX4" s="330"/>
    </row>
    <row r="5" spans="1:76" ht="12.95" customHeight="1" x14ac:dyDescent="0.2">
      <c r="A5" s="268" t="s">
        <v>212</v>
      </c>
      <c r="B5" s="276"/>
      <c r="C5" s="269"/>
      <c r="D5" s="299"/>
      <c r="E5" s="320">
        <f t="shared" si="11"/>
        <v>0</v>
      </c>
      <c r="F5" s="320" t="str">
        <f t="shared" si="12"/>
        <v xml:space="preserve"> </v>
      </c>
      <c r="G5" s="298"/>
      <c r="H5" s="298"/>
      <c r="I5" s="298"/>
      <c r="J5" s="298"/>
      <c r="K5" s="298"/>
      <c r="L5" s="299"/>
      <c r="M5" s="285"/>
      <c r="N5" s="298"/>
      <c r="O5" s="298"/>
      <c r="P5" s="307" t="str">
        <f>IFERROR(VLOOKUP(O5,Références!$K$11:$N$19,2)," ")</f>
        <v xml:space="preserve"> </v>
      </c>
      <c r="Q5" s="307" t="str">
        <f>IFERROR(VLOOKUP(O5,Références!$K$11:$N$19,3)," ")</f>
        <v xml:space="preserve"> </v>
      </c>
      <c r="R5" s="307" t="str">
        <f>IFERROR(VLOOKUP(O5,Références!$K$11:$N$19,4)," ")</f>
        <v xml:space="preserve"> </v>
      </c>
      <c r="S5" s="298"/>
      <c r="T5" s="298"/>
      <c r="U5" s="298"/>
      <c r="V5" s="298"/>
      <c r="W5" s="298"/>
      <c r="X5" s="299"/>
      <c r="Y5" s="298">
        <v>1</v>
      </c>
      <c r="Z5" s="298"/>
      <c r="AA5" s="298"/>
      <c r="AB5" s="277"/>
      <c r="AC5" s="277"/>
      <c r="AD5" s="277"/>
      <c r="AE5" s="277"/>
      <c r="AF5" s="277">
        <v>8</v>
      </c>
      <c r="AG5" s="277"/>
      <c r="AH5" s="277">
        <v>15</v>
      </c>
      <c r="AI5" s="277">
        <f t="shared" si="13"/>
        <v>23</v>
      </c>
      <c r="AJ5" s="299"/>
      <c r="AK5" s="298">
        <f t="shared" si="14"/>
        <v>0</v>
      </c>
      <c r="AL5" s="299"/>
      <c r="AM5" s="308">
        <f t="shared" si="15"/>
        <v>0</v>
      </c>
      <c r="AN5" s="298"/>
      <c r="AO5" s="318"/>
      <c r="AP5" s="303" t="str">
        <f t="shared" si="16"/>
        <v xml:space="preserve"> </v>
      </c>
      <c r="AQ5" s="298"/>
      <c r="AR5" s="337"/>
      <c r="AS5" s="337"/>
      <c r="AT5" s="305"/>
      <c r="AU5" s="319"/>
      <c r="AV5" s="305"/>
      <c r="AW5" s="272"/>
      <c r="AX5" s="342"/>
      <c r="AY5" s="343"/>
      <c r="AZ5" s="272"/>
      <c r="BA5" s="272" t="s">
        <v>234</v>
      </c>
      <c r="BB5" s="337"/>
      <c r="BC5" s="270">
        <f t="shared" si="17"/>
        <v>0</v>
      </c>
      <c r="BD5" s="270">
        <f t="shared" si="18"/>
        <v>1</v>
      </c>
      <c r="BE5" s="270">
        <f t="shared" si="0"/>
        <v>1</v>
      </c>
      <c r="BF5" s="270" t="str">
        <f t="shared" si="19"/>
        <v>ALIVE</v>
      </c>
      <c r="BG5" s="250" t="str">
        <f t="shared" si="20"/>
        <v>Aucune</v>
      </c>
      <c r="BH5" s="250" t="str">
        <f t="shared" si="1"/>
        <v>Transfusion</v>
      </c>
      <c r="BI5" s="250" t="str">
        <f t="shared" si="2"/>
        <v>Aucune</v>
      </c>
      <c r="BJ5" s="250" t="str">
        <f t="shared" si="3"/>
        <v>NON</v>
      </c>
      <c r="BK5" s="250" t="str">
        <f t="shared" si="4"/>
        <v>NON</v>
      </c>
      <c r="BL5" s="250" t="str">
        <f t="shared" si="5"/>
        <v>Inconnu</v>
      </c>
      <c r="BM5" s="250" t="str">
        <f t="shared" si="21"/>
        <v>Inconnu</v>
      </c>
      <c r="BN5" s="250" t="str">
        <f t="shared" si="22"/>
        <v>Inconnu</v>
      </c>
      <c r="BO5" s="250" t="str">
        <f t="shared" si="6"/>
        <v>Inconnu</v>
      </c>
      <c r="BP5" s="250" t="str">
        <f t="shared" si="23"/>
        <v>Inconnu</v>
      </c>
      <c r="BQ5" s="250" t="str">
        <f t="shared" si="24"/>
        <v>Inconnu</v>
      </c>
      <c r="BR5" s="250" t="str">
        <f t="shared" si="25"/>
        <v>Transfusé</v>
      </c>
      <c r="BS5" s="250">
        <f t="shared" si="7"/>
        <v>23</v>
      </c>
      <c r="BT5" s="271" t="e">
        <f>VLOOKUP($I5,Lieu_Activité!$A:$B,2,FALSE)</f>
        <v>#N/A</v>
      </c>
      <c r="BU5" s="250" t="str">
        <f t="shared" si="8"/>
        <v>Aucun</v>
      </c>
      <c r="BV5" s="250" t="str">
        <f t="shared" si="9"/>
        <v>Aucun</v>
      </c>
      <c r="BW5" s="249" t="str">
        <f t="shared" si="10"/>
        <v>NON</v>
      </c>
      <c r="BX5" s="330"/>
    </row>
    <row r="6" spans="1:76" ht="12.95" customHeight="1" x14ac:dyDescent="0.2">
      <c r="A6" s="268" t="s">
        <v>212</v>
      </c>
      <c r="B6" s="276"/>
      <c r="C6" s="269"/>
      <c r="D6" s="299"/>
      <c r="E6" s="320">
        <f t="shared" si="11"/>
        <v>0</v>
      </c>
      <c r="F6" s="320" t="str">
        <f t="shared" si="12"/>
        <v xml:space="preserve"> </v>
      </c>
      <c r="G6" s="298"/>
      <c r="H6" s="298"/>
      <c r="I6" s="298"/>
      <c r="J6" s="298"/>
      <c r="K6" s="298"/>
      <c r="L6" s="299"/>
      <c r="M6" s="285"/>
      <c r="N6" s="298"/>
      <c r="O6" s="274"/>
      <c r="P6" s="307" t="str">
        <f>IFERROR(VLOOKUP(O6,Références!$K$11:$N$19,2)," ")</f>
        <v xml:space="preserve"> </v>
      </c>
      <c r="Q6" s="307" t="str">
        <f>IFERROR(VLOOKUP(O6,Références!$K$11:$N$19,3)," ")</f>
        <v xml:space="preserve"> </v>
      </c>
      <c r="R6" s="307" t="str">
        <f>IFERROR(VLOOKUP(O6,Références!$K$11:$N$19,4)," ")</f>
        <v xml:space="preserve"> </v>
      </c>
      <c r="S6" s="274"/>
      <c r="T6" s="298"/>
      <c r="U6" s="298"/>
      <c r="V6" s="298"/>
      <c r="W6" s="298"/>
      <c r="X6" s="299"/>
      <c r="Y6" s="298">
        <v>1</v>
      </c>
      <c r="Z6" s="298"/>
      <c r="AA6" s="298"/>
      <c r="AB6" s="277"/>
      <c r="AC6" s="277"/>
      <c r="AD6" s="277"/>
      <c r="AE6" s="277"/>
      <c r="AF6" s="277">
        <v>8</v>
      </c>
      <c r="AG6" s="277"/>
      <c r="AH6" s="277">
        <v>15</v>
      </c>
      <c r="AI6" s="277">
        <f t="shared" si="13"/>
        <v>23</v>
      </c>
      <c r="AJ6" s="299"/>
      <c r="AK6" s="298">
        <f t="shared" si="14"/>
        <v>0</v>
      </c>
      <c r="AL6" s="299"/>
      <c r="AM6" s="308">
        <f t="shared" si="15"/>
        <v>0</v>
      </c>
      <c r="AN6" s="298"/>
      <c r="AO6" s="318"/>
      <c r="AP6" s="303" t="str">
        <f t="shared" si="16"/>
        <v xml:space="preserve"> </v>
      </c>
      <c r="AQ6" s="298"/>
      <c r="AR6" s="337"/>
      <c r="AS6" s="337"/>
      <c r="AT6" s="305"/>
      <c r="AU6" s="319"/>
      <c r="AV6" s="305"/>
      <c r="AW6" s="272"/>
      <c r="AX6" s="342"/>
      <c r="AY6" s="343"/>
      <c r="AZ6" s="272"/>
      <c r="BA6" s="342" t="s">
        <v>234</v>
      </c>
      <c r="BB6" s="337"/>
      <c r="BC6" s="270">
        <f t="shared" si="17"/>
        <v>0</v>
      </c>
      <c r="BD6" s="270">
        <f t="shared" si="18"/>
        <v>1</v>
      </c>
      <c r="BE6" s="270">
        <f t="shared" si="0"/>
        <v>1</v>
      </c>
      <c r="BF6" s="270" t="str">
        <f t="shared" si="19"/>
        <v>ALIVE</v>
      </c>
      <c r="BG6" s="250" t="str">
        <f t="shared" si="20"/>
        <v>Aucune</v>
      </c>
      <c r="BH6" s="250" t="str">
        <f t="shared" si="1"/>
        <v>Transfusion</v>
      </c>
      <c r="BI6" s="250" t="str">
        <f t="shared" si="2"/>
        <v>Aucune</v>
      </c>
      <c r="BJ6" s="250" t="str">
        <f t="shared" si="3"/>
        <v>NON</v>
      </c>
      <c r="BK6" s="250" t="str">
        <f t="shared" si="4"/>
        <v>NON</v>
      </c>
      <c r="BL6" s="250" t="str">
        <f t="shared" si="5"/>
        <v>Inconnu</v>
      </c>
      <c r="BM6" s="250" t="str">
        <f t="shared" si="21"/>
        <v>Inconnu</v>
      </c>
      <c r="BN6" s="250" t="str">
        <f t="shared" si="22"/>
        <v>Inconnu</v>
      </c>
      <c r="BO6" s="250" t="str">
        <f t="shared" si="6"/>
        <v>Inconnu</v>
      </c>
      <c r="BP6" s="250" t="str">
        <f t="shared" si="23"/>
        <v>Inconnu</v>
      </c>
      <c r="BQ6" s="250" t="str">
        <f t="shared" si="24"/>
        <v>Inconnu</v>
      </c>
      <c r="BR6" s="250" t="str">
        <f t="shared" si="25"/>
        <v>Transfusé</v>
      </c>
      <c r="BS6" s="250">
        <f t="shared" si="7"/>
        <v>23</v>
      </c>
      <c r="BT6" s="271" t="e">
        <f>VLOOKUP($I6,Lieu_Activité!$A:$B,2,FALSE)</f>
        <v>#N/A</v>
      </c>
      <c r="BU6" s="250" t="str">
        <f t="shared" si="8"/>
        <v>Aucun</v>
      </c>
      <c r="BV6" s="250" t="str">
        <f t="shared" si="9"/>
        <v>Aucun</v>
      </c>
      <c r="BW6" s="249" t="str">
        <f t="shared" si="10"/>
        <v>NON</v>
      </c>
      <c r="BX6" s="330"/>
    </row>
    <row r="7" spans="1:76" ht="12.95" customHeight="1" x14ac:dyDescent="0.2">
      <c r="A7" s="268" t="s">
        <v>212</v>
      </c>
      <c r="B7" s="276"/>
      <c r="C7" s="269"/>
      <c r="D7" s="299"/>
      <c r="E7" s="320">
        <f t="shared" si="11"/>
        <v>0</v>
      </c>
      <c r="F7" s="320" t="str">
        <f t="shared" si="12"/>
        <v xml:space="preserve"> </v>
      </c>
      <c r="G7" s="298"/>
      <c r="H7" s="298"/>
      <c r="I7" s="298"/>
      <c r="J7" s="298"/>
      <c r="K7" s="298"/>
      <c r="L7" s="299"/>
      <c r="M7" s="285"/>
      <c r="N7" s="298"/>
      <c r="O7" s="298"/>
      <c r="P7" s="307" t="str">
        <f>IFERROR(VLOOKUP(O7,Références!$K$11:$N$19,2)," ")</f>
        <v xml:space="preserve"> </v>
      </c>
      <c r="Q7" s="307" t="str">
        <f>IFERROR(VLOOKUP(O7,Références!$K$11:$N$19,3)," ")</f>
        <v xml:space="preserve"> </v>
      </c>
      <c r="R7" s="307" t="str">
        <f>IFERROR(VLOOKUP(O7,Références!$K$11:$N$19,4)," ")</f>
        <v xml:space="preserve"> </v>
      </c>
      <c r="S7" s="298"/>
      <c r="T7" s="298"/>
      <c r="U7" s="298"/>
      <c r="V7" s="298"/>
      <c r="W7" s="298"/>
      <c r="X7" s="299"/>
      <c r="Y7" s="298">
        <v>1</v>
      </c>
      <c r="Z7" s="298"/>
      <c r="AA7" s="298"/>
      <c r="AB7" s="277"/>
      <c r="AC7" s="277"/>
      <c r="AD7" s="277"/>
      <c r="AE7" s="277"/>
      <c r="AF7" s="277">
        <v>8</v>
      </c>
      <c r="AG7" s="277"/>
      <c r="AH7" s="277">
        <v>15</v>
      </c>
      <c r="AI7" s="277">
        <f t="shared" si="13"/>
        <v>23</v>
      </c>
      <c r="AJ7" s="299"/>
      <c r="AK7" s="298">
        <f t="shared" si="14"/>
        <v>0</v>
      </c>
      <c r="AL7" s="299"/>
      <c r="AM7" s="308">
        <f t="shared" si="15"/>
        <v>0</v>
      </c>
      <c r="AN7" s="298"/>
      <c r="AO7" s="318"/>
      <c r="AP7" s="303" t="str">
        <f t="shared" si="16"/>
        <v xml:space="preserve"> </v>
      </c>
      <c r="AQ7" s="298"/>
      <c r="AR7" s="337"/>
      <c r="AS7" s="337"/>
      <c r="AT7" s="305"/>
      <c r="AU7" s="319"/>
      <c r="AV7" s="305"/>
      <c r="AW7" s="272"/>
      <c r="AX7" s="342"/>
      <c r="AY7" s="343"/>
      <c r="AZ7" s="272"/>
      <c r="BA7" s="272" t="s">
        <v>234</v>
      </c>
      <c r="BB7" s="337"/>
      <c r="BC7" s="270">
        <f t="shared" si="17"/>
        <v>0</v>
      </c>
      <c r="BD7" s="270">
        <f t="shared" si="18"/>
        <v>1</v>
      </c>
      <c r="BE7" s="270">
        <f t="shared" si="0"/>
        <v>1</v>
      </c>
      <c r="BF7" s="270" t="str">
        <f t="shared" si="19"/>
        <v>ALIVE</v>
      </c>
      <c r="BG7" s="250" t="str">
        <f t="shared" si="20"/>
        <v>Aucune</v>
      </c>
      <c r="BH7" s="250" t="str">
        <f t="shared" si="1"/>
        <v>Transfusion</v>
      </c>
      <c r="BI7" s="250" t="str">
        <f t="shared" si="2"/>
        <v>Aucune</v>
      </c>
      <c r="BJ7" s="250" t="str">
        <f t="shared" si="3"/>
        <v>NON</v>
      </c>
      <c r="BK7" s="250" t="str">
        <f t="shared" si="4"/>
        <v>NON</v>
      </c>
      <c r="BL7" s="250" t="str">
        <f t="shared" si="5"/>
        <v>Inconnu</v>
      </c>
      <c r="BM7" s="250" t="str">
        <f t="shared" si="21"/>
        <v>Inconnu</v>
      </c>
      <c r="BN7" s="250" t="str">
        <f t="shared" si="22"/>
        <v>Inconnu</v>
      </c>
      <c r="BO7" s="250" t="str">
        <f t="shared" si="6"/>
        <v>Inconnu</v>
      </c>
      <c r="BP7" s="250" t="str">
        <f t="shared" si="23"/>
        <v>Inconnu</v>
      </c>
      <c r="BQ7" s="250" t="str">
        <f t="shared" si="24"/>
        <v>Inconnu</v>
      </c>
      <c r="BR7" s="250" t="str">
        <f t="shared" si="25"/>
        <v>Transfusé</v>
      </c>
      <c r="BS7" s="250">
        <f t="shared" si="7"/>
        <v>23</v>
      </c>
      <c r="BT7" s="271" t="e">
        <f>VLOOKUP($I7,Lieu_Activité!$A:$B,2,FALSE)</f>
        <v>#N/A</v>
      </c>
      <c r="BU7" s="250" t="str">
        <f t="shared" si="8"/>
        <v>Aucun</v>
      </c>
      <c r="BV7" s="250" t="str">
        <f t="shared" si="9"/>
        <v>Aucun</v>
      </c>
      <c r="BW7" s="249" t="str">
        <f t="shared" si="10"/>
        <v>NON</v>
      </c>
      <c r="BX7" s="330"/>
    </row>
    <row r="8" spans="1:76" ht="12.95" customHeight="1" x14ac:dyDescent="0.2">
      <c r="A8" s="268" t="s">
        <v>212</v>
      </c>
      <c r="B8" s="276"/>
      <c r="C8" s="269"/>
      <c r="D8" s="299"/>
      <c r="E8" s="320">
        <f t="shared" si="11"/>
        <v>0</v>
      </c>
      <c r="F8" s="320" t="str">
        <f t="shared" si="12"/>
        <v xml:space="preserve"> </v>
      </c>
      <c r="G8" s="298"/>
      <c r="H8" s="298"/>
      <c r="I8" s="298"/>
      <c r="J8" s="298"/>
      <c r="K8" s="298"/>
      <c r="L8" s="299"/>
      <c r="M8" s="285"/>
      <c r="N8" s="298"/>
      <c r="O8" s="298"/>
      <c r="P8" s="307" t="str">
        <f>IFERROR(VLOOKUP(O8,Références!$K$11:$N$19,2)," ")</f>
        <v xml:space="preserve"> </v>
      </c>
      <c r="Q8" s="307" t="str">
        <f>IFERROR(VLOOKUP(O8,Références!$K$11:$N$19,3)," ")</f>
        <v xml:space="preserve"> </v>
      </c>
      <c r="R8" s="307" t="str">
        <f>IFERROR(VLOOKUP(O8,Références!$K$11:$N$19,4)," ")</f>
        <v xml:space="preserve"> </v>
      </c>
      <c r="S8" s="298"/>
      <c r="T8" s="298"/>
      <c r="U8" s="298"/>
      <c r="V8" s="298"/>
      <c r="W8" s="298"/>
      <c r="X8" s="299"/>
      <c r="Y8" s="298">
        <v>1</v>
      </c>
      <c r="Z8" s="298"/>
      <c r="AA8" s="298"/>
      <c r="AB8" s="277"/>
      <c r="AC8" s="277"/>
      <c r="AD8" s="277"/>
      <c r="AE8" s="277"/>
      <c r="AF8" s="277">
        <v>8</v>
      </c>
      <c r="AG8" s="277"/>
      <c r="AH8" s="277">
        <v>15</v>
      </c>
      <c r="AI8" s="277">
        <f t="shared" si="13"/>
        <v>23</v>
      </c>
      <c r="AJ8" s="299"/>
      <c r="AK8" s="298">
        <f t="shared" si="14"/>
        <v>0</v>
      </c>
      <c r="AL8" s="299"/>
      <c r="AM8" s="308">
        <f t="shared" si="15"/>
        <v>0</v>
      </c>
      <c r="AN8" s="298"/>
      <c r="AO8" s="318"/>
      <c r="AP8" s="303" t="str">
        <f t="shared" si="16"/>
        <v xml:space="preserve"> </v>
      </c>
      <c r="AQ8" s="298"/>
      <c r="AR8" s="337"/>
      <c r="AS8" s="337"/>
      <c r="AT8" s="305"/>
      <c r="AU8" s="319"/>
      <c r="AV8" s="305"/>
      <c r="AW8" s="272"/>
      <c r="AX8" s="342"/>
      <c r="AY8" s="343"/>
      <c r="AZ8" s="272"/>
      <c r="BA8" s="272" t="s">
        <v>234</v>
      </c>
      <c r="BB8" s="337"/>
      <c r="BC8" s="270">
        <f t="shared" si="17"/>
        <v>0</v>
      </c>
      <c r="BD8" s="270">
        <f t="shared" si="18"/>
        <v>1</v>
      </c>
      <c r="BE8" s="270">
        <f t="shared" si="0"/>
        <v>1</v>
      </c>
      <c r="BF8" s="270" t="str">
        <f t="shared" si="19"/>
        <v>ALIVE</v>
      </c>
      <c r="BG8" s="250" t="str">
        <f t="shared" si="20"/>
        <v>Aucune</v>
      </c>
      <c r="BH8" s="250" t="str">
        <f t="shared" si="1"/>
        <v>Transfusion</v>
      </c>
      <c r="BI8" s="250" t="str">
        <f t="shared" si="2"/>
        <v>Aucune</v>
      </c>
      <c r="BJ8" s="250" t="str">
        <f t="shared" si="3"/>
        <v>NON</v>
      </c>
      <c r="BK8" s="250" t="str">
        <f t="shared" si="4"/>
        <v>NON</v>
      </c>
      <c r="BL8" s="250" t="str">
        <f t="shared" si="5"/>
        <v>Inconnu</v>
      </c>
      <c r="BM8" s="250" t="str">
        <f t="shared" si="21"/>
        <v>Inconnu</v>
      </c>
      <c r="BN8" s="250" t="str">
        <f t="shared" si="22"/>
        <v>Inconnu</v>
      </c>
      <c r="BO8" s="250" t="str">
        <f t="shared" si="6"/>
        <v>Inconnu</v>
      </c>
      <c r="BP8" s="250" t="str">
        <f t="shared" si="23"/>
        <v>Inconnu</v>
      </c>
      <c r="BQ8" s="250" t="str">
        <f t="shared" si="24"/>
        <v>Inconnu</v>
      </c>
      <c r="BR8" s="250" t="str">
        <f t="shared" si="25"/>
        <v>Transfusé</v>
      </c>
      <c r="BS8" s="250">
        <f t="shared" si="7"/>
        <v>23</v>
      </c>
      <c r="BT8" s="271" t="e">
        <f>VLOOKUP($I8,Lieu_Activité!$A:$B,2,FALSE)</f>
        <v>#N/A</v>
      </c>
      <c r="BU8" s="250" t="str">
        <f t="shared" si="8"/>
        <v>Aucun</v>
      </c>
      <c r="BV8" s="250" t="str">
        <f t="shared" si="9"/>
        <v>Aucun</v>
      </c>
      <c r="BW8" s="249" t="str">
        <f t="shared" si="10"/>
        <v>NON</v>
      </c>
      <c r="BX8" s="330"/>
    </row>
    <row r="9" spans="1:76" ht="12.95" customHeight="1" x14ac:dyDescent="0.2">
      <c r="A9" s="268" t="s">
        <v>212</v>
      </c>
      <c r="B9" s="276"/>
      <c r="C9" s="269"/>
      <c r="D9" s="299"/>
      <c r="E9" s="320">
        <f>(L9-D9)/365</f>
        <v>0</v>
      </c>
      <c r="F9" s="320" t="str">
        <f t="shared" si="12"/>
        <v xml:space="preserve"> </v>
      </c>
      <c r="G9" s="298"/>
      <c r="H9" s="298"/>
      <c r="I9" s="298"/>
      <c r="J9" s="298"/>
      <c r="K9" s="298"/>
      <c r="L9" s="299"/>
      <c r="M9" s="285"/>
      <c r="N9" s="298"/>
      <c r="O9" s="313"/>
      <c r="P9" s="307" t="str">
        <f>IFERROR(VLOOKUP(O9,Références!$K$11:$N$19,2)," ")</f>
        <v xml:space="preserve"> </v>
      </c>
      <c r="Q9" s="307" t="str">
        <f>IFERROR(VLOOKUP(O9,Références!$K$11:$N$19,3)," ")</f>
        <v xml:space="preserve"> </v>
      </c>
      <c r="R9" s="307" t="str">
        <f>IFERROR(VLOOKUP(O9,Références!$K$11:$N$19,4)," ")</f>
        <v xml:space="preserve"> </v>
      </c>
      <c r="S9" s="298"/>
      <c r="T9" s="298"/>
      <c r="U9" s="298"/>
      <c r="V9" s="298"/>
      <c r="W9" s="298"/>
      <c r="X9" s="299"/>
      <c r="Y9" s="298">
        <v>1</v>
      </c>
      <c r="Z9" s="298"/>
      <c r="AA9" s="298"/>
      <c r="AB9" s="277"/>
      <c r="AC9" s="277"/>
      <c r="AD9" s="277"/>
      <c r="AE9" s="277"/>
      <c r="AF9" s="277">
        <v>8</v>
      </c>
      <c r="AG9" s="277"/>
      <c r="AH9" s="277">
        <v>15</v>
      </c>
      <c r="AI9" s="277">
        <f>SUM(AF9,AH9)</f>
        <v>23</v>
      </c>
      <c r="AJ9" s="299"/>
      <c r="AK9" s="298">
        <f>(AJ9-L9)</f>
        <v>0</v>
      </c>
      <c r="AL9" s="299"/>
      <c r="AM9" s="308">
        <f>(AL9-L9)</f>
        <v>0</v>
      </c>
      <c r="AN9" s="298"/>
      <c r="AO9" s="318"/>
      <c r="AP9" s="303" t="str">
        <f t="shared" si="16"/>
        <v xml:space="preserve"> </v>
      </c>
      <c r="AQ9" s="298"/>
      <c r="AR9" s="337"/>
      <c r="AS9" s="337"/>
      <c r="AT9" s="305"/>
      <c r="AU9" s="319"/>
      <c r="AV9" s="305"/>
      <c r="AW9" s="272"/>
      <c r="AX9" s="342"/>
      <c r="AY9" s="343"/>
      <c r="AZ9" s="272"/>
      <c r="BA9" s="272" t="s">
        <v>234</v>
      </c>
      <c r="BB9" s="337"/>
      <c r="BC9" s="270">
        <f>IF(BG9="Aucune",0,1)</f>
        <v>0</v>
      </c>
      <c r="BD9" s="270">
        <f>IF(BH9="Aucune",0,1)</f>
        <v>1</v>
      </c>
      <c r="BE9" s="270">
        <f t="shared" si="0"/>
        <v>1</v>
      </c>
      <c r="BF9" s="270" t="str">
        <f t="shared" si="19"/>
        <v>ALIVE</v>
      </c>
      <c r="BG9" s="250" t="str">
        <f t="shared" si="20"/>
        <v>Aucune</v>
      </c>
      <c r="BH9" s="250" t="str">
        <f t="shared" si="1"/>
        <v>Transfusion</v>
      </c>
      <c r="BI9" s="250" t="str">
        <f t="shared" si="2"/>
        <v>Aucune</v>
      </c>
      <c r="BJ9" s="250" t="str">
        <f t="shared" si="3"/>
        <v>NON</v>
      </c>
      <c r="BK9" s="250" t="str">
        <f t="shared" si="4"/>
        <v>NON</v>
      </c>
      <c r="BL9" s="250" t="str">
        <f t="shared" si="5"/>
        <v>Inconnu</v>
      </c>
      <c r="BM9" s="250" t="str">
        <f>IF($O9&lt;&gt;"HTX",IF($O9&lt;&gt;"LVAD",BL9,"Inconnu"),"Inconnu")</f>
        <v>Inconnu</v>
      </c>
      <c r="BN9" s="250" t="str">
        <f>IF($O9="HTX",BL9,IF($O9="LVAD",BL9,"Inconnu"))</f>
        <v>Inconnu</v>
      </c>
      <c r="BO9" s="250" t="str">
        <f t="shared" si="6"/>
        <v>Inconnu</v>
      </c>
      <c r="BP9" s="250" t="str">
        <f>IF($O9&lt;&gt;"HTX",IF($O9&lt;&gt;"LVAD",BO9,"Inconnu"),"Inconnu")</f>
        <v>Inconnu</v>
      </c>
      <c r="BQ9" s="250" t="str">
        <f>IF($O9="HTX",BO9,IF($O9="LVAD",BO9,"Inconnu"))</f>
        <v>Inconnu</v>
      </c>
      <c r="BR9" s="250" t="str">
        <f>IF(BH9="Aucune",IF(BI9="Aucune","Aucune","Transfusé"),"Transfusé")</f>
        <v>Transfusé</v>
      </c>
      <c r="BS9" s="250">
        <f t="shared" si="7"/>
        <v>23</v>
      </c>
      <c r="BT9" s="271" t="e">
        <f>VLOOKUP($I9,Lieu_Activité!$A:$B,2,FALSE)</f>
        <v>#N/A</v>
      </c>
      <c r="BU9" s="250" t="str">
        <f t="shared" si="8"/>
        <v>Aucun</v>
      </c>
      <c r="BV9" s="250" t="str">
        <f t="shared" si="9"/>
        <v>Aucun</v>
      </c>
      <c r="BW9" s="249" t="str">
        <f t="shared" si="10"/>
        <v>NON</v>
      </c>
      <c r="BX9" s="330"/>
    </row>
    <row r="10" spans="1:76" ht="12.95" customHeight="1" x14ac:dyDescent="0.2">
      <c r="A10" s="268" t="s">
        <v>212</v>
      </c>
      <c r="B10" s="276"/>
      <c r="C10" s="269"/>
      <c r="D10" s="299"/>
      <c r="E10" s="320">
        <f t="shared" ref="E10:E19" si="26">(L10-D10)/365</f>
        <v>0</v>
      </c>
      <c r="F10" s="320" t="str">
        <f t="shared" si="12"/>
        <v xml:space="preserve"> </v>
      </c>
      <c r="G10" s="298"/>
      <c r="H10" s="298"/>
      <c r="I10" s="298"/>
      <c r="J10" s="298"/>
      <c r="K10" s="298"/>
      <c r="L10" s="299"/>
      <c r="M10" s="285"/>
      <c r="N10" s="298"/>
      <c r="O10" s="298"/>
      <c r="P10" s="307" t="str">
        <f>IFERROR(VLOOKUP(O10,Références!$K$11:$N$19,2)," ")</f>
        <v xml:space="preserve"> </v>
      </c>
      <c r="Q10" s="307" t="str">
        <f>IFERROR(VLOOKUP(O10,Références!$K$11:$N$19,3)," ")</f>
        <v xml:space="preserve"> </v>
      </c>
      <c r="R10" s="307" t="str">
        <f>IFERROR(VLOOKUP(O10,Références!$K$11:$N$19,4)," ")</f>
        <v xml:space="preserve"> </v>
      </c>
      <c r="S10" s="298"/>
      <c r="T10" s="298"/>
      <c r="U10" s="298"/>
      <c r="V10" s="298"/>
      <c r="W10" s="298"/>
      <c r="X10" s="299"/>
      <c r="Y10" s="298">
        <v>1</v>
      </c>
      <c r="Z10" s="298"/>
      <c r="AA10" s="298"/>
      <c r="AB10" s="277"/>
      <c r="AC10" s="277"/>
      <c r="AD10" s="277"/>
      <c r="AE10" s="277"/>
      <c r="AF10" s="277">
        <v>8</v>
      </c>
      <c r="AG10" s="277"/>
      <c r="AH10" s="277">
        <v>15</v>
      </c>
      <c r="AI10" s="277">
        <f t="shared" ref="AI10:AI19" si="27">SUM(AF10,AH10)</f>
        <v>23</v>
      </c>
      <c r="AJ10" s="299"/>
      <c r="AK10" s="298">
        <f t="shared" ref="AK10:AK19" si="28">(AJ10-L10)</f>
        <v>0</v>
      </c>
      <c r="AL10" s="299"/>
      <c r="AM10" s="308">
        <f t="shared" ref="AM10:AM19" si="29">(AL10-L10)</f>
        <v>0</v>
      </c>
      <c r="AN10" s="298"/>
      <c r="AO10" s="318"/>
      <c r="AP10" s="303" t="str">
        <f t="shared" si="16"/>
        <v xml:space="preserve"> </v>
      </c>
      <c r="AQ10" s="298"/>
      <c r="AR10" s="337"/>
      <c r="AS10" s="337"/>
      <c r="AT10" s="305"/>
      <c r="AU10" s="319"/>
      <c r="AV10" s="305"/>
      <c r="AW10" s="272"/>
      <c r="AX10" s="342"/>
      <c r="AY10" s="343"/>
      <c r="AZ10" s="272"/>
      <c r="BA10" s="272" t="s">
        <v>234</v>
      </c>
      <c r="BB10" s="337"/>
      <c r="BC10" s="270">
        <f t="shared" ref="BC10:BC19" si="30">IF(BG10="Aucune",0,1)</f>
        <v>0</v>
      </c>
      <c r="BD10" s="270">
        <f t="shared" ref="BD10:BD19" si="31">IF(BH10="Aucune",0,1)</f>
        <v>1</v>
      </c>
      <c r="BE10" s="270">
        <f t="shared" si="0"/>
        <v>1</v>
      </c>
      <c r="BF10" s="270" t="str">
        <f t="shared" si="19"/>
        <v>ALIVE</v>
      </c>
      <c r="BG10" s="250" t="str">
        <f t="shared" si="20"/>
        <v>Aucune</v>
      </c>
      <c r="BH10" s="250" t="str">
        <f t="shared" si="1"/>
        <v>Transfusion</v>
      </c>
      <c r="BI10" s="250" t="str">
        <f t="shared" si="2"/>
        <v>Aucune</v>
      </c>
      <c r="BJ10" s="250" t="str">
        <f t="shared" si="3"/>
        <v>NON</v>
      </c>
      <c r="BK10" s="250" t="str">
        <f t="shared" si="4"/>
        <v>NON</v>
      </c>
      <c r="BL10" s="250" t="str">
        <f t="shared" si="5"/>
        <v>Inconnu</v>
      </c>
      <c r="BM10" s="250" t="str">
        <f t="shared" ref="BM10:BM19" si="32">IF($O10&lt;&gt;"HTX",IF($O10&lt;&gt;"LVAD",BL10,"Inconnu"),"Inconnu")</f>
        <v>Inconnu</v>
      </c>
      <c r="BN10" s="250" t="str">
        <f t="shared" ref="BN10:BN19" si="33">IF($O10="HTX",BL10,IF($O10="LVAD",BL10,"Inconnu"))</f>
        <v>Inconnu</v>
      </c>
      <c r="BO10" s="250" t="str">
        <f t="shared" si="6"/>
        <v>Inconnu</v>
      </c>
      <c r="BP10" s="250" t="str">
        <f t="shared" ref="BP10:BP19" si="34">IF($O10&lt;&gt;"HTX",IF($O10&lt;&gt;"LVAD",BO10,"Inconnu"),"Inconnu")</f>
        <v>Inconnu</v>
      </c>
      <c r="BQ10" s="250" t="str">
        <f t="shared" ref="BQ10:BQ19" si="35">IF($O10="HTX",BO10,IF($O10="LVAD",BO10,"Inconnu"))</f>
        <v>Inconnu</v>
      </c>
      <c r="BR10" s="250" t="str">
        <f t="shared" ref="BR10:BR19" si="36">IF(BH10="Aucune",IF(BI10="Aucune","Aucune","Transfusé"),"Transfusé")</f>
        <v>Transfusé</v>
      </c>
      <c r="BS10" s="250">
        <f t="shared" si="7"/>
        <v>23</v>
      </c>
      <c r="BT10" s="271" t="e">
        <f>VLOOKUP($I10,Lieu_Activité!$A:$B,2,FALSE)</f>
        <v>#N/A</v>
      </c>
      <c r="BU10" s="250" t="str">
        <f t="shared" si="8"/>
        <v>Aucun</v>
      </c>
      <c r="BV10" s="250" t="str">
        <f t="shared" si="9"/>
        <v>Aucun</v>
      </c>
      <c r="BW10" s="249" t="str">
        <f t="shared" si="10"/>
        <v>NON</v>
      </c>
      <c r="BX10" s="330"/>
    </row>
    <row r="11" spans="1:76" ht="12.95" customHeight="1" x14ac:dyDescent="0.2">
      <c r="A11" s="268" t="s">
        <v>212</v>
      </c>
      <c r="B11" s="276"/>
      <c r="C11" s="269"/>
      <c r="D11" s="299"/>
      <c r="E11" s="320">
        <f t="shared" si="26"/>
        <v>0</v>
      </c>
      <c r="F11" s="320" t="str">
        <f t="shared" si="12"/>
        <v xml:space="preserve"> </v>
      </c>
      <c r="G11" s="298"/>
      <c r="H11" s="298"/>
      <c r="I11" s="298"/>
      <c r="J11" s="298"/>
      <c r="K11" s="298"/>
      <c r="L11" s="299"/>
      <c r="M11" s="285"/>
      <c r="N11" s="298"/>
      <c r="O11" s="274"/>
      <c r="P11" s="307" t="str">
        <f>IFERROR(VLOOKUP(O11,Références!$K$11:$N$19,2)," ")</f>
        <v xml:space="preserve"> </v>
      </c>
      <c r="Q11" s="307" t="str">
        <f>IFERROR(VLOOKUP(O11,Références!$K$11:$N$19,3)," ")</f>
        <v xml:space="preserve"> </v>
      </c>
      <c r="R11" s="307" t="str">
        <f>IFERROR(VLOOKUP(O11,Références!$K$11:$N$19,4)," ")</f>
        <v xml:space="preserve"> </v>
      </c>
      <c r="S11" s="298"/>
      <c r="T11" s="298"/>
      <c r="U11" s="298"/>
      <c r="V11" s="298"/>
      <c r="W11" s="298"/>
      <c r="X11" s="299"/>
      <c r="Y11" s="298">
        <v>1</v>
      </c>
      <c r="Z11" s="298"/>
      <c r="AA11" s="298"/>
      <c r="AB11" s="277"/>
      <c r="AC11" s="277"/>
      <c r="AD11" s="277"/>
      <c r="AE11" s="277"/>
      <c r="AF11" s="277">
        <v>8</v>
      </c>
      <c r="AG11" s="277"/>
      <c r="AH11" s="277">
        <v>15</v>
      </c>
      <c r="AI11" s="277">
        <f t="shared" si="27"/>
        <v>23</v>
      </c>
      <c r="AJ11" s="299"/>
      <c r="AK11" s="298">
        <f t="shared" si="28"/>
        <v>0</v>
      </c>
      <c r="AL11" s="299"/>
      <c r="AM11" s="308">
        <f t="shared" si="29"/>
        <v>0</v>
      </c>
      <c r="AN11" s="298"/>
      <c r="AO11" s="318"/>
      <c r="AP11" s="303" t="str">
        <f t="shared" si="16"/>
        <v xml:space="preserve"> </v>
      </c>
      <c r="AQ11" s="298"/>
      <c r="AR11" s="337"/>
      <c r="AS11" s="337"/>
      <c r="AT11" s="305"/>
      <c r="AU11" s="319"/>
      <c r="AV11" s="305"/>
      <c r="AW11" s="272"/>
      <c r="AX11" s="342"/>
      <c r="AY11" s="343"/>
      <c r="AZ11" s="272"/>
      <c r="BA11" s="342" t="s">
        <v>234</v>
      </c>
      <c r="BB11" s="337"/>
      <c r="BC11" s="270">
        <f t="shared" si="30"/>
        <v>0</v>
      </c>
      <c r="BD11" s="270">
        <f t="shared" si="31"/>
        <v>1</v>
      </c>
      <c r="BE11" s="270">
        <f t="shared" si="0"/>
        <v>1</v>
      </c>
      <c r="BF11" s="270" t="str">
        <f t="shared" si="19"/>
        <v>ALIVE</v>
      </c>
      <c r="BG11" s="250" t="str">
        <f t="shared" si="20"/>
        <v>Aucune</v>
      </c>
      <c r="BH11" s="250" t="str">
        <f t="shared" si="1"/>
        <v>Transfusion</v>
      </c>
      <c r="BI11" s="250" t="str">
        <f t="shared" si="2"/>
        <v>Aucune</v>
      </c>
      <c r="BJ11" s="250" t="str">
        <f t="shared" si="3"/>
        <v>NON</v>
      </c>
      <c r="BK11" s="250" t="str">
        <f t="shared" si="4"/>
        <v>NON</v>
      </c>
      <c r="BL11" s="250" t="str">
        <f t="shared" si="5"/>
        <v>Inconnu</v>
      </c>
      <c r="BM11" s="250" t="str">
        <f t="shared" si="32"/>
        <v>Inconnu</v>
      </c>
      <c r="BN11" s="250" t="str">
        <f t="shared" si="33"/>
        <v>Inconnu</v>
      </c>
      <c r="BO11" s="250" t="str">
        <f t="shared" si="6"/>
        <v>Inconnu</v>
      </c>
      <c r="BP11" s="250" t="str">
        <f t="shared" si="34"/>
        <v>Inconnu</v>
      </c>
      <c r="BQ11" s="250" t="str">
        <f t="shared" si="35"/>
        <v>Inconnu</v>
      </c>
      <c r="BR11" s="250" t="str">
        <f t="shared" si="36"/>
        <v>Transfusé</v>
      </c>
      <c r="BS11" s="250">
        <f t="shared" si="7"/>
        <v>23</v>
      </c>
      <c r="BT11" s="271" t="e">
        <f>VLOOKUP($I11,Lieu_Activité!$A:$B,2,FALSE)</f>
        <v>#N/A</v>
      </c>
      <c r="BU11" s="250" t="str">
        <f t="shared" si="8"/>
        <v>Aucun</v>
      </c>
      <c r="BV11" s="250" t="str">
        <f t="shared" si="9"/>
        <v>Aucun</v>
      </c>
      <c r="BW11" s="249" t="str">
        <f t="shared" si="10"/>
        <v>NON</v>
      </c>
      <c r="BX11" s="330"/>
    </row>
    <row r="12" spans="1:76" ht="12.95" customHeight="1" x14ac:dyDescent="0.2">
      <c r="A12" s="268" t="s">
        <v>212</v>
      </c>
      <c r="B12" s="276"/>
      <c r="C12" s="269"/>
      <c r="D12" s="299"/>
      <c r="E12" s="320">
        <f t="shared" si="26"/>
        <v>0</v>
      </c>
      <c r="F12" s="320" t="str">
        <f t="shared" si="12"/>
        <v xml:space="preserve"> </v>
      </c>
      <c r="G12" s="298"/>
      <c r="H12" s="298"/>
      <c r="I12" s="298"/>
      <c r="J12" s="298"/>
      <c r="K12" s="298"/>
      <c r="L12" s="299"/>
      <c r="M12" s="285"/>
      <c r="N12" s="298"/>
      <c r="O12" s="274"/>
      <c r="P12" s="307" t="str">
        <f>IFERROR(VLOOKUP(O12,Références!$K$11:$N$19,2)," ")</f>
        <v xml:space="preserve"> </v>
      </c>
      <c r="Q12" s="307" t="str">
        <f>IFERROR(VLOOKUP(O12,Références!$K$11:$N$19,3)," ")</f>
        <v xml:space="preserve"> </v>
      </c>
      <c r="R12" s="307" t="str">
        <f>IFERROR(VLOOKUP(O12,Références!$K$11:$N$19,4)," ")</f>
        <v xml:space="preserve"> </v>
      </c>
      <c r="S12" s="298"/>
      <c r="T12" s="298"/>
      <c r="U12" s="298"/>
      <c r="V12" s="298"/>
      <c r="W12" s="298"/>
      <c r="X12" s="299"/>
      <c r="Y12" s="298">
        <v>1</v>
      </c>
      <c r="Z12" s="298"/>
      <c r="AA12" s="298"/>
      <c r="AB12" s="277"/>
      <c r="AC12" s="277"/>
      <c r="AD12" s="277"/>
      <c r="AE12" s="277"/>
      <c r="AF12" s="277">
        <v>8</v>
      </c>
      <c r="AG12" s="277"/>
      <c r="AH12" s="277">
        <v>15</v>
      </c>
      <c r="AI12" s="277">
        <f t="shared" si="27"/>
        <v>23</v>
      </c>
      <c r="AJ12" s="299"/>
      <c r="AK12" s="298">
        <f t="shared" si="28"/>
        <v>0</v>
      </c>
      <c r="AL12" s="299"/>
      <c r="AM12" s="308">
        <f t="shared" si="29"/>
        <v>0</v>
      </c>
      <c r="AN12" s="298"/>
      <c r="AO12" s="318"/>
      <c r="AP12" s="303" t="str">
        <f t="shared" si="16"/>
        <v xml:space="preserve"> </v>
      </c>
      <c r="AQ12" s="298"/>
      <c r="AR12" s="337"/>
      <c r="AS12" s="337"/>
      <c r="AT12" s="305"/>
      <c r="AU12" s="319"/>
      <c r="AV12" s="305"/>
      <c r="AW12" s="272"/>
      <c r="AX12" s="342"/>
      <c r="AY12" s="343"/>
      <c r="AZ12" s="272"/>
      <c r="BA12" s="272" t="s">
        <v>234</v>
      </c>
      <c r="BB12" s="337"/>
      <c r="BC12" s="270">
        <f t="shared" si="30"/>
        <v>0</v>
      </c>
      <c r="BD12" s="270">
        <f t="shared" si="31"/>
        <v>1</v>
      </c>
      <c r="BE12" s="270">
        <f t="shared" si="0"/>
        <v>1</v>
      </c>
      <c r="BF12" s="270" t="str">
        <f t="shared" si="19"/>
        <v>ALIVE</v>
      </c>
      <c r="BG12" s="250" t="str">
        <f t="shared" si="20"/>
        <v>Aucune</v>
      </c>
      <c r="BH12" s="250" t="str">
        <f t="shared" si="1"/>
        <v>Transfusion</v>
      </c>
      <c r="BI12" s="250" t="str">
        <f t="shared" si="2"/>
        <v>Aucune</v>
      </c>
      <c r="BJ12" s="250" t="str">
        <f t="shared" si="3"/>
        <v>NON</v>
      </c>
      <c r="BK12" s="250" t="str">
        <f t="shared" si="4"/>
        <v>NON</v>
      </c>
      <c r="BL12" s="250" t="str">
        <f t="shared" si="5"/>
        <v>Inconnu</v>
      </c>
      <c r="BM12" s="250" t="str">
        <f t="shared" si="32"/>
        <v>Inconnu</v>
      </c>
      <c r="BN12" s="250" t="str">
        <f t="shared" si="33"/>
        <v>Inconnu</v>
      </c>
      <c r="BO12" s="250" t="str">
        <f t="shared" si="6"/>
        <v>Inconnu</v>
      </c>
      <c r="BP12" s="250" t="str">
        <f t="shared" si="34"/>
        <v>Inconnu</v>
      </c>
      <c r="BQ12" s="250" t="str">
        <f t="shared" si="35"/>
        <v>Inconnu</v>
      </c>
      <c r="BR12" s="250" t="str">
        <f t="shared" si="36"/>
        <v>Transfusé</v>
      </c>
      <c r="BS12" s="250">
        <f t="shared" si="7"/>
        <v>23</v>
      </c>
      <c r="BT12" s="271" t="e">
        <f>VLOOKUP($I12,Lieu_Activité!$A:$B,2,FALSE)</f>
        <v>#N/A</v>
      </c>
      <c r="BU12" s="250" t="str">
        <f t="shared" si="8"/>
        <v>Aucun</v>
      </c>
      <c r="BV12" s="250" t="str">
        <f t="shared" si="9"/>
        <v>Aucun</v>
      </c>
      <c r="BW12" s="249" t="str">
        <f t="shared" si="10"/>
        <v>NON</v>
      </c>
      <c r="BX12" s="330"/>
    </row>
    <row r="13" spans="1:76" ht="12.95" customHeight="1" x14ac:dyDescent="0.2">
      <c r="A13" s="268" t="s">
        <v>212</v>
      </c>
      <c r="B13" s="276"/>
      <c r="C13" s="269"/>
      <c r="D13" s="299"/>
      <c r="E13" s="320">
        <f t="shared" si="26"/>
        <v>0</v>
      </c>
      <c r="F13" s="320" t="str">
        <f t="shared" si="12"/>
        <v xml:space="preserve"> </v>
      </c>
      <c r="G13" s="298"/>
      <c r="H13" s="298"/>
      <c r="I13" s="298"/>
      <c r="J13" s="298"/>
      <c r="K13" s="298"/>
      <c r="L13" s="299"/>
      <c r="M13" s="285"/>
      <c r="N13" s="298"/>
      <c r="O13" s="298"/>
      <c r="P13" s="307" t="str">
        <f>IFERROR(VLOOKUP(O13,Références!$K$11:$N$19,2)," ")</f>
        <v xml:space="preserve"> </v>
      </c>
      <c r="Q13" s="307" t="str">
        <f>IFERROR(VLOOKUP(O13,Références!$K$11:$N$19,3)," ")</f>
        <v xml:space="preserve"> </v>
      </c>
      <c r="R13" s="307" t="str">
        <f>IFERROR(VLOOKUP(O13,Références!$K$11:$N$19,4)," ")</f>
        <v xml:space="preserve"> </v>
      </c>
      <c r="S13" s="298"/>
      <c r="T13" s="298"/>
      <c r="U13" s="298"/>
      <c r="V13" s="298"/>
      <c r="W13" s="298"/>
      <c r="X13" s="299"/>
      <c r="Y13" s="298">
        <v>1</v>
      </c>
      <c r="Z13" s="298"/>
      <c r="AA13" s="298"/>
      <c r="AB13" s="277"/>
      <c r="AC13" s="277"/>
      <c r="AD13" s="277"/>
      <c r="AE13" s="277"/>
      <c r="AF13" s="277">
        <v>8</v>
      </c>
      <c r="AG13" s="277"/>
      <c r="AH13" s="277">
        <v>15</v>
      </c>
      <c r="AI13" s="277">
        <f t="shared" si="27"/>
        <v>23</v>
      </c>
      <c r="AJ13" s="299"/>
      <c r="AK13" s="298">
        <f t="shared" si="28"/>
        <v>0</v>
      </c>
      <c r="AL13" s="299"/>
      <c r="AM13" s="308">
        <f t="shared" si="29"/>
        <v>0</v>
      </c>
      <c r="AN13" s="298"/>
      <c r="AO13" s="318"/>
      <c r="AP13" s="303" t="str">
        <f t="shared" si="16"/>
        <v xml:space="preserve"> </v>
      </c>
      <c r="AQ13" s="298"/>
      <c r="AR13" s="337"/>
      <c r="AS13" s="337"/>
      <c r="AT13" s="305"/>
      <c r="AU13" s="319"/>
      <c r="AV13" s="305"/>
      <c r="AW13" s="272"/>
      <c r="AX13" s="342"/>
      <c r="AY13" s="343"/>
      <c r="AZ13" s="272"/>
      <c r="BA13" s="272" t="s">
        <v>234</v>
      </c>
      <c r="BB13" s="343"/>
      <c r="BC13" s="270">
        <f t="shared" si="30"/>
        <v>0</v>
      </c>
      <c r="BD13" s="270">
        <f t="shared" si="31"/>
        <v>1</v>
      </c>
      <c r="BE13" s="270">
        <f t="shared" si="0"/>
        <v>1</v>
      </c>
      <c r="BF13" s="270" t="str">
        <f t="shared" si="19"/>
        <v>ALIVE</v>
      </c>
      <c r="BG13" s="250" t="str">
        <f t="shared" si="20"/>
        <v>Aucune</v>
      </c>
      <c r="BH13" s="250" t="str">
        <f t="shared" si="1"/>
        <v>Transfusion</v>
      </c>
      <c r="BI13" s="250" t="str">
        <f t="shared" si="2"/>
        <v>Aucune</v>
      </c>
      <c r="BJ13" s="250" t="str">
        <f t="shared" si="3"/>
        <v>NON</v>
      </c>
      <c r="BK13" s="250" t="str">
        <f t="shared" si="4"/>
        <v>NON</v>
      </c>
      <c r="BL13" s="250" t="str">
        <f t="shared" si="5"/>
        <v>Inconnu</v>
      </c>
      <c r="BM13" s="250" t="str">
        <f t="shared" si="32"/>
        <v>Inconnu</v>
      </c>
      <c r="BN13" s="250" t="str">
        <f t="shared" si="33"/>
        <v>Inconnu</v>
      </c>
      <c r="BO13" s="250" t="str">
        <f t="shared" si="6"/>
        <v>Inconnu</v>
      </c>
      <c r="BP13" s="250" t="str">
        <f t="shared" si="34"/>
        <v>Inconnu</v>
      </c>
      <c r="BQ13" s="250" t="str">
        <f t="shared" si="35"/>
        <v>Inconnu</v>
      </c>
      <c r="BR13" s="250" t="str">
        <f t="shared" si="36"/>
        <v>Transfusé</v>
      </c>
      <c r="BS13" s="250">
        <f t="shared" si="7"/>
        <v>23</v>
      </c>
      <c r="BT13" s="271" t="e">
        <f>VLOOKUP($I13,Lieu_Activité!$A:$B,2,FALSE)</f>
        <v>#N/A</v>
      </c>
      <c r="BU13" s="250" t="str">
        <f t="shared" si="8"/>
        <v>Aucun</v>
      </c>
      <c r="BV13" s="250" t="str">
        <f t="shared" si="9"/>
        <v>Aucun</v>
      </c>
      <c r="BW13" s="249" t="str">
        <f t="shared" si="10"/>
        <v>NON</v>
      </c>
      <c r="BX13" s="330"/>
    </row>
    <row r="14" spans="1:76" ht="12.95" customHeight="1" x14ac:dyDescent="0.2">
      <c r="A14" s="268" t="s">
        <v>212</v>
      </c>
      <c r="B14" s="276"/>
      <c r="C14" s="269"/>
      <c r="D14" s="299"/>
      <c r="E14" s="320">
        <f t="shared" si="26"/>
        <v>0</v>
      </c>
      <c r="F14" s="320" t="str">
        <f t="shared" si="12"/>
        <v xml:space="preserve"> </v>
      </c>
      <c r="G14" s="298"/>
      <c r="H14" s="298"/>
      <c r="I14" s="298"/>
      <c r="J14" s="298"/>
      <c r="K14" s="298"/>
      <c r="L14" s="299"/>
      <c r="M14" s="285"/>
      <c r="N14" s="298"/>
      <c r="O14" s="298"/>
      <c r="P14" s="307" t="str">
        <f>IFERROR(VLOOKUP(O14,Références!$K$11:$N$19,2)," ")</f>
        <v xml:space="preserve"> </v>
      </c>
      <c r="Q14" s="307" t="str">
        <f>IFERROR(VLOOKUP(O14,Références!$K$11:$N$19,3)," ")</f>
        <v xml:space="preserve"> </v>
      </c>
      <c r="R14" s="307" t="str">
        <f>IFERROR(VLOOKUP(O14,Références!$K$11:$N$19,4)," ")</f>
        <v xml:space="preserve"> </v>
      </c>
      <c r="S14" s="298"/>
      <c r="T14" s="298"/>
      <c r="U14" s="298"/>
      <c r="V14" s="298"/>
      <c r="W14" s="298"/>
      <c r="X14" s="299"/>
      <c r="Y14" s="298">
        <v>1</v>
      </c>
      <c r="Z14" s="298"/>
      <c r="AA14" s="298"/>
      <c r="AB14" s="277"/>
      <c r="AC14" s="277"/>
      <c r="AD14" s="277"/>
      <c r="AE14" s="277"/>
      <c r="AF14" s="277">
        <v>15</v>
      </c>
      <c r="AG14" s="277"/>
      <c r="AH14" s="277">
        <v>15</v>
      </c>
      <c r="AI14" s="277">
        <f t="shared" si="27"/>
        <v>30</v>
      </c>
      <c r="AJ14" s="299"/>
      <c r="AK14" s="298">
        <f t="shared" si="28"/>
        <v>0</v>
      </c>
      <c r="AL14" s="299"/>
      <c r="AM14" s="308">
        <f>(AL14-L14)</f>
        <v>0</v>
      </c>
      <c r="AN14" s="298"/>
      <c r="AO14" s="318"/>
      <c r="AP14" s="303" t="str">
        <f t="shared" si="16"/>
        <v xml:space="preserve"> </v>
      </c>
      <c r="AQ14" s="298"/>
      <c r="AR14" s="337"/>
      <c r="AS14" s="337"/>
      <c r="AT14" s="305"/>
      <c r="AU14" s="319"/>
      <c r="AV14" s="305"/>
      <c r="AW14" s="272"/>
      <c r="AX14" s="342"/>
      <c r="AY14" s="343"/>
      <c r="AZ14" s="272"/>
      <c r="BA14" s="342" t="s">
        <v>234</v>
      </c>
      <c r="BB14" s="337"/>
      <c r="BC14" s="270">
        <f t="shared" si="30"/>
        <v>0</v>
      </c>
      <c r="BD14" s="270">
        <f t="shared" si="31"/>
        <v>1</v>
      </c>
      <c r="BE14" s="270">
        <f t="shared" si="0"/>
        <v>1</v>
      </c>
      <c r="BF14" s="270" t="str">
        <f t="shared" si="19"/>
        <v>ALIVE</v>
      </c>
      <c r="BG14" s="250" t="str">
        <f t="shared" si="20"/>
        <v>Aucune</v>
      </c>
      <c r="BH14" s="250" t="str">
        <f t="shared" si="1"/>
        <v>Transfusion</v>
      </c>
      <c r="BI14" s="250" t="str">
        <f t="shared" si="2"/>
        <v>Aucune</v>
      </c>
      <c r="BJ14" s="250" t="str">
        <f t="shared" si="3"/>
        <v>NON</v>
      </c>
      <c r="BK14" s="250" t="str">
        <f t="shared" si="4"/>
        <v>NON</v>
      </c>
      <c r="BL14" s="250" t="str">
        <f t="shared" si="5"/>
        <v>Inconnu</v>
      </c>
      <c r="BM14" s="250" t="str">
        <f t="shared" si="32"/>
        <v>Inconnu</v>
      </c>
      <c r="BN14" s="250" t="str">
        <f t="shared" si="33"/>
        <v>Inconnu</v>
      </c>
      <c r="BO14" s="250" t="str">
        <f t="shared" si="6"/>
        <v>Inconnu</v>
      </c>
      <c r="BP14" s="250" t="str">
        <f t="shared" si="34"/>
        <v>Inconnu</v>
      </c>
      <c r="BQ14" s="250" t="str">
        <f t="shared" si="35"/>
        <v>Inconnu</v>
      </c>
      <c r="BR14" s="250" t="str">
        <f t="shared" si="36"/>
        <v>Transfusé</v>
      </c>
      <c r="BS14" s="250">
        <f t="shared" si="7"/>
        <v>30</v>
      </c>
      <c r="BT14" s="271" t="e">
        <f>VLOOKUP($I14,Lieu_Activité!$A:$B,2,FALSE)</f>
        <v>#N/A</v>
      </c>
      <c r="BU14" s="250" t="str">
        <f t="shared" si="8"/>
        <v>Aucun</v>
      </c>
      <c r="BV14" s="250" t="str">
        <f t="shared" si="9"/>
        <v>Aucun</v>
      </c>
      <c r="BW14" s="249" t="str">
        <f t="shared" si="10"/>
        <v>NON</v>
      </c>
      <c r="BX14" s="330"/>
    </row>
    <row r="15" spans="1:76" ht="12.95" customHeight="1" x14ac:dyDescent="0.2">
      <c r="A15" s="268" t="s">
        <v>212</v>
      </c>
      <c r="B15" s="276"/>
      <c r="C15" s="269"/>
      <c r="D15" s="299"/>
      <c r="E15" s="320">
        <f t="shared" si="26"/>
        <v>0</v>
      </c>
      <c r="F15" s="320" t="str">
        <f t="shared" si="12"/>
        <v xml:space="preserve"> </v>
      </c>
      <c r="G15" s="298"/>
      <c r="H15" s="298"/>
      <c r="I15" s="298"/>
      <c r="J15" s="298"/>
      <c r="K15" s="298"/>
      <c r="L15" s="299"/>
      <c r="M15" s="285"/>
      <c r="N15" s="298"/>
      <c r="O15" s="298"/>
      <c r="P15" s="307" t="str">
        <f>IFERROR(VLOOKUP(O15,Références!$K$11:$N$19,2)," ")</f>
        <v xml:space="preserve"> </v>
      </c>
      <c r="Q15" s="307" t="str">
        <f>IFERROR(VLOOKUP(O15,Références!$K$11:$N$19,3)," ")</f>
        <v xml:space="preserve"> </v>
      </c>
      <c r="R15" s="307" t="str">
        <f>IFERROR(VLOOKUP(O15,Références!$K$11:$N$19,4)," ")</f>
        <v xml:space="preserve"> </v>
      </c>
      <c r="S15" s="298"/>
      <c r="T15" s="298"/>
      <c r="U15" s="298"/>
      <c r="V15" s="298"/>
      <c r="W15" s="298"/>
      <c r="X15" s="299"/>
      <c r="Y15" s="298">
        <v>1</v>
      </c>
      <c r="Z15" s="298"/>
      <c r="AA15" s="298"/>
      <c r="AB15" s="316"/>
      <c r="AC15" s="277"/>
      <c r="AD15" s="277"/>
      <c r="AE15" s="277"/>
      <c r="AF15" s="277"/>
      <c r="AG15" s="277"/>
      <c r="AH15" s="277"/>
      <c r="AI15" s="277">
        <f t="shared" si="27"/>
        <v>0</v>
      </c>
      <c r="AJ15" s="299"/>
      <c r="AK15" s="298">
        <f t="shared" si="28"/>
        <v>0</v>
      </c>
      <c r="AL15" s="299"/>
      <c r="AM15" s="308">
        <f t="shared" si="29"/>
        <v>0</v>
      </c>
      <c r="AN15" s="298"/>
      <c r="AO15" s="318"/>
      <c r="AP15" s="303" t="str">
        <f t="shared" si="16"/>
        <v xml:space="preserve"> </v>
      </c>
      <c r="AQ15" s="298"/>
      <c r="AR15" s="337"/>
      <c r="AS15" s="337"/>
      <c r="AT15" s="305"/>
      <c r="AU15" s="319"/>
      <c r="AV15" s="305"/>
      <c r="AW15" s="272"/>
      <c r="AX15" s="342"/>
      <c r="AY15" s="343"/>
      <c r="AZ15" s="272"/>
      <c r="BA15" s="272" t="s">
        <v>234</v>
      </c>
      <c r="BB15" s="337"/>
      <c r="BC15" s="270">
        <f t="shared" si="30"/>
        <v>0</v>
      </c>
      <c r="BD15" s="270">
        <f t="shared" si="31"/>
        <v>0</v>
      </c>
      <c r="BE15" s="270">
        <f t="shared" si="0"/>
        <v>1</v>
      </c>
      <c r="BF15" s="270" t="str">
        <f t="shared" si="19"/>
        <v>ALIVE</v>
      </c>
      <c r="BG15" s="250" t="str">
        <f t="shared" si="20"/>
        <v>Aucune</v>
      </c>
      <c r="BH15" s="250" t="str">
        <f t="shared" si="1"/>
        <v>Aucune</v>
      </c>
      <c r="BI15" s="250" t="str">
        <f t="shared" si="2"/>
        <v>Aucune</v>
      </c>
      <c r="BJ15" s="250" t="str">
        <f t="shared" si="3"/>
        <v>NON</v>
      </c>
      <c r="BK15" s="250" t="str">
        <f t="shared" si="4"/>
        <v>NON</v>
      </c>
      <c r="BL15" s="250" t="str">
        <f t="shared" si="5"/>
        <v>Inconnu</v>
      </c>
      <c r="BM15" s="250" t="str">
        <f t="shared" si="32"/>
        <v>Inconnu</v>
      </c>
      <c r="BN15" s="250" t="str">
        <f t="shared" si="33"/>
        <v>Inconnu</v>
      </c>
      <c r="BO15" s="250" t="str">
        <f t="shared" si="6"/>
        <v>Inconnu</v>
      </c>
      <c r="BP15" s="250" t="str">
        <f t="shared" si="34"/>
        <v>Inconnu</v>
      </c>
      <c r="BQ15" s="250" t="str">
        <f t="shared" si="35"/>
        <v>Inconnu</v>
      </c>
      <c r="BR15" s="250" t="str">
        <f t="shared" si="36"/>
        <v>Aucune</v>
      </c>
      <c r="BS15" s="250">
        <f t="shared" si="7"/>
        <v>0</v>
      </c>
      <c r="BT15" s="271" t="e">
        <f>VLOOKUP($I15,Lieu_Activité!$A:$B,2,FALSE)</f>
        <v>#N/A</v>
      </c>
      <c r="BU15" s="250" t="str">
        <f t="shared" si="8"/>
        <v>Aucun</v>
      </c>
      <c r="BV15" s="250" t="str">
        <f t="shared" si="9"/>
        <v>Aucun</v>
      </c>
      <c r="BW15" s="249" t="str">
        <f t="shared" si="10"/>
        <v>NON</v>
      </c>
      <c r="BX15" s="330"/>
    </row>
    <row r="16" spans="1:76" ht="12.95" customHeight="1" x14ac:dyDescent="0.2">
      <c r="A16" s="268" t="s">
        <v>212</v>
      </c>
      <c r="B16" s="309"/>
      <c r="C16" s="269"/>
      <c r="D16" s="299"/>
      <c r="E16" s="320">
        <f t="shared" si="26"/>
        <v>0</v>
      </c>
      <c r="F16" s="320" t="str">
        <f t="shared" si="12"/>
        <v xml:space="preserve"> </v>
      </c>
      <c r="G16" s="298"/>
      <c r="H16" s="298"/>
      <c r="I16" s="298"/>
      <c r="J16" s="298"/>
      <c r="K16" s="298"/>
      <c r="L16" s="299"/>
      <c r="M16" s="285"/>
      <c r="N16" s="298"/>
      <c r="O16" s="298"/>
      <c r="P16" s="307" t="str">
        <f>IFERROR(VLOOKUP(O16,Références!$K$11:$N$19,2)," ")</f>
        <v xml:space="preserve"> </v>
      </c>
      <c r="Q16" s="307" t="str">
        <f>IFERROR(VLOOKUP(O16,Références!$K$11:$N$19,3)," ")</f>
        <v xml:space="preserve"> </v>
      </c>
      <c r="R16" s="307" t="str">
        <f>IFERROR(VLOOKUP(O16,Références!$K$11:$N$19,4)," ")</f>
        <v xml:space="preserve"> </v>
      </c>
      <c r="S16" s="298"/>
      <c r="T16" s="298"/>
      <c r="U16" s="298"/>
      <c r="V16" s="298"/>
      <c r="W16" s="298"/>
      <c r="X16" s="299"/>
      <c r="Y16" s="298">
        <v>1</v>
      </c>
      <c r="Z16" s="298"/>
      <c r="AA16" s="298"/>
      <c r="AB16" s="277"/>
      <c r="AC16" s="277"/>
      <c r="AD16" s="277"/>
      <c r="AE16" s="277"/>
      <c r="AF16" s="277"/>
      <c r="AG16" s="277"/>
      <c r="AH16" s="277"/>
      <c r="AI16" s="277">
        <f t="shared" si="27"/>
        <v>0</v>
      </c>
      <c r="AJ16" s="299"/>
      <c r="AK16" s="298">
        <f t="shared" si="28"/>
        <v>0</v>
      </c>
      <c r="AL16" s="299"/>
      <c r="AM16" s="308">
        <f t="shared" si="29"/>
        <v>0</v>
      </c>
      <c r="AN16" s="298"/>
      <c r="AO16" s="318"/>
      <c r="AP16" s="303" t="str">
        <f t="shared" si="16"/>
        <v xml:space="preserve"> </v>
      </c>
      <c r="AQ16" s="298"/>
      <c r="AR16" s="337"/>
      <c r="AS16" s="337"/>
      <c r="AT16" s="305"/>
      <c r="AU16" s="319"/>
      <c r="AV16" s="305"/>
      <c r="AW16" s="272"/>
      <c r="AX16" s="342"/>
      <c r="AY16" s="343"/>
      <c r="AZ16" s="272"/>
      <c r="BA16" s="342"/>
      <c r="BB16" s="343"/>
      <c r="BC16" s="270">
        <f t="shared" si="30"/>
        <v>0</v>
      </c>
      <c r="BD16" s="270">
        <f t="shared" si="31"/>
        <v>0</v>
      </c>
      <c r="BE16" s="270">
        <f t="shared" si="0"/>
        <v>1</v>
      </c>
      <c r="BF16" s="270" t="str">
        <f t="shared" si="19"/>
        <v>ALIVE</v>
      </c>
      <c r="BG16" s="250" t="str">
        <f t="shared" si="20"/>
        <v>Aucune</v>
      </c>
      <c r="BH16" s="250" t="str">
        <f t="shared" si="1"/>
        <v>Aucune</v>
      </c>
      <c r="BI16" s="250" t="str">
        <f t="shared" si="2"/>
        <v>Aucune</v>
      </c>
      <c r="BJ16" s="250" t="str">
        <f t="shared" si="3"/>
        <v>NON</v>
      </c>
      <c r="BK16" s="250" t="str">
        <f t="shared" si="4"/>
        <v>NON</v>
      </c>
      <c r="BL16" s="250" t="str">
        <f t="shared" si="5"/>
        <v>Inconnu</v>
      </c>
      <c r="BM16" s="250" t="str">
        <f t="shared" si="32"/>
        <v>Inconnu</v>
      </c>
      <c r="BN16" s="250" t="str">
        <f t="shared" si="33"/>
        <v>Inconnu</v>
      </c>
      <c r="BO16" s="250" t="str">
        <f t="shared" si="6"/>
        <v>Inconnu</v>
      </c>
      <c r="BP16" s="250" t="str">
        <f t="shared" si="34"/>
        <v>Inconnu</v>
      </c>
      <c r="BQ16" s="250" t="str">
        <f t="shared" si="35"/>
        <v>Inconnu</v>
      </c>
      <c r="BR16" s="250" t="str">
        <f t="shared" si="36"/>
        <v>Aucune</v>
      </c>
      <c r="BS16" s="250">
        <f t="shared" si="7"/>
        <v>0</v>
      </c>
      <c r="BT16" s="271" t="e">
        <f>VLOOKUP($I16,Lieu_Activité!$A:$B,2,FALSE)</f>
        <v>#N/A</v>
      </c>
      <c r="BU16" s="250" t="str">
        <f t="shared" si="8"/>
        <v>Aucun</v>
      </c>
      <c r="BV16" s="250" t="str">
        <f t="shared" si="9"/>
        <v>Aucun</v>
      </c>
      <c r="BW16" s="249" t="str">
        <f t="shared" si="10"/>
        <v>NON</v>
      </c>
      <c r="BX16" s="330"/>
    </row>
    <row r="17" spans="1:76" ht="12.95" customHeight="1" x14ac:dyDescent="0.2">
      <c r="A17" s="268" t="s">
        <v>212</v>
      </c>
      <c r="B17" s="276"/>
      <c r="C17" s="269"/>
      <c r="D17" s="299"/>
      <c r="E17" s="320">
        <f t="shared" si="26"/>
        <v>0</v>
      </c>
      <c r="F17" s="320" t="str">
        <f t="shared" si="12"/>
        <v xml:space="preserve"> </v>
      </c>
      <c r="G17" s="298"/>
      <c r="H17" s="298"/>
      <c r="I17" s="298"/>
      <c r="J17" s="298"/>
      <c r="K17" s="298"/>
      <c r="L17" s="299"/>
      <c r="M17" s="285"/>
      <c r="N17" s="298"/>
      <c r="O17" s="298"/>
      <c r="P17" s="307" t="str">
        <f>IFERROR(VLOOKUP(O17,Références!$K$11:$N$19,2)," ")</f>
        <v xml:space="preserve"> </v>
      </c>
      <c r="Q17" s="307" t="str">
        <f>IFERROR(VLOOKUP(O17,Références!$K$11:$N$19,3)," ")</f>
        <v xml:space="preserve"> </v>
      </c>
      <c r="R17" s="307" t="str">
        <f>IFERROR(VLOOKUP(O17,Références!$K$11:$N$19,4)," ")</f>
        <v xml:space="preserve"> </v>
      </c>
      <c r="S17" s="298"/>
      <c r="T17" s="298"/>
      <c r="U17" s="298"/>
      <c r="V17" s="298"/>
      <c r="W17" s="298"/>
      <c r="X17" s="299"/>
      <c r="Y17" s="298">
        <v>1</v>
      </c>
      <c r="Z17" s="298"/>
      <c r="AA17" s="298"/>
      <c r="AB17" s="277"/>
      <c r="AC17" s="277"/>
      <c r="AD17" s="277"/>
      <c r="AE17" s="277"/>
      <c r="AF17" s="277"/>
      <c r="AG17" s="277"/>
      <c r="AH17" s="277"/>
      <c r="AI17" s="277">
        <f t="shared" si="27"/>
        <v>0</v>
      </c>
      <c r="AJ17" s="299"/>
      <c r="AK17" s="298">
        <f t="shared" si="28"/>
        <v>0</v>
      </c>
      <c r="AL17" s="299"/>
      <c r="AM17" s="308">
        <f t="shared" si="29"/>
        <v>0</v>
      </c>
      <c r="AN17" s="298"/>
      <c r="AO17" s="318"/>
      <c r="AP17" s="303" t="str">
        <f t="shared" si="16"/>
        <v xml:space="preserve"> </v>
      </c>
      <c r="AQ17" s="298"/>
      <c r="AR17" s="337"/>
      <c r="AS17" s="337"/>
      <c r="AT17" s="305"/>
      <c r="AU17" s="319"/>
      <c r="AV17" s="305"/>
      <c r="AW17" s="272"/>
      <c r="AX17" s="342"/>
      <c r="AY17" s="343"/>
      <c r="AZ17" s="272"/>
      <c r="BA17" s="272" t="s">
        <v>234</v>
      </c>
      <c r="BB17" s="337"/>
      <c r="BC17" s="270">
        <f t="shared" si="30"/>
        <v>0</v>
      </c>
      <c r="BD17" s="270">
        <f t="shared" si="31"/>
        <v>0</v>
      </c>
      <c r="BE17" s="270">
        <f t="shared" si="0"/>
        <v>1</v>
      </c>
      <c r="BF17" s="270" t="str">
        <f t="shared" si="19"/>
        <v>ALIVE</v>
      </c>
      <c r="BG17" s="250" t="str">
        <f t="shared" si="20"/>
        <v>Aucune</v>
      </c>
      <c r="BH17" s="250" t="str">
        <f t="shared" si="1"/>
        <v>Aucune</v>
      </c>
      <c r="BI17" s="250" t="str">
        <f t="shared" si="2"/>
        <v>Aucune</v>
      </c>
      <c r="BJ17" s="250" t="str">
        <f t="shared" si="3"/>
        <v>NON</v>
      </c>
      <c r="BK17" s="250" t="str">
        <f t="shared" si="4"/>
        <v>NON</v>
      </c>
      <c r="BL17" s="250" t="str">
        <f t="shared" si="5"/>
        <v>Inconnu</v>
      </c>
      <c r="BM17" s="250" t="str">
        <f t="shared" si="32"/>
        <v>Inconnu</v>
      </c>
      <c r="BN17" s="250" t="str">
        <f t="shared" si="33"/>
        <v>Inconnu</v>
      </c>
      <c r="BO17" s="250" t="str">
        <f t="shared" si="6"/>
        <v>Inconnu</v>
      </c>
      <c r="BP17" s="250" t="str">
        <f t="shared" si="34"/>
        <v>Inconnu</v>
      </c>
      <c r="BQ17" s="250" t="str">
        <f t="shared" si="35"/>
        <v>Inconnu</v>
      </c>
      <c r="BR17" s="250" t="str">
        <f t="shared" si="36"/>
        <v>Aucune</v>
      </c>
      <c r="BS17" s="250">
        <f t="shared" si="7"/>
        <v>0</v>
      </c>
      <c r="BT17" s="271" t="e">
        <f>VLOOKUP($I17,Lieu_Activité!$A:$B,2,FALSE)</f>
        <v>#N/A</v>
      </c>
      <c r="BU17" s="250" t="str">
        <f t="shared" si="8"/>
        <v>Aucun</v>
      </c>
      <c r="BV17" s="250" t="str">
        <f t="shared" si="9"/>
        <v>Aucun</v>
      </c>
      <c r="BW17" s="249" t="str">
        <f t="shared" si="10"/>
        <v>NON</v>
      </c>
      <c r="BX17" s="330"/>
    </row>
    <row r="18" spans="1:76" ht="12.95" customHeight="1" x14ac:dyDescent="0.2">
      <c r="A18" s="268" t="s">
        <v>212</v>
      </c>
      <c r="B18" s="276"/>
      <c r="C18" s="269"/>
      <c r="D18" s="299"/>
      <c r="E18" s="320">
        <f t="shared" si="26"/>
        <v>0</v>
      </c>
      <c r="F18" s="320" t="str">
        <f t="shared" si="12"/>
        <v xml:space="preserve"> </v>
      </c>
      <c r="G18" s="298"/>
      <c r="H18" s="298"/>
      <c r="I18" s="298"/>
      <c r="J18" s="298"/>
      <c r="K18" s="298"/>
      <c r="L18" s="299"/>
      <c r="M18" s="285"/>
      <c r="N18" s="298"/>
      <c r="O18" s="298"/>
      <c r="P18" s="307" t="str">
        <f>IFERROR(VLOOKUP(O18,Références!$K$11:$N$19,2)," ")</f>
        <v xml:space="preserve"> </v>
      </c>
      <c r="Q18" s="307" t="str">
        <f>IFERROR(VLOOKUP(O18,Références!$K$11:$N$19,3)," ")</f>
        <v xml:space="preserve"> </v>
      </c>
      <c r="R18" s="307" t="str">
        <f>IFERROR(VLOOKUP(O18,Références!$K$11:$N$19,4)," ")</f>
        <v xml:space="preserve"> </v>
      </c>
      <c r="S18" s="298"/>
      <c r="T18" s="298"/>
      <c r="U18" s="298"/>
      <c r="V18" s="298"/>
      <c r="W18" s="298"/>
      <c r="X18" s="299"/>
      <c r="Y18" s="298">
        <v>1</v>
      </c>
      <c r="Z18" s="298"/>
      <c r="AA18" s="298"/>
      <c r="AB18" s="277"/>
      <c r="AC18" s="277"/>
      <c r="AD18" s="277"/>
      <c r="AE18" s="277"/>
      <c r="AF18" s="277"/>
      <c r="AG18" s="277"/>
      <c r="AH18" s="277"/>
      <c r="AI18" s="277">
        <f t="shared" si="27"/>
        <v>0</v>
      </c>
      <c r="AJ18" s="299"/>
      <c r="AK18" s="298">
        <f t="shared" si="28"/>
        <v>0</v>
      </c>
      <c r="AL18" s="299"/>
      <c r="AM18" s="308">
        <f t="shared" si="29"/>
        <v>0</v>
      </c>
      <c r="AN18" s="298"/>
      <c r="AO18" s="318"/>
      <c r="AP18" s="303" t="str">
        <f t="shared" si="16"/>
        <v xml:space="preserve"> </v>
      </c>
      <c r="AQ18" s="298"/>
      <c r="AR18" s="337"/>
      <c r="AS18" s="337"/>
      <c r="AT18" s="305"/>
      <c r="AU18" s="319"/>
      <c r="AV18" s="305"/>
      <c r="AW18" s="272"/>
      <c r="AX18" s="342"/>
      <c r="AY18" s="343"/>
      <c r="AZ18" s="272"/>
      <c r="BA18" s="272" t="s">
        <v>234</v>
      </c>
      <c r="BB18" s="337"/>
      <c r="BC18" s="270">
        <f t="shared" si="30"/>
        <v>0</v>
      </c>
      <c r="BD18" s="270">
        <f t="shared" si="31"/>
        <v>0</v>
      </c>
      <c r="BE18" s="270">
        <f t="shared" si="0"/>
        <v>1</v>
      </c>
      <c r="BF18" s="270" t="str">
        <f t="shared" si="19"/>
        <v>ALIVE</v>
      </c>
      <c r="BG18" s="250" t="str">
        <f t="shared" si="20"/>
        <v>Aucune</v>
      </c>
      <c r="BH18" s="250" t="str">
        <f t="shared" si="1"/>
        <v>Aucune</v>
      </c>
      <c r="BI18" s="250" t="str">
        <f t="shared" si="2"/>
        <v>Aucune</v>
      </c>
      <c r="BJ18" s="250" t="str">
        <f t="shared" si="3"/>
        <v>NON</v>
      </c>
      <c r="BK18" s="250" t="str">
        <f t="shared" si="4"/>
        <v>NON</v>
      </c>
      <c r="BL18" s="250" t="str">
        <f t="shared" si="5"/>
        <v>Inconnu</v>
      </c>
      <c r="BM18" s="250" t="str">
        <f t="shared" si="32"/>
        <v>Inconnu</v>
      </c>
      <c r="BN18" s="250" t="str">
        <f t="shared" si="33"/>
        <v>Inconnu</v>
      </c>
      <c r="BO18" s="250" t="str">
        <f t="shared" si="6"/>
        <v>Inconnu</v>
      </c>
      <c r="BP18" s="250" t="str">
        <f t="shared" si="34"/>
        <v>Inconnu</v>
      </c>
      <c r="BQ18" s="250" t="str">
        <f t="shared" si="35"/>
        <v>Inconnu</v>
      </c>
      <c r="BR18" s="250" t="str">
        <f t="shared" si="36"/>
        <v>Aucune</v>
      </c>
      <c r="BS18" s="250">
        <f t="shared" si="7"/>
        <v>0</v>
      </c>
      <c r="BT18" s="271" t="e">
        <f>VLOOKUP($I18,Lieu_Activité!$A:$B,2,FALSE)</f>
        <v>#N/A</v>
      </c>
      <c r="BU18" s="250" t="str">
        <f t="shared" si="8"/>
        <v>Aucun</v>
      </c>
      <c r="BV18" s="250" t="str">
        <f t="shared" si="9"/>
        <v>Aucun</v>
      </c>
      <c r="BW18" s="249" t="str">
        <f t="shared" si="10"/>
        <v>NON</v>
      </c>
      <c r="BX18" s="330"/>
    </row>
    <row r="19" spans="1:76" ht="12.95" customHeight="1" x14ac:dyDescent="0.2">
      <c r="A19" s="268" t="s">
        <v>212</v>
      </c>
      <c r="B19" s="276"/>
      <c r="C19" s="269"/>
      <c r="D19" s="299"/>
      <c r="E19" s="320">
        <f t="shared" si="26"/>
        <v>0</v>
      </c>
      <c r="F19" s="320" t="str">
        <f t="shared" si="12"/>
        <v xml:space="preserve"> </v>
      </c>
      <c r="G19" s="298"/>
      <c r="H19" s="298"/>
      <c r="I19" s="298"/>
      <c r="J19" s="298"/>
      <c r="K19" s="298"/>
      <c r="L19" s="299"/>
      <c r="M19" s="285"/>
      <c r="N19" s="298"/>
      <c r="O19" s="298"/>
      <c r="P19" s="307" t="str">
        <f>IFERROR(VLOOKUP(O19,Références!$K$11:$N$19,2)," ")</f>
        <v xml:space="preserve"> </v>
      </c>
      <c r="Q19" s="307" t="str">
        <f>IFERROR(VLOOKUP(O19,Références!$K$11:$N$19,3)," ")</f>
        <v xml:space="preserve"> </v>
      </c>
      <c r="R19" s="307" t="str">
        <f>IFERROR(VLOOKUP(O19,Références!$K$11:$N$19,4)," ")</f>
        <v xml:space="preserve"> </v>
      </c>
      <c r="S19" s="298"/>
      <c r="T19" s="298"/>
      <c r="U19" s="298"/>
      <c r="V19" s="298"/>
      <c r="W19" s="298"/>
      <c r="X19" s="299"/>
      <c r="Y19" s="298">
        <v>1</v>
      </c>
      <c r="Z19" s="298"/>
      <c r="AA19" s="298"/>
      <c r="AB19" s="277"/>
      <c r="AC19" s="277"/>
      <c r="AD19" s="277"/>
      <c r="AE19" s="277"/>
      <c r="AF19" s="277"/>
      <c r="AG19" s="277"/>
      <c r="AH19" s="277"/>
      <c r="AI19" s="277">
        <f t="shared" si="27"/>
        <v>0</v>
      </c>
      <c r="AJ19" s="299"/>
      <c r="AK19" s="298">
        <f t="shared" si="28"/>
        <v>0</v>
      </c>
      <c r="AL19" s="299"/>
      <c r="AM19" s="308">
        <f t="shared" si="29"/>
        <v>0</v>
      </c>
      <c r="AN19" s="298"/>
      <c r="AO19" s="318"/>
      <c r="AP19" s="303" t="str">
        <f t="shared" si="16"/>
        <v xml:space="preserve"> </v>
      </c>
      <c r="AQ19" s="298"/>
      <c r="AR19" s="337"/>
      <c r="AS19" s="337"/>
      <c r="AT19" s="305"/>
      <c r="AU19" s="319"/>
      <c r="AV19" s="305"/>
      <c r="AW19" s="272"/>
      <c r="AX19" s="342"/>
      <c r="AY19" s="343"/>
      <c r="AZ19" s="272"/>
      <c r="BA19" s="342" t="s">
        <v>234</v>
      </c>
      <c r="BB19" s="337"/>
      <c r="BC19" s="270">
        <f t="shared" si="30"/>
        <v>0</v>
      </c>
      <c r="BD19" s="270">
        <f t="shared" si="31"/>
        <v>0</v>
      </c>
      <c r="BE19" s="270">
        <f t="shared" si="0"/>
        <v>1</v>
      </c>
      <c r="BF19" s="270" t="str">
        <f t="shared" si="19"/>
        <v>ALIVE</v>
      </c>
      <c r="BG19" s="250" t="str">
        <f t="shared" si="20"/>
        <v>Aucune</v>
      </c>
      <c r="BH19" s="250" t="str">
        <f t="shared" si="1"/>
        <v>Aucune</v>
      </c>
      <c r="BI19" s="250" t="str">
        <f t="shared" si="2"/>
        <v>Aucune</v>
      </c>
      <c r="BJ19" s="250" t="str">
        <f t="shared" si="3"/>
        <v>NON</v>
      </c>
      <c r="BK19" s="250" t="str">
        <f t="shared" si="4"/>
        <v>NON</v>
      </c>
      <c r="BL19" s="250" t="str">
        <f t="shared" si="5"/>
        <v>Inconnu</v>
      </c>
      <c r="BM19" s="250" t="str">
        <f t="shared" si="32"/>
        <v>Inconnu</v>
      </c>
      <c r="BN19" s="250" t="str">
        <f t="shared" si="33"/>
        <v>Inconnu</v>
      </c>
      <c r="BO19" s="250" t="str">
        <f t="shared" si="6"/>
        <v>Inconnu</v>
      </c>
      <c r="BP19" s="250" t="str">
        <f t="shared" si="34"/>
        <v>Inconnu</v>
      </c>
      <c r="BQ19" s="250" t="str">
        <f t="shared" si="35"/>
        <v>Inconnu</v>
      </c>
      <c r="BR19" s="250" t="str">
        <f t="shared" si="36"/>
        <v>Aucune</v>
      </c>
      <c r="BS19" s="250">
        <f t="shared" si="7"/>
        <v>0</v>
      </c>
      <c r="BT19" s="271" t="e">
        <f>VLOOKUP($I19,Lieu_Activité!$A:$B,2,FALSE)</f>
        <v>#N/A</v>
      </c>
      <c r="BU19" s="250" t="str">
        <f t="shared" si="8"/>
        <v>Aucun</v>
      </c>
      <c r="BV19" s="250" t="str">
        <f t="shared" si="9"/>
        <v>Aucun</v>
      </c>
      <c r="BW19" s="249" t="str">
        <f t="shared" si="10"/>
        <v>NON</v>
      </c>
      <c r="BX19" s="330"/>
    </row>
    <row r="20" spans="1:76" ht="12.95" customHeight="1" x14ac:dyDescent="0.2">
      <c r="A20" s="268" t="s">
        <v>212</v>
      </c>
      <c r="B20" s="276"/>
      <c r="C20" s="269"/>
      <c r="D20" s="299"/>
      <c r="E20" s="320">
        <f>(L20-D20)/365</f>
        <v>0</v>
      </c>
      <c r="F20" s="320" t="str">
        <f t="shared" si="12"/>
        <v xml:space="preserve"> </v>
      </c>
      <c r="G20" s="298"/>
      <c r="H20" s="298"/>
      <c r="I20" s="298"/>
      <c r="J20" s="298"/>
      <c r="K20" s="298"/>
      <c r="L20" s="299"/>
      <c r="M20" s="285"/>
      <c r="N20" s="298"/>
      <c r="O20" s="298"/>
      <c r="P20" s="307" t="str">
        <f>IFERROR(VLOOKUP(O20,Références!$K$11:$N$19,2)," ")</f>
        <v xml:space="preserve"> </v>
      </c>
      <c r="Q20" s="307" t="str">
        <f>IFERROR(VLOOKUP(O20,Références!$K$11:$N$19,3)," ")</f>
        <v xml:space="preserve"> </v>
      </c>
      <c r="R20" s="307" t="str">
        <f>IFERROR(VLOOKUP(O20,Références!$K$11:$N$19,4)," ")</f>
        <v xml:space="preserve"> </v>
      </c>
      <c r="S20" s="298"/>
      <c r="T20" s="298"/>
      <c r="U20" s="298"/>
      <c r="V20" s="298"/>
      <c r="W20" s="298"/>
      <c r="X20" s="299"/>
      <c r="Y20" s="298">
        <v>1</v>
      </c>
      <c r="Z20" s="298"/>
      <c r="AA20" s="298"/>
      <c r="AB20" s="277"/>
      <c r="AC20" s="277"/>
      <c r="AD20" s="277"/>
      <c r="AE20" s="277"/>
      <c r="AF20" s="277"/>
      <c r="AG20" s="277"/>
      <c r="AH20" s="277"/>
      <c r="AI20" s="277">
        <f t="shared" ref="AI20:AI28" si="37">SUM(AF20,AH20)</f>
        <v>0</v>
      </c>
      <c r="AJ20" s="299"/>
      <c r="AK20" s="298">
        <f t="shared" ref="AK20:AK57" si="38">(AJ20-L20)</f>
        <v>0</v>
      </c>
      <c r="AL20" s="299"/>
      <c r="AM20" s="308">
        <f t="shared" ref="AM20:AM28" si="39">(AL20-L20)</f>
        <v>0</v>
      </c>
      <c r="AN20" s="298"/>
      <c r="AO20" s="318"/>
      <c r="AP20" s="303" t="str">
        <f t="shared" si="16"/>
        <v xml:space="preserve"> </v>
      </c>
      <c r="AQ20" s="298"/>
      <c r="AR20" s="337"/>
      <c r="AS20" s="337"/>
      <c r="AT20" s="305"/>
      <c r="AU20" s="319"/>
      <c r="AV20" s="305"/>
      <c r="AW20" s="272"/>
      <c r="AX20" s="342"/>
      <c r="AY20" s="343"/>
      <c r="AZ20" s="272"/>
      <c r="BA20" s="272" t="s">
        <v>234</v>
      </c>
      <c r="BB20" s="337"/>
      <c r="BC20" s="270">
        <f t="shared" ref="BC20:BC28" si="40">IF(BG20="Aucune",0,1)</f>
        <v>0</v>
      </c>
      <c r="BD20" s="270">
        <f t="shared" ref="BD20:BD28" si="41">IF(BH20="Aucune",0,1)</f>
        <v>0</v>
      </c>
      <c r="BE20" s="270">
        <f t="shared" si="0"/>
        <v>1</v>
      </c>
      <c r="BF20" s="270" t="str">
        <f t="shared" si="19"/>
        <v>ALIVE</v>
      </c>
      <c r="BG20" s="250" t="str">
        <f t="shared" si="20"/>
        <v>Aucune</v>
      </c>
      <c r="BH20" s="250" t="str">
        <f t="shared" si="1"/>
        <v>Aucune</v>
      </c>
      <c r="BI20" s="250" t="str">
        <f t="shared" si="2"/>
        <v>Aucune</v>
      </c>
      <c r="BJ20" s="250" t="str">
        <f t="shared" si="3"/>
        <v>NON</v>
      </c>
      <c r="BK20" s="250" t="str">
        <f t="shared" si="4"/>
        <v>NON</v>
      </c>
      <c r="BL20" s="250" t="str">
        <f t="shared" si="5"/>
        <v>Inconnu</v>
      </c>
      <c r="BM20" s="250" t="str">
        <f t="shared" ref="BM20:BM28" si="42">IF($O20&lt;&gt;"HTX",IF($O20&lt;&gt;"LVAD",BL20,"Inconnu"),"Inconnu")</f>
        <v>Inconnu</v>
      </c>
      <c r="BN20" s="250" t="str">
        <f t="shared" ref="BN20:BN28" si="43">IF($O20="HTX",BL20,IF($O20="LVAD",BL20,"Inconnu"))</f>
        <v>Inconnu</v>
      </c>
      <c r="BO20" s="250" t="str">
        <f t="shared" si="6"/>
        <v>Inconnu</v>
      </c>
      <c r="BP20" s="250" t="str">
        <f t="shared" ref="BP20:BP28" si="44">IF($O20&lt;&gt;"HTX",IF($O20&lt;&gt;"LVAD",BO20,"Inconnu"),"Inconnu")</f>
        <v>Inconnu</v>
      </c>
      <c r="BQ20" s="250" t="str">
        <f t="shared" ref="BQ20:BQ28" si="45">IF($O20="HTX",BO20,IF($O20="LVAD",BO20,"Inconnu"))</f>
        <v>Inconnu</v>
      </c>
      <c r="BR20" s="250" t="str">
        <f t="shared" ref="BR20:BR28" si="46">IF(BH20="Aucune",IF(BI20="Aucune","Aucune","Transfusé"),"Transfusé")</f>
        <v>Aucune</v>
      </c>
      <c r="BS20" s="250">
        <f t="shared" si="7"/>
        <v>0</v>
      </c>
      <c r="BT20" s="271" t="e">
        <f>VLOOKUP($I20,Lieu_Activité!$A:$B,2,FALSE)</f>
        <v>#N/A</v>
      </c>
      <c r="BU20" s="250" t="str">
        <f t="shared" si="8"/>
        <v>Aucun</v>
      </c>
      <c r="BV20" s="250" t="str">
        <f t="shared" si="9"/>
        <v>Aucun</v>
      </c>
      <c r="BW20" s="249" t="str">
        <f t="shared" si="10"/>
        <v>NON</v>
      </c>
      <c r="BX20" s="330"/>
    </row>
    <row r="21" spans="1:76" ht="12.95" customHeight="1" x14ac:dyDescent="0.2">
      <c r="A21" s="268" t="s">
        <v>212</v>
      </c>
      <c r="B21" s="276"/>
      <c r="C21" s="269"/>
      <c r="D21" s="299"/>
      <c r="E21" s="320">
        <f>(L21-D21)/365</f>
        <v>0</v>
      </c>
      <c r="F21" s="320" t="str">
        <f t="shared" si="12"/>
        <v xml:space="preserve"> </v>
      </c>
      <c r="G21" s="298"/>
      <c r="H21" s="298"/>
      <c r="I21" s="298"/>
      <c r="J21" s="298"/>
      <c r="K21" s="298"/>
      <c r="L21" s="299"/>
      <c r="M21" s="285"/>
      <c r="N21" s="298"/>
      <c r="O21" s="298"/>
      <c r="P21" s="307" t="str">
        <f>IFERROR(VLOOKUP(O21,Références!$K$11:$N$19,2)," ")</f>
        <v xml:space="preserve"> </v>
      </c>
      <c r="Q21" s="307" t="str">
        <f>IFERROR(VLOOKUP(O21,Références!$K$11:$N$19,3)," ")</f>
        <v xml:space="preserve"> </v>
      </c>
      <c r="R21" s="307" t="str">
        <f>IFERROR(VLOOKUP(O21,Références!$K$11:$N$19,4)," ")</f>
        <v xml:space="preserve"> </v>
      </c>
      <c r="S21" s="298"/>
      <c r="T21" s="298"/>
      <c r="U21" s="298"/>
      <c r="V21" s="298"/>
      <c r="W21" s="298"/>
      <c r="X21" s="299"/>
      <c r="Y21" s="298">
        <v>1</v>
      </c>
      <c r="Z21" s="298"/>
      <c r="AA21" s="298"/>
      <c r="AB21" s="277"/>
      <c r="AC21" s="277"/>
      <c r="AD21" s="277"/>
      <c r="AE21" s="277"/>
      <c r="AF21" s="277"/>
      <c r="AG21" s="277"/>
      <c r="AH21" s="277"/>
      <c r="AI21" s="277">
        <f t="shared" si="37"/>
        <v>0</v>
      </c>
      <c r="AJ21" s="299"/>
      <c r="AK21" s="298">
        <f t="shared" si="38"/>
        <v>0</v>
      </c>
      <c r="AL21" s="299"/>
      <c r="AM21" s="308">
        <f t="shared" si="39"/>
        <v>0</v>
      </c>
      <c r="AN21" s="298"/>
      <c r="AO21" s="318"/>
      <c r="AP21" s="303" t="str">
        <f t="shared" si="16"/>
        <v xml:space="preserve"> </v>
      </c>
      <c r="AQ21" s="298"/>
      <c r="AR21" s="337"/>
      <c r="AS21" s="337"/>
      <c r="AT21" s="305"/>
      <c r="AU21" s="319"/>
      <c r="AV21" s="305"/>
      <c r="AW21" s="272"/>
      <c r="AX21" s="342"/>
      <c r="AY21" s="343"/>
      <c r="AZ21" s="272"/>
      <c r="BA21" s="342" t="s">
        <v>234</v>
      </c>
      <c r="BB21" s="337"/>
      <c r="BC21" s="270">
        <f t="shared" si="40"/>
        <v>0</v>
      </c>
      <c r="BD21" s="270">
        <f t="shared" si="41"/>
        <v>0</v>
      </c>
      <c r="BE21" s="270">
        <f t="shared" si="0"/>
        <v>1</v>
      </c>
      <c r="BF21" s="270" t="str">
        <f t="shared" si="19"/>
        <v>ALIVE</v>
      </c>
      <c r="BG21" s="250" t="str">
        <f t="shared" si="20"/>
        <v>Aucune</v>
      </c>
      <c r="BH21" s="250" t="str">
        <f t="shared" si="1"/>
        <v>Aucune</v>
      </c>
      <c r="BI21" s="250" t="str">
        <f t="shared" si="2"/>
        <v>Aucune</v>
      </c>
      <c r="BJ21" s="250" t="str">
        <f t="shared" si="3"/>
        <v>NON</v>
      </c>
      <c r="BK21" s="250" t="str">
        <f t="shared" si="4"/>
        <v>NON</v>
      </c>
      <c r="BL21" s="250" t="str">
        <f t="shared" si="5"/>
        <v>Inconnu</v>
      </c>
      <c r="BM21" s="250" t="str">
        <f t="shared" si="42"/>
        <v>Inconnu</v>
      </c>
      <c r="BN21" s="250" t="str">
        <f t="shared" si="43"/>
        <v>Inconnu</v>
      </c>
      <c r="BO21" s="250" t="str">
        <f t="shared" si="6"/>
        <v>Inconnu</v>
      </c>
      <c r="BP21" s="250" t="str">
        <f t="shared" si="44"/>
        <v>Inconnu</v>
      </c>
      <c r="BQ21" s="250" t="str">
        <f t="shared" si="45"/>
        <v>Inconnu</v>
      </c>
      <c r="BR21" s="250" t="str">
        <f t="shared" si="46"/>
        <v>Aucune</v>
      </c>
      <c r="BS21" s="250">
        <f t="shared" si="7"/>
        <v>0</v>
      </c>
      <c r="BT21" s="271" t="e">
        <f>VLOOKUP($I21,Lieu_Activité!$A:$B,2,FALSE)</f>
        <v>#N/A</v>
      </c>
      <c r="BU21" s="250" t="str">
        <f t="shared" si="8"/>
        <v>Aucun</v>
      </c>
      <c r="BV21" s="250" t="str">
        <f t="shared" si="9"/>
        <v>Aucun</v>
      </c>
      <c r="BW21" s="249" t="str">
        <f t="shared" si="10"/>
        <v>NON</v>
      </c>
      <c r="BX21" s="330"/>
    </row>
    <row r="22" spans="1:76" ht="12.95" customHeight="1" x14ac:dyDescent="0.2">
      <c r="A22" s="268" t="s">
        <v>212</v>
      </c>
      <c r="B22" s="310"/>
      <c r="C22" s="269"/>
      <c r="D22" s="299"/>
      <c r="E22" s="320">
        <f>(L22-D22)/365</f>
        <v>0</v>
      </c>
      <c r="F22" s="320" t="str">
        <f t="shared" si="12"/>
        <v xml:space="preserve"> </v>
      </c>
      <c r="G22" s="298"/>
      <c r="H22" s="298"/>
      <c r="I22" s="298"/>
      <c r="J22" s="298"/>
      <c r="K22" s="298"/>
      <c r="L22" s="299"/>
      <c r="M22" s="285"/>
      <c r="N22" s="298"/>
      <c r="O22" s="298"/>
      <c r="P22" s="307" t="str">
        <f>IFERROR(VLOOKUP(O22,Références!$K$11:$N$19,2)," ")</f>
        <v xml:space="preserve"> </v>
      </c>
      <c r="Q22" s="307" t="str">
        <f>IFERROR(VLOOKUP(O22,Références!$K$11:$N$19,3)," ")</f>
        <v xml:space="preserve"> </v>
      </c>
      <c r="R22" s="307" t="str">
        <f>IFERROR(VLOOKUP(O22,Références!$K$11:$N$19,4)," ")</f>
        <v xml:space="preserve"> </v>
      </c>
      <c r="S22" s="298"/>
      <c r="T22" s="298"/>
      <c r="U22" s="298"/>
      <c r="V22" s="298"/>
      <c r="W22" s="298"/>
      <c r="X22" s="299"/>
      <c r="Y22" s="298">
        <v>1</v>
      </c>
      <c r="Z22" s="298"/>
      <c r="AA22" s="298"/>
      <c r="AB22" s="277"/>
      <c r="AC22" s="277"/>
      <c r="AD22" s="277"/>
      <c r="AE22" s="277"/>
      <c r="AF22" s="277"/>
      <c r="AG22" s="277"/>
      <c r="AH22" s="277"/>
      <c r="AI22" s="277">
        <f t="shared" si="37"/>
        <v>0</v>
      </c>
      <c r="AJ22" s="299"/>
      <c r="AK22" s="298">
        <f t="shared" si="38"/>
        <v>0</v>
      </c>
      <c r="AL22" s="299"/>
      <c r="AM22" s="308">
        <f t="shared" si="39"/>
        <v>0</v>
      </c>
      <c r="AN22" s="298"/>
      <c r="AO22" s="318"/>
      <c r="AP22" s="303" t="str">
        <f t="shared" si="16"/>
        <v xml:space="preserve"> </v>
      </c>
      <c r="AQ22" s="298"/>
      <c r="AR22" s="337"/>
      <c r="AS22" s="337"/>
      <c r="AT22" s="305"/>
      <c r="AU22" s="319"/>
      <c r="AV22" s="305"/>
      <c r="AW22" s="272"/>
      <c r="AX22" s="342"/>
      <c r="AY22" s="343"/>
      <c r="AZ22" s="272"/>
      <c r="BA22" s="275" t="s">
        <v>246</v>
      </c>
      <c r="BB22" s="337"/>
      <c r="BC22" s="270">
        <f t="shared" si="40"/>
        <v>0</v>
      </c>
      <c r="BD22" s="270">
        <f t="shared" si="41"/>
        <v>0</v>
      </c>
      <c r="BE22" s="270">
        <f t="shared" si="0"/>
        <v>1</v>
      </c>
      <c r="BF22" s="270" t="str">
        <f t="shared" si="19"/>
        <v>ALIVE</v>
      </c>
      <c r="BG22" s="250" t="str">
        <f t="shared" si="20"/>
        <v>Aucune</v>
      </c>
      <c r="BH22" s="250" t="str">
        <f t="shared" si="1"/>
        <v>Aucune</v>
      </c>
      <c r="BI22" s="250" t="str">
        <f t="shared" si="2"/>
        <v>Aucune</v>
      </c>
      <c r="BJ22" s="250" t="str">
        <f t="shared" si="3"/>
        <v>NON</v>
      </c>
      <c r="BK22" s="250" t="str">
        <f t="shared" si="4"/>
        <v>NON</v>
      </c>
      <c r="BL22" s="250" t="str">
        <f t="shared" si="5"/>
        <v>Inconnu</v>
      </c>
      <c r="BM22" s="250" t="str">
        <f t="shared" si="42"/>
        <v>Inconnu</v>
      </c>
      <c r="BN22" s="250" t="str">
        <f t="shared" si="43"/>
        <v>Inconnu</v>
      </c>
      <c r="BO22" s="250" t="str">
        <f t="shared" si="6"/>
        <v>Inconnu</v>
      </c>
      <c r="BP22" s="250" t="str">
        <f t="shared" si="44"/>
        <v>Inconnu</v>
      </c>
      <c r="BQ22" s="250" t="str">
        <f t="shared" si="45"/>
        <v>Inconnu</v>
      </c>
      <c r="BR22" s="250" t="str">
        <f t="shared" si="46"/>
        <v>Aucune</v>
      </c>
      <c r="BS22" s="250">
        <f t="shared" si="7"/>
        <v>0</v>
      </c>
      <c r="BT22" s="271" t="e">
        <f>VLOOKUP($I22,Lieu_Activité!$A:$B,2,FALSE)</f>
        <v>#N/A</v>
      </c>
      <c r="BU22" s="250" t="str">
        <f t="shared" si="8"/>
        <v>Aucun</v>
      </c>
      <c r="BV22" s="250" t="str">
        <f t="shared" si="9"/>
        <v>Aucun</v>
      </c>
      <c r="BW22" s="249" t="str">
        <f t="shared" si="10"/>
        <v>NON</v>
      </c>
      <c r="BX22" s="330"/>
    </row>
    <row r="23" spans="1:76" ht="12.95" customHeight="1" x14ac:dyDescent="0.2">
      <c r="A23" s="268" t="s">
        <v>212</v>
      </c>
      <c r="B23" s="276"/>
      <c r="C23" s="269"/>
      <c r="D23" s="299"/>
      <c r="E23" s="320">
        <f t="shared" ref="E23:E24" si="47">(L23-D23)/365</f>
        <v>0</v>
      </c>
      <c r="F23" s="320" t="str">
        <f t="shared" si="12"/>
        <v xml:space="preserve"> </v>
      </c>
      <c r="G23" s="298"/>
      <c r="H23" s="298"/>
      <c r="I23" s="298"/>
      <c r="J23" s="298"/>
      <c r="K23" s="298"/>
      <c r="L23" s="299"/>
      <c r="M23" s="285"/>
      <c r="N23" s="298"/>
      <c r="O23" s="298"/>
      <c r="P23" s="307" t="str">
        <f>IFERROR(VLOOKUP(O23,Références!$K$11:$N$19,2)," ")</f>
        <v xml:space="preserve"> </v>
      </c>
      <c r="Q23" s="307" t="str">
        <f>IFERROR(VLOOKUP(O23,Références!$K$11:$N$19,3)," ")</f>
        <v xml:space="preserve"> </v>
      </c>
      <c r="R23" s="307" t="str">
        <f>IFERROR(VLOOKUP(O23,Références!$K$11:$N$19,4)," ")</f>
        <v xml:space="preserve"> </v>
      </c>
      <c r="S23" s="298"/>
      <c r="T23" s="298"/>
      <c r="U23" s="298"/>
      <c r="V23" s="298"/>
      <c r="W23" s="298"/>
      <c r="X23" s="299"/>
      <c r="Y23" s="298">
        <v>1</v>
      </c>
      <c r="Z23" s="298"/>
      <c r="AA23" s="298"/>
      <c r="AB23" s="277"/>
      <c r="AC23" s="277"/>
      <c r="AD23" s="277"/>
      <c r="AE23" s="277"/>
      <c r="AF23" s="277"/>
      <c r="AG23" s="277"/>
      <c r="AH23" s="277"/>
      <c r="AI23" s="277">
        <f t="shared" si="37"/>
        <v>0</v>
      </c>
      <c r="AJ23" s="299"/>
      <c r="AK23" s="298">
        <f t="shared" si="38"/>
        <v>0</v>
      </c>
      <c r="AL23" s="299"/>
      <c r="AM23" s="308">
        <f t="shared" si="39"/>
        <v>0</v>
      </c>
      <c r="AN23" s="298"/>
      <c r="AO23" s="318"/>
      <c r="AP23" s="303" t="str">
        <f t="shared" si="16"/>
        <v xml:space="preserve"> </v>
      </c>
      <c r="AQ23" s="298"/>
      <c r="AR23" s="337"/>
      <c r="AS23" s="337"/>
      <c r="AT23" s="305"/>
      <c r="AU23" s="319"/>
      <c r="AV23" s="305"/>
      <c r="AW23" s="272"/>
      <c r="AX23" s="342"/>
      <c r="AY23" s="343"/>
      <c r="AZ23" s="272"/>
      <c r="BA23" s="272" t="s">
        <v>234</v>
      </c>
      <c r="BB23" s="337"/>
      <c r="BC23" s="270">
        <f t="shared" si="40"/>
        <v>0</v>
      </c>
      <c r="BD23" s="270">
        <f t="shared" si="41"/>
        <v>0</v>
      </c>
      <c r="BE23" s="270">
        <f t="shared" si="0"/>
        <v>1</v>
      </c>
      <c r="BF23" s="270" t="str">
        <f t="shared" si="19"/>
        <v>ALIVE</v>
      </c>
      <c r="BG23" s="250" t="str">
        <f t="shared" si="20"/>
        <v>Aucune</v>
      </c>
      <c r="BH23" s="250" t="str">
        <f t="shared" si="1"/>
        <v>Aucune</v>
      </c>
      <c r="BI23" s="250" t="str">
        <f t="shared" si="2"/>
        <v>Aucune</v>
      </c>
      <c r="BJ23" s="250" t="str">
        <f t="shared" si="3"/>
        <v>NON</v>
      </c>
      <c r="BK23" s="250" t="str">
        <f t="shared" si="4"/>
        <v>NON</v>
      </c>
      <c r="BL23" s="250" t="str">
        <f t="shared" si="5"/>
        <v>Inconnu</v>
      </c>
      <c r="BM23" s="250" t="str">
        <f t="shared" si="42"/>
        <v>Inconnu</v>
      </c>
      <c r="BN23" s="250" t="str">
        <f t="shared" si="43"/>
        <v>Inconnu</v>
      </c>
      <c r="BO23" s="250" t="str">
        <f t="shared" si="6"/>
        <v>Inconnu</v>
      </c>
      <c r="BP23" s="250" t="str">
        <f t="shared" si="44"/>
        <v>Inconnu</v>
      </c>
      <c r="BQ23" s="250" t="str">
        <f t="shared" si="45"/>
        <v>Inconnu</v>
      </c>
      <c r="BR23" s="250" t="str">
        <f t="shared" si="46"/>
        <v>Aucune</v>
      </c>
      <c r="BS23" s="250">
        <f t="shared" si="7"/>
        <v>0</v>
      </c>
      <c r="BT23" s="271" t="e">
        <f>VLOOKUP($I23,Lieu_Activité!$A:$B,2,FALSE)</f>
        <v>#N/A</v>
      </c>
      <c r="BU23" s="250" t="str">
        <f t="shared" si="8"/>
        <v>Aucun</v>
      </c>
      <c r="BV23" s="250" t="str">
        <f t="shared" si="9"/>
        <v>Aucun</v>
      </c>
      <c r="BW23" s="249" t="str">
        <f t="shared" si="10"/>
        <v>NON</v>
      </c>
      <c r="BX23" s="330"/>
    </row>
    <row r="24" spans="1:76" ht="12.95" customHeight="1" x14ac:dyDescent="0.2">
      <c r="A24" s="268" t="s">
        <v>212</v>
      </c>
      <c r="B24" s="276"/>
      <c r="C24" s="269"/>
      <c r="D24" s="299"/>
      <c r="E24" s="320">
        <f t="shared" si="47"/>
        <v>0</v>
      </c>
      <c r="F24" s="320" t="str">
        <f t="shared" si="12"/>
        <v xml:space="preserve"> </v>
      </c>
      <c r="G24" s="298"/>
      <c r="H24" s="298"/>
      <c r="I24" s="298"/>
      <c r="J24" s="298"/>
      <c r="K24" s="298"/>
      <c r="L24" s="299"/>
      <c r="M24" s="285"/>
      <c r="N24" s="298"/>
      <c r="O24" s="298"/>
      <c r="P24" s="307" t="str">
        <f>IFERROR(VLOOKUP(O24,Références!$K$11:$N$19,2)," ")</f>
        <v xml:space="preserve"> </v>
      </c>
      <c r="Q24" s="307" t="str">
        <f>IFERROR(VLOOKUP(O24,Références!$K$11:$N$19,3)," ")</f>
        <v xml:space="preserve"> </v>
      </c>
      <c r="R24" s="307" t="str">
        <f>IFERROR(VLOOKUP(O24,Références!$K$11:$N$19,4)," ")</f>
        <v xml:space="preserve"> </v>
      </c>
      <c r="S24" s="298"/>
      <c r="T24" s="298"/>
      <c r="U24" s="298"/>
      <c r="V24" s="298"/>
      <c r="W24" s="298"/>
      <c r="X24" s="299"/>
      <c r="Y24" s="298">
        <v>1</v>
      </c>
      <c r="Z24" s="298"/>
      <c r="AA24" s="298"/>
      <c r="AB24" s="277"/>
      <c r="AC24" s="277"/>
      <c r="AD24" s="277"/>
      <c r="AE24" s="277"/>
      <c r="AF24" s="277"/>
      <c r="AG24" s="277"/>
      <c r="AH24" s="277"/>
      <c r="AI24" s="277">
        <f t="shared" si="37"/>
        <v>0</v>
      </c>
      <c r="AJ24" s="299"/>
      <c r="AK24" s="298">
        <f t="shared" si="38"/>
        <v>0</v>
      </c>
      <c r="AL24" s="299"/>
      <c r="AM24" s="308">
        <f t="shared" si="39"/>
        <v>0</v>
      </c>
      <c r="AN24" s="298"/>
      <c r="AO24" s="318"/>
      <c r="AP24" s="303" t="str">
        <f t="shared" si="16"/>
        <v xml:space="preserve"> </v>
      </c>
      <c r="AQ24" s="298"/>
      <c r="AR24" s="337"/>
      <c r="AS24" s="337"/>
      <c r="AT24" s="305"/>
      <c r="AU24" s="319"/>
      <c r="AV24" s="305"/>
      <c r="AW24" s="272"/>
      <c r="AX24" s="342"/>
      <c r="AY24" s="343"/>
      <c r="AZ24" s="272"/>
      <c r="BA24" s="342" t="s">
        <v>234</v>
      </c>
      <c r="BB24" s="337"/>
      <c r="BC24" s="270">
        <f t="shared" si="40"/>
        <v>0</v>
      </c>
      <c r="BD24" s="270">
        <f t="shared" si="41"/>
        <v>0</v>
      </c>
      <c r="BE24" s="270">
        <f t="shared" si="0"/>
        <v>1</v>
      </c>
      <c r="BF24" s="270" t="str">
        <f t="shared" si="19"/>
        <v>ALIVE</v>
      </c>
      <c r="BG24" s="250" t="str">
        <f t="shared" si="20"/>
        <v>Aucune</v>
      </c>
      <c r="BH24" s="250" t="str">
        <f t="shared" si="1"/>
        <v>Aucune</v>
      </c>
      <c r="BI24" s="250" t="str">
        <f t="shared" si="2"/>
        <v>Aucune</v>
      </c>
      <c r="BJ24" s="250" t="str">
        <f t="shared" si="3"/>
        <v>NON</v>
      </c>
      <c r="BK24" s="250" t="str">
        <f t="shared" si="4"/>
        <v>NON</v>
      </c>
      <c r="BL24" s="250" t="str">
        <f t="shared" si="5"/>
        <v>Inconnu</v>
      </c>
      <c r="BM24" s="250" t="str">
        <f t="shared" si="42"/>
        <v>Inconnu</v>
      </c>
      <c r="BN24" s="250" t="str">
        <f t="shared" si="43"/>
        <v>Inconnu</v>
      </c>
      <c r="BO24" s="250" t="str">
        <f t="shared" si="6"/>
        <v>Inconnu</v>
      </c>
      <c r="BP24" s="250" t="str">
        <f t="shared" si="44"/>
        <v>Inconnu</v>
      </c>
      <c r="BQ24" s="250" t="str">
        <f t="shared" si="45"/>
        <v>Inconnu</v>
      </c>
      <c r="BR24" s="250" t="str">
        <f t="shared" si="46"/>
        <v>Aucune</v>
      </c>
      <c r="BS24" s="250">
        <f t="shared" si="7"/>
        <v>0</v>
      </c>
      <c r="BT24" s="271" t="e">
        <f>VLOOKUP($I24,Lieu_Activité!$A:$B,2,FALSE)</f>
        <v>#N/A</v>
      </c>
      <c r="BU24" s="250" t="str">
        <f t="shared" si="8"/>
        <v>Aucun</v>
      </c>
      <c r="BV24" s="250" t="str">
        <f t="shared" si="9"/>
        <v>Aucun</v>
      </c>
      <c r="BW24" s="249" t="str">
        <f t="shared" si="10"/>
        <v>NON</v>
      </c>
      <c r="BX24" s="330"/>
    </row>
    <row r="25" spans="1:76" ht="12.95" customHeight="1" x14ac:dyDescent="0.2">
      <c r="A25" s="268" t="s">
        <v>212</v>
      </c>
      <c r="B25" s="276"/>
      <c r="C25" s="269"/>
      <c r="D25" s="299"/>
      <c r="E25" s="320">
        <f>(L25-D25)/365</f>
        <v>0</v>
      </c>
      <c r="F25" s="320" t="str">
        <f t="shared" si="12"/>
        <v xml:space="preserve"> </v>
      </c>
      <c r="G25" s="298"/>
      <c r="H25" s="298"/>
      <c r="I25" s="298"/>
      <c r="J25" s="298"/>
      <c r="K25" s="298"/>
      <c r="L25" s="299"/>
      <c r="M25" s="285"/>
      <c r="N25" s="298"/>
      <c r="O25" s="298"/>
      <c r="P25" s="307" t="str">
        <f>IFERROR(VLOOKUP(O25,Références!$K$11:$N$19,2)," ")</f>
        <v xml:space="preserve"> </v>
      </c>
      <c r="Q25" s="307" t="str">
        <f>IFERROR(VLOOKUP(O25,Références!$K$11:$N$19,3)," ")</f>
        <v xml:space="preserve"> </v>
      </c>
      <c r="R25" s="307" t="str">
        <f>IFERROR(VLOOKUP(O25,Références!$K$11:$N$19,4)," ")</f>
        <v xml:space="preserve"> </v>
      </c>
      <c r="S25" s="298"/>
      <c r="T25" s="298"/>
      <c r="U25" s="298"/>
      <c r="V25" s="298"/>
      <c r="W25" s="298"/>
      <c r="X25" s="299"/>
      <c r="Y25" s="298">
        <v>1</v>
      </c>
      <c r="Z25" s="298"/>
      <c r="AA25" s="298"/>
      <c r="AB25" s="277"/>
      <c r="AC25" s="277"/>
      <c r="AD25" s="316"/>
      <c r="AE25" s="277"/>
      <c r="AF25" s="277"/>
      <c r="AG25" s="277"/>
      <c r="AH25" s="277"/>
      <c r="AI25" s="277">
        <f t="shared" si="37"/>
        <v>0</v>
      </c>
      <c r="AJ25" s="299"/>
      <c r="AK25" s="298">
        <f t="shared" si="38"/>
        <v>0</v>
      </c>
      <c r="AL25" s="299"/>
      <c r="AM25" s="308">
        <f t="shared" si="39"/>
        <v>0</v>
      </c>
      <c r="AN25" s="298"/>
      <c r="AO25" s="318"/>
      <c r="AP25" s="303" t="str">
        <f t="shared" si="16"/>
        <v xml:space="preserve"> </v>
      </c>
      <c r="AQ25" s="298"/>
      <c r="AR25" s="337"/>
      <c r="AS25" s="337"/>
      <c r="AT25" s="305"/>
      <c r="AU25" s="319"/>
      <c r="AV25" s="305"/>
      <c r="AW25" s="272"/>
      <c r="AX25" s="342"/>
      <c r="AY25" s="343"/>
      <c r="AZ25" s="272"/>
      <c r="BA25" s="272" t="s">
        <v>234</v>
      </c>
      <c r="BB25" s="337"/>
      <c r="BC25" s="270">
        <f t="shared" si="40"/>
        <v>0</v>
      </c>
      <c r="BD25" s="270">
        <f t="shared" si="41"/>
        <v>0</v>
      </c>
      <c r="BE25" s="270">
        <f t="shared" si="0"/>
        <v>1</v>
      </c>
      <c r="BF25" s="270" t="str">
        <f t="shared" si="19"/>
        <v>ALIVE</v>
      </c>
      <c r="BG25" s="250" t="str">
        <f t="shared" si="20"/>
        <v>Aucune</v>
      </c>
      <c r="BH25" s="250" t="str">
        <f t="shared" si="1"/>
        <v>Aucune</v>
      </c>
      <c r="BI25" s="250" t="str">
        <f t="shared" si="2"/>
        <v>Aucune</v>
      </c>
      <c r="BJ25" s="250" t="str">
        <f t="shared" si="3"/>
        <v>NON</v>
      </c>
      <c r="BK25" s="250" t="str">
        <f t="shared" si="4"/>
        <v>NON</v>
      </c>
      <c r="BL25" s="250" t="str">
        <f t="shared" si="5"/>
        <v>Inconnu</v>
      </c>
      <c r="BM25" s="250" t="str">
        <f t="shared" si="42"/>
        <v>Inconnu</v>
      </c>
      <c r="BN25" s="250" t="str">
        <f t="shared" si="43"/>
        <v>Inconnu</v>
      </c>
      <c r="BO25" s="250" t="str">
        <f t="shared" si="6"/>
        <v>Inconnu</v>
      </c>
      <c r="BP25" s="250" t="str">
        <f t="shared" si="44"/>
        <v>Inconnu</v>
      </c>
      <c r="BQ25" s="250" t="str">
        <f t="shared" si="45"/>
        <v>Inconnu</v>
      </c>
      <c r="BR25" s="250" t="str">
        <f t="shared" si="46"/>
        <v>Aucune</v>
      </c>
      <c r="BS25" s="250">
        <f t="shared" si="7"/>
        <v>0</v>
      </c>
      <c r="BT25" s="271" t="e">
        <f>VLOOKUP($I25,Lieu_Activité!$A:$B,2,FALSE)</f>
        <v>#N/A</v>
      </c>
      <c r="BU25" s="250" t="str">
        <f t="shared" si="8"/>
        <v>Aucun</v>
      </c>
      <c r="BV25" s="250" t="str">
        <f t="shared" si="9"/>
        <v>Aucun</v>
      </c>
      <c r="BW25" s="249" t="str">
        <f t="shared" si="10"/>
        <v>NON</v>
      </c>
      <c r="BX25" s="330"/>
    </row>
    <row r="26" spans="1:76" ht="12.95" customHeight="1" x14ac:dyDescent="0.2">
      <c r="A26" s="268" t="s">
        <v>212</v>
      </c>
      <c r="B26" s="276"/>
      <c r="C26" s="269"/>
      <c r="D26" s="299"/>
      <c r="E26" s="320">
        <f>(L26-D26)/365</f>
        <v>0</v>
      </c>
      <c r="F26" s="320" t="str">
        <f t="shared" si="12"/>
        <v xml:space="preserve"> </v>
      </c>
      <c r="G26" s="298"/>
      <c r="H26" s="298"/>
      <c r="I26" s="298"/>
      <c r="J26" s="298"/>
      <c r="K26" s="298"/>
      <c r="L26" s="299"/>
      <c r="M26" s="285"/>
      <c r="N26" s="298"/>
      <c r="O26" s="298"/>
      <c r="P26" s="307" t="str">
        <f>IFERROR(VLOOKUP(O26,Références!$K$11:$N$19,2)," ")</f>
        <v xml:space="preserve"> </v>
      </c>
      <c r="Q26" s="307" t="str">
        <f>IFERROR(VLOOKUP(O26,Références!$K$11:$N$19,3)," ")</f>
        <v xml:space="preserve"> </v>
      </c>
      <c r="R26" s="307" t="str">
        <f>IFERROR(VLOOKUP(O26,Références!$K$11:$N$19,4)," ")</f>
        <v xml:space="preserve"> </v>
      </c>
      <c r="S26" s="298"/>
      <c r="T26" s="298"/>
      <c r="U26" s="298"/>
      <c r="V26" s="298"/>
      <c r="W26" s="298"/>
      <c r="X26" s="299"/>
      <c r="Y26" s="298">
        <v>1</v>
      </c>
      <c r="Z26" s="298"/>
      <c r="AA26" s="298"/>
      <c r="AB26" s="277"/>
      <c r="AC26" s="277"/>
      <c r="AD26" s="277"/>
      <c r="AE26" s="277"/>
      <c r="AF26" s="277"/>
      <c r="AG26" s="277"/>
      <c r="AH26" s="277"/>
      <c r="AI26" s="277">
        <f t="shared" si="37"/>
        <v>0</v>
      </c>
      <c r="AJ26" s="299"/>
      <c r="AK26" s="298">
        <f t="shared" si="38"/>
        <v>0</v>
      </c>
      <c r="AL26" s="299"/>
      <c r="AM26" s="308">
        <f t="shared" si="39"/>
        <v>0</v>
      </c>
      <c r="AN26" s="298"/>
      <c r="AO26" s="318"/>
      <c r="AP26" s="303" t="str">
        <f t="shared" si="16"/>
        <v xml:space="preserve"> </v>
      </c>
      <c r="AQ26" s="298"/>
      <c r="AR26" s="337"/>
      <c r="AS26" s="337"/>
      <c r="AT26" s="305"/>
      <c r="AU26" s="319"/>
      <c r="AV26" s="305"/>
      <c r="AW26" s="272"/>
      <c r="AX26" s="342"/>
      <c r="AY26" s="343"/>
      <c r="AZ26" s="272"/>
      <c r="BA26" s="342"/>
      <c r="BB26" s="337"/>
      <c r="BC26" s="270">
        <f t="shared" si="40"/>
        <v>0</v>
      </c>
      <c r="BD26" s="270">
        <f t="shared" si="41"/>
        <v>0</v>
      </c>
      <c r="BE26" s="270">
        <f t="shared" si="0"/>
        <v>1</v>
      </c>
      <c r="BF26" s="270" t="str">
        <f t="shared" si="19"/>
        <v>ALIVE</v>
      </c>
      <c r="BG26" s="250" t="str">
        <f t="shared" si="20"/>
        <v>Aucune</v>
      </c>
      <c r="BH26" s="250" t="str">
        <f t="shared" si="1"/>
        <v>Aucune</v>
      </c>
      <c r="BI26" s="250" t="str">
        <f t="shared" si="2"/>
        <v>Aucune</v>
      </c>
      <c r="BJ26" s="250" t="str">
        <f t="shared" si="3"/>
        <v>NON</v>
      </c>
      <c r="BK26" s="250" t="str">
        <f t="shared" si="4"/>
        <v>NON</v>
      </c>
      <c r="BL26" s="250" t="str">
        <f t="shared" si="5"/>
        <v>Inconnu</v>
      </c>
      <c r="BM26" s="250" t="str">
        <f t="shared" si="42"/>
        <v>Inconnu</v>
      </c>
      <c r="BN26" s="250" t="str">
        <f t="shared" si="43"/>
        <v>Inconnu</v>
      </c>
      <c r="BO26" s="250" t="str">
        <f t="shared" si="6"/>
        <v>Inconnu</v>
      </c>
      <c r="BP26" s="250" t="str">
        <f t="shared" si="44"/>
        <v>Inconnu</v>
      </c>
      <c r="BQ26" s="250" t="str">
        <f t="shared" si="45"/>
        <v>Inconnu</v>
      </c>
      <c r="BR26" s="250" t="str">
        <f t="shared" si="46"/>
        <v>Aucune</v>
      </c>
      <c r="BS26" s="250">
        <f t="shared" si="7"/>
        <v>0</v>
      </c>
      <c r="BT26" s="271" t="e">
        <f>VLOOKUP($I26,Lieu_Activité!$A:$B,2,FALSE)</f>
        <v>#N/A</v>
      </c>
      <c r="BU26" s="250" t="str">
        <f t="shared" si="8"/>
        <v>Aucun</v>
      </c>
      <c r="BV26" s="250" t="str">
        <f t="shared" si="9"/>
        <v>Aucun</v>
      </c>
      <c r="BW26" s="249" t="str">
        <f t="shared" si="10"/>
        <v>NON</v>
      </c>
      <c r="BX26" s="330"/>
    </row>
    <row r="27" spans="1:76" ht="12.95" customHeight="1" x14ac:dyDescent="0.2">
      <c r="A27" s="268" t="s">
        <v>212</v>
      </c>
      <c r="B27" s="276"/>
      <c r="C27" s="269"/>
      <c r="D27" s="299"/>
      <c r="E27" s="320">
        <f>(L27-D27)/365</f>
        <v>0</v>
      </c>
      <c r="F27" s="320" t="str">
        <f t="shared" si="12"/>
        <v xml:space="preserve"> </v>
      </c>
      <c r="G27" s="298"/>
      <c r="H27" s="298"/>
      <c r="I27" s="298"/>
      <c r="J27" s="298"/>
      <c r="K27" s="298"/>
      <c r="L27" s="299"/>
      <c r="M27" s="285"/>
      <c r="N27" s="298"/>
      <c r="O27" s="298"/>
      <c r="P27" s="307" t="str">
        <f>IFERROR(VLOOKUP(O27,Références!$K$11:$N$19,2)," ")</f>
        <v xml:space="preserve"> </v>
      </c>
      <c r="Q27" s="307" t="str">
        <f>IFERROR(VLOOKUP(O27,Références!$K$11:$N$19,3)," ")</f>
        <v xml:space="preserve"> </v>
      </c>
      <c r="R27" s="307" t="str">
        <f>IFERROR(VLOOKUP(O27,Références!$K$11:$N$19,4)," ")</f>
        <v xml:space="preserve"> </v>
      </c>
      <c r="S27" s="298"/>
      <c r="T27" s="298"/>
      <c r="U27" s="298"/>
      <c r="V27" s="298"/>
      <c r="W27" s="298"/>
      <c r="X27" s="299"/>
      <c r="Y27" s="298">
        <v>1</v>
      </c>
      <c r="Z27" s="298"/>
      <c r="AA27" s="298"/>
      <c r="AB27" s="277"/>
      <c r="AC27" s="277"/>
      <c r="AD27" s="277"/>
      <c r="AE27" s="277"/>
      <c r="AF27" s="277"/>
      <c r="AG27" s="277"/>
      <c r="AH27" s="277"/>
      <c r="AI27" s="277">
        <f t="shared" si="37"/>
        <v>0</v>
      </c>
      <c r="AJ27" s="299"/>
      <c r="AK27" s="298">
        <f t="shared" si="38"/>
        <v>0</v>
      </c>
      <c r="AL27" s="299"/>
      <c r="AM27" s="308">
        <f t="shared" si="39"/>
        <v>0</v>
      </c>
      <c r="AN27" s="298"/>
      <c r="AO27" s="318"/>
      <c r="AP27" s="303" t="str">
        <f t="shared" si="16"/>
        <v xml:space="preserve"> </v>
      </c>
      <c r="AQ27" s="298"/>
      <c r="AR27" s="337"/>
      <c r="AS27" s="337"/>
      <c r="AT27" s="305"/>
      <c r="AU27" s="319"/>
      <c r="AV27" s="305"/>
      <c r="AW27" s="272"/>
      <c r="AX27" s="342"/>
      <c r="AY27" s="343"/>
      <c r="AZ27" s="272"/>
      <c r="BA27" s="272" t="s">
        <v>234</v>
      </c>
      <c r="BB27" s="337"/>
      <c r="BC27" s="270">
        <f t="shared" si="40"/>
        <v>0</v>
      </c>
      <c r="BD27" s="270">
        <f t="shared" si="41"/>
        <v>0</v>
      </c>
      <c r="BE27" s="270">
        <f t="shared" si="0"/>
        <v>1</v>
      </c>
      <c r="BF27" s="270" t="str">
        <f t="shared" si="19"/>
        <v>ALIVE</v>
      </c>
      <c r="BG27" s="250" t="str">
        <f t="shared" si="20"/>
        <v>Aucune</v>
      </c>
      <c r="BH27" s="250" t="str">
        <f t="shared" si="1"/>
        <v>Aucune</v>
      </c>
      <c r="BI27" s="250" t="str">
        <f t="shared" si="2"/>
        <v>Aucune</v>
      </c>
      <c r="BJ27" s="250" t="str">
        <f t="shared" si="3"/>
        <v>NON</v>
      </c>
      <c r="BK27" s="250" t="str">
        <f t="shared" si="4"/>
        <v>NON</v>
      </c>
      <c r="BL27" s="250" t="str">
        <f t="shared" si="5"/>
        <v>Inconnu</v>
      </c>
      <c r="BM27" s="250" t="str">
        <f t="shared" si="42"/>
        <v>Inconnu</v>
      </c>
      <c r="BN27" s="250" t="str">
        <f t="shared" si="43"/>
        <v>Inconnu</v>
      </c>
      <c r="BO27" s="250" t="str">
        <f t="shared" si="6"/>
        <v>Inconnu</v>
      </c>
      <c r="BP27" s="250" t="str">
        <f t="shared" si="44"/>
        <v>Inconnu</v>
      </c>
      <c r="BQ27" s="250" t="str">
        <f t="shared" si="45"/>
        <v>Inconnu</v>
      </c>
      <c r="BR27" s="250" t="str">
        <f t="shared" si="46"/>
        <v>Aucune</v>
      </c>
      <c r="BS27" s="250">
        <f t="shared" si="7"/>
        <v>0</v>
      </c>
      <c r="BT27" s="271" t="e">
        <f>VLOOKUP($I27,Lieu_Activité!$A:$B,2,FALSE)</f>
        <v>#N/A</v>
      </c>
      <c r="BU27" s="250" t="str">
        <f t="shared" si="8"/>
        <v>Aucun</v>
      </c>
      <c r="BV27" s="250" t="str">
        <f t="shared" si="9"/>
        <v>Aucun</v>
      </c>
      <c r="BW27" s="249" t="str">
        <f t="shared" si="10"/>
        <v>NON</v>
      </c>
      <c r="BX27" s="330"/>
    </row>
    <row r="28" spans="1:76" ht="12.95" customHeight="1" x14ac:dyDescent="0.2">
      <c r="A28" s="268" t="s">
        <v>212</v>
      </c>
      <c r="B28" s="276"/>
      <c r="C28" s="269"/>
      <c r="D28" s="299"/>
      <c r="E28" s="320">
        <f>(L28-D28)/365</f>
        <v>0</v>
      </c>
      <c r="F28" s="320" t="str">
        <f t="shared" si="12"/>
        <v xml:space="preserve"> </v>
      </c>
      <c r="G28" s="298"/>
      <c r="H28" s="298"/>
      <c r="I28" s="298"/>
      <c r="J28" s="298"/>
      <c r="K28" s="298"/>
      <c r="L28" s="299"/>
      <c r="M28" s="285"/>
      <c r="N28" s="298"/>
      <c r="O28" s="298"/>
      <c r="P28" s="307" t="str">
        <f>IFERROR(VLOOKUP(O28,Références!$K$11:$N$19,2)," ")</f>
        <v xml:space="preserve"> </v>
      </c>
      <c r="Q28" s="307" t="str">
        <f>IFERROR(VLOOKUP(O28,Références!$K$11:$N$19,3)," ")</f>
        <v xml:space="preserve"> </v>
      </c>
      <c r="R28" s="307" t="str">
        <f>IFERROR(VLOOKUP(O28,Références!$K$11:$N$19,4)," ")</f>
        <v xml:space="preserve"> </v>
      </c>
      <c r="S28" s="298"/>
      <c r="T28" s="298"/>
      <c r="U28" s="298"/>
      <c r="V28" s="298"/>
      <c r="W28" s="298"/>
      <c r="X28" s="299"/>
      <c r="Y28" s="298">
        <v>1</v>
      </c>
      <c r="Z28" s="298"/>
      <c r="AA28" s="298"/>
      <c r="AB28" s="277"/>
      <c r="AC28" s="277"/>
      <c r="AD28" s="277"/>
      <c r="AE28" s="277"/>
      <c r="AF28" s="277"/>
      <c r="AG28" s="277"/>
      <c r="AH28" s="277"/>
      <c r="AI28" s="277">
        <f t="shared" si="37"/>
        <v>0</v>
      </c>
      <c r="AJ28" s="299"/>
      <c r="AK28" s="298">
        <f t="shared" si="38"/>
        <v>0</v>
      </c>
      <c r="AL28" s="299"/>
      <c r="AM28" s="308">
        <f t="shared" si="39"/>
        <v>0</v>
      </c>
      <c r="AN28" s="298"/>
      <c r="AO28" s="318"/>
      <c r="AP28" s="303" t="str">
        <f t="shared" si="16"/>
        <v xml:space="preserve"> </v>
      </c>
      <c r="AQ28" s="298"/>
      <c r="AR28" s="337"/>
      <c r="AS28" s="337"/>
      <c r="AT28" s="305"/>
      <c r="AU28" s="319"/>
      <c r="AV28" s="305"/>
      <c r="AW28" s="272"/>
      <c r="AX28" s="342"/>
      <c r="AY28" s="343"/>
      <c r="AZ28" s="272"/>
      <c r="BA28" s="342" t="s">
        <v>234</v>
      </c>
      <c r="BB28" s="337"/>
      <c r="BC28" s="270">
        <f t="shared" si="40"/>
        <v>0</v>
      </c>
      <c r="BD28" s="270">
        <f t="shared" si="41"/>
        <v>0</v>
      </c>
      <c r="BE28" s="270">
        <f t="shared" si="0"/>
        <v>1</v>
      </c>
      <c r="BF28" s="270" t="str">
        <f t="shared" si="19"/>
        <v>ALIVE</v>
      </c>
      <c r="BG28" s="250" t="str">
        <f t="shared" si="20"/>
        <v>Aucune</v>
      </c>
      <c r="BH28" s="250" t="str">
        <f t="shared" si="1"/>
        <v>Aucune</v>
      </c>
      <c r="BI28" s="250" t="str">
        <f t="shared" si="2"/>
        <v>Aucune</v>
      </c>
      <c r="BJ28" s="250" t="str">
        <f t="shared" si="3"/>
        <v>NON</v>
      </c>
      <c r="BK28" s="250" t="str">
        <f t="shared" si="4"/>
        <v>NON</v>
      </c>
      <c r="BL28" s="250" t="str">
        <f t="shared" si="5"/>
        <v>Inconnu</v>
      </c>
      <c r="BM28" s="250" t="str">
        <f t="shared" si="42"/>
        <v>Inconnu</v>
      </c>
      <c r="BN28" s="250" t="str">
        <f t="shared" si="43"/>
        <v>Inconnu</v>
      </c>
      <c r="BO28" s="250" t="str">
        <f t="shared" si="6"/>
        <v>Inconnu</v>
      </c>
      <c r="BP28" s="250" t="str">
        <f t="shared" si="44"/>
        <v>Inconnu</v>
      </c>
      <c r="BQ28" s="250" t="str">
        <f t="shared" si="45"/>
        <v>Inconnu</v>
      </c>
      <c r="BR28" s="250" t="str">
        <f t="shared" si="46"/>
        <v>Aucune</v>
      </c>
      <c r="BS28" s="250">
        <f t="shared" si="7"/>
        <v>0</v>
      </c>
      <c r="BT28" s="271" t="e">
        <f>VLOOKUP($I28,Lieu_Activité!$A:$B,2,FALSE)</f>
        <v>#N/A</v>
      </c>
      <c r="BU28" s="250" t="str">
        <f t="shared" si="8"/>
        <v>Aucun</v>
      </c>
      <c r="BV28" s="250" t="str">
        <f t="shared" si="9"/>
        <v>Aucun</v>
      </c>
      <c r="BW28" s="249" t="str">
        <f t="shared" si="10"/>
        <v>NON</v>
      </c>
      <c r="BX28" s="330"/>
    </row>
    <row r="29" spans="1:76" ht="12.95" customHeight="1" x14ac:dyDescent="0.2">
      <c r="A29" s="273" t="s">
        <v>213</v>
      </c>
      <c r="B29" s="276"/>
      <c r="C29" s="269"/>
      <c r="D29" s="299"/>
      <c r="E29" s="320">
        <f t="shared" ref="E29:E42" si="48">(L29-D29)/365</f>
        <v>0</v>
      </c>
      <c r="F29" s="320" t="str">
        <f t="shared" si="12"/>
        <v xml:space="preserve"> </v>
      </c>
      <c r="G29" s="298"/>
      <c r="H29" s="298"/>
      <c r="I29" s="298"/>
      <c r="J29" s="298"/>
      <c r="K29" s="298"/>
      <c r="L29" s="299"/>
      <c r="M29" s="285"/>
      <c r="N29" s="274"/>
      <c r="O29" s="313"/>
      <c r="P29" s="307" t="str">
        <f>IFERROR(VLOOKUP(O29,Références!$K$11:$N$19,2)," ")</f>
        <v xml:space="preserve"> </v>
      </c>
      <c r="Q29" s="307" t="str">
        <f>IFERROR(VLOOKUP(O29,Références!$K$11:$N$19,3)," ")</f>
        <v xml:space="preserve"> </v>
      </c>
      <c r="R29" s="307" t="str">
        <f>IFERROR(VLOOKUP(O29,Références!$K$11:$N$19,4)," ")</f>
        <v xml:space="preserve"> </v>
      </c>
      <c r="S29" s="298"/>
      <c r="T29" s="298"/>
      <c r="U29" s="298"/>
      <c r="V29" s="298"/>
      <c r="W29" s="298"/>
      <c r="X29" s="299"/>
      <c r="Y29" s="298">
        <v>1</v>
      </c>
      <c r="Z29" s="298"/>
      <c r="AA29" s="298"/>
      <c r="AB29" s="277"/>
      <c r="AC29" s="277"/>
      <c r="AD29" s="316"/>
      <c r="AE29" s="277"/>
      <c r="AF29" s="277"/>
      <c r="AG29" s="277"/>
      <c r="AH29" s="277"/>
      <c r="AI29" s="277">
        <f t="shared" ref="AI29:AI42" si="49">SUM(AF29,AH29)</f>
        <v>0</v>
      </c>
      <c r="AJ29" s="299"/>
      <c r="AK29" s="298">
        <f t="shared" si="38"/>
        <v>0</v>
      </c>
      <c r="AL29" s="299"/>
      <c r="AM29" s="308">
        <f t="shared" ref="AM29:AM42" si="50">(AL29-L29)</f>
        <v>0</v>
      </c>
      <c r="AN29" s="298"/>
      <c r="AO29" s="318"/>
      <c r="AP29" s="303" t="str">
        <f t="shared" si="16"/>
        <v xml:space="preserve"> </v>
      </c>
      <c r="AQ29" s="298"/>
      <c r="AR29" s="337"/>
      <c r="AS29" s="337"/>
      <c r="AT29" s="305"/>
      <c r="AU29" s="319"/>
      <c r="AV29" s="305"/>
      <c r="AW29" s="272"/>
      <c r="AX29" s="342"/>
      <c r="AY29" s="343"/>
      <c r="AZ29" s="272"/>
      <c r="BA29" s="342" t="s">
        <v>234</v>
      </c>
      <c r="BB29" s="337"/>
      <c r="BC29" s="270">
        <f t="shared" ref="BC29:BC42" si="51">IF(BG29="Aucune",0,1)</f>
        <v>0</v>
      </c>
      <c r="BD29" s="270">
        <f t="shared" ref="BD29:BD42" si="52">IF(BH29="Aucune",0,1)</f>
        <v>0</v>
      </c>
      <c r="BE29" s="270">
        <f t="shared" si="0"/>
        <v>1</v>
      </c>
      <c r="BF29" s="270" t="str">
        <f t="shared" si="19"/>
        <v>ALIVE</v>
      </c>
      <c r="BG29" s="250" t="str">
        <f t="shared" si="20"/>
        <v>Aucune</v>
      </c>
      <c r="BH29" s="250" t="str">
        <f t="shared" si="1"/>
        <v>Aucune</v>
      </c>
      <c r="BI29" s="250" t="str">
        <f t="shared" si="2"/>
        <v>Aucune</v>
      </c>
      <c r="BJ29" s="250" t="str">
        <f t="shared" si="3"/>
        <v>NON</v>
      </c>
      <c r="BK29" s="250" t="str">
        <f t="shared" si="4"/>
        <v>NON</v>
      </c>
      <c r="BL29" s="250" t="str">
        <f t="shared" si="5"/>
        <v>Inconnu</v>
      </c>
      <c r="BM29" s="250" t="str">
        <f t="shared" ref="BM29:BM42" si="53">IF($O29&lt;&gt;"HTX",IF($O29&lt;&gt;"LVAD",BL29,"Inconnu"),"Inconnu")</f>
        <v>Inconnu</v>
      </c>
      <c r="BN29" s="250" t="str">
        <f t="shared" ref="BN29:BN42" si="54">IF($O29="HTX",BL29,IF($O29="LVAD",BL29,"Inconnu"))</f>
        <v>Inconnu</v>
      </c>
      <c r="BO29" s="250" t="str">
        <f t="shared" si="6"/>
        <v>Inconnu</v>
      </c>
      <c r="BP29" s="250" t="str">
        <f t="shared" ref="BP29:BP42" si="55">IF($O29&lt;&gt;"HTX",IF($O29&lt;&gt;"LVAD",BO29,"Inconnu"),"Inconnu")</f>
        <v>Inconnu</v>
      </c>
      <c r="BQ29" s="250" t="str">
        <f t="shared" ref="BQ29:BQ42" si="56">IF($O29="HTX",BO29,IF($O29="LVAD",BO29,"Inconnu"))</f>
        <v>Inconnu</v>
      </c>
      <c r="BR29" s="250" t="str">
        <f t="shared" ref="BR29:BR42" si="57">IF(BH29="Aucune",IF(BI29="Aucune","Aucune","Transfusé"),"Transfusé")</f>
        <v>Aucune</v>
      </c>
      <c r="BS29" s="250">
        <f t="shared" si="7"/>
        <v>0</v>
      </c>
      <c r="BT29" s="271" t="e">
        <f>VLOOKUP($I29,Lieu_Activité!$A:$B,2,FALSE)</f>
        <v>#N/A</v>
      </c>
      <c r="BU29" s="250" t="str">
        <f t="shared" si="8"/>
        <v>Aucun</v>
      </c>
      <c r="BV29" s="250" t="str">
        <f t="shared" si="9"/>
        <v>Aucun</v>
      </c>
      <c r="BW29" s="249" t="str">
        <f t="shared" si="10"/>
        <v>NON</v>
      </c>
      <c r="BX29" s="330"/>
    </row>
    <row r="30" spans="1:76" ht="12.95" customHeight="1" x14ac:dyDescent="0.2">
      <c r="A30" s="273" t="s">
        <v>213</v>
      </c>
      <c r="B30" s="276"/>
      <c r="C30" s="269"/>
      <c r="D30" s="299"/>
      <c r="E30" s="320">
        <f t="shared" si="48"/>
        <v>0</v>
      </c>
      <c r="F30" s="320" t="str">
        <f t="shared" si="12"/>
        <v xml:space="preserve"> </v>
      </c>
      <c r="G30" s="298"/>
      <c r="H30" s="298"/>
      <c r="I30" s="298"/>
      <c r="J30" s="298"/>
      <c r="K30" s="298"/>
      <c r="L30" s="299"/>
      <c r="M30" s="285"/>
      <c r="N30" s="274"/>
      <c r="O30" s="274"/>
      <c r="P30" s="307" t="str">
        <f>IFERROR(VLOOKUP(O30,Références!$K$11:$N$19,2)," ")</f>
        <v xml:space="preserve"> </v>
      </c>
      <c r="Q30" s="307" t="str">
        <f>IFERROR(VLOOKUP(O30,Références!$K$11:$N$19,3)," ")</f>
        <v xml:space="preserve"> </v>
      </c>
      <c r="R30" s="307" t="str">
        <f>IFERROR(VLOOKUP(O30,Références!$K$11:$N$19,4)," ")</f>
        <v xml:space="preserve"> </v>
      </c>
      <c r="S30" s="298"/>
      <c r="T30" s="298"/>
      <c r="U30" s="298"/>
      <c r="V30" s="298"/>
      <c r="W30" s="298"/>
      <c r="X30" s="299"/>
      <c r="Y30" s="298">
        <v>1</v>
      </c>
      <c r="Z30" s="298"/>
      <c r="AA30" s="298"/>
      <c r="AB30" s="277"/>
      <c r="AC30" s="277"/>
      <c r="AD30" s="277"/>
      <c r="AE30" s="277"/>
      <c r="AF30" s="277"/>
      <c r="AG30" s="277"/>
      <c r="AH30" s="277"/>
      <c r="AI30" s="277">
        <f t="shared" si="49"/>
        <v>0</v>
      </c>
      <c r="AJ30" s="299"/>
      <c r="AK30" s="298">
        <f t="shared" si="38"/>
        <v>0</v>
      </c>
      <c r="AL30" s="299"/>
      <c r="AM30" s="308">
        <f t="shared" si="50"/>
        <v>0</v>
      </c>
      <c r="AN30" s="298"/>
      <c r="AO30" s="318"/>
      <c r="AP30" s="303" t="str">
        <f>IF(AO30=1,"ELECTIVE",IF(AO30=2,"URGENCY",IF(AO30=3,"EMERGENCY",IF(AO30=4,"SALVAGE"," "))))</f>
        <v xml:space="preserve"> </v>
      </c>
      <c r="AQ30" s="298"/>
      <c r="AR30" s="337"/>
      <c r="AS30" s="337"/>
      <c r="AT30" s="305"/>
      <c r="AU30" s="319"/>
      <c r="AV30" s="305"/>
      <c r="AW30" s="272"/>
      <c r="AX30" s="342"/>
      <c r="AY30" s="343"/>
      <c r="AZ30" s="272"/>
      <c r="BA30" s="342" t="s">
        <v>234</v>
      </c>
      <c r="BB30" s="337"/>
      <c r="BC30" s="270">
        <f t="shared" si="51"/>
        <v>0</v>
      </c>
      <c r="BD30" s="270">
        <f t="shared" si="52"/>
        <v>0</v>
      </c>
      <c r="BE30" s="270">
        <f t="shared" si="0"/>
        <v>1</v>
      </c>
      <c r="BF30" s="270" t="str">
        <f t="shared" si="19"/>
        <v>ALIVE</v>
      </c>
      <c r="BG30" s="250" t="str">
        <f t="shared" si="20"/>
        <v>Aucune</v>
      </c>
      <c r="BH30" s="250" t="str">
        <f t="shared" si="1"/>
        <v>Aucune</v>
      </c>
      <c r="BI30" s="250" t="str">
        <f t="shared" si="2"/>
        <v>Aucune</v>
      </c>
      <c r="BJ30" s="250" t="str">
        <f t="shared" si="3"/>
        <v>NON</v>
      </c>
      <c r="BK30" s="250" t="str">
        <f t="shared" si="4"/>
        <v>NON</v>
      </c>
      <c r="BL30" s="250" t="str">
        <f t="shared" si="5"/>
        <v>Inconnu</v>
      </c>
      <c r="BM30" s="250" t="str">
        <f t="shared" si="53"/>
        <v>Inconnu</v>
      </c>
      <c r="BN30" s="250" t="str">
        <f t="shared" si="54"/>
        <v>Inconnu</v>
      </c>
      <c r="BO30" s="250" t="str">
        <f t="shared" si="6"/>
        <v>Inconnu</v>
      </c>
      <c r="BP30" s="250" t="str">
        <f t="shared" si="55"/>
        <v>Inconnu</v>
      </c>
      <c r="BQ30" s="250" t="str">
        <f t="shared" si="56"/>
        <v>Inconnu</v>
      </c>
      <c r="BR30" s="250" t="str">
        <f t="shared" si="57"/>
        <v>Aucune</v>
      </c>
      <c r="BS30" s="250">
        <f t="shared" si="7"/>
        <v>0</v>
      </c>
      <c r="BT30" s="271" t="e">
        <f>VLOOKUP($I30,Lieu_Activité!$A:$B,2,FALSE)</f>
        <v>#N/A</v>
      </c>
      <c r="BU30" s="250" t="str">
        <f t="shared" si="8"/>
        <v>Aucun</v>
      </c>
      <c r="BV30" s="250" t="str">
        <f t="shared" si="9"/>
        <v>Aucun</v>
      </c>
      <c r="BW30" s="249" t="str">
        <f t="shared" si="10"/>
        <v>NON</v>
      </c>
      <c r="BX30" s="330"/>
    </row>
    <row r="31" spans="1:76" ht="12.95" customHeight="1" x14ac:dyDescent="0.2">
      <c r="A31" s="273" t="s">
        <v>213</v>
      </c>
      <c r="B31" s="276"/>
      <c r="C31" s="269"/>
      <c r="D31" s="299"/>
      <c r="E31" s="320">
        <f t="shared" si="48"/>
        <v>0</v>
      </c>
      <c r="F31" s="320" t="str">
        <f t="shared" si="12"/>
        <v xml:space="preserve"> </v>
      </c>
      <c r="G31" s="298"/>
      <c r="H31" s="298"/>
      <c r="I31" s="298"/>
      <c r="J31" s="298"/>
      <c r="K31" s="298"/>
      <c r="L31" s="299"/>
      <c r="M31" s="285"/>
      <c r="N31" s="274"/>
      <c r="O31" s="274"/>
      <c r="P31" s="307" t="str">
        <f>IFERROR(VLOOKUP(O31,Références!$K$11:$N$19,2)," ")</f>
        <v xml:space="preserve"> </v>
      </c>
      <c r="Q31" s="307" t="str">
        <f>IFERROR(VLOOKUP(O31,Références!$K$11:$N$19,3)," ")</f>
        <v xml:space="preserve"> </v>
      </c>
      <c r="R31" s="307" t="str">
        <f>IFERROR(VLOOKUP(O31,Références!$K$11:$N$19,4)," ")</f>
        <v xml:space="preserve"> </v>
      </c>
      <c r="S31" s="298"/>
      <c r="T31" s="298"/>
      <c r="U31" s="298"/>
      <c r="V31" s="298"/>
      <c r="W31" s="298"/>
      <c r="X31" s="299"/>
      <c r="Y31" s="298">
        <v>1</v>
      </c>
      <c r="Z31" s="298"/>
      <c r="AA31" s="298"/>
      <c r="AB31" s="277"/>
      <c r="AC31" s="277"/>
      <c r="AD31" s="277"/>
      <c r="AE31" s="277"/>
      <c r="AF31" s="277"/>
      <c r="AG31" s="277"/>
      <c r="AH31" s="277"/>
      <c r="AI31" s="277">
        <f t="shared" si="49"/>
        <v>0</v>
      </c>
      <c r="AJ31" s="299"/>
      <c r="AK31" s="298">
        <f t="shared" si="38"/>
        <v>0</v>
      </c>
      <c r="AL31" s="299"/>
      <c r="AM31" s="308">
        <f t="shared" si="50"/>
        <v>0</v>
      </c>
      <c r="AN31" s="298"/>
      <c r="AO31" s="318"/>
      <c r="AP31" s="303" t="str">
        <f t="shared" si="16"/>
        <v xml:space="preserve"> </v>
      </c>
      <c r="AQ31" s="298"/>
      <c r="AR31" s="337"/>
      <c r="AS31" s="337"/>
      <c r="AT31" s="305"/>
      <c r="AU31" s="319"/>
      <c r="AV31" s="305"/>
      <c r="AW31" s="272"/>
      <c r="AX31" s="342"/>
      <c r="AY31" s="343"/>
      <c r="AZ31" s="272"/>
      <c r="BA31" s="342" t="s">
        <v>234</v>
      </c>
      <c r="BB31" s="337"/>
      <c r="BC31" s="270">
        <f t="shared" si="51"/>
        <v>0</v>
      </c>
      <c r="BD31" s="270">
        <f t="shared" si="52"/>
        <v>0</v>
      </c>
      <c r="BE31" s="270">
        <f t="shared" si="0"/>
        <v>1</v>
      </c>
      <c r="BF31" s="270" t="str">
        <f t="shared" si="19"/>
        <v>ALIVE</v>
      </c>
      <c r="BG31" s="250" t="str">
        <f t="shared" si="20"/>
        <v>Aucune</v>
      </c>
      <c r="BH31" s="250" t="str">
        <f t="shared" si="1"/>
        <v>Aucune</v>
      </c>
      <c r="BI31" s="250" t="str">
        <f t="shared" si="2"/>
        <v>Aucune</v>
      </c>
      <c r="BJ31" s="250" t="str">
        <f t="shared" si="3"/>
        <v>NON</v>
      </c>
      <c r="BK31" s="250" t="str">
        <f t="shared" si="4"/>
        <v>NON</v>
      </c>
      <c r="BL31" s="250" t="str">
        <f t="shared" si="5"/>
        <v>Inconnu</v>
      </c>
      <c r="BM31" s="250" t="str">
        <f t="shared" si="53"/>
        <v>Inconnu</v>
      </c>
      <c r="BN31" s="250" t="str">
        <f t="shared" si="54"/>
        <v>Inconnu</v>
      </c>
      <c r="BO31" s="250" t="str">
        <f t="shared" si="6"/>
        <v>Inconnu</v>
      </c>
      <c r="BP31" s="250" t="str">
        <f t="shared" si="55"/>
        <v>Inconnu</v>
      </c>
      <c r="BQ31" s="250" t="str">
        <f t="shared" si="56"/>
        <v>Inconnu</v>
      </c>
      <c r="BR31" s="250" t="str">
        <f t="shared" si="57"/>
        <v>Aucune</v>
      </c>
      <c r="BS31" s="250">
        <f t="shared" si="7"/>
        <v>0</v>
      </c>
      <c r="BT31" s="271" t="e">
        <f>VLOOKUP($I31,Lieu_Activité!$A:$B,2,FALSE)</f>
        <v>#N/A</v>
      </c>
      <c r="BU31" s="250" t="str">
        <f t="shared" si="8"/>
        <v>Aucun</v>
      </c>
      <c r="BV31" s="250" t="str">
        <f t="shared" si="9"/>
        <v>Aucun</v>
      </c>
      <c r="BW31" s="249" t="str">
        <f t="shared" si="10"/>
        <v>NON</v>
      </c>
      <c r="BX31" s="330"/>
    </row>
    <row r="32" spans="1:76" ht="12.95" customHeight="1" x14ac:dyDescent="0.2">
      <c r="A32" s="273" t="s">
        <v>213</v>
      </c>
      <c r="B32" s="276"/>
      <c r="C32" s="269"/>
      <c r="D32" s="299"/>
      <c r="E32" s="320">
        <f>(L32-D32)/365</f>
        <v>0</v>
      </c>
      <c r="F32" s="320" t="str">
        <f t="shared" si="12"/>
        <v xml:space="preserve"> </v>
      </c>
      <c r="G32" s="298"/>
      <c r="H32" s="298"/>
      <c r="I32" s="298"/>
      <c r="J32" s="298"/>
      <c r="K32" s="298"/>
      <c r="L32" s="299"/>
      <c r="M32" s="285"/>
      <c r="N32" s="274"/>
      <c r="O32" s="274"/>
      <c r="P32" s="307" t="str">
        <f>IFERROR(VLOOKUP(O32,Références!$K$11:$N$19,2)," ")</f>
        <v xml:space="preserve"> </v>
      </c>
      <c r="Q32" s="307" t="str">
        <f>IFERROR(VLOOKUP(O32,Références!$K$11:$N$19,3)," ")</f>
        <v xml:space="preserve"> </v>
      </c>
      <c r="R32" s="307" t="str">
        <f>IFERROR(VLOOKUP(O32,Références!$K$11:$N$19,4)," ")</f>
        <v xml:space="preserve"> </v>
      </c>
      <c r="S32" s="298"/>
      <c r="T32" s="298"/>
      <c r="U32" s="298"/>
      <c r="V32" s="298"/>
      <c r="W32" s="298"/>
      <c r="X32" s="299"/>
      <c r="Y32" s="298">
        <v>1</v>
      </c>
      <c r="Z32" s="298"/>
      <c r="AA32" s="298"/>
      <c r="AB32" s="277"/>
      <c r="AC32" s="277"/>
      <c r="AD32" s="277"/>
      <c r="AE32" s="277"/>
      <c r="AF32" s="277"/>
      <c r="AG32" s="277"/>
      <c r="AH32" s="277"/>
      <c r="AI32" s="277">
        <f>SUM(AF32,AH32)</f>
        <v>0</v>
      </c>
      <c r="AJ32" s="299"/>
      <c r="AK32" s="298">
        <f t="shared" si="38"/>
        <v>0</v>
      </c>
      <c r="AL32" s="299"/>
      <c r="AM32" s="308">
        <f>(AL32-L32)</f>
        <v>0</v>
      </c>
      <c r="AN32" s="298"/>
      <c r="AO32" s="318"/>
      <c r="AP32" s="303" t="str">
        <f t="shared" si="16"/>
        <v xml:space="preserve"> </v>
      </c>
      <c r="AQ32" s="298"/>
      <c r="AR32" s="337"/>
      <c r="AS32" s="337"/>
      <c r="AT32" s="305"/>
      <c r="AU32" s="319"/>
      <c r="AV32" s="305"/>
      <c r="AW32" s="272"/>
      <c r="AX32" s="342"/>
      <c r="AY32" s="343"/>
      <c r="AZ32" s="272"/>
      <c r="BA32" s="342" t="s">
        <v>234</v>
      </c>
      <c r="BB32" s="337"/>
      <c r="BC32" s="270">
        <f>IF(BG32="Aucune",0,1)</f>
        <v>0</v>
      </c>
      <c r="BD32" s="270">
        <f>IF(BH32="Aucune",0,1)</f>
        <v>0</v>
      </c>
      <c r="BE32" s="270">
        <f t="shared" si="0"/>
        <v>1</v>
      </c>
      <c r="BF32" s="270" t="str">
        <f t="shared" si="19"/>
        <v>ALIVE</v>
      </c>
      <c r="BG32" s="250" t="str">
        <f t="shared" si="20"/>
        <v>Aucune</v>
      </c>
      <c r="BH32" s="250" t="str">
        <f t="shared" si="1"/>
        <v>Aucune</v>
      </c>
      <c r="BI32" s="250" t="str">
        <f t="shared" si="2"/>
        <v>Aucune</v>
      </c>
      <c r="BJ32" s="250" t="str">
        <f t="shared" si="3"/>
        <v>NON</v>
      </c>
      <c r="BK32" s="250" t="str">
        <f t="shared" si="4"/>
        <v>NON</v>
      </c>
      <c r="BL32" s="250" t="str">
        <f t="shared" si="5"/>
        <v>Inconnu</v>
      </c>
      <c r="BM32" s="250" t="str">
        <f>IF($O32&lt;&gt;"HTX",IF($O32&lt;&gt;"LVAD",BL32,"Inconnu"),"Inconnu")</f>
        <v>Inconnu</v>
      </c>
      <c r="BN32" s="250" t="str">
        <f>IF($O32="HTX",BL32,IF($O32="LVAD",BL32,"Inconnu"))</f>
        <v>Inconnu</v>
      </c>
      <c r="BO32" s="250" t="str">
        <f t="shared" si="6"/>
        <v>Inconnu</v>
      </c>
      <c r="BP32" s="250" t="str">
        <f>IF($O32&lt;&gt;"HTX",IF($O32&lt;&gt;"LVAD",BO32,"Inconnu"),"Inconnu")</f>
        <v>Inconnu</v>
      </c>
      <c r="BQ32" s="250" t="str">
        <f>IF($O32="HTX",BO32,IF($O32="LVAD",BO32,"Inconnu"))</f>
        <v>Inconnu</v>
      </c>
      <c r="BR32" s="250" t="str">
        <f>IF(BH32="Aucune",IF(BI32="Aucune","Aucune","Transfusé"),"Transfusé")</f>
        <v>Aucune</v>
      </c>
      <c r="BS32" s="250">
        <f t="shared" si="7"/>
        <v>0</v>
      </c>
      <c r="BT32" s="271" t="e">
        <f>VLOOKUP($I32,Lieu_Activité!$A:$B,2,FALSE)</f>
        <v>#N/A</v>
      </c>
      <c r="BU32" s="250" t="str">
        <f t="shared" si="8"/>
        <v>Aucun</v>
      </c>
      <c r="BV32" s="250" t="str">
        <f t="shared" si="9"/>
        <v>Aucun</v>
      </c>
      <c r="BW32" s="249" t="str">
        <f t="shared" si="10"/>
        <v>NON</v>
      </c>
      <c r="BX32" s="330"/>
    </row>
    <row r="33" spans="1:76" ht="12.95" customHeight="1" x14ac:dyDescent="0.2">
      <c r="A33" s="273" t="s">
        <v>213</v>
      </c>
      <c r="B33" s="276"/>
      <c r="C33" s="269"/>
      <c r="D33" s="299"/>
      <c r="E33" s="320">
        <f t="shared" si="48"/>
        <v>0</v>
      </c>
      <c r="F33" s="320" t="str">
        <f t="shared" si="12"/>
        <v xml:space="preserve"> </v>
      </c>
      <c r="G33" s="298"/>
      <c r="H33" s="298"/>
      <c r="I33" s="298"/>
      <c r="J33" s="298"/>
      <c r="K33" s="298"/>
      <c r="L33" s="299"/>
      <c r="M33" s="285"/>
      <c r="N33" s="274"/>
      <c r="O33" s="274"/>
      <c r="P33" s="307" t="str">
        <f>IFERROR(VLOOKUP(O33,Références!$K$11:$N$19,2)," ")</f>
        <v xml:space="preserve"> </v>
      </c>
      <c r="Q33" s="307" t="str">
        <f>IFERROR(VLOOKUP(O33,Références!$K$11:$N$19,3)," ")</f>
        <v xml:space="preserve"> </v>
      </c>
      <c r="R33" s="307" t="str">
        <f>IFERROR(VLOOKUP(O33,Références!$K$11:$N$19,4)," ")</f>
        <v xml:space="preserve"> </v>
      </c>
      <c r="S33" s="298"/>
      <c r="T33" s="298"/>
      <c r="U33" s="298"/>
      <c r="V33" s="298"/>
      <c r="W33" s="298"/>
      <c r="X33" s="299"/>
      <c r="Y33" s="298">
        <v>1</v>
      </c>
      <c r="Z33" s="298"/>
      <c r="AA33" s="298"/>
      <c r="AB33" s="277"/>
      <c r="AC33" s="277"/>
      <c r="AD33" s="277"/>
      <c r="AE33" s="277"/>
      <c r="AF33" s="277"/>
      <c r="AG33" s="277"/>
      <c r="AH33" s="277"/>
      <c r="AI33" s="277">
        <f t="shared" si="49"/>
        <v>0</v>
      </c>
      <c r="AJ33" s="299"/>
      <c r="AK33" s="298">
        <f t="shared" si="38"/>
        <v>0</v>
      </c>
      <c r="AL33" s="299"/>
      <c r="AM33" s="308">
        <f t="shared" si="50"/>
        <v>0</v>
      </c>
      <c r="AN33" s="298"/>
      <c r="AO33" s="318"/>
      <c r="AP33" s="303" t="str">
        <f t="shared" si="16"/>
        <v xml:space="preserve"> </v>
      </c>
      <c r="AQ33" s="298"/>
      <c r="AR33" s="337"/>
      <c r="AS33" s="337"/>
      <c r="AT33" s="305"/>
      <c r="AU33" s="319"/>
      <c r="AV33" s="305"/>
      <c r="AW33" s="272"/>
      <c r="AX33" s="342"/>
      <c r="AY33" s="343"/>
      <c r="AZ33" s="272"/>
      <c r="BA33" s="342" t="s">
        <v>234</v>
      </c>
      <c r="BB33" s="337"/>
      <c r="BC33" s="270">
        <f t="shared" si="51"/>
        <v>0</v>
      </c>
      <c r="BD33" s="270">
        <f t="shared" si="52"/>
        <v>0</v>
      </c>
      <c r="BE33" s="270">
        <f t="shared" si="0"/>
        <v>1</v>
      </c>
      <c r="BF33" s="270" t="str">
        <f t="shared" si="19"/>
        <v>ALIVE</v>
      </c>
      <c r="BG33" s="250" t="str">
        <f t="shared" si="20"/>
        <v>Aucune</v>
      </c>
      <c r="BH33" s="250" t="str">
        <f t="shared" si="1"/>
        <v>Aucune</v>
      </c>
      <c r="BI33" s="250" t="str">
        <f t="shared" si="2"/>
        <v>Aucune</v>
      </c>
      <c r="BJ33" s="250" t="str">
        <f t="shared" si="3"/>
        <v>NON</v>
      </c>
      <c r="BK33" s="250" t="str">
        <f t="shared" si="4"/>
        <v>NON</v>
      </c>
      <c r="BL33" s="250" t="str">
        <f t="shared" si="5"/>
        <v>Inconnu</v>
      </c>
      <c r="BM33" s="250" t="str">
        <f t="shared" si="53"/>
        <v>Inconnu</v>
      </c>
      <c r="BN33" s="250" t="str">
        <f t="shared" si="54"/>
        <v>Inconnu</v>
      </c>
      <c r="BO33" s="250" t="str">
        <f t="shared" si="6"/>
        <v>Inconnu</v>
      </c>
      <c r="BP33" s="250" t="str">
        <f t="shared" si="55"/>
        <v>Inconnu</v>
      </c>
      <c r="BQ33" s="250" t="str">
        <f t="shared" si="56"/>
        <v>Inconnu</v>
      </c>
      <c r="BR33" s="250" t="str">
        <f t="shared" si="57"/>
        <v>Aucune</v>
      </c>
      <c r="BS33" s="250">
        <f t="shared" si="7"/>
        <v>0</v>
      </c>
      <c r="BT33" s="271" t="e">
        <f>VLOOKUP($I33,Lieu_Activité!$A:$B,2,FALSE)</f>
        <v>#N/A</v>
      </c>
      <c r="BU33" s="250" t="str">
        <f t="shared" si="8"/>
        <v>Aucun</v>
      </c>
      <c r="BV33" s="250" t="str">
        <f t="shared" si="9"/>
        <v>Aucun</v>
      </c>
      <c r="BW33" s="249" t="str">
        <f t="shared" si="10"/>
        <v>NON</v>
      </c>
      <c r="BX33" s="330"/>
    </row>
    <row r="34" spans="1:76" ht="12.95" customHeight="1" x14ac:dyDescent="0.2">
      <c r="A34" s="273" t="s">
        <v>213</v>
      </c>
      <c r="B34" s="276"/>
      <c r="C34" s="269"/>
      <c r="D34" s="299"/>
      <c r="E34" s="320">
        <f t="shared" si="48"/>
        <v>0</v>
      </c>
      <c r="F34" s="320" t="str">
        <f t="shared" si="12"/>
        <v xml:space="preserve"> </v>
      </c>
      <c r="G34" s="298"/>
      <c r="H34" s="298"/>
      <c r="I34" s="298"/>
      <c r="J34" s="298"/>
      <c r="K34" s="298"/>
      <c r="L34" s="299"/>
      <c r="M34" s="285"/>
      <c r="N34" s="274"/>
      <c r="O34" s="274"/>
      <c r="P34" s="307" t="str">
        <f>IFERROR(VLOOKUP(O34,Références!$K$11:$N$19,2)," ")</f>
        <v xml:space="preserve"> </v>
      </c>
      <c r="Q34" s="307" t="str">
        <f>IFERROR(VLOOKUP(O34,Références!$K$11:$N$19,3)," ")</f>
        <v xml:space="preserve"> </v>
      </c>
      <c r="R34" s="307" t="str">
        <f>IFERROR(VLOOKUP(O34,Références!$K$11:$N$19,4)," ")</f>
        <v xml:space="preserve"> </v>
      </c>
      <c r="S34" s="298"/>
      <c r="T34" s="298"/>
      <c r="U34" s="298"/>
      <c r="V34" s="298"/>
      <c r="W34" s="298"/>
      <c r="X34" s="299"/>
      <c r="Y34" s="298">
        <v>1</v>
      </c>
      <c r="Z34" s="298"/>
      <c r="AA34" s="298"/>
      <c r="AB34" s="277"/>
      <c r="AC34" s="277"/>
      <c r="AD34" s="316"/>
      <c r="AE34" s="277"/>
      <c r="AF34" s="277"/>
      <c r="AG34" s="277"/>
      <c r="AH34" s="277"/>
      <c r="AI34" s="277">
        <f t="shared" si="49"/>
        <v>0</v>
      </c>
      <c r="AJ34" s="299"/>
      <c r="AK34" s="298">
        <f t="shared" si="38"/>
        <v>0</v>
      </c>
      <c r="AL34" s="299"/>
      <c r="AM34" s="308">
        <f t="shared" si="50"/>
        <v>0</v>
      </c>
      <c r="AN34" s="298"/>
      <c r="AO34" s="318"/>
      <c r="AP34" s="303" t="str">
        <f>IF(AO34=1,"ELECTIVE",IF(AO34=2,"URGENCY",IF(AO34=3,"EMERGENCY",IF(AO34=4,"SALVAGE"," "))))</f>
        <v xml:space="preserve"> </v>
      </c>
      <c r="AQ34" s="298"/>
      <c r="AR34" s="337"/>
      <c r="AS34" s="337"/>
      <c r="AT34" s="305"/>
      <c r="AU34" s="319"/>
      <c r="AV34" s="305"/>
      <c r="AW34" s="272"/>
      <c r="AX34" s="342"/>
      <c r="AY34" s="343"/>
      <c r="AZ34" s="272"/>
      <c r="BA34" s="342" t="s">
        <v>234</v>
      </c>
      <c r="BB34" s="337"/>
      <c r="BC34" s="270">
        <f t="shared" si="51"/>
        <v>0</v>
      </c>
      <c r="BD34" s="270">
        <f t="shared" si="52"/>
        <v>0</v>
      </c>
      <c r="BE34" s="270">
        <f t="shared" si="0"/>
        <v>1</v>
      </c>
      <c r="BF34" s="270" t="str">
        <f t="shared" si="19"/>
        <v>ALIVE</v>
      </c>
      <c r="BG34" s="250" t="str">
        <f t="shared" si="20"/>
        <v>Aucune</v>
      </c>
      <c r="BH34" s="250" t="str">
        <f t="shared" si="1"/>
        <v>Aucune</v>
      </c>
      <c r="BI34" s="250" t="str">
        <f t="shared" si="2"/>
        <v>Aucune</v>
      </c>
      <c r="BJ34" s="250" t="str">
        <f t="shared" ref="BJ34:BJ53" si="58">IF(X34&lt;&gt;"",IF(X34-L34&lt;2,"OUI","NON"),"NON")</f>
        <v>NON</v>
      </c>
      <c r="BK34" s="250" t="str">
        <f t="shared" si="4"/>
        <v>NON</v>
      </c>
      <c r="BL34" s="250" t="str">
        <f t="shared" ref="BL34:BL53" si="59">IF(AL34-L34&gt;0,AL34-L34,"Inconnu")</f>
        <v>Inconnu</v>
      </c>
      <c r="BM34" s="250" t="str">
        <f t="shared" si="53"/>
        <v>Inconnu</v>
      </c>
      <c r="BN34" s="250" t="str">
        <f t="shared" si="54"/>
        <v>Inconnu</v>
      </c>
      <c r="BO34" s="250" t="str">
        <f t="shared" ref="BO34:BO53" si="60">IF(AJ34-L34&gt;0,AJ34-L34,"Inconnu")</f>
        <v>Inconnu</v>
      </c>
      <c r="BP34" s="250" t="str">
        <f t="shared" si="55"/>
        <v>Inconnu</v>
      </c>
      <c r="BQ34" s="250" t="str">
        <f t="shared" si="56"/>
        <v>Inconnu</v>
      </c>
      <c r="BR34" s="250" t="str">
        <f t="shared" si="57"/>
        <v>Aucune</v>
      </c>
      <c r="BS34" s="250">
        <f t="shared" ref="BS34:BS65" si="61">AF34+AH34</f>
        <v>0</v>
      </c>
      <c r="BT34" s="271" t="e">
        <f>VLOOKUP($I34,Lieu_Activité!$A:$B,2,FALSE)</f>
        <v>#N/A</v>
      </c>
      <c r="BU34" s="250" t="str">
        <f t="shared" si="8"/>
        <v>Aucun</v>
      </c>
      <c r="BV34" s="250" t="str">
        <f t="shared" si="9"/>
        <v>Aucun</v>
      </c>
      <c r="BW34" s="249" t="str">
        <f t="shared" ref="BW34:BW53" si="62">IF(M34="","NON","OUI")</f>
        <v>NON</v>
      </c>
      <c r="BX34" s="330"/>
    </row>
    <row r="35" spans="1:76" ht="12.95" customHeight="1" x14ac:dyDescent="0.2">
      <c r="A35" s="273" t="s">
        <v>213</v>
      </c>
      <c r="B35" s="276"/>
      <c r="C35" s="269"/>
      <c r="D35" s="299"/>
      <c r="E35" s="320">
        <f t="shared" si="48"/>
        <v>0</v>
      </c>
      <c r="F35" s="320" t="str">
        <f t="shared" si="12"/>
        <v xml:space="preserve"> </v>
      </c>
      <c r="G35" s="298"/>
      <c r="H35" s="298"/>
      <c r="I35" s="298"/>
      <c r="J35" s="298"/>
      <c r="K35" s="298"/>
      <c r="L35" s="299"/>
      <c r="M35" s="285"/>
      <c r="N35" s="274"/>
      <c r="O35" s="274"/>
      <c r="P35" s="307" t="str">
        <f>IFERROR(VLOOKUP(O35,Références!$K$11:$N$19,2)," ")</f>
        <v xml:space="preserve"> </v>
      </c>
      <c r="Q35" s="307" t="str">
        <f>IFERROR(VLOOKUP(O35,Références!$K$11:$N$19,3)," ")</f>
        <v xml:space="preserve"> </v>
      </c>
      <c r="R35" s="307" t="str">
        <f>IFERROR(VLOOKUP(O35,Références!$K$11:$N$19,4)," ")</f>
        <v xml:space="preserve"> </v>
      </c>
      <c r="S35" s="298"/>
      <c r="T35" s="298"/>
      <c r="U35" s="298"/>
      <c r="V35" s="298"/>
      <c r="W35" s="298"/>
      <c r="X35" s="299"/>
      <c r="Y35" s="298">
        <v>1</v>
      </c>
      <c r="Z35" s="298"/>
      <c r="AA35" s="298"/>
      <c r="AB35" s="277"/>
      <c r="AC35" s="277"/>
      <c r="AD35" s="277"/>
      <c r="AE35" s="277"/>
      <c r="AF35" s="277"/>
      <c r="AG35" s="277"/>
      <c r="AH35" s="277"/>
      <c r="AI35" s="277">
        <f t="shared" si="49"/>
        <v>0</v>
      </c>
      <c r="AJ35" s="299"/>
      <c r="AK35" s="298">
        <f t="shared" si="38"/>
        <v>0</v>
      </c>
      <c r="AL35" s="299"/>
      <c r="AM35" s="308">
        <f t="shared" si="50"/>
        <v>0</v>
      </c>
      <c r="AN35" s="298"/>
      <c r="AO35" s="318"/>
      <c r="AP35" s="303" t="str">
        <f t="shared" si="16"/>
        <v xml:space="preserve"> </v>
      </c>
      <c r="AQ35" s="298"/>
      <c r="AR35" s="337"/>
      <c r="AS35" s="337"/>
      <c r="AT35" s="305"/>
      <c r="AU35" s="319"/>
      <c r="AV35" s="305"/>
      <c r="AW35" s="272"/>
      <c r="AX35" s="342"/>
      <c r="AY35" s="343"/>
      <c r="AZ35" s="272"/>
      <c r="BA35" s="342" t="s">
        <v>234</v>
      </c>
      <c r="BB35" s="337"/>
      <c r="BC35" s="270">
        <f t="shared" si="51"/>
        <v>0</v>
      </c>
      <c r="BD35" s="270">
        <f t="shared" si="52"/>
        <v>0</v>
      </c>
      <c r="BE35" s="270">
        <f t="shared" si="0"/>
        <v>1</v>
      </c>
      <c r="BF35" s="270" t="str">
        <f t="shared" si="19"/>
        <v>ALIVE</v>
      </c>
      <c r="BG35" s="250" t="str">
        <f t="shared" si="20"/>
        <v>Aucune</v>
      </c>
      <c r="BH35" s="250" t="str">
        <f t="shared" si="1"/>
        <v>Aucune</v>
      </c>
      <c r="BI35" s="250" t="str">
        <f t="shared" si="2"/>
        <v>Aucune</v>
      </c>
      <c r="BJ35" s="250" t="str">
        <f t="shared" si="58"/>
        <v>NON</v>
      </c>
      <c r="BK35" s="250" t="str">
        <f t="shared" si="4"/>
        <v>NON</v>
      </c>
      <c r="BL35" s="250" t="str">
        <f t="shared" si="59"/>
        <v>Inconnu</v>
      </c>
      <c r="BM35" s="250" t="str">
        <f t="shared" si="53"/>
        <v>Inconnu</v>
      </c>
      <c r="BN35" s="250" t="str">
        <f t="shared" si="54"/>
        <v>Inconnu</v>
      </c>
      <c r="BO35" s="250" t="str">
        <f t="shared" si="60"/>
        <v>Inconnu</v>
      </c>
      <c r="BP35" s="250" t="str">
        <f t="shared" si="55"/>
        <v>Inconnu</v>
      </c>
      <c r="BQ35" s="250" t="str">
        <f t="shared" si="56"/>
        <v>Inconnu</v>
      </c>
      <c r="BR35" s="250" t="str">
        <f t="shared" si="57"/>
        <v>Aucune</v>
      </c>
      <c r="BS35" s="250">
        <f t="shared" si="61"/>
        <v>0</v>
      </c>
      <c r="BT35" s="271" t="e">
        <f>VLOOKUP($I35,Lieu_Activité!$A:$B,2,FALSE)</f>
        <v>#N/A</v>
      </c>
      <c r="BU35" s="250" t="str">
        <f t="shared" si="8"/>
        <v>Aucun</v>
      </c>
      <c r="BV35" s="250" t="str">
        <f t="shared" si="9"/>
        <v>Aucun</v>
      </c>
      <c r="BW35" s="249" t="str">
        <f t="shared" si="62"/>
        <v>NON</v>
      </c>
      <c r="BX35" s="330"/>
    </row>
    <row r="36" spans="1:76" ht="12.95" customHeight="1" x14ac:dyDescent="0.2">
      <c r="A36" s="273" t="s">
        <v>213</v>
      </c>
      <c r="B36" s="276"/>
      <c r="C36" s="269"/>
      <c r="D36" s="299"/>
      <c r="E36" s="320">
        <f t="shared" si="48"/>
        <v>0</v>
      </c>
      <c r="F36" s="320" t="str">
        <f t="shared" si="12"/>
        <v xml:space="preserve"> </v>
      </c>
      <c r="G36" s="298"/>
      <c r="H36" s="298"/>
      <c r="I36" s="298"/>
      <c r="J36" s="298"/>
      <c r="K36" s="298"/>
      <c r="L36" s="299"/>
      <c r="M36" s="285"/>
      <c r="N36" s="274"/>
      <c r="O36" s="274"/>
      <c r="P36" s="307" t="str">
        <f>IFERROR(VLOOKUP(O36,Références!$K$11:$N$19,2)," ")</f>
        <v xml:space="preserve"> </v>
      </c>
      <c r="Q36" s="307" t="str">
        <f>IFERROR(VLOOKUP(O36,Références!$K$11:$N$19,3)," ")</f>
        <v xml:space="preserve"> </v>
      </c>
      <c r="R36" s="307" t="str">
        <f>IFERROR(VLOOKUP(O36,Références!$K$11:$N$19,4)," ")</f>
        <v xml:space="preserve"> </v>
      </c>
      <c r="S36" s="298"/>
      <c r="T36" s="298"/>
      <c r="U36" s="298"/>
      <c r="V36" s="298"/>
      <c r="W36" s="298"/>
      <c r="X36" s="299"/>
      <c r="Y36" s="298">
        <v>1</v>
      </c>
      <c r="Z36" s="298"/>
      <c r="AA36" s="298"/>
      <c r="AB36" s="277"/>
      <c r="AC36" s="277"/>
      <c r="AD36" s="277"/>
      <c r="AE36" s="277"/>
      <c r="AF36" s="277"/>
      <c r="AG36" s="277"/>
      <c r="AH36" s="277"/>
      <c r="AI36" s="277">
        <f t="shared" si="49"/>
        <v>0</v>
      </c>
      <c r="AJ36" s="299"/>
      <c r="AK36" s="298">
        <f t="shared" si="38"/>
        <v>0</v>
      </c>
      <c r="AL36" s="299"/>
      <c r="AM36" s="308">
        <f t="shared" si="50"/>
        <v>0</v>
      </c>
      <c r="AN36" s="298"/>
      <c r="AO36" s="318"/>
      <c r="AP36" s="303" t="str">
        <f t="shared" si="16"/>
        <v xml:space="preserve"> </v>
      </c>
      <c r="AQ36" s="298"/>
      <c r="AR36" s="337"/>
      <c r="AS36" s="337"/>
      <c r="AT36" s="305"/>
      <c r="AU36" s="319"/>
      <c r="AV36" s="305"/>
      <c r="AW36" s="272"/>
      <c r="AX36" s="342"/>
      <c r="AY36" s="343"/>
      <c r="AZ36" s="272"/>
      <c r="BA36" s="342" t="s">
        <v>234</v>
      </c>
      <c r="BB36" s="337"/>
      <c r="BC36" s="270">
        <f t="shared" si="51"/>
        <v>0</v>
      </c>
      <c r="BD36" s="270">
        <f t="shared" si="52"/>
        <v>0</v>
      </c>
      <c r="BE36" s="270">
        <f t="shared" si="0"/>
        <v>1</v>
      </c>
      <c r="BF36" s="270" t="str">
        <f t="shared" si="19"/>
        <v>ALIVE</v>
      </c>
      <c r="BG36" s="250" t="str">
        <f t="shared" si="20"/>
        <v>Aucune</v>
      </c>
      <c r="BH36" s="250" t="str">
        <f t="shared" si="1"/>
        <v>Aucune</v>
      </c>
      <c r="BI36" s="250" t="str">
        <f t="shared" si="2"/>
        <v>Aucune</v>
      </c>
      <c r="BJ36" s="250" t="str">
        <f t="shared" si="58"/>
        <v>NON</v>
      </c>
      <c r="BK36" s="250" t="str">
        <f t="shared" si="4"/>
        <v>NON</v>
      </c>
      <c r="BL36" s="250" t="str">
        <f t="shared" si="59"/>
        <v>Inconnu</v>
      </c>
      <c r="BM36" s="250" t="str">
        <f t="shared" si="53"/>
        <v>Inconnu</v>
      </c>
      <c r="BN36" s="250" t="str">
        <f t="shared" si="54"/>
        <v>Inconnu</v>
      </c>
      <c r="BO36" s="250" t="str">
        <f t="shared" si="60"/>
        <v>Inconnu</v>
      </c>
      <c r="BP36" s="250" t="str">
        <f t="shared" si="55"/>
        <v>Inconnu</v>
      </c>
      <c r="BQ36" s="250" t="str">
        <f t="shared" si="56"/>
        <v>Inconnu</v>
      </c>
      <c r="BR36" s="250" t="str">
        <f t="shared" si="57"/>
        <v>Aucune</v>
      </c>
      <c r="BS36" s="250">
        <f t="shared" si="61"/>
        <v>0</v>
      </c>
      <c r="BT36" s="271" t="e">
        <f>VLOOKUP($I36,Lieu_Activité!$A:$B,2,FALSE)</f>
        <v>#N/A</v>
      </c>
      <c r="BU36" s="250" t="str">
        <f t="shared" si="8"/>
        <v>Aucun</v>
      </c>
      <c r="BV36" s="250" t="str">
        <f t="shared" si="9"/>
        <v>Aucun</v>
      </c>
      <c r="BW36" s="249" t="str">
        <f t="shared" si="62"/>
        <v>NON</v>
      </c>
      <c r="BX36" s="330"/>
    </row>
    <row r="37" spans="1:76" ht="12.95" customHeight="1" x14ac:dyDescent="0.2">
      <c r="A37" s="273" t="s">
        <v>213</v>
      </c>
      <c r="B37" s="276"/>
      <c r="C37" s="269"/>
      <c r="D37" s="299"/>
      <c r="E37" s="320">
        <f t="shared" si="48"/>
        <v>0</v>
      </c>
      <c r="F37" s="320" t="str">
        <f t="shared" si="12"/>
        <v xml:space="preserve"> </v>
      </c>
      <c r="G37" s="298"/>
      <c r="H37" s="298"/>
      <c r="I37" s="298"/>
      <c r="J37" s="298"/>
      <c r="K37" s="298"/>
      <c r="L37" s="299"/>
      <c r="M37" s="285"/>
      <c r="N37" s="274"/>
      <c r="O37" s="274"/>
      <c r="P37" s="307" t="str">
        <f>IFERROR(VLOOKUP(O37,Références!$K$11:$N$19,2)," ")</f>
        <v xml:space="preserve"> </v>
      </c>
      <c r="Q37" s="307" t="str">
        <f>IFERROR(VLOOKUP(O37,Références!$K$11:$N$19,3)," ")</f>
        <v xml:space="preserve"> </v>
      </c>
      <c r="R37" s="307" t="str">
        <f>IFERROR(VLOOKUP(O37,Références!$K$11:$N$19,4)," ")</f>
        <v xml:space="preserve"> </v>
      </c>
      <c r="S37" s="298"/>
      <c r="T37" s="298"/>
      <c r="U37" s="298"/>
      <c r="V37" s="298"/>
      <c r="W37" s="298"/>
      <c r="X37" s="299"/>
      <c r="Y37" s="298">
        <v>1</v>
      </c>
      <c r="Z37" s="298"/>
      <c r="AA37" s="298"/>
      <c r="AB37" s="277"/>
      <c r="AC37" s="277"/>
      <c r="AD37" s="277"/>
      <c r="AE37" s="277"/>
      <c r="AF37" s="277"/>
      <c r="AG37" s="277"/>
      <c r="AH37" s="277"/>
      <c r="AI37" s="277">
        <f t="shared" si="49"/>
        <v>0</v>
      </c>
      <c r="AJ37" s="299"/>
      <c r="AK37" s="298">
        <f t="shared" si="38"/>
        <v>0</v>
      </c>
      <c r="AL37" s="299"/>
      <c r="AM37" s="308">
        <f t="shared" si="50"/>
        <v>0</v>
      </c>
      <c r="AN37" s="298"/>
      <c r="AO37" s="318"/>
      <c r="AP37" s="303" t="str">
        <f t="shared" si="16"/>
        <v xml:space="preserve"> </v>
      </c>
      <c r="AQ37" s="298"/>
      <c r="AR37" s="337"/>
      <c r="AS37" s="337"/>
      <c r="AT37" s="305"/>
      <c r="AU37" s="319"/>
      <c r="AV37" s="305"/>
      <c r="AW37" s="272"/>
      <c r="AX37" s="342"/>
      <c r="AY37" s="343"/>
      <c r="AZ37" s="272"/>
      <c r="BA37" s="342" t="s">
        <v>234</v>
      </c>
      <c r="BB37" s="337"/>
      <c r="BC37" s="270">
        <f t="shared" si="51"/>
        <v>0</v>
      </c>
      <c r="BD37" s="270">
        <f t="shared" si="52"/>
        <v>0</v>
      </c>
      <c r="BE37" s="270">
        <f t="shared" si="0"/>
        <v>1</v>
      </c>
      <c r="BF37" s="270" t="str">
        <f t="shared" si="19"/>
        <v>ALIVE</v>
      </c>
      <c r="BG37" s="250" t="str">
        <f t="shared" si="20"/>
        <v>Aucune</v>
      </c>
      <c r="BH37" s="250" t="str">
        <f t="shared" si="1"/>
        <v>Aucune</v>
      </c>
      <c r="BI37" s="250" t="str">
        <f t="shared" si="2"/>
        <v>Aucune</v>
      </c>
      <c r="BJ37" s="250" t="str">
        <f t="shared" si="58"/>
        <v>NON</v>
      </c>
      <c r="BK37" s="250" t="str">
        <f t="shared" si="4"/>
        <v>NON</v>
      </c>
      <c r="BL37" s="250" t="str">
        <f t="shared" si="59"/>
        <v>Inconnu</v>
      </c>
      <c r="BM37" s="250" t="str">
        <f t="shared" si="53"/>
        <v>Inconnu</v>
      </c>
      <c r="BN37" s="250" t="str">
        <f t="shared" si="54"/>
        <v>Inconnu</v>
      </c>
      <c r="BO37" s="250" t="str">
        <f t="shared" si="60"/>
        <v>Inconnu</v>
      </c>
      <c r="BP37" s="250" t="str">
        <f t="shared" si="55"/>
        <v>Inconnu</v>
      </c>
      <c r="BQ37" s="250" t="str">
        <f t="shared" si="56"/>
        <v>Inconnu</v>
      </c>
      <c r="BR37" s="250" t="str">
        <f t="shared" si="57"/>
        <v>Aucune</v>
      </c>
      <c r="BS37" s="250">
        <f t="shared" si="61"/>
        <v>0</v>
      </c>
      <c r="BT37" s="271" t="e">
        <f>VLOOKUP($I37,Lieu_Activité!$A:$B,2,FALSE)</f>
        <v>#N/A</v>
      </c>
      <c r="BU37" s="250" t="str">
        <f t="shared" si="8"/>
        <v>Aucun</v>
      </c>
      <c r="BV37" s="250" t="str">
        <f t="shared" si="9"/>
        <v>Aucun</v>
      </c>
      <c r="BW37" s="249" t="str">
        <f t="shared" si="62"/>
        <v>NON</v>
      </c>
      <c r="BX37" s="330"/>
    </row>
    <row r="38" spans="1:76" ht="12.95" customHeight="1" x14ac:dyDescent="0.2">
      <c r="A38" s="273" t="s">
        <v>213</v>
      </c>
      <c r="B38" s="276"/>
      <c r="C38" s="269"/>
      <c r="D38" s="299"/>
      <c r="E38" s="320">
        <f t="shared" si="48"/>
        <v>0</v>
      </c>
      <c r="F38" s="320" t="str">
        <f t="shared" si="12"/>
        <v xml:space="preserve"> </v>
      </c>
      <c r="G38" s="298"/>
      <c r="H38" s="298"/>
      <c r="I38" s="298"/>
      <c r="J38" s="298"/>
      <c r="K38" s="298"/>
      <c r="L38" s="299"/>
      <c r="M38" s="285"/>
      <c r="N38" s="274"/>
      <c r="O38" s="274"/>
      <c r="P38" s="307" t="str">
        <f>IFERROR(VLOOKUP(O38,Références!$K$11:$N$19,2)," ")</f>
        <v xml:space="preserve"> </v>
      </c>
      <c r="Q38" s="307" t="str">
        <f>IFERROR(VLOOKUP(O38,Références!$K$11:$N$19,3)," ")</f>
        <v xml:space="preserve"> </v>
      </c>
      <c r="R38" s="307" t="str">
        <f>IFERROR(VLOOKUP(O38,Références!$K$11:$N$19,4)," ")</f>
        <v xml:space="preserve"> </v>
      </c>
      <c r="S38" s="298"/>
      <c r="T38" s="298"/>
      <c r="U38" s="298"/>
      <c r="V38" s="298"/>
      <c r="W38" s="298"/>
      <c r="X38" s="299"/>
      <c r="Y38" s="298">
        <v>1</v>
      </c>
      <c r="Z38" s="298"/>
      <c r="AA38" s="298"/>
      <c r="AB38" s="277"/>
      <c r="AC38" s="277"/>
      <c r="AD38" s="277"/>
      <c r="AE38" s="277"/>
      <c r="AF38" s="277"/>
      <c r="AG38" s="277"/>
      <c r="AH38" s="277"/>
      <c r="AI38" s="277">
        <f t="shared" si="49"/>
        <v>0</v>
      </c>
      <c r="AJ38" s="299"/>
      <c r="AK38" s="298">
        <f t="shared" si="38"/>
        <v>0</v>
      </c>
      <c r="AL38" s="299"/>
      <c r="AM38" s="308">
        <f t="shared" si="50"/>
        <v>0</v>
      </c>
      <c r="AN38" s="298"/>
      <c r="AO38" s="318"/>
      <c r="AP38" s="303" t="str">
        <f t="shared" si="16"/>
        <v xml:space="preserve"> </v>
      </c>
      <c r="AQ38" s="298"/>
      <c r="AR38" s="337"/>
      <c r="AS38" s="337"/>
      <c r="AT38" s="305"/>
      <c r="AU38" s="319"/>
      <c r="AV38" s="305"/>
      <c r="AW38" s="272"/>
      <c r="AX38" s="342"/>
      <c r="AY38" s="343"/>
      <c r="AZ38" s="272"/>
      <c r="BA38" s="342" t="s">
        <v>234</v>
      </c>
      <c r="BB38" s="337"/>
      <c r="BC38" s="270">
        <f t="shared" si="51"/>
        <v>0</v>
      </c>
      <c r="BD38" s="270">
        <f t="shared" si="52"/>
        <v>0</v>
      </c>
      <c r="BE38" s="270">
        <f t="shared" si="0"/>
        <v>1</v>
      </c>
      <c r="BF38" s="270" t="str">
        <f t="shared" si="19"/>
        <v>ALIVE</v>
      </c>
      <c r="BG38" s="250" t="str">
        <f t="shared" si="20"/>
        <v>Aucune</v>
      </c>
      <c r="BH38" s="250" t="str">
        <f t="shared" si="1"/>
        <v>Aucune</v>
      </c>
      <c r="BI38" s="250" t="str">
        <f t="shared" si="2"/>
        <v>Aucune</v>
      </c>
      <c r="BJ38" s="250" t="str">
        <f t="shared" si="58"/>
        <v>NON</v>
      </c>
      <c r="BK38" s="250" t="str">
        <f t="shared" si="4"/>
        <v>NON</v>
      </c>
      <c r="BL38" s="250" t="str">
        <f t="shared" si="59"/>
        <v>Inconnu</v>
      </c>
      <c r="BM38" s="250" t="str">
        <f t="shared" si="53"/>
        <v>Inconnu</v>
      </c>
      <c r="BN38" s="250" t="str">
        <f t="shared" si="54"/>
        <v>Inconnu</v>
      </c>
      <c r="BO38" s="250" t="str">
        <f t="shared" si="60"/>
        <v>Inconnu</v>
      </c>
      <c r="BP38" s="250" t="str">
        <f t="shared" si="55"/>
        <v>Inconnu</v>
      </c>
      <c r="BQ38" s="250" t="str">
        <f t="shared" si="56"/>
        <v>Inconnu</v>
      </c>
      <c r="BR38" s="250" t="str">
        <f t="shared" si="57"/>
        <v>Aucune</v>
      </c>
      <c r="BS38" s="250">
        <f t="shared" si="61"/>
        <v>0</v>
      </c>
      <c r="BT38" s="271" t="e">
        <f>VLOOKUP($I38,Lieu_Activité!$A:$B,2,FALSE)</f>
        <v>#N/A</v>
      </c>
      <c r="BU38" s="250" t="str">
        <f t="shared" si="8"/>
        <v>Aucun</v>
      </c>
      <c r="BV38" s="250" t="str">
        <f t="shared" si="9"/>
        <v>Aucun</v>
      </c>
      <c r="BW38" s="249" t="str">
        <f t="shared" si="62"/>
        <v>NON</v>
      </c>
      <c r="BX38" s="330"/>
    </row>
    <row r="39" spans="1:76" ht="12.95" customHeight="1" x14ac:dyDescent="0.2">
      <c r="A39" s="273" t="s">
        <v>213</v>
      </c>
      <c r="B39" s="276"/>
      <c r="C39" s="269"/>
      <c r="D39" s="299"/>
      <c r="E39" s="320">
        <f t="shared" si="48"/>
        <v>0</v>
      </c>
      <c r="F39" s="320" t="str">
        <f t="shared" si="12"/>
        <v xml:space="preserve"> </v>
      </c>
      <c r="G39" s="298"/>
      <c r="H39" s="298"/>
      <c r="I39" s="298"/>
      <c r="J39" s="298"/>
      <c r="K39" s="298"/>
      <c r="L39" s="299"/>
      <c r="M39" s="285"/>
      <c r="N39" s="274"/>
      <c r="O39" s="274"/>
      <c r="P39" s="307" t="str">
        <f>IFERROR(VLOOKUP(O39,Références!$K$11:$N$19,2)," ")</f>
        <v xml:space="preserve"> </v>
      </c>
      <c r="Q39" s="307" t="str">
        <f>IFERROR(VLOOKUP(O39,Références!$K$11:$N$19,3)," ")</f>
        <v xml:space="preserve"> </v>
      </c>
      <c r="R39" s="307" t="str">
        <f>IFERROR(VLOOKUP(O39,Références!$K$11:$N$19,4)," ")</f>
        <v xml:space="preserve"> </v>
      </c>
      <c r="S39" s="298"/>
      <c r="T39" s="298"/>
      <c r="U39" s="298"/>
      <c r="V39" s="298"/>
      <c r="W39" s="298"/>
      <c r="X39" s="299"/>
      <c r="Y39" s="298">
        <v>1</v>
      </c>
      <c r="Z39" s="298"/>
      <c r="AA39" s="298"/>
      <c r="AB39" s="277"/>
      <c r="AC39" s="277"/>
      <c r="AD39" s="277"/>
      <c r="AE39" s="277"/>
      <c r="AF39" s="277"/>
      <c r="AG39" s="277"/>
      <c r="AH39" s="277"/>
      <c r="AI39" s="277">
        <f t="shared" si="49"/>
        <v>0</v>
      </c>
      <c r="AJ39" s="299"/>
      <c r="AK39" s="298">
        <f t="shared" si="38"/>
        <v>0</v>
      </c>
      <c r="AL39" s="299"/>
      <c r="AM39" s="308">
        <f t="shared" si="50"/>
        <v>0</v>
      </c>
      <c r="AN39" s="298"/>
      <c r="AO39" s="318"/>
      <c r="AP39" s="303" t="str">
        <f t="shared" si="16"/>
        <v xml:space="preserve"> </v>
      </c>
      <c r="AQ39" s="298"/>
      <c r="AR39" s="337"/>
      <c r="AS39" s="337"/>
      <c r="AT39" s="305"/>
      <c r="AU39" s="319"/>
      <c r="AV39" s="305"/>
      <c r="AW39" s="272"/>
      <c r="AX39" s="342"/>
      <c r="AY39" s="343"/>
      <c r="AZ39" s="272"/>
      <c r="BA39" s="342" t="s">
        <v>234</v>
      </c>
      <c r="BB39" s="337"/>
      <c r="BC39" s="270">
        <f t="shared" si="51"/>
        <v>0</v>
      </c>
      <c r="BD39" s="270">
        <f t="shared" si="52"/>
        <v>0</v>
      </c>
      <c r="BE39" s="270">
        <f t="shared" si="0"/>
        <v>1</v>
      </c>
      <c r="BF39" s="270" t="str">
        <f t="shared" si="19"/>
        <v>ALIVE</v>
      </c>
      <c r="BG39" s="250" t="str">
        <f t="shared" si="20"/>
        <v>Aucune</v>
      </c>
      <c r="BH39" s="250" t="str">
        <f t="shared" si="1"/>
        <v>Aucune</v>
      </c>
      <c r="BI39" s="250" t="str">
        <f t="shared" si="2"/>
        <v>Aucune</v>
      </c>
      <c r="BJ39" s="250" t="str">
        <f t="shared" si="58"/>
        <v>NON</v>
      </c>
      <c r="BK39" s="250" t="str">
        <f t="shared" si="4"/>
        <v>NON</v>
      </c>
      <c r="BL39" s="250" t="str">
        <f t="shared" si="59"/>
        <v>Inconnu</v>
      </c>
      <c r="BM39" s="250" t="str">
        <f t="shared" si="53"/>
        <v>Inconnu</v>
      </c>
      <c r="BN39" s="250" t="str">
        <f t="shared" si="54"/>
        <v>Inconnu</v>
      </c>
      <c r="BO39" s="250" t="str">
        <f t="shared" si="60"/>
        <v>Inconnu</v>
      </c>
      <c r="BP39" s="250" t="str">
        <f t="shared" si="55"/>
        <v>Inconnu</v>
      </c>
      <c r="BQ39" s="250" t="str">
        <f t="shared" si="56"/>
        <v>Inconnu</v>
      </c>
      <c r="BR39" s="250" t="str">
        <f t="shared" si="57"/>
        <v>Aucune</v>
      </c>
      <c r="BS39" s="250">
        <f t="shared" si="61"/>
        <v>0</v>
      </c>
      <c r="BT39" s="271" t="e">
        <f>VLOOKUP($I39,Lieu_Activité!$A:$B,2,FALSE)</f>
        <v>#N/A</v>
      </c>
      <c r="BU39" s="250" t="str">
        <f t="shared" si="8"/>
        <v>Aucun</v>
      </c>
      <c r="BV39" s="250" t="str">
        <f t="shared" si="9"/>
        <v>Aucun</v>
      </c>
      <c r="BW39" s="249" t="str">
        <f t="shared" si="62"/>
        <v>NON</v>
      </c>
      <c r="BX39" s="330"/>
    </row>
    <row r="40" spans="1:76" ht="12.95" customHeight="1" x14ac:dyDescent="0.2">
      <c r="A40" s="273" t="s">
        <v>213</v>
      </c>
      <c r="B40" s="310"/>
      <c r="C40" s="269"/>
      <c r="D40" s="299"/>
      <c r="E40" s="320">
        <f t="shared" si="48"/>
        <v>0</v>
      </c>
      <c r="F40" s="320" t="str">
        <f t="shared" si="12"/>
        <v xml:space="preserve"> </v>
      </c>
      <c r="G40" s="298"/>
      <c r="H40" s="298"/>
      <c r="I40" s="298"/>
      <c r="J40" s="298"/>
      <c r="K40" s="298"/>
      <c r="L40" s="299"/>
      <c r="M40" s="285"/>
      <c r="N40" s="274"/>
      <c r="O40" s="298"/>
      <c r="P40" s="307" t="str">
        <f>IFERROR(VLOOKUP(O40,Références!$K$11:$N$19,2)," ")</f>
        <v xml:space="preserve"> </v>
      </c>
      <c r="Q40" s="307" t="str">
        <f>IFERROR(VLOOKUP(O40,Références!$K$11:$N$19,3)," ")</f>
        <v xml:space="preserve"> </v>
      </c>
      <c r="R40" s="307" t="str">
        <f>IFERROR(VLOOKUP(O40,Références!$K$11:$N$19,4)," ")</f>
        <v xml:space="preserve"> </v>
      </c>
      <c r="S40" s="298"/>
      <c r="T40" s="298"/>
      <c r="U40" s="298"/>
      <c r="V40" s="298"/>
      <c r="W40" s="298"/>
      <c r="X40" s="299"/>
      <c r="Y40" s="298">
        <v>1</v>
      </c>
      <c r="Z40" s="298"/>
      <c r="AA40" s="298"/>
      <c r="AB40" s="277"/>
      <c r="AC40" s="277"/>
      <c r="AD40" s="277"/>
      <c r="AE40" s="277"/>
      <c r="AF40" s="277"/>
      <c r="AG40" s="277"/>
      <c r="AH40" s="277"/>
      <c r="AI40" s="277">
        <f t="shared" si="49"/>
        <v>0</v>
      </c>
      <c r="AJ40" s="299"/>
      <c r="AK40" s="298">
        <f t="shared" si="38"/>
        <v>0</v>
      </c>
      <c r="AL40" s="299"/>
      <c r="AM40" s="308">
        <f t="shared" si="50"/>
        <v>0</v>
      </c>
      <c r="AN40" s="298"/>
      <c r="AO40" s="318"/>
      <c r="AP40" s="303" t="str">
        <f t="shared" si="16"/>
        <v xml:space="preserve"> </v>
      </c>
      <c r="AQ40" s="298"/>
      <c r="AR40" s="337"/>
      <c r="AS40" s="337"/>
      <c r="AT40" s="305"/>
      <c r="AU40" s="319"/>
      <c r="AV40" s="305"/>
      <c r="AW40" s="272"/>
      <c r="AX40" s="342"/>
      <c r="AY40" s="343"/>
      <c r="AZ40" s="272"/>
      <c r="BA40" s="275" t="s">
        <v>246</v>
      </c>
      <c r="BB40" s="343"/>
      <c r="BC40" s="270">
        <f t="shared" si="51"/>
        <v>0</v>
      </c>
      <c r="BD40" s="270">
        <f t="shared" si="52"/>
        <v>0</v>
      </c>
      <c r="BE40" s="270">
        <f t="shared" si="0"/>
        <v>1</v>
      </c>
      <c r="BF40" s="270" t="str">
        <f t="shared" si="19"/>
        <v>ALIVE</v>
      </c>
      <c r="BG40" s="250" t="str">
        <f t="shared" si="20"/>
        <v>Aucune</v>
      </c>
      <c r="BH40" s="250" t="str">
        <f t="shared" si="1"/>
        <v>Aucune</v>
      </c>
      <c r="BI40" s="250" t="str">
        <f t="shared" si="2"/>
        <v>Aucune</v>
      </c>
      <c r="BJ40" s="250" t="str">
        <f t="shared" si="58"/>
        <v>NON</v>
      </c>
      <c r="BK40" s="250" t="str">
        <f t="shared" si="4"/>
        <v>NON</v>
      </c>
      <c r="BL40" s="250" t="str">
        <f t="shared" si="59"/>
        <v>Inconnu</v>
      </c>
      <c r="BM40" s="250" t="str">
        <f t="shared" si="53"/>
        <v>Inconnu</v>
      </c>
      <c r="BN40" s="250" t="str">
        <f t="shared" si="54"/>
        <v>Inconnu</v>
      </c>
      <c r="BO40" s="250" t="str">
        <f t="shared" si="60"/>
        <v>Inconnu</v>
      </c>
      <c r="BP40" s="250" t="str">
        <f t="shared" si="55"/>
        <v>Inconnu</v>
      </c>
      <c r="BQ40" s="250" t="str">
        <f t="shared" si="56"/>
        <v>Inconnu</v>
      </c>
      <c r="BR40" s="250" t="str">
        <f t="shared" si="57"/>
        <v>Aucune</v>
      </c>
      <c r="BS40" s="250">
        <f t="shared" si="61"/>
        <v>0</v>
      </c>
      <c r="BT40" s="271" t="e">
        <f>VLOOKUP($I40,Lieu_Activité!$A:$B,2,FALSE)</f>
        <v>#N/A</v>
      </c>
      <c r="BU40" s="250" t="str">
        <f t="shared" si="8"/>
        <v>Aucun</v>
      </c>
      <c r="BV40" s="250" t="str">
        <f t="shared" si="9"/>
        <v>Aucun</v>
      </c>
      <c r="BW40" s="249" t="str">
        <f t="shared" si="62"/>
        <v>NON</v>
      </c>
      <c r="BX40" s="330"/>
    </row>
    <row r="41" spans="1:76" ht="12.95" customHeight="1" x14ac:dyDescent="0.2">
      <c r="A41" s="273" t="s">
        <v>213</v>
      </c>
      <c r="B41" s="310"/>
      <c r="C41" s="269"/>
      <c r="D41" s="299"/>
      <c r="E41" s="320">
        <f t="shared" si="48"/>
        <v>0</v>
      </c>
      <c r="F41" s="320" t="str">
        <f t="shared" si="12"/>
        <v xml:space="preserve"> </v>
      </c>
      <c r="G41" s="298"/>
      <c r="H41" s="298"/>
      <c r="I41" s="298"/>
      <c r="J41" s="298"/>
      <c r="K41" s="298"/>
      <c r="L41" s="299"/>
      <c r="M41" s="285"/>
      <c r="N41" s="274"/>
      <c r="O41" s="274"/>
      <c r="P41" s="307" t="str">
        <f>IFERROR(VLOOKUP(O41,Références!$K$11:$N$19,2)," ")</f>
        <v xml:space="preserve"> </v>
      </c>
      <c r="Q41" s="307" t="str">
        <f>IFERROR(VLOOKUP(O41,Références!$K$11:$N$19,3)," ")</f>
        <v xml:space="preserve"> </v>
      </c>
      <c r="R41" s="307" t="str">
        <f>IFERROR(VLOOKUP(O41,Références!$K$11:$N$19,4)," ")</f>
        <v xml:space="preserve"> </v>
      </c>
      <c r="S41" s="298"/>
      <c r="T41" s="298"/>
      <c r="U41" s="298"/>
      <c r="V41" s="298"/>
      <c r="W41" s="298"/>
      <c r="X41" s="299"/>
      <c r="Y41" s="298">
        <v>1</v>
      </c>
      <c r="Z41" s="298"/>
      <c r="AA41" s="298"/>
      <c r="AB41" s="277"/>
      <c r="AC41" s="277"/>
      <c r="AD41" s="277"/>
      <c r="AE41" s="277"/>
      <c r="AF41" s="277"/>
      <c r="AG41" s="277"/>
      <c r="AH41" s="277"/>
      <c r="AI41" s="277">
        <f t="shared" si="49"/>
        <v>0</v>
      </c>
      <c r="AJ41" s="299"/>
      <c r="AK41" s="298">
        <f t="shared" si="38"/>
        <v>0</v>
      </c>
      <c r="AL41" s="299"/>
      <c r="AM41" s="308">
        <f t="shared" si="50"/>
        <v>0</v>
      </c>
      <c r="AN41" s="298"/>
      <c r="AO41" s="318"/>
      <c r="AP41" s="303" t="str">
        <f t="shared" si="16"/>
        <v xml:space="preserve"> </v>
      </c>
      <c r="AQ41" s="298"/>
      <c r="AR41" s="337"/>
      <c r="AS41" s="337"/>
      <c r="AT41" s="305"/>
      <c r="AU41" s="319"/>
      <c r="AV41" s="305"/>
      <c r="AW41" s="272"/>
      <c r="AX41" s="342"/>
      <c r="AY41" s="343"/>
      <c r="AZ41" s="272"/>
      <c r="BA41" s="275" t="s">
        <v>246</v>
      </c>
      <c r="BB41" s="343"/>
      <c r="BC41" s="270">
        <f t="shared" si="51"/>
        <v>0</v>
      </c>
      <c r="BD41" s="270">
        <f t="shared" si="52"/>
        <v>0</v>
      </c>
      <c r="BE41" s="270">
        <f t="shared" si="0"/>
        <v>1</v>
      </c>
      <c r="BF41" s="270" t="str">
        <f t="shared" si="19"/>
        <v>ALIVE</v>
      </c>
      <c r="BG41" s="250" t="str">
        <f t="shared" si="20"/>
        <v>Aucune</v>
      </c>
      <c r="BH41" s="250" t="str">
        <f t="shared" si="1"/>
        <v>Aucune</v>
      </c>
      <c r="BI41" s="250" t="str">
        <f t="shared" si="2"/>
        <v>Aucune</v>
      </c>
      <c r="BJ41" s="250" t="str">
        <f t="shared" si="58"/>
        <v>NON</v>
      </c>
      <c r="BK41" s="250" t="str">
        <f t="shared" si="4"/>
        <v>NON</v>
      </c>
      <c r="BL41" s="250" t="str">
        <f t="shared" si="59"/>
        <v>Inconnu</v>
      </c>
      <c r="BM41" s="250" t="str">
        <f t="shared" si="53"/>
        <v>Inconnu</v>
      </c>
      <c r="BN41" s="250" t="str">
        <f t="shared" si="54"/>
        <v>Inconnu</v>
      </c>
      <c r="BO41" s="250" t="str">
        <f t="shared" si="60"/>
        <v>Inconnu</v>
      </c>
      <c r="BP41" s="250" t="str">
        <f t="shared" si="55"/>
        <v>Inconnu</v>
      </c>
      <c r="BQ41" s="250" t="str">
        <f t="shared" si="56"/>
        <v>Inconnu</v>
      </c>
      <c r="BR41" s="250" t="str">
        <f t="shared" si="57"/>
        <v>Aucune</v>
      </c>
      <c r="BS41" s="250">
        <f t="shared" si="61"/>
        <v>0</v>
      </c>
      <c r="BT41" s="271" t="e">
        <f>VLOOKUP($I41,Lieu_Activité!$A:$B,2,FALSE)</f>
        <v>#N/A</v>
      </c>
      <c r="BU41" s="250" t="str">
        <f t="shared" si="8"/>
        <v>Aucun</v>
      </c>
      <c r="BV41" s="250" t="str">
        <f t="shared" si="9"/>
        <v>Aucun</v>
      </c>
      <c r="BW41" s="249" t="str">
        <f t="shared" si="62"/>
        <v>NON</v>
      </c>
      <c r="BX41" s="330"/>
    </row>
    <row r="42" spans="1:76" ht="12.95" customHeight="1" x14ac:dyDescent="0.2">
      <c r="A42" s="273" t="s">
        <v>213</v>
      </c>
      <c r="B42" s="276"/>
      <c r="C42" s="269"/>
      <c r="D42" s="299"/>
      <c r="E42" s="320">
        <f t="shared" si="48"/>
        <v>0</v>
      </c>
      <c r="F42" s="320" t="str">
        <f t="shared" si="12"/>
        <v xml:space="preserve"> </v>
      </c>
      <c r="G42" s="298"/>
      <c r="H42" s="298"/>
      <c r="I42" s="298"/>
      <c r="J42" s="298"/>
      <c r="K42" s="298"/>
      <c r="L42" s="299"/>
      <c r="M42" s="285"/>
      <c r="N42" s="274"/>
      <c r="O42" s="274"/>
      <c r="P42" s="307" t="str">
        <f>IFERROR(VLOOKUP(O42,Références!$K$11:$N$19,2)," ")</f>
        <v xml:space="preserve"> </v>
      </c>
      <c r="Q42" s="307" t="str">
        <f>IFERROR(VLOOKUP(O42,Références!$K$11:$N$19,3)," ")</f>
        <v xml:space="preserve"> </v>
      </c>
      <c r="R42" s="307" t="str">
        <f>IFERROR(VLOOKUP(O42,Références!$K$11:$N$19,4)," ")</f>
        <v xml:space="preserve"> </v>
      </c>
      <c r="S42" s="298"/>
      <c r="T42" s="298"/>
      <c r="U42" s="298"/>
      <c r="V42" s="298"/>
      <c r="W42" s="298"/>
      <c r="X42" s="299"/>
      <c r="Y42" s="298">
        <v>1</v>
      </c>
      <c r="Z42" s="298"/>
      <c r="AA42" s="298"/>
      <c r="AB42" s="277"/>
      <c r="AC42" s="277"/>
      <c r="AD42" s="277"/>
      <c r="AE42" s="277"/>
      <c r="AF42" s="277"/>
      <c r="AG42" s="277"/>
      <c r="AH42" s="277"/>
      <c r="AI42" s="277">
        <f t="shared" si="49"/>
        <v>0</v>
      </c>
      <c r="AJ42" s="299"/>
      <c r="AK42" s="298">
        <f t="shared" si="38"/>
        <v>0</v>
      </c>
      <c r="AL42" s="299"/>
      <c r="AM42" s="308">
        <f t="shared" si="50"/>
        <v>0</v>
      </c>
      <c r="AN42" s="298"/>
      <c r="AO42" s="318"/>
      <c r="AP42" s="303" t="str">
        <f t="shared" si="16"/>
        <v xml:space="preserve"> </v>
      </c>
      <c r="AQ42" s="298"/>
      <c r="AR42" s="337"/>
      <c r="AS42" s="337"/>
      <c r="AT42" s="305"/>
      <c r="AU42" s="319"/>
      <c r="AV42" s="305"/>
      <c r="AW42" s="272"/>
      <c r="AX42" s="342"/>
      <c r="AY42" s="343"/>
      <c r="AZ42" s="272"/>
      <c r="BA42" s="342" t="s">
        <v>234</v>
      </c>
      <c r="BB42" s="337"/>
      <c r="BC42" s="270">
        <f t="shared" si="51"/>
        <v>0</v>
      </c>
      <c r="BD42" s="270">
        <f t="shared" si="52"/>
        <v>0</v>
      </c>
      <c r="BE42" s="270">
        <f t="shared" si="0"/>
        <v>1</v>
      </c>
      <c r="BF42" s="270" t="str">
        <f t="shared" si="19"/>
        <v>ALIVE</v>
      </c>
      <c r="BG42" s="250" t="str">
        <f t="shared" si="20"/>
        <v>Aucune</v>
      </c>
      <c r="BH42" s="250" t="str">
        <f t="shared" si="1"/>
        <v>Aucune</v>
      </c>
      <c r="BI42" s="250" t="str">
        <f t="shared" si="2"/>
        <v>Aucune</v>
      </c>
      <c r="BJ42" s="250" t="str">
        <f t="shared" si="58"/>
        <v>NON</v>
      </c>
      <c r="BK42" s="250" t="str">
        <f t="shared" si="4"/>
        <v>NON</v>
      </c>
      <c r="BL42" s="250" t="str">
        <f t="shared" si="59"/>
        <v>Inconnu</v>
      </c>
      <c r="BM42" s="250" t="str">
        <f t="shared" si="53"/>
        <v>Inconnu</v>
      </c>
      <c r="BN42" s="250" t="str">
        <f t="shared" si="54"/>
        <v>Inconnu</v>
      </c>
      <c r="BO42" s="250" t="str">
        <f t="shared" si="60"/>
        <v>Inconnu</v>
      </c>
      <c r="BP42" s="250" t="str">
        <f t="shared" si="55"/>
        <v>Inconnu</v>
      </c>
      <c r="BQ42" s="250" t="str">
        <f t="shared" si="56"/>
        <v>Inconnu</v>
      </c>
      <c r="BR42" s="250" t="str">
        <f t="shared" si="57"/>
        <v>Aucune</v>
      </c>
      <c r="BS42" s="250">
        <f t="shared" si="61"/>
        <v>0</v>
      </c>
      <c r="BT42" s="271" t="e">
        <f>VLOOKUP($I42,Lieu_Activité!$A:$B,2,FALSE)</f>
        <v>#N/A</v>
      </c>
      <c r="BU42" s="250" t="str">
        <f t="shared" si="8"/>
        <v>Aucun</v>
      </c>
      <c r="BV42" s="250" t="str">
        <f t="shared" si="9"/>
        <v>Aucun</v>
      </c>
      <c r="BW42" s="249" t="str">
        <f t="shared" si="62"/>
        <v>NON</v>
      </c>
      <c r="BX42" s="330"/>
    </row>
    <row r="43" spans="1:76" ht="12.95" customHeight="1" x14ac:dyDescent="0.2">
      <c r="A43" s="273" t="s">
        <v>213</v>
      </c>
      <c r="B43" s="276"/>
      <c r="C43" s="269"/>
      <c r="D43" s="299"/>
      <c r="E43" s="320">
        <f t="shared" ref="E43:E53" si="63">(L43-D43)/365</f>
        <v>0</v>
      </c>
      <c r="F43" s="320" t="str">
        <f t="shared" si="12"/>
        <v xml:space="preserve"> </v>
      </c>
      <c r="G43" s="298"/>
      <c r="H43" s="298"/>
      <c r="I43" s="298"/>
      <c r="J43" s="298"/>
      <c r="K43" s="298"/>
      <c r="L43" s="299"/>
      <c r="M43" s="285"/>
      <c r="N43" s="274"/>
      <c r="O43" s="274"/>
      <c r="P43" s="307" t="str">
        <f>IFERROR(VLOOKUP(O43,Références!$K$11:$N$19,2)," ")</f>
        <v xml:space="preserve"> </v>
      </c>
      <c r="Q43" s="307" t="str">
        <f>IFERROR(VLOOKUP(O43,Références!$K$11:$N$19,3)," ")</f>
        <v xml:space="preserve"> </v>
      </c>
      <c r="R43" s="307" t="str">
        <f>IFERROR(VLOOKUP(O43,Références!$K$11:$N$19,4)," ")</f>
        <v xml:space="preserve"> </v>
      </c>
      <c r="S43" s="298"/>
      <c r="T43" s="298"/>
      <c r="U43" s="298"/>
      <c r="V43" s="298"/>
      <c r="W43" s="298"/>
      <c r="X43" s="299"/>
      <c r="Y43" s="298">
        <v>1</v>
      </c>
      <c r="Z43" s="298"/>
      <c r="AA43" s="298"/>
      <c r="AB43" s="277"/>
      <c r="AC43" s="277"/>
      <c r="AD43" s="277"/>
      <c r="AE43" s="277"/>
      <c r="AF43" s="277"/>
      <c r="AG43" s="277"/>
      <c r="AH43" s="277"/>
      <c r="AI43" s="277">
        <f t="shared" ref="AI43:AI90" si="64">SUM(AF43,AH43)</f>
        <v>0</v>
      </c>
      <c r="AJ43" s="299"/>
      <c r="AK43" s="298">
        <f t="shared" si="38"/>
        <v>0</v>
      </c>
      <c r="AL43" s="299"/>
      <c r="AM43" s="308">
        <f>(AL43-L43)</f>
        <v>0</v>
      </c>
      <c r="AN43" s="298"/>
      <c r="AO43" s="318"/>
      <c r="AP43" s="303" t="str">
        <f t="shared" si="16"/>
        <v xml:space="preserve"> </v>
      </c>
      <c r="AQ43" s="298"/>
      <c r="AR43" s="337"/>
      <c r="AS43" s="337"/>
      <c r="AT43" s="305"/>
      <c r="AU43" s="319"/>
      <c r="AV43" s="305"/>
      <c r="AW43" s="272"/>
      <c r="AX43" s="342"/>
      <c r="AY43" s="343"/>
      <c r="AZ43" s="272"/>
      <c r="BA43" s="342" t="s">
        <v>234</v>
      </c>
      <c r="BB43" s="337"/>
      <c r="BC43" s="270">
        <f t="shared" ref="BC43:BC74" si="65">IF(BG43="Aucune",0,1)</f>
        <v>0</v>
      </c>
      <c r="BD43" s="270">
        <f t="shared" ref="BD43:BD74" si="66">IF(BH43="Aucune",0,1)</f>
        <v>0</v>
      </c>
      <c r="BE43" s="270">
        <f t="shared" si="0"/>
        <v>1</v>
      </c>
      <c r="BF43" s="270" t="str">
        <f t="shared" si="19"/>
        <v>ALIVE</v>
      </c>
      <c r="BG43" s="250" t="str">
        <f t="shared" si="20"/>
        <v>Aucune</v>
      </c>
      <c r="BH43" s="250" t="str">
        <f t="shared" si="1"/>
        <v>Aucune</v>
      </c>
      <c r="BI43" s="250" t="str">
        <f t="shared" si="2"/>
        <v>Aucune</v>
      </c>
      <c r="BJ43" s="250" t="str">
        <f t="shared" si="58"/>
        <v>NON</v>
      </c>
      <c r="BK43" s="250" t="str">
        <f t="shared" si="4"/>
        <v>NON</v>
      </c>
      <c r="BL43" s="250" t="str">
        <f t="shared" si="59"/>
        <v>Inconnu</v>
      </c>
      <c r="BM43" s="250" t="str">
        <f t="shared" ref="BM43:BM74" si="67">IF($O43&lt;&gt;"HTX",IF($O43&lt;&gt;"LVAD",BL43,"Inconnu"),"Inconnu")</f>
        <v>Inconnu</v>
      </c>
      <c r="BN43" s="250" t="str">
        <f t="shared" ref="BN43:BN74" si="68">IF($O43="HTX",BL43,IF($O43="LVAD",BL43,"Inconnu"))</f>
        <v>Inconnu</v>
      </c>
      <c r="BO43" s="250" t="str">
        <f t="shared" si="60"/>
        <v>Inconnu</v>
      </c>
      <c r="BP43" s="250" t="str">
        <f t="shared" ref="BP43:BP74" si="69">IF($O43&lt;&gt;"HTX",IF($O43&lt;&gt;"LVAD",BO43,"Inconnu"),"Inconnu")</f>
        <v>Inconnu</v>
      </c>
      <c r="BQ43" s="250" t="str">
        <f t="shared" ref="BQ43:BQ74" si="70">IF($O43="HTX",BO43,IF($O43="LVAD",BO43,"Inconnu"))</f>
        <v>Inconnu</v>
      </c>
      <c r="BR43" s="250" t="str">
        <f t="shared" ref="BR43:BR74" si="71">IF(BH43="Aucune",IF(BI43="Aucune","Aucune","Transfusé"),"Transfusé")</f>
        <v>Aucune</v>
      </c>
      <c r="BS43" s="250">
        <f t="shared" si="61"/>
        <v>0</v>
      </c>
      <c r="BT43" s="271" t="e">
        <f>VLOOKUP($I43,Lieu_Activité!$A:$B,2,FALSE)</f>
        <v>#N/A</v>
      </c>
      <c r="BU43" s="250" t="str">
        <f t="shared" si="8"/>
        <v>Aucun</v>
      </c>
      <c r="BV43" s="250" t="str">
        <f t="shared" si="9"/>
        <v>Aucun</v>
      </c>
      <c r="BW43" s="249" t="str">
        <f t="shared" si="62"/>
        <v>NON</v>
      </c>
      <c r="BX43" s="330"/>
    </row>
    <row r="44" spans="1:76" ht="12.95" customHeight="1" x14ac:dyDescent="0.2">
      <c r="A44" s="273" t="s">
        <v>213</v>
      </c>
      <c r="B44" s="276"/>
      <c r="C44" s="269"/>
      <c r="D44" s="299"/>
      <c r="E44" s="320">
        <f t="shared" si="63"/>
        <v>0</v>
      </c>
      <c r="F44" s="320" t="str">
        <f t="shared" si="12"/>
        <v xml:space="preserve"> </v>
      </c>
      <c r="G44" s="298"/>
      <c r="H44" s="298"/>
      <c r="I44" s="298"/>
      <c r="J44" s="298"/>
      <c r="K44" s="298"/>
      <c r="L44" s="299"/>
      <c r="M44" s="285"/>
      <c r="N44" s="274"/>
      <c r="O44" s="274"/>
      <c r="P44" s="307" t="str">
        <f>IFERROR(VLOOKUP(O44,Références!$K$11:$N$19,2)," ")</f>
        <v xml:space="preserve"> </v>
      </c>
      <c r="Q44" s="307" t="str">
        <f>IFERROR(VLOOKUP(O44,Références!$K$11:$N$19,3)," ")</f>
        <v xml:space="preserve"> </v>
      </c>
      <c r="R44" s="307" t="str">
        <f>IFERROR(VLOOKUP(O44,Références!$K$11:$N$19,4)," ")</f>
        <v xml:space="preserve"> </v>
      </c>
      <c r="S44" s="298"/>
      <c r="T44" s="298"/>
      <c r="U44" s="298"/>
      <c r="V44" s="298"/>
      <c r="W44" s="298"/>
      <c r="X44" s="299"/>
      <c r="Y44" s="298">
        <v>1</v>
      </c>
      <c r="Z44" s="298"/>
      <c r="AA44" s="298"/>
      <c r="AB44" s="277"/>
      <c r="AC44" s="277"/>
      <c r="AD44" s="277"/>
      <c r="AE44" s="277"/>
      <c r="AF44" s="277"/>
      <c r="AG44" s="277"/>
      <c r="AH44" s="277"/>
      <c r="AI44" s="277">
        <f t="shared" si="64"/>
        <v>0</v>
      </c>
      <c r="AJ44" s="299"/>
      <c r="AK44" s="298">
        <f t="shared" si="38"/>
        <v>0</v>
      </c>
      <c r="AL44" s="299"/>
      <c r="AM44" s="308">
        <f>(AL44-L44)</f>
        <v>0</v>
      </c>
      <c r="AN44" s="298"/>
      <c r="AO44" s="318"/>
      <c r="AP44" s="303" t="str">
        <f t="shared" si="16"/>
        <v xml:space="preserve"> </v>
      </c>
      <c r="AQ44" s="298"/>
      <c r="AR44" s="337"/>
      <c r="AS44" s="337"/>
      <c r="AT44" s="305"/>
      <c r="AU44" s="319"/>
      <c r="AV44" s="305"/>
      <c r="AW44" s="272"/>
      <c r="AX44" s="342"/>
      <c r="AY44" s="343"/>
      <c r="AZ44" s="272"/>
      <c r="BA44" s="342" t="s">
        <v>234</v>
      </c>
      <c r="BB44" s="337"/>
      <c r="BC44" s="270">
        <f t="shared" si="65"/>
        <v>0</v>
      </c>
      <c r="BD44" s="270">
        <f t="shared" si="66"/>
        <v>0</v>
      </c>
      <c r="BE44" s="270">
        <f t="shared" si="0"/>
        <v>1</v>
      </c>
      <c r="BF44" s="270" t="str">
        <f t="shared" si="19"/>
        <v>ALIVE</v>
      </c>
      <c r="BG44" s="250" t="str">
        <f t="shared" si="20"/>
        <v>Aucune</v>
      </c>
      <c r="BH44" s="250" t="str">
        <f t="shared" si="1"/>
        <v>Aucune</v>
      </c>
      <c r="BI44" s="250" t="str">
        <f t="shared" si="2"/>
        <v>Aucune</v>
      </c>
      <c r="BJ44" s="250" t="str">
        <f t="shared" si="58"/>
        <v>NON</v>
      </c>
      <c r="BK44" s="250" t="str">
        <f t="shared" si="4"/>
        <v>NON</v>
      </c>
      <c r="BL44" s="250" t="str">
        <f t="shared" si="59"/>
        <v>Inconnu</v>
      </c>
      <c r="BM44" s="250" t="str">
        <f t="shared" si="67"/>
        <v>Inconnu</v>
      </c>
      <c r="BN44" s="250" t="str">
        <f t="shared" si="68"/>
        <v>Inconnu</v>
      </c>
      <c r="BO44" s="250" t="str">
        <f t="shared" si="60"/>
        <v>Inconnu</v>
      </c>
      <c r="BP44" s="250" t="str">
        <f t="shared" si="69"/>
        <v>Inconnu</v>
      </c>
      <c r="BQ44" s="250" t="str">
        <f t="shared" si="70"/>
        <v>Inconnu</v>
      </c>
      <c r="BR44" s="250" t="str">
        <f t="shared" si="71"/>
        <v>Aucune</v>
      </c>
      <c r="BS44" s="250">
        <f t="shared" si="61"/>
        <v>0</v>
      </c>
      <c r="BT44" s="271" t="e">
        <f>VLOOKUP($I44,Lieu_Activité!$A:$B,2,FALSE)</f>
        <v>#N/A</v>
      </c>
      <c r="BU44" s="250" t="str">
        <f t="shared" si="8"/>
        <v>Aucun</v>
      </c>
      <c r="BV44" s="250" t="str">
        <f t="shared" si="9"/>
        <v>Aucun</v>
      </c>
      <c r="BW44" s="249" t="str">
        <f t="shared" si="62"/>
        <v>NON</v>
      </c>
      <c r="BX44" s="330"/>
    </row>
    <row r="45" spans="1:76" ht="12.95" customHeight="1" x14ac:dyDescent="0.2">
      <c r="A45" s="273" t="s">
        <v>213</v>
      </c>
      <c r="B45" s="276"/>
      <c r="C45" s="269"/>
      <c r="D45" s="299"/>
      <c r="E45" s="320">
        <f t="shared" si="63"/>
        <v>0</v>
      </c>
      <c r="F45" s="320" t="str">
        <f t="shared" si="12"/>
        <v xml:space="preserve"> </v>
      </c>
      <c r="G45" s="298"/>
      <c r="H45" s="298"/>
      <c r="I45" s="298"/>
      <c r="J45" s="298"/>
      <c r="K45" s="298"/>
      <c r="L45" s="299"/>
      <c r="M45" s="285"/>
      <c r="N45" s="274"/>
      <c r="O45" s="298"/>
      <c r="P45" s="307" t="str">
        <f>IFERROR(VLOOKUP(O45,Références!$K$11:$N$19,2)," ")</f>
        <v xml:space="preserve"> </v>
      </c>
      <c r="Q45" s="307" t="str">
        <f>IFERROR(VLOOKUP(O45,Références!$K$11:$N$19,3)," ")</f>
        <v xml:space="preserve"> </v>
      </c>
      <c r="R45" s="307" t="str">
        <f>IFERROR(VLOOKUP(O45,Références!$K$11:$N$19,4)," ")</f>
        <v xml:space="preserve"> </v>
      </c>
      <c r="S45" s="298"/>
      <c r="T45" s="298"/>
      <c r="U45" s="298"/>
      <c r="V45" s="298"/>
      <c r="W45" s="298"/>
      <c r="X45" s="299"/>
      <c r="Y45" s="298">
        <v>1</v>
      </c>
      <c r="Z45" s="298"/>
      <c r="AA45" s="298"/>
      <c r="AB45" s="277"/>
      <c r="AC45" s="277"/>
      <c r="AD45" s="277"/>
      <c r="AE45" s="277"/>
      <c r="AF45" s="277"/>
      <c r="AG45" s="277"/>
      <c r="AH45" s="277"/>
      <c r="AI45" s="277">
        <f t="shared" si="64"/>
        <v>0</v>
      </c>
      <c r="AJ45" s="299"/>
      <c r="AK45" s="298">
        <f t="shared" si="38"/>
        <v>0</v>
      </c>
      <c r="AL45" s="299"/>
      <c r="AM45" s="308">
        <f>(AL45-L45)</f>
        <v>0</v>
      </c>
      <c r="AN45" s="298"/>
      <c r="AO45" s="318"/>
      <c r="AP45" s="303" t="str">
        <f t="shared" si="16"/>
        <v xml:space="preserve"> </v>
      </c>
      <c r="AQ45" s="298"/>
      <c r="AR45" s="337"/>
      <c r="AS45" s="337"/>
      <c r="AT45" s="305"/>
      <c r="AU45" s="319"/>
      <c r="AV45" s="305"/>
      <c r="AW45" s="272"/>
      <c r="AX45" s="342"/>
      <c r="AY45" s="343"/>
      <c r="AZ45" s="272"/>
      <c r="BA45" s="342"/>
      <c r="BB45" s="337"/>
      <c r="BC45" s="270">
        <f t="shared" si="65"/>
        <v>0</v>
      </c>
      <c r="BD45" s="270">
        <f t="shared" si="66"/>
        <v>0</v>
      </c>
      <c r="BE45" s="270">
        <f t="shared" si="0"/>
        <v>1</v>
      </c>
      <c r="BF45" s="270" t="str">
        <f t="shared" si="19"/>
        <v>ALIVE</v>
      </c>
      <c r="BG45" s="250" t="str">
        <f t="shared" si="20"/>
        <v>Aucune</v>
      </c>
      <c r="BH45" s="250" t="str">
        <f t="shared" si="1"/>
        <v>Aucune</v>
      </c>
      <c r="BI45" s="250" t="str">
        <f t="shared" si="2"/>
        <v>Aucune</v>
      </c>
      <c r="BJ45" s="250" t="str">
        <f t="shared" si="58"/>
        <v>NON</v>
      </c>
      <c r="BK45" s="250" t="str">
        <f t="shared" si="4"/>
        <v>NON</v>
      </c>
      <c r="BL45" s="250" t="str">
        <f t="shared" si="59"/>
        <v>Inconnu</v>
      </c>
      <c r="BM45" s="250" t="str">
        <f t="shared" si="67"/>
        <v>Inconnu</v>
      </c>
      <c r="BN45" s="250" t="str">
        <f t="shared" si="68"/>
        <v>Inconnu</v>
      </c>
      <c r="BO45" s="250" t="str">
        <f t="shared" si="60"/>
        <v>Inconnu</v>
      </c>
      <c r="BP45" s="250" t="str">
        <f t="shared" si="69"/>
        <v>Inconnu</v>
      </c>
      <c r="BQ45" s="250" t="str">
        <f t="shared" si="70"/>
        <v>Inconnu</v>
      </c>
      <c r="BR45" s="250" t="str">
        <f t="shared" si="71"/>
        <v>Aucune</v>
      </c>
      <c r="BS45" s="250">
        <f t="shared" si="61"/>
        <v>0</v>
      </c>
      <c r="BT45" s="271" t="e">
        <f>VLOOKUP($I45,Lieu_Activité!$A:$B,2,FALSE)</f>
        <v>#N/A</v>
      </c>
      <c r="BU45" s="250" t="str">
        <f t="shared" si="8"/>
        <v>Aucun</v>
      </c>
      <c r="BV45" s="250" t="str">
        <f t="shared" si="9"/>
        <v>Aucun</v>
      </c>
      <c r="BW45" s="249" t="str">
        <f t="shared" si="62"/>
        <v>NON</v>
      </c>
      <c r="BX45" s="330"/>
    </row>
    <row r="46" spans="1:76" ht="12.95" customHeight="1" x14ac:dyDescent="0.2">
      <c r="A46" s="273" t="s">
        <v>213</v>
      </c>
      <c r="B46" s="276"/>
      <c r="C46" s="269"/>
      <c r="D46" s="299"/>
      <c r="E46" s="320">
        <f t="shared" si="63"/>
        <v>0</v>
      </c>
      <c r="F46" s="320" t="str">
        <f t="shared" si="12"/>
        <v xml:space="preserve"> </v>
      </c>
      <c r="G46" s="298"/>
      <c r="H46" s="298"/>
      <c r="I46" s="298"/>
      <c r="J46" s="298"/>
      <c r="K46" s="298"/>
      <c r="L46" s="299"/>
      <c r="M46" s="285"/>
      <c r="N46" s="274"/>
      <c r="O46" s="274"/>
      <c r="P46" s="307" t="str">
        <f>IFERROR(VLOOKUP(O46,Références!$K$11:$N$19,2)," ")</f>
        <v xml:space="preserve"> </v>
      </c>
      <c r="Q46" s="307" t="str">
        <f>IFERROR(VLOOKUP(O46,Références!$K$11:$N$19,3)," ")</f>
        <v xml:space="preserve"> </v>
      </c>
      <c r="R46" s="307" t="str">
        <f>IFERROR(VLOOKUP(O46,Références!$K$11:$N$19,4)," ")</f>
        <v xml:space="preserve"> </v>
      </c>
      <c r="S46" s="298"/>
      <c r="T46" s="298"/>
      <c r="U46" s="298"/>
      <c r="V46" s="298"/>
      <c r="W46" s="298"/>
      <c r="X46" s="299"/>
      <c r="Y46" s="298"/>
      <c r="Z46" s="298"/>
      <c r="AA46" s="298"/>
      <c r="AB46" s="277"/>
      <c r="AC46" s="277"/>
      <c r="AD46" s="277"/>
      <c r="AE46" s="277"/>
      <c r="AF46" s="277"/>
      <c r="AG46" s="277"/>
      <c r="AH46" s="277"/>
      <c r="AI46" s="277">
        <f t="shared" si="64"/>
        <v>0</v>
      </c>
      <c r="AJ46" s="299"/>
      <c r="AK46" s="298">
        <f t="shared" si="38"/>
        <v>0</v>
      </c>
      <c r="AL46" s="299"/>
      <c r="AM46" s="308">
        <f t="shared" ref="AM46:AM86" si="72">(AL46-L46)</f>
        <v>0</v>
      </c>
      <c r="AN46" s="298"/>
      <c r="AO46" s="318"/>
      <c r="AP46" s="303" t="str">
        <f t="shared" si="16"/>
        <v xml:space="preserve"> </v>
      </c>
      <c r="AQ46" s="298"/>
      <c r="AR46" s="337"/>
      <c r="AS46" s="337"/>
      <c r="AT46" s="305"/>
      <c r="AU46" s="319"/>
      <c r="AV46" s="305"/>
      <c r="AW46" s="272"/>
      <c r="AX46" s="342"/>
      <c r="AY46" s="343"/>
      <c r="AZ46" s="272"/>
      <c r="BA46" s="342" t="s">
        <v>234</v>
      </c>
      <c r="BB46" s="337"/>
      <c r="BC46" s="270">
        <f t="shared" si="65"/>
        <v>0</v>
      </c>
      <c r="BD46" s="270">
        <f t="shared" si="66"/>
        <v>0</v>
      </c>
      <c r="BE46" s="270">
        <f t="shared" si="0"/>
        <v>1</v>
      </c>
      <c r="BF46" s="270" t="str">
        <f t="shared" si="19"/>
        <v>ALIVE</v>
      </c>
      <c r="BG46" s="250" t="str">
        <f t="shared" si="20"/>
        <v>Aucune</v>
      </c>
      <c r="BH46" s="250" t="str">
        <f t="shared" si="1"/>
        <v>Aucune</v>
      </c>
      <c r="BI46" s="250" t="str">
        <f t="shared" si="2"/>
        <v>Aucune</v>
      </c>
      <c r="BJ46" s="250" t="str">
        <f t="shared" si="58"/>
        <v>NON</v>
      </c>
      <c r="BK46" s="250" t="str">
        <f t="shared" si="4"/>
        <v>NON</v>
      </c>
      <c r="BL46" s="250" t="str">
        <f t="shared" si="59"/>
        <v>Inconnu</v>
      </c>
      <c r="BM46" s="250" t="str">
        <f t="shared" si="67"/>
        <v>Inconnu</v>
      </c>
      <c r="BN46" s="250" t="str">
        <f t="shared" si="68"/>
        <v>Inconnu</v>
      </c>
      <c r="BO46" s="250" t="str">
        <f t="shared" si="60"/>
        <v>Inconnu</v>
      </c>
      <c r="BP46" s="250" t="str">
        <f t="shared" si="69"/>
        <v>Inconnu</v>
      </c>
      <c r="BQ46" s="250" t="str">
        <f t="shared" si="70"/>
        <v>Inconnu</v>
      </c>
      <c r="BR46" s="250" t="str">
        <f t="shared" si="71"/>
        <v>Aucune</v>
      </c>
      <c r="BS46" s="250">
        <f t="shared" si="61"/>
        <v>0</v>
      </c>
      <c r="BT46" s="271" t="e">
        <f>VLOOKUP($I46,Lieu_Activité!$A:$B,2,FALSE)</f>
        <v>#N/A</v>
      </c>
      <c r="BU46" s="250" t="str">
        <f t="shared" si="8"/>
        <v>Aucun</v>
      </c>
      <c r="BV46" s="250" t="str">
        <f t="shared" si="9"/>
        <v>Aucun</v>
      </c>
      <c r="BW46" s="249" t="str">
        <f t="shared" si="62"/>
        <v>NON</v>
      </c>
      <c r="BX46" s="330"/>
    </row>
    <row r="47" spans="1:76" ht="12.95" customHeight="1" x14ac:dyDescent="0.2">
      <c r="A47" s="273" t="s">
        <v>213</v>
      </c>
      <c r="B47" s="309"/>
      <c r="C47" s="269"/>
      <c r="D47" s="299"/>
      <c r="E47" s="320">
        <f t="shared" si="63"/>
        <v>0</v>
      </c>
      <c r="F47" s="320" t="str">
        <f t="shared" si="12"/>
        <v xml:space="preserve"> </v>
      </c>
      <c r="G47" s="298"/>
      <c r="H47" s="298"/>
      <c r="I47" s="298"/>
      <c r="J47" s="298"/>
      <c r="K47" s="298"/>
      <c r="L47" s="299"/>
      <c r="M47" s="285"/>
      <c r="N47" s="274"/>
      <c r="O47" s="274"/>
      <c r="P47" s="307" t="str">
        <f>IFERROR(VLOOKUP(O47,Références!$K$11:$N$19,2)," ")</f>
        <v xml:space="preserve"> </v>
      </c>
      <c r="Q47" s="307" t="str">
        <f>IFERROR(VLOOKUP(O47,Références!$K$11:$N$19,3)," ")</f>
        <v xml:space="preserve"> </v>
      </c>
      <c r="R47" s="307" t="str">
        <f>IFERROR(VLOOKUP(O47,Références!$K$11:$N$19,4)," ")</f>
        <v xml:space="preserve"> </v>
      </c>
      <c r="S47" s="298"/>
      <c r="T47" s="298"/>
      <c r="U47" s="298"/>
      <c r="V47" s="298"/>
      <c r="W47" s="298"/>
      <c r="X47" s="299"/>
      <c r="Y47" s="298"/>
      <c r="Z47" s="298"/>
      <c r="AA47" s="298"/>
      <c r="AB47" s="277"/>
      <c r="AC47" s="277"/>
      <c r="AD47" s="277"/>
      <c r="AE47" s="277"/>
      <c r="AF47" s="277"/>
      <c r="AG47" s="277"/>
      <c r="AH47" s="277"/>
      <c r="AI47" s="277">
        <f t="shared" si="64"/>
        <v>0</v>
      </c>
      <c r="AJ47" s="299"/>
      <c r="AK47" s="298">
        <f t="shared" si="38"/>
        <v>0</v>
      </c>
      <c r="AL47" s="299"/>
      <c r="AM47" s="308">
        <f t="shared" si="72"/>
        <v>0</v>
      </c>
      <c r="AN47" s="298"/>
      <c r="AO47" s="318"/>
      <c r="AP47" s="303" t="str">
        <f t="shared" si="16"/>
        <v xml:space="preserve"> </v>
      </c>
      <c r="AQ47" s="298"/>
      <c r="AR47" s="337"/>
      <c r="AS47" s="337"/>
      <c r="AT47" s="305"/>
      <c r="AU47" s="319"/>
      <c r="AV47" s="305"/>
      <c r="AW47" s="272"/>
      <c r="AX47" s="342"/>
      <c r="AY47" s="343"/>
      <c r="AZ47" s="272"/>
      <c r="BA47" s="342"/>
      <c r="BB47" s="337"/>
      <c r="BC47" s="270">
        <f t="shared" si="65"/>
        <v>0</v>
      </c>
      <c r="BD47" s="270">
        <f t="shared" si="66"/>
        <v>0</v>
      </c>
      <c r="BE47" s="270">
        <f t="shared" si="0"/>
        <v>1</v>
      </c>
      <c r="BF47" s="270" t="str">
        <f t="shared" si="19"/>
        <v>ALIVE</v>
      </c>
      <c r="BG47" s="250" t="str">
        <f t="shared" si="20"/>
        <v>Aucune</v>
      </c>
      <c r="BH47" s="250" t="str">
        <f t="shared" si="1"/>
        <v>Aucune</v>
      </c>
      <c r="BI47" s="250" t="str">
        <f t="shared" si="2"/>
        <v>Aucune</v>
      </c>
      <c r="BJ47" s="250" t="str">
        <f t="shared" si="58"/>
        <v>NON</v>
      </c>
      <c r="BK47" s="250" t="str">
        <f t="shared" si="4"/>
        <v>NON</v>
      </c>
      <c r="BL47" s="250" t="str">
        <f t="shared" si="59"/>
        <v>Inconnu</v>
      </c>
      <c r="BM47" s="250" t="str">
        <f t="shared" si="67"/>
        <v>Inconnu</v>
      </c>
      <c r="BN47" s="250" t="str">
        <f t="shared" si="68"/>
        <v>Inconnu</v>
      </c>
      <c r="BO47" s="250" t="str">
        <f t="shared" si="60"/>
        <v>Inconnu</v>
      </c>
      <c r="BP47" s="250" t="str">
        <f t="shared" si="69"/>
        <v>Inconnu</v>
      </c>
      <c r="BQ47" s="250" t="str">
        <f t="shared" si="70"/>
        <v>Inconnu</v>
      </c>
      <c r="BR47" s="250" t="str">
        <f t="shared" si="71"/>
        <v>Aucune</v>
      </c>
      <c r="BS47" s="250">
        <f t="shared" si="61"/>
        <v>0</v>
      </c>
      <c r="BT47" s="271" t="e">
        <f>VLOOKUP($I47,Lieu_Activité!$A:$B,2,FALSE)</f>
        <v>#N/A</v>
      </c>
      <c r="BU47" s="250" t="str">
        <f t="shared" si="8"/>
        <v>Aucun</v>
      </c>
      <c r="BV47" s="250" t="str">
        <f t="shared" si="9"/>
        <v>Aucun</v>
      </c>
      <c r="BW47" s="249" t="str">
        <f t="shared" si="62"/>
        <v>NON</v>
      </c>
      <c r="BX47" s="330"/>
    </row>
    <row r="48" spans="1:76" ht="12.95" customHeight="1" x14ac:dyDescent="0.2">
      <c r="A48" s="273" t="s">
        <v>213</v>
      </c>
      <c r="B48" s="309"/>
      <c r="C48" s="269"/>
      <c r="D48" s="299"/>
      <c r="E48" s="320">
        <f t="shared" si="63"/>
        <v>0</v>
      </c>
      <c r="F48" s="320" t="str">
        <f t="shared" si="12"/>
        <v xml:space="preserve"> </v>
      </c>
      <c r="G48" s="298"/>
      <c r="H48" s="298"/>
      <c r="I48" s="298"/>
      <c r="J48" s="298"/>
      <c r="K48" s="298"/>
      <c r="L48" s="299"/>
      <c r="M48" s="285"/>
      <c r="N48" s="274"/>
      <c r="O48" s="274"/>
      <c r="P48" s="307" t="str">
        <f>IFERROR(VLOOKUP(O48,Références!$K$11:$N$19,2)," ")</f>
        <v xml:space="preserve"> </v>
      </c>
      <c r="Q48" s="307" t="str">
        <f>IFERROR(VLOOKUP(O48,Références!$K$11:$N$19,3)," ")</f>
        <v xml:space="preserve"> </v>
      </c>
      <c r="R48" s="307" t="str">
        <f>IFERROR(VLOOKUP(O48,Références!$K$11:$N$19,4)," ")</f>
        <v xml:space="preserve"> </v>
      </c>
      <c r="S48" s="298"/>
      <c r="T48" s="298"/>
      <c r="U48" s="298"/>
      <c r="V48" s="298"/>
      <c r="W48" s="298"/>
      <c r="X48" s="299"/>
      <c r="Y48" s="298"/>
      <c r="Z48" s="298"/>
      <c r="AA48" s="298"/>
      <c r="AB48" s="277"/>
      <c r="AC48" s="277"/>
      <c r="AD48" s="277"/>
      <c r="AE48" s="277"/>
      <c r="AF48" s="277"/>
      <c r="AG48" s="277"/>
      <c r="AH48" s="277"/>
      <c r="AI48" s="277">
        <f t="shared" si="64"/>
        <v>0</v>
      </c>
      <c r="AJ48" s="299"/>
      <c r="AK48" s="298">
        <f t="shared" si="38"/>
        <v>0</v>
      </c>
      <c r="AL48" s="299"/>
      <c r="AM48" s="308">
        <f t="shared" si="72"/>
        <v>0</v>
      </c>
      <c r="AN48" s="298"/>
      <c r="AO48" s="318"/>
      <c r="AP48" s="303" t="str">
        <f t="shared" si="16"/>
        <v xml:space="preserve"> </v>
      </c>
      <c r="AQ48" s="298"/>
      <c r="AR48" s="337"/>
      <c r="AS48" s="337"/>
      <c r="AT48" s="305"/>
      <c r="AU48" s="319"/>
      <c r="AV48" s="305"/>
      <c r="AW48" s="272"/>
      <c r="AX48" s="342"/>
      <c r="AY48" s="343"/>
      <c r="AZ48" s="272"/>
      <c r="BA48" s="275" t="s">
        <v>246</v>
      </c>
      <c r="BB48" s="343"/>
      <c r="BC48" s="270">
        <f t="shared" si="65"/>
        <v>0</v>
      </c>
      <c r="BD48" s="270">
        <f t="shared" si="66"/>
        <v>0</v>
      </c>
      <c r="BE48" s="270">
        <f t="shared" si="0"/>
        <v>1</v>
      </c>
      <c r="BF48" s="270" t="str">
        <f t="shared" si="19"/>
        <v>ALIVE</v>
      </c>
      <c r="BG48" s="250" t="str">
        <f t="shared" si="20"/>
        <v>Aucune</v>
      </c>
      <c r="BH48" s="250" t="str">
        <f t="shared" si="1"/>
        <v>Aucune</v>
      </c>
      <c r="BI48" s="250" t="str">
        <f t="shared" si="2"/>
        <v>Aucune</v>
      </c>
      <c r="BJ48" s="250" t="str">
        <f t="shared" si="58"/>
        <v>NON</v>
      </c>
      <c r="BK48" s="250" t="str">
        <f t="shared" si="4"/>
        <v>NON</v>
      </c>
      <c r="BL48" s="250" t="str">
        <f t="shared" si="59"/>
        <v>Inconnu</v>
      </c>
      <c r="BM48" s="250" t="str">
        <f t="shared" si="67"/>
        <v>Inconnu</v>
      </c>
      <c r="BN48" s="250" t="str">
        <f t="shared" si="68"/>
        <v>Inconnu</v>
      </c>
      <c r="BO48" s="250" t="str">
        <f t="shared" si="60"/>
        <v>Inconnu</v>
      </c>
      <c r="BP48" s="250" t="str">
        <f t="shared" si="69"/>
        <v>Inconnu</v>
      </c>
      <c r="BQ48" s="250" t="str">
        <f t="shared" si="70"/>
        <v>Inconnu</v>
      </c>
      <c r="BR48" s="250" t="str">
        <f t="shared" si="71"/>
        <v>Aucune</v>
      </c>
      <c r="BS48" s="250">
        <f t="shared" si="61"/>
        <v>0</v>
      </c>
      <c r="BT48" s="271" t="e">
        <f>VLOOKUP($I48,Lieu_Activité!$A:$B,2,FALSE)</f>
        <v>#N/A</v>
      </c>
      <c r="BU48" s="250" t="str">
        <f t="shared" si="8"/>
        <v>Aucun</v>
      </c>
      <c r="BV48" s="250" t="str">
        <f t="shared" si="9"/>
        <v>Aucun</v>
      </c>
      <c r="BW48" s="249" t="str">
        <f t="shared" si="62"/>
        <v>NON</v>
      </c>
      <c r="BX48" s="330"/>
    </row>
    <row r="49" spans="1:76" ht="12.95" customHeight="1" x14ac:dyDescent="0.2">
      <c r="A49" s="273" t="s">
        <v>213</v>
      </c>
      <c r="B49" s="276"/>
      <c r="C49" s="269"/>
      <c r="D49" s="299"/>
      <c r="E49" s="320">
        <f t="shared" si="63"/>
        <v>0</v>
      </c>
      <c r="F49" s="320" t="str">
        <f t="shared" si="12"/>
        <v xml:space="preserve"> </v>
      </c>
      <c r="G49" s="298"/>
      <c r="H49" s="298"/>
      <c r="I49" s="298"/>
      <c r="J49" s="298"/>
      <c r="K49" s="298"/>
      <c r="L49" s="299"/>
      <c r="M49" s="285"/>
      <c r="N49" s="274"/>
      <c r="O49" s="274"/>
      <c r="P49" s="307" t="str">
        <f>IFERROR(VLOOKUP(O49,Références!$K$11:$N$19,2)," ")</f>
        <v xml:space="preserve"> </v>
      </c>
      <c r="Q49" s="307" t="str">
        <f>IFERROR(VLOOKUP(O49,Références!$K$11:$N$19,3)," ")</f>
        <v xml:space="preserve"> </v>
      </c>
      <c r="R49" s="307" t="str">
        <f>IFERROR(VLOOKUP(O49,Références!$K$11:$N$19,4)," ")</f>
        <v xml:space="preserve"> </v>
      </c>
      <c r="S49" s="298"/>
      <c r="T49" s="298"/>
      <c r="U49" s="298"/>
      <c r="V49" s="298"/>
      <c r="W49" s="298"/>
      <c r="X49" s="299"/>
      <c r="Y49" s="298"/>
      <c r="Z49" s="298"/>
      <c r="AA49" s="298"/>
      <c r="AB49" s="277"/>
      <c r="AC49" s="277"/>
      <c r="AD49" s="277"/>
      <c r="AE49" s="277"/>
      <c r="AF49" s="277"/>
      <c r="AG49" s="277"/>
      <c r="AH49" s="277"/>
      <c r="AI49" s="277">
        <f t="shared" si="64"/>
        <v>0</v>
      </c>
      <c r="AJ49" s="299"/>
      <c r="AK49" s="298">
        <f t="shared" si="38"/>
        <v>0</v>
      </c>
      <c r="AL49" s="299"/>
      <c r="AM49" s="308">
        <f t="shared" si="72"/>
        <v>0</v>
      </c>
      <c r="AN49" s="298"/>
      <c r="AO49" s="318"/>
      <c r="AP49" s="303" t="str">
        <f t="shared" si="16"/>
        <v xml:space="preserve"> </v>
      </c>
      <c r="AQ49" s="298"/>
      <c r="AR49" s="337"/>
      <c r="AS49" s="337"/>
      <c r="AT49" s="305"/>
      <c r="AU49" s="319"/>
      <c r="AV49" s="305"/>
      <c r="AW49" s="272"/>
      <c r="AX49" s="342"/>
      <c r="AY49" s="343"/>
      <c r="AZ49" s="272"/>
      <c r="BA49" s="342" t="s">
        <v>234</v>
      </c>
      <c r="BB49" s="337"/>
      <c r="BC49" s="270">
        <f t="shared" si="65"/>
        <v>0</v>
      </c>
      <c r="BD49" s="270">
        <f t="shared" si="66"/>
        <v>0</v>
      </c>
      <c r="BE49" s="270">
        <f t="shared" si="0"/>
        <v>1</v>
      </c>
      <c r="BF49" s="270" t="str">
        <f t="shared" si="19"/>
        <v>ALIVE</v>
      </c>
      <c r="BG49" s="250" t="str">
        <f t="shared" si="20"/>
        <v>Aucune</v>
      </c>
      <c r="BH49" s="250" t="str">
        <f t="shared" si="1"/>
        <v>Aucune</v>
      </c>
      <c r="BI49" s="250" t="str">
        <f t="shared" si="2"/>
        <v>Aucune</v>
      </c>
      <c r="BJ49" s="250" t="str">
        <f t="shared" si="58"/>
        <v>NON</v>
      </c>
      <c r="BK49" s="250" t="str">
        <f t="shared" si="4"/>
        <v>NON</v>
      </c>
      <c r="BL49" s="250" t="str">
        <f t="shared" si="59"/>
        <v>Inconnu</v>
      </c>
      <c r="BM49" s="250" t="str">
        <f t="shared" si="67"/>
        <v>Inconnu</v>
      </c>
      <c r="BN49" s="250" t="str">
        <f t="shared" si="68"/>
        <v>Inconnu</v>
      </c>
      <c r="BO49" s="250" t="str">
        <f t="shared" si="60"/>
        <v>Inconnu</v>
      </c>
      <c r="BP49" s="250" t="str">
        <f t="shared" si="69"/>
        <v>Inconnu</v>
      </c>
      <c r="BQ49" s="250" t="str">
        <f t="shared" si="70"/>
        <v>Inconnu</v>
      </c>
      <c r="BR49" s="250" t="str">
        <f t="shared" si="71"/>
        <v>Aucune</v>
      </c>
      <c r="BS49" s="250">
        <f t="shared" si="61"/>
        <v>0</v>
      </c>
      <c r="BT49" s="271" t="e">
        <f>VLOOKUP($I49,Lieu_Activité!$A:$B,2,FALSE)</f>
        <v>#N/A</v>
      </c>
      <c r="BU49" s="250" t="str">
        <f t="shared" si="8"/>
        <v>Aucun</v>
      </c>
      <c r="BV49" s="250" t="str">
        <f t="shared" si="9"/>
        <v>Aucun</v>
      </c>
      <c r="BW49" s="249" t="str">
        <f t="shared" si="62"/>
        <v>NON</v>
      </c>
      <c r="BX49" s="330"/>
    </row>
    <row r="50" spans="1:76" ht="12.95" customHeight="1" x14ac:dyDescent="0.2">
      <c r="A50" s="273" t="s">
        <v>213</v>
      </c>
      <c r="B50" s="276"/>
      <c r="C50" s="269"/>
      <c r="D50" s="299"/>
      <c r="E50" s="320">
        <f t="shared" si="63"/>
        <v>0</v>
      </c>
      <c r="F50" s="320" t="str">
        <f t="shared" si="12"/>
        <v xml:space="preserve"> </v>
      </c>
      <c r="G50" s="298"/>
      <c r="H50" s="298"/>
      <c r="I50" s="298"/>
      <c r="J50" s="298"/>
      <c r="K50" s="298"/>
      <c r="L50" s="299"/>
      <c r="M50" s="285"/>
      <c r="N50" s="274"/>
      <c r="O50" s="298"/>
      <c r="P50" s="307" t="str">
        <f>IFERROR(VLOOKUP(O50,Références!$K$11:$N$19,2)," ")</f>
        <v xml:space="preserve"> </v>
      </c>
      <c r="Q50" s="307" t="str">
        <f>IFERROR(VLOOKUP(O50,Références!$K$11:$N$19,3)," ")</f>
        <v xml:space="preserve"> </v>
      </c>
      <c r="R50" s="307" t="str">
        <f>IFERROR(VLOOKUP(O50,Références!$K$11:$N$19,4)," ")</f>
        <v xml:space="preserve"> </v>
      </c>
      <c r="S50" s="298"/>
      <c r="T50" s="298"/>
      <c r="U50" s="298"/>
      <c r="V50" s="298"/>
      <c r="W50" s="298"/>
      <c r="X50" s="299"/>
      <c r="Y50" s="298"/>
      <c r="Z50" s="298"/>
      <c r="AA50" s="298"/>
      <c r="AB50" s="277"/>
      <c r="AC50" s="277"/>
      <c r="AD50" s="277"/>
      <c r="AE50" s="277"/>
      <c r="AF50" s="277"/>
      <c r="AG50" s="277"/>
      <c r="AH50" s="277"/>
      <c r="AI50" s="277">
        <f t="shared" si="64"/>
        <v>0</v>
      </c>
      <c r="AJ50" s="299"/>
      <c r="AK50" s="298">
        <f t="shared" si="38"/>
        <v>0</v>
      </c>
      <c r="AL50" s="299"/>
      <c r="AM50" s="308">
        <f t="shared" si="72"/>
        <v>0</v>
      </c>
      <c r="AN50" s="298"/>
      <c r="AO50" s="318"/>
      <c r="AP50" s="303" t="str">
        <f t="shared" si="16"/>
        <v xml:space="preserve"> </v>
      </c>
      <c r="AQ50" s="298"/>
      <c r="AR50" s="337"/>
      <c r="AS50" s="337"/>
      <c r="AT50" s="305"/>
      <c r="AU50" s="319"/>
      <c r="AV50" s="305"/>
      <c r="AW50" s="272"/>
      <c r="AX50" s="342"/>
      <c r="AY50" s="343"/>
      <c r="AZ50" s="272"/>
      <c r="BA50" s="342" t="s">
        <v>234</v>
      </c>
      <c r="BB50" s="337"/>
      <c r="BC50" s="270">
        <f t="shared" si="65"/>
        <v>0</v>
      </c>
      <c r="BD50" s="270">
        <f t="shared" si="66"/>
        <v>0</v>
      </c>
      <c r="BE50" s="270">
        <f t="shared" si="0"/>
        <v>1</v>
      </c>
      <c r="BF50" s="270" t="str">
        <f t="shared" si="19"/>
        <v>ALIVE</v>
      </c>
      <c r="BG50" s="250" t="str">
        <f t="shared" si="20"/>
        <v>Aucune</v>
      </c>
      <c r="BH50" s="250" t="str">
        <f t="shared" si="1"/>
        <v>Aucune</v>
      </c>
      <c r="BI50" s="250" t="str">
        <f t="shared" si="2"/>
        <v>Aucune</v>
      </c>
      <c r="BJ50" s="250" t="str">
        <f t="shared" si="58"/>
        <v>NON</v>
      </c>
      <c r="BK50" s="250" t="str">
        <f t="shared" si="4"/>
        <v>NON</v>
      </c>
      <c r="BL50" s="250" t="str">
        <f t="shared" si="59"/>
        <v>Inconnu</v>
      </c>
      <c r="BM50" s="250" t="str">
        <f t="shared" si="67"/>
        <v>Inconnu</v>
      </c>
      <c r="BN50" s="250" t="str">
        <f t="shared" si="68"/>
        <v>Inconnu</v>
      </c>
      <c r="BO50" s="250" t="str">
        <f t="shared" si="60"/>
        <v>Inconnu</v>
      </c>
      <c r="BP50" s="250" t="str">
        <f t="shared" si="69"/>
        <v>Inconnu</v>
      </c>
      <c r="BQ50" s="250" t="str">
        <f t="shared" si="70"/>
        <v>Inconnu</v>
      </c>
      <c r="BR50" s="250" t="str">
        <f t="shared" si="71"/>
        <v>Aucune</v>
      </c>
      <c r="BS50" s="250">
        <f t="shared" si="61"/>
        <v>0</v>
      </c>
      <c r="BT50" s="271" t="e">
        <f>VLOOKUP($I50,Lieu_Activité!$A:$B,2,FALSE)</f>
        <v>#N/A</v>
      </c>
      <c r="BU50" s="250" t="str">
        <f t="shared" si="8"/>
        <v>Aucun</v>
      </c>
      <c r="BV50" s="250" t="str">
        <f t="shared" si="9"/>
        <v>Aucun</v>
      </c>
      <c r="BW50" s="249" t="str">
        <f t="shared" si="62"/>
        <v>NON</v>
      </c>
      <c r="BX50" s="330"/>
    </row>
    <row r="51" spans="1:76" ht="12.95" customHeight="1" x14ac:dyDescent="0.2">
      <c r="A51" s="273" t="s">
        <v>213</v>
      </c>
      <c r="B51" s="276"/>
      <c r="C51" s="269"/>
      <c r="D51" s="299"/>
      <c r="E51" s="320">
        <f t="shared" si="63"/>
        <v>0</v>
      </c>
      <c r="F51" s="320" t="str">
        <f t="shared" si="12"/>
        <v xml:space="preserve"> </v>
      </c>
      <c r="G51" s="298"/>
      <c r="H51" s="298"/>
      <c r="I51" s="298"/>
      <c r="J51" s="298"/>
      <c r="K51" s="298"/>
      <c r="L51" s="299"/>
      <c r="M51" s="285"/>
      <c r="N51" s="274"/>
      <c r="O51" s="274"/>
      <c r="P51" s="307" t="str">
        <f>IFERROR(VLOOKUP(O51,Références!$K$11:$N$19,2)," ")</f>
        <v xml:space="preserve"> </v>
      </c>
      <c r="Q51" s="307" t="str">
        <f>IFERROR(VLOOKUP(O51,Références!$K$11:$N$19,3)," ")</f>
        <v xml:space="preserve"> </v>
      </c>
      <c r="R51" s="307" t="str">
        <f>IFERROR(VLOOKUP(O51,Références!$K$11:$N$19,4)," ")</f>
        <v xml:space="preserve"> </v>
      </c>
      <c r="S51" s="298"/>
      <c r="T51" s="298"/>
      <c r="U51" s="298"/>
      <c r="V51" s="298"/>
      <c r="W51" s="298"/>
      <c r="X51" s="299"/>
      <c r="Y51" s="298"/>
      <c r="Z51" s="298"/>
      <c r="AA51" s="298"/>
      <c r="AB51" s="277"/>
      <c r="AC51" s="277"/>
      <c r="AD51" s="277"/>
      <c r="AE51" s="277"/>
      <c r="AF51" s="277"/>
      <c r="AG51" s="277"/>
      <c r="AH51" s="277"/>
      <c r="AI51" s="277">
        <f t="shared" si="64"/>
        <v>0</v>
      </c>
      <c r="AJ51" s="299"/>
      <c r="AK51" s="298">
        <f t="shared" si="38"/>
        <v>0</v>
      </c>
      <c r="AL51" s="299"/>
      <c r="AM51" s="308">
        <f t="shared" si="72"/>
        <v>0</v>
      </c>
      <c r="AN51" s="298"/>
      <c r="AO51" s="318"/>
      <c r="AP51" s="303" t="str">
        <f t="shared" si="16"/>
        <v xml:space="preserve"> </v>
      </c>
      <c r="AQ51" s="298"/>
      <c r="AR51" s="337"/>
      <c r="AS51" s="337"/>
      <c r="AT51" s="305"/>
      <c r="AU51" s="319"/>
      <c r="AV51" s="305"/>
      <c r="AW51" s="272"/>
      <c r="AX51" s="342"/>
      <c r="AY51" s="343"/>
      <c r="AZ51" s="272"/>
      <c r="BA51" s="342" t="s">
        <v>234</v>
      </c>
      <c r="BB51" s="337"/>
      <c r="BC51" s="270">
        <f t="shared" si="65"/>
        <v>0</v>
      </c>
      <c r="BD51" s="270">
        <f t="shared" si="66"/>
        <v>0</v>
      </c>
      <c r="BE51" s="270">
        <f t="shared" si="0"/>
        <v>1</v>
      </c>
      <c r="BF51" s="270" t="str">
        <f t="shared" si="19"/>
        <v>ALIVE</v>
      </c>
      <c r="BG51" s="250" t="str">
        <f t="shared" si="20"/>
        <v>Aucune</v>
      </c>
      <c r="BH51" s="250" t="str">
        <f t="shared" si="1"/>
        <v>Aucune</v>
      </c>
      <c r="BI51" s="250" t="str">
        <f t="shared" si="2"/>
        <v>Aucune</v>
      </c>
      <c r="BJ51" s="250" t="str">
        <f t="shared" si="58"/>
        <v>NON</v>
      </c>
      <c r="BK51" s="250" t="str">
        <f t="shared" si="4"/>
        <v>NON</v>
      </c>
      <c r="BL51" s="250" t="str">
        <f t="shared" si="59"/>
        <v>Inconnu</v>
      </c>
      <c r="BM51" s="250" t="str">
        <f t="shared" si="67"/>
        <v>Inconnu</v>
      </c>
      <c r="BN51" s="250" t="str">
        <f t="shared" si="68"/>
        <v>Inconnu</v>
      </c>
      <c r="BO51" s="250" t="str">
        <f t="shared" si="60"/>
        <v>Inconnu</v>
      </c>
      <c r="BP51" s="250" t="str">
        <f t="shared" si="69"/>
        <v>Inconnu</v>
      </c>
      <c r="BQ51" s="250" t="str">
        <f t="shared" si="70"/>
        <v>Inconnu</v>
      </c>
      <c r="BR51" s="250" t="str">
        <f t="shared" si="71"/>
        <v>Aucune</v>
      </c>
      <c r="BS51" s="250">
        <f t="shared" si="61"/>
        <v>0</v>
      </c>
      <c r="BT51" s="271" t="e">
        <f>VLOOKUP($I51,Lieu_Activité!$A:$B,2,FALSE)</f>
        <v>#N/A</v>
      </c>
      <c r="BU51" s="250" t="str">
        <f t="shared" si="8"/>
        <v>Aucun</v>
      </c>
      <c r="BV51" s="250" t="str">
        <f t="shared" si="9"/>
        <v>Aucun</v>
      </c>
      <c r="BW51" s="249" t="str">
        <f t="shared" si="62"/>
        <v>NON</v>
      </c>
      <c r="BX51" s="330"/>
    </row>
    <row r="52" spans="1:76" ht="12.95" customHeight="1" x14ac:dyDescent="0.2">
      <c r="A52" s="273" t="s">
        <v>213</v>
      </c>
      <c r="B52" s="276"/>
      <c r="C52" s="269"/>
      <c r="D52" s="299"/>
      <c r="E52" s="320">
        <f t="shared" si="63"/>
        <v>0</v>
      </c>
      <c r="F52" s="320" t="str">
        <f t="shared" si="12"/>
        <v xml:space="preserve"> </v>
      </c>
      <c r="G52" s="298"/>
      <c r="H52" s="298"/>
      <c r="I52" s="298"/>
      <c r="J52" s="298"/>
      <c r="K52" s="298"/>
      <c r="L52" s="299"/>
      <c r="M52" s="285"/>
      <c r="N52" s="274"/>
      <c r="O52" s="274"/>
      <c r="P52" s="307" t="str">
        <f>IFERROR(VLOOKUP(O52,Références!$K$11:$N$19,2)," ")</f>
        <v xml:space="preserve"> </v>
      </c>
      <c r="Q52" s="307" t="str">
        <f>IFERROR(VLOOKUP(O52,Références!$K$11:$N$19,3)," ")</f>
        <v xml:space="preserve"> </v>
      </c>
      <c r="R52" s="307" t="str">
        <f>IFERROR(VLOOKUP(O52,Références!$K$11:$N$19,4)," ")</f>
        <v xml:space="preserve"> </v>
      </c>
      <c r="S52" s="298"/>
      <c r="T52" s="298"/>
      <c r="U52" s="298"/>
      <c r="V52" s="298"/>
      <c r="W52" s="298"/>
      <c r="X52" s="299"/>
      <c r="Y52" s="298"/>
      <c r="Z52" s="298"/>
      <c r="AA52" s="298"/>
      <c r="AB52" s="277"/>
      <c r="AC52" s="277"/>
      <c r="AD52" s="277"/>
      <c r="AE52" s="277"/>
      <c r="AF52" s="277"/>
      <c r="AG52" s="277"/>
      <c r="AH52" s="277"/>
      <c r="AI52" s="277">
        <f t="shared" si="64"/>
        <v>0</v>
      </c>
      <c r="AJ52" s="299"/>
      <c r="AK52" s="298">
        <f t="shared" si="38"/>
        <v>0</v>
      </c>
      <c r="AL52" s="299"/>
      <c r="AM52" s="308">
        <f t="shared" si="72"/>
        <v>0</v>
      </c>
      <c r="AN52" s="298"/>
      <c r="AO52" s="318"/>
      <c r="AP52" s="303" t="str">
        <f t="shared" si="16"/>
        <v xml:space="preserve"> </v>
      </c>
      <c r="AQ52" s="298"/>
      <c r="AR52" s="337"/>
      <c r="AS52" s="337"/>
      <c r="AT52" s="305"/>
      <c r="AU52" s="319"/>
      <c r="AV52" s="305"/>
      <c r="AW52" s="272"/>
      <c r="AX52" s="342"/>
      <c r="AY52" s="343"/>
      <c r="AZ52" s="272"/>
      <c r="BA52" s="342" t="s">
        <v>234</v>
      </c>
      <c r="BB52" s="337"/>
      <c r="BC52" s="270">
        <f t="shared" si="65"/>
        <v>0</v>
      </c>
      <c r="BD52" s="270">
        <f t="shared" si="66"/>
        <v>0</v>
      </c>
      <c r="BE52" s="270">
        <f t="shared" si="0"/>
        <v>1</v>
      </c>
      <c r="BF52" s="270" t="str">
        <f t="shared" si="19"/>
        <v>ALIVE</v>
      </c>
      <c r="BG52" s="250" t="str">
        <f t="shared" si="20"/>
        <v>Aucune</v>
      </c>
      <c r="BH52" s="250" t="str">
        <f t="shared" si="1"/>
        <v>Aucune</v>
      </c>
      <c r="BI52" s="250" t="str">
        <f t="shared" si="2"/>
        <v>Aucune</v>
      </c>
      <c r="BJ52" s="250" t="str">
        <f t="shared" si="58"/>
        <v>NON</v>
      </c>
      <c r="BK52" s="250" t="str">
        <f t="shared" si="4"/>
        <v>NON</v>
      </c>
      <c r="BL52" s="250" t="str">
        <f t="shared" si="59"/>
        <v>Inconnu</v>
      </c>
      <c r="BM52" s="250" t="str">
        <f t="shared" si="67"/>
        <v>Inconnu</v>
      </c>
      <c r="BN52" s="250" t="str">
        <f t="shared" si="68"/>
        <v>Inconnu</v>
      </c>
      <c r="BO52" s="250" t="str">
        <f t="shared" si="60"/>
        <v>Inconnu</v>
      </c>
      <c r="BP52" s="250" t="str">
        <f t="shared" si="69"/>
        <v>Inconnu</v>
      </c>
      <c r="BQ52" s="250" t="str">
        <f t="shared" si="70"/>
        <v>Inconnu</v>
      </c>
      <c r="BR52" s="250" t="str">
        <f t="shared" si="71"/>
        <v>Aucune</v>
      </c>
      <c r="BS52" s="250">
        <f t="shared" si="61"/>
        <v>0</v>
      </c>
      <c r="BT52" s="271" t="e">
        <f>VLOOKUP($I52,Lieu_Activité!$A:$B,2,FALSE)</f>
        <v>#N/A</v>
      </c>
      <c r="BU52" s="250" t="str">
        <f t="shared" si="8"/>
        <v>Aucun</v>
      </c>
      <c r="BV52" s="250" t="str">
        <f t="shared" si="9"/>
        <v>Aucun</v>
      </c>
      <c r="BW52" s="249" t="str">
        <f t="shared" si="62"/>
        <v>NON</v>
      </c>
      <c r="BX52" s="330"/>
    </row>
    <row r="53" spans="1:76" ht="12.95" customHeight="1" x14ac:dyDescent="0.2">
      <c r="A53" s="273" t="s">
        <v>213</v>
      </c>
      <c r="B53" s="310"/>
      <c r="C53" s="269"/>
      <c r="D53" s="299"/>
      <c r="E53" s="320">
        <f t="shared" si="63"/>
        <v>0</v>
      </c>
      <c r="F53" s="320" t="str">
        <f t="shared" si="12"/>
        <v xml:space="preserve"> </v>
      </c>
      <c r="G53" s="298"/>
      <c r="H53" s="298"/>
      <c r="I53" s="298"/>
      <c r="J53" s="298"/>
      <c r="K53" s="298"/>
      <c r="L53" s="299"/>
      <c r="M53" s="285"/>
      <c r="N53" s="274"/>
      <c r="O53" s="274"/>
      <c r="P53" s="307" t="str">
        <f>IFERROR(VLOOKUP(O53,Références!$K$11:$N$19,2)," ")</f>
        <v xml:space="preserve"> </v>
      </c>
      <c r="Q53" s="307" t="str">
        <f>IFERROR(VLOOKUP(O53,Références!$K$11:$N$19,3)," ")</f>
        <v xml:space="preserve"> </v>
      </c>
      <c r="R53" s="307" t="str">
        <f>IFERROR(VLOOKUP(O53,Références!$K$11:$N$19,4)," ")</f>
        <v xml:space="preserve"> </v>
      </c>
      <c r="S53" s="298"/>
      <c r="T53" s="298"/>
      <c r="U53" s="298"/>
      <c r="V53" s="298"/>
      <c r="W53" s="298"/>
      <c r="X53" s="299"/>
      <c r="Y53" s="298"/>
      <c r="Z53" s="298"/>
      <c r="AA53" s="298"/>
      <c r="AB53" s="277"/>
      <c r="AC53" s="277"/>
      <c r="AD53" s="277"/>
      <c r="AE53" s="277"/>
      <c r="AF53" s="277"/>
      <c r="AG53" s="277"/>
      <c r="AH53" s="277"/>
      <c r="AI53" s="277">
        <f t="shared" si="64"/>
        <v>0</v>
      </c>
      <c r="AJ53" s="299"/>
      <c r="AK53" s="298">
        <f t="shared" si="38"/>
        <v>0</v>
      </c>
      <c r="AL53" s="299"/>
      <c r="AM53" s="308">
        <f t="shared" si="72"/>
        <v>0</v>
      </c>
      <c r="AN53" s="298"/>
      <c r="AO53" s="318"/>
      <c r="AP53" s="303" t="str">
        <f t="shared" si="16"/>
        <v xml:space="preserve"> </v>
      </c>
      <c r="AQ53" s="298"/>
      <c r="AR53" s="337"/>
      <c r="AS53" s="337"/>
      <c r="AT53" s="305"/>
      <c r="AU53" s="319"/>
      <c r="AV53" s="305"/>
      <c r="AW53" s="272"/>
      <c r="AX53" s="342"/>
      <c r="AY53" s="343"/>
      <c r="AZ53" s="272"/>
      <c r="BA53" s="275" t="s">
        <v>246</v>
      </c>
      <c r="BB53" s="343"/>
      <c r="BC53" s="270">
        <f t="shared" si="65"/>
        <v>0</v>
      </c>
      <c r="BD53" s="270">
        <f t="shared" si="66"/>
        <v>0</v>
      </c>
      <c r="BE53" s="270">
        <f t="shared" si="0"/>
        <v>1</v>
      </c>
      <c r="BF53" s="270" t="str">
        <f t="shared" si="19"/>
        <v>ALIVE</v>
      </c>
      <c r="BG53" s="250" t="str">
        <f t="shared" si="20"/>
        <v>Aucune</v>
      </c>
      <c r="BH53" s="250" t="str">
        <f t="shared" si="1"/>
        <v>Aucune</v>
      </c>
      <c r="BI53" s="250" t="str">
        <f t="shared" si="2"/>
        <v>Aucune</v>
      </c>
      <c r="BJ53" s="250" t="str">
        <f t="shared" si="58"/>
        <v>NON</v>
      </c>
      <c r="BK53" s="250" t="str">
        <f t="shared" si="4"/>
        <v>NON</v>
      </c>
      <c r="BL53" s="250" t="str">
        <f t="shared" si="59"/>
        <v>Inconnu</v>
      </c>
      <c r="BM53" s="250" t="str">
        <f t="shared" si="67"/>
        <v>Inconnu</v>
      </c>
      <c r="BN53" s="250" t="str">
        <f t="shared" si="68"/>
        <v>Inconnu</v>
      </c>
      <c r="BO53" s="250" t="str">
        <f t="shared" si="60"/>
        <v>Inconnu</v>
      </c>
      <c r="BP53" s="250" t="str">
        <f t="shared" si="69"/>
        <v>Inconnu</v>
      </c>
      <c r="BQ53" s="250" t="str">
        <f t="shared" si="70"/>
        <v>Inconnu</v>
      </c>
      <c r="BR53" s="250" t="str">
        <f t="shared" si="71"/>
        <v>Aucune</v>
      </c>
      <c r="BS53" s="250">
        <f t="shared" si="61"/>
        <v>0</v>
      </c>
      <c r="BT53" s="271" t="e">
        <f>VLOOKUP($I53,Lieu_Activité!$A:$B,2,FALSE)</f>
        <v>#N/A</v>
      </c>
      <c r="BU53" s="250" t="str">
        <f t="shared" si="8"/>
        <v>Aucun</v>
      </c>
      <c r="BV53" s="250" t="str">
        <f t="shared" si="9"/>
        <v>Aucun</v>
      </c>
      <c r="BW53" s="249" t="str">
        <f t="shared" si="62"/>
        <v>NON</v>
      </c>
      <c r="BX53" s="330"/>
    </row>
    <row r="54" spans="1:76" ht="12.95" customHeight="1" x14ac:dyDescent="0.2">
      <c r="A54" s="273" t="s">
        <v>213</v>
      </c>
      <c r="B54" s="276"/>
      <c r="C54" s="269"/>
      <c r="D54" s="299"/>
      <c r="E54" s="320">
        <f>(L55-D54)/365</f>
        <v>0</v>
      </c>
      <c r="F54" s="320" t="str">
        <f t="shared" si="12"/>
        <v xml:space="preserve"> </v>
      </c>
      <c r="G54" s="298"/>
      <c r="H54" s="298"/>
      <c r="I54" s="298"/>
      <c r="J54" s="298"/>
      <c r="K54" s="298"/>
      <c r="L54" s="299"/>
      <c r="M54" s="311"/>
      <c r="N54" s="274"/>
      <c r="O54" s="274"/>
      <c r="P54" s="307" t="str">
        <f>IFERROR(VLOOKUP(O54,Références!$K$11:$N$19,2)," ")</f>
        <v xml:space="preserve"> </v>
      </c>
      <c r="Q54" s="307" t="str">
        <f>IFERROR(VLOOKUP(O54,Références!$K$11:$N$19,3)," ")</f>
        <v xml:space="preserve"> </v>
      </c>
      <c r="R54" s="307" t="str">
        <f>IFERROR(VLOOKUP(O54,Références!$K$11:$N$19,4)," ")</f>
        <v xml:space="preserve"> </v>
      </c>
      <c r="S54" s="298"/>
      <c r="T54" s="298"/>
      <c r="U54" s="298"/>
      <c r="V54" s="298"/>
      <c r="W54" s="298"/>
      <c r="X54" s="299"/>
      <c r="Y54" s="298"/>
      <c r="Z54" s="298"/>
      <c r="AA54" s="298"/>
      <c r="AB54" s="277"/>
      <c r="AC54" s="277"/>
      <c r="AD54" s="277"/>
      <c r="AE54" s="277"/>
      <c r="AF54" s="277"/>
      <c r="AG54" s="277"/>
      <c r="AH54" s="277"/>
      <c r="AI54" s="277">
        <f t="shared" si="64"/>
        <v>0</v>
      </c>
      <c r="AJ54" s="299"/>
      <c r="AK54" s="298">
        <f t="shared" si="38"/>
        <v>0</v>
      </c>
      <c r="AL54" s="299"/>
      <c r="AM54" s="308">
        <f t="shared" si="72"/>
        <v>0</v>
      </c>
      <c r="AN54" s="298"/>
      <c r="AO54" s="318"/>
      <c r="AP54" s="303" t="str">
        <f t="shared" si="16"/>
        <v xml:space="preserve"> </v>
      </c>
      <c r="AQ54" s="298"/>
      <c r="AR54" s="337"/>
      <c r="AS54" s="337"/>
      <c r="AT54" s="305"/>
      <c r="AU54" s="319"/>
      <c r="AV54" s="305"/>
      <c r="AW54" s="272"/>
      <c r="AX54" s="342"/>
      <c r="AY54" s="343"/>
      <c r="AZ54" s="272"/>
      <c r="BA54" s="342" t="s">
        <v>234</v>
      </c>
      <c r="BB54" s="337"/>
      <c r="BC54" s="270">
        <f t="shared" si="65"/>
        <v>0</v>
      </c>
      <c r="BD54" s="270">
        <f t="shared" si="66"/>
        <v>0</v>
      </c>
      <c r="BE54" s="270">
        <f t="shared" si="0"/>
        <v>1</v>
      </c>
      <c r="BF54" s="270" t="str">
        <f t="shared" si="19"/>
        <v>ALIVE</v>
      </c>
      <c r="BG54" s="250" t="str">
        <f t="shared" si="20"/>
        <v>Aucune</v>
      </c>
      <c r="BH54" s="250" t="str">
        <f t="shared" si="1"/>
        <v>Aucune</v>
      </c>
      <c r="BI54" s="250" t="str">
        <f t="shared" si="2"/>
        <v>Aucune</v>
      </c>
      <c r="BJ54" s="250" t="str">
        <f>IF(X54&lt;&gt;"",IF(X54-L55&lt;2,"OUI","NON"),"NON")</f>
        <v>NON</v>
      </c>
      <c r="BK54" s="250" t="str">
        <f t="shared" si="4"/>
        <v>NON</v>
      </c>
      <c r="BL54" s="250" t="str">
        <f>IF(AL54-L55&gt;0,AL54-L55,"Inconnu")</f>
        <v>Inconnu</v>
      </c>
      <c r="BM54" s="250" t="str">
        <f t="shared" si="67"/>
        <v>Inconnu</v>
      </c>
      <c r="BN54" s="250" t="str">
        <f t="shared" si="68"/>
        <v>Inconnu</v>
      </c>
      <c r="BO54" s="250" t="str">
        <f>IF(AJ54-L55&gt;0,AJ54-L55,"Inconnu")</f>
        <v>Inconnu</v>
      </c>
      <c r="BP54" s="250" t="str">
        <f t="shared" si="69"/>
        <v>Inconnu</v>
      </c>
      <c r="BQ54" s="250" t="str">
        <f t="shared" si="70"/>
        <v>Inconnu</v>
      </c>
      <c r="BR54" s="250" t="str">
        <f t="shared" si="71"/>
        <v>Aucune</v>
      </c>
      <c r="BS54" s="250">
        <f t="shared" si="61"/>
        <v>0</v>
      </c>
      <c r="BT54" s="271" t="e">
        <f>VLOOKUP($I54,Lieu_Activité!$A:$B,2,FALSE)</f>
        <v>#N/A</v>
      </c>
      <c r="BU54" s="250" t="str">
        <f t="shared" si="8"/>
        <v>Aucun</v>
      </c>
      <c r="BV54" s="250" t="str">
        <f t="shared" si="9"/>
        <v>Aucun</v>
      </c>
      <c r="BW54" s="249" t="str">
        <f>IF(M55="","NON","OUI")</f>
        <v>NON</v>
      </c>
      <c r="BX54" s="330"/>
    </row>
    <row r="55" spans="1:76" ht="12.95" customHeight="1" x14ac:dyDescent="0.2">
      <c r="A55" s="273" t="s">
        <v>213</v>
      </c>
      <c r="B55" s="276"/>
      <c r="C55" s="269"/>
      <c r="D55" s="299"/>
      <c r="E55" s="320">
        <f>(L56-D55)/365</f>
        <v>0</v>
      </c>
      <c r="F55" s="320" t="str">
        <f t="shared" si="12"/>
        <v xml:space="preserve"> </v>
      </c>
      <c r="G55" s="298"/>
      <c r="H55" s="298"/>
      <c r="I55" s="298"/>
      <c r="J55" s="298"/>
      <c r="K55" s="298"/>
      <c r="L55" s="299"/>
      <c r="M55" s="285"/>
      <c r="N55" s="274"/>
      <c r="O55" s="274"/>
      <c r="P55" s="307" t="str">
        <f>IFERROR(VLOOKUP(O55,Références!$K$11:$N$19,2)," ")</f>
        <v xml:space="preserve"> </v>
      </c>
      <c r="Q55" s="307" t="str">
        <f>IFERROR(VLOOKUP(O55,Références!$K$11:$N$19,3)," ")</f>
        <v xml:space="preserve"> </v>
      </c>
      <c r="R55" s="307" t="str">
        <f>IFERROR(VLOOKUP(O55,Références!$K$11:$N$19,4)," ")</f>
        <v xml:space="preserve"> </v>
      </c>
      <c r="S55" s="298"/>
      <c r="T55" s="298"/>
      <c r="U55" s="298"/>
      <c r="V55" s="298"/>
      <c r="W55" s="298"/>
      <c r="X55" s="299"/>
      <c r="Y55" s="298"/>
      <c r="Z55" s="298"/>
      <c r="AA55" s="298"/>
      <c r="AB55" s="277"/>
      <c r="AC55" s="277"/>
      <c r="AD55" s="277"/>
      <c r="AE55" s="277"/>
      <c r="AF55" s="277"/>
      <c r="AG55" s="277"/>
      <c r="AH55" s="277"/>
      <c r="AI55" s="277">
        <f t="shared" si="64"/>
        <v>0</v>
      </c>
      <c r="AJ55" s="299"/>
      <c r="AK55" s="298">
        <f t="shared" si="38"/>
        <v>0</v>
      </c>
      <c r="AL55" s="299"/>
      <c r="AM55" s="308">
        <f t="shared" si="72"/>
        <v>0</v>
      </c>
      <c r="AN55" s="298"/>
      <c r="AO55" s="318"/>
      <c r="AP55" s="303" t="str">
        <f t="shared" si="16"/>
        <v xml:space="preserve"> </v>
      </c>
      <c r="AQ55" s="298"/>
      <c r="AR55" s="337"/>
      <c r="AS55" s="337"/>
      <c r="AT55" s="305"/>
      <c r="AU55" s="319"/>
      <c r="AV55" s="305"/>
      <c r="AW55" s="272"/>
      <c r="AX55" s="342"/>
      <c r="AY55" s="343"/>
      <c r="AZ55" s="272"/>
      <c r="BA55" s="342" t="s">
        <v>234</v>
      </c>
      <c r="BB55" s="337"/>
      <c r="BC55" s="270">
        <f t="shared" si="65"/>
        <v>0</v>
      </c>
      <c r="BD55" s="270">
        <f t="shared" si="66"/>
        <v>0</v>
      </c>
      <c r="BE55" s="270">
        <f t="shared" si="0"/>
        <v>1</v>
      </c>
      <c r="BF55" s="270" t="str">
        <f t="shared" si="19"/>
        <v>ALIVE</v>
      </c>
      <c r="BG55" s="250" t="str">
        <f t="shared" si="20"/>
        <v>Aucune</v>
      </c>
      <c r="BH55" s="250" t="str">
        <f t="shared" si="1"/>
        <v>Aucune</v>
      </c>
      <c r="BI55" s="250" t="str">
        <f t="shared" si="2"/>
        <v>Aucune</v>
      </c>
      <c r="BJ55" s="250" t="str">
        <f>IF(X55&lt;&gt;"",IF(X55-#REF!&lt;2,"OUI","NON"),"NON")</f>
        <v>NON</v>
      </c>
      <c r="BK55" s="250" t="str">
        <f t="shared" si="4"/>
        <v>NON</v>
      </c>
      <c r="BL55" s="250" t="str">
        <f>IF(AL55-L56&gt;0,AL55-L56,"Inconnu")</f>
        <v>Inconnu</v>
      </c>
      <c r="BM55" s="250" t="str">
        <f t="shared" si="67"/>
        <v>Inconnu</v>
      </c>
      <c r="BN55" s="250" t="str">
        <f t="shared" si="68"/>
        <v>Inconnu</v>
      </c>
      <c r="BO55" s="250" t="str">
        <f>IF(AJ55-L56&gt;0,AJ55-L56,"Inconnu")</f>
        <v>Inconnu</v>
      </c>
      <c r="BP55" s="250" t="str">
        <f t="shared" si="69"/>
        <v>Inconnu</v>
      </c>
      <c r="BQ55" s="250" t="str">
        <f t="shared" si="70"/>
        <v>Inconnu</v>
      </c>
      <c r="BR55" s="250" t="str">
        <f t="shared" si="71"/>
        <v>Aucune</v>
      </c>
      <c r="BS55" s="250">
        <f t="shared" si="61"/>
        <v>0</v>
      </c>
      <c r="BT55" s="271" t="e">
        <f>VLOOKUP($I55,Lieu_Activité!$A:$B,2,FALSE)</f>
        <v>#N/A</v>
      </c>
      <c r="BU55" s="250" t="str">
        <f t="shared" si="8"/>
        <v>Aucun</v>
      </c>
      <c r="BV55" s="250" t="str">
        <f t="shared" si="9"/>
        <v>Aucun</v>
      </c>
      <c r="BW55" s="249" t="str">
        <f>IF(M56="","NON","OUI")</f>
        <v>NON</v>
      </c>
      <c r="BX55" s="330"/>
    </row>
    <row r="56" spans="1:76" ht="12.95" customHeight="1" x14ac:dyDescent="0.2">
      <c r="A56" s="273" t="s">
        <v>213</v>
      </c>
      <c r="B56" s="276"/>
      <c r="C56" s="269"/>
      <c r="D56" s="299"/>
      <c r="E56" s="320">
        <f t="shared" ref="E56:E87" si="73">(L56-D56)/365</f>
        <v>0</v>
      </c>
      <c r="F56" s="320" t="str">
        <f t="shared" si="12"/>
        <v xml:space="preserve"> </v>
      </c>
      <c r="G56" s="298"/>
      <c r="H56" s="298"/>
      <c r="I56" s="298"/>
      <c r="J56" s="298"/>
      <c r="K56" s="298"/>
      <c r="L56" s="299"/>
      <c r="M56" s="285"/>
      <c r="N56" s="274"/>
      <c r="O56" s="274"/>
      <c r="P56" s="307" t="str">
        <f>IFERROR(VLOOKUP(O56,Références!$K$11:$N$19,2)," ")</f>
        <v xml:space="preserve"> </v>
      </c>
      <c r="Q56" s="307" t="str">
        <f>IFERROR(VLOOKUP(O56,Références!$K$11:$N$19,3)," ")</f>
        <v xml:space="preserve"> </v>
      </c>
      <c r="R56" s="307" t="str">
        <f>IFERROR(VLOOKUP(O56,Références!$K$11:$N$19,4)," ")</f>
        <v xml:space="preserve"> </v>
      </c>
      <c r="S56" s="298"/>
      <c r="T56" s="298"/>
      <c r="U56" s="298"/>
      <c r="V56" s="298"/>
      <c r="W56" s="298"/>
      <c r="X56" s="299"/>
      <c r="Y56" s="298"/>
      <c r="Z56" s="298"/>
      <c r="AA56" s="298"/>
      <c r="AB56" s="277"/>
      <c r="AC56" s="277"/>
      <c r="AD56" s="277"/>
      <c r="AE56" s="277"/>
      <c r="AF56" s="277"/>
      <c r="AG56" s="277"/>
      <c r="AH56" s="277"/>
      <c r="AI56" s="277">
        <f t="shared" si="64"/>
        <v>0</v>
      </c>
      <c r="AJ56" s="299"/>
      <c r="AK56" s="298">
        <f t="shared" si="38"/>
        <v>0</v>
      </c>
      <c r="AL56" s="299"/>
      <c r="AM56" s="308">
        <f t="shared" si="72"/>
        <v>0</v>
      </c>
      <c r="AN56" s="298"/>
      <c r="AO56" s="318"/>
      <c r="AP56" s="303" t="str">
        <f t="shared" si="16"/>
        <v xml:space="preserve"> </v>
      </c>
      <c r="AQ56" s="298"/>
      <c r="AR56" s="337"/>
      <c r="AS56" s="337"/>
      <c r="AT56" s="305"/>
      <c r="AU56" s="319"/>
      <c r="AV56" s="305"/>
      <c r="AW56" s="272"/>
      <c r="AX56" s="342"/>
      <c r="AY56" s="343"/>
      <c r="AZ56" s="272"/>
      <c r="BA56" s="342" t="s">
        <v>234</v>
      </c>
      <c r="BB56" s="337"/>
      <c r="BC56" s="270">
        <f t="shared" si="65"/>
        <v>0</v>
      </c>
      <c r="BD56" s="270">
        <f t="shared" si="66"/>
        <v>0</v>
      </c>
      <c r="BE56" s="270">
        <f t="shared" si="0"/>
        <v>1</v>
      </c>
      <c r="BF56" s="270" t="str">
        <f t="shared" si="19"/>
        <v>ALIVE</v>
      </c>
      <c r="BG56" s="250" t="str">
        <f t="shared" si="20"/>
        <v>Aucune</v>
      </c>
      <c r="BH56" s="250" t="str">
        <f t="shared" si="1"/>
        <v>Aucune</v>
      </c>
      <c r="BI56" s="250" t="str">
        <f t="shared" si="2"/>
        <v>Aucune</v>
      </c>
      <c r="BJ56" s="250" t="str">
        <f t="shared" ref="BJ56:BJ87" si="74">IF(X56&lt;&gt;"",IF(X56-L56&lt;2,"OUI","NON"),"NON")</f>
        <v>NON</v>
      </c>
      <c r="BK56" s="250" t="str">
        <f t="shared" si="4"/>
        <v>NON</v>
      </c>
      <c r="BL56" s="250" t="str">
        <f t="shared" ref="BL56:BL87" si="75">IF(AL56-L56&gt;0,AL56-L56,"Inconnu")</f>
        <v>Inconnu</v>
      </c>
      <c r="BM56" s="250" t="str">
        <f t="shared" si="67"/>
        <v>Inconnu</v>
      </c>
      <c r="BN56" s="250" t="str">
        <f t="shared" si="68"/>
        <v>Inconnu</v>
      </c>
      <c r="BO56" s="250" t="str">
        <f t="shared" ref="BO56:BO87" si="76">IF(AJ56-L56&gt;0,AJ56-L56,"Inconnu")</f>
        <v>Inconnu</v>
      </c>
      <c r="BP56" s="250" t="str">
        <f t="shared" si="69"/>
        <v>Inconnu</v>
      </c>
      <c r="BQ56" s="250" t="str">
        <f t="shared" si="70"/>
        <v>Inconnu</v>
      </c>
      <c r="BR56" s="250" t="str">
        <f t="shared" si="71"/>
        <v>Aucune</v>
      </c>
      <c r="BS56" s="250">
        <f t="shared" si="61"/>
        <v>0</v>
      </c>
      <c r="BT56" s="271" t="e">
        <f>VLOOKUP($I56,Lieu_Activité!$A:$B,2,FALSE)</f>
        <v>#N/A</v>
      </c>
      <c r="BU56" s="250" t="str">
        <f t="shared" si="8"/>
        <v>Aucun</v>
      </c>
      <c r="BV56" s="250" t="str">
        <f t="shared" si="9"/>
        <v>Aucun</v>
      </c>
      <c r="BW56" s="249" t="str">
        <f t="shared" ref="BW56:BW87" si="77">IF(M56="","NON","OUI")</f>
        <v>NON</v>
      </c>
      <c r="BX56" s="330"/>
    </row>
    <row r="57" spans="1:76" ht="12.95" customHeight="1" x14ac:dyDescent="0.2">
      <c r="A57" s="273" t="s">
        <v>213</v>
      </c>
      <c r="B57" s="276"/>
      <c r="C57" s="269"/>
      <c r="D57" s="299"/>
      <c r="E57" s="320">
        <f t="shared" si="73"/>
        <v>0</v>
      </c>
      <c r="F57" s="320" t="str">
        <f t="shared" si="12"/>
        <v xml:space="preserve"> </v>
      </c>
      <c r="G57" s="298"/>
      <c r="H57" s="298"/>
      <c r="I57" s="298"/>
      <c r="J57" s="298"/>
      <c r="K57" s="298"/>
      <c r="L57" s="299"/>
      <c r="M57" s="285"/>
      <c r="N57" s="274"/>
      <c r="O57" s="274"/>
      <c r="P57" s="307" t="str">
        <f>IFERROR(VLOOKUP(O57,Références!$K$11:$N$19,2)," ")</f>
        <v xml:space="preserve"> </v>
      </c>
      <c r="Q57" s="307" t="str">
        <f>IFERROR(VLOOKUP(O57,Références!$K$11:$N$19,3)," ")</f>
        <v xml:space="preserve"> </v>
      </c>
      <c r="R57" s="307" t="str">
        <f>IFERROR(VLOOKUP(O57,Références!$K$11:$N$19,4)," ")</f>
        <v xml:space="preserve"> </v>
      </c>
      <c r="S57" s="298"/>
      <c r="T57" s="298"/>
      <c r="U57" s="298"/>
      <c r="V57" s="298"/>
      <c r="W57" s="298"/>
      <c r="X57" s="299"/>
      <c r="Y57" s="298"/>
      <c r="Z57" s="298"/>
      <c r="AA57" s="298"/>
      <c r="AB57" s="277"/>
      <c r="AC57" s="277"/>
      <c r="AD57" s="277"/>
      <c r="AE57" s="277"/>
      <c r="AF57" s="277"/>
      <c r="AG57" s="277"/>
      <c r="AH57" s="277"/>
      <c r="AI57" s="277">
        <f t="shared" si="64"/>
        <v>0</v>
      </c>
      <c r="AJ57" s="299"/>
      <c r="AK57" s="298">
        <f t="shared" si="38"/>
        <v>0</v>
      </c>
      <c r="AL57" s="299"/>
      <c r="AM57" s="308">
        <f t="shared" si="72"/>
        <v>0</v>
      </c>
      <c r="AN57" s="298"/>
      <c r="AO57" s="318"/>
      <c r="AP57" s="303" t="str">
        <f t="shared" si="16"/>
        <v xml:space="preserve"> </v>
      </c>
      <c r="AQ57" s="298"/>
      <c r="AR57" s="337"/>
      <c r="AS57" s="337"/>
      <c r="AT57" s="305"/>
      <c r="AU57" s="319"/>
      <c r="AV57" s="305"/>
      <c r="AW57" s="272"/>
      <c r="AX57" s="342"/>
      <c r="AY57" s="343"/>
      <c r="AZ57" s="272"/>
      <c r="BA57" s="342" t="s">
        <v>234</v>
      </c>
      <c r="BB57" s="337"/>
      <c r="BC57" s="270">
        <f t="shared" si="65"/>
        <v>0</v>
      </c>
      <c r="BD57" s="270">
        <f t="shared" si="66"/>
        <v>0</v>
      </c>
      <c r="BE57" s="270">
        <f t="shared" si="0"/>
        <v>1</v>
      </c>
      <c r="BF57" s="270" t="str">
        <f t="shared" si="19"/>
        <v>ALIVE</v>
      </c>
      <c r="BG57" s="250" t="str">
        <f t="shared" si="20"/>
        <v>Aucune</v>
      </c>
      <c r="BH57" s="250" t="str">
        <f t="shared" si="1"/>
        <v>Aucune</v>
      </c>
      <c r="BI57" s="250" t="str">
        <f t="shared" si="2"/>
        <v>Aucune</v>
      </c>
      <c r="BJ57" s="250" t="str">
        <f t="shared" si="74"/>
        <v>NON</v>
      </c>
      <c r="BK57" s="250" t="str">
        <f t="shared" si="4"/>
        <v>NON</v>
      </c>
      <c r="BL57" s="250" t="str">
        <f t="shared" si="75"/>
        <v>Inconnu</v>
      </c>
      <c r="BM57" s="250" t="str">
        <f t="shared" si="67"/>
        <v>Inconnu</v>
      </c>
      <c r="BN57" s="250" t="str">
        <f t="shared" si="68"/>
        <v>Inconnu</v>
      </c>
      <c r="BO57" s="250" t="str">
        <f t="shared" si="76"/>
        <v>Inconnu</v>
      </c>
      <c r="BP57" s="250" t="str">
        <f t="shared" si="69"/>
        <v>Inconnu</v>
      </c>
      <c r="BQ57" s="250" t="str">
        <f t="shared" si="70"/>
        <v>Inconnu</v>
      </c>
      <c r="BR57" s="250" t="str">
        <f t="shared" si="71"/>
        <v>Aucune</v>
      </c>
      <c r="BS57" s="250">
        <f t="shared" si="61"/>
        <v>0</v>
      </c>
      <c r="BT57" s="271" t="e">
        <f>VLOOKUP($I57,Lieu_Activité!$A:$B,2,FALSE)</f>
        <v>#N/A</v>
      </c>
      <c r="BU57" s="250" t="str">
        <f t="shared" si="8"/>
        <v>Aucun</v>
      </c>
      <c r="BV57" s="250" t="str">
        <f t="shared" si="9"/>
        <v>Aucun</v>
      </c>
      <c r="BW57" s="249" t="str">
        <f t="shared" si="77"/>
        <v>NON</v>
      </c>
      <c r="BX57" s="330"/>
    </row>
    <row r="58" spans="1:76" ht="12.95" customHeight="1" x14ac:dyDescent="0.2">
      <c r="A58" s="268" t="s">
        <v>209</v>
      </c>
      <c r="B58" s="276"/>
      <c r="C58" s="269"/>
      <c r="D58" s="299"/>
      <c r="E58" s="320">
        <f t="shared" si="73"/>
        <v>0</v>
      </c>
      <c r="F58" s="320" t="str">
        <f t="shared" si="12"/>
        <v xml:space="preserve"> </v>
      </c>
      <c r="G58" s="298"/>
      <c r="H58" s="298"/>
      <c r="I58" s="298"/>
      <c r="J58" s="298"/>
      <c r="K58" s="298"/>
      <c r="L58" s="299"/>
      <c r="M58" s="285"/>
      <c r="N58" s="274"/>
      <c r="O58" s="274"/>
      <c r="P58" s="307" t="str">
        <f>IFERROR(VLOOKUP(O58,Références!$K$11:$N$19,2)," ")</f>
        <v xml:space="preserve"> </v>
      </c>
      <c r="Q58" s="307" t="str">
        <f>IFERROR(VLOOKUP(O58,Références!$K$11:$N$19,3)," ")</f>
        <v xml:space="preserve"> </v>
      </c>
      <c r="R58" s="307" t="str">
        <f>IFERROR(VLOOKUP(O58,Références!$K$11:$N$19,4)," ")</f>
        <v xml:space="preserve"> </v>
      </c>
      <c r="S58" s="298"/>
      <c r="T58" s="298"/>
      <c r="U58" s="298"/>
      <c r="V58" s="298"/>
      <c r="W58" s="298"/>
      <c r="X58" s="299"/>
      <c r="Y58" s="298"/>
      <c r="Z58" s="298"/>
      <c r="AA58" s="298"/>
      <c r="AB58" s="277"/>
      <c r="AC58" s="277"/>
      <c r="AD58" s="277"/>
      <c r="AE58" s="277"/>
      <c r="AF58" s="277"/>
      <c r="AG58" s="277"/>
      <c r="AH58" s="277"/>
      <c r="AI58" s="277">
        <f t="shared" si="64"/>
        <v>0</v>
      </c>
      <c r="AJ58" s="299"/>
      <c r="AK58" s="298">
        <f t="shared" ref="AK58:AK86" si="78">(AJ58-L58)</f>
        <v>0</v>
      </c>
      <c r="AL58" s="299"/>
      <c r="AM58" s="308">
        <f t="shared" si="72"/>
        <v>0</v>
      </c>
      <c r="AN58" s="298"/>
      <c r="AO58" s="318"/>
      <c r="AP58" s="303" t="str">
        <f t="shared" si="16"/>
        <v xml:space="preserve"> </v>
      </c>
      <c r="AQ58" s="298"/>
      <c r="AR58" s="337"/>
      <c r="AS58" s="337"/>
      <c r="AT58" s="305"/>
      <c r="AU58" s="319"/>
      <c r="AV58" s="305"/>
      <c r="AW58" s="272"/>
      <c r="AX58" s="342"/>
      <c r="AY58" s="343"/>
      <c r="AZ58" s="272"/>
      <c r="BA58" s="342" t="s">
        <v>234</v>
      </c>
      <c r="BB58" s="337"/>
      <c r="BC58" s="270">
        <f t="shared" si="65"/>
        <v>0</v>
      </c>
      <c r="BD58" s="270">
        <f t="shared" si="66"/>
        <v>0</v>
      </c>
      <c r="BE58" s="270">
        <f t="shared" si="0"/>
        <v>1</v>
      </c>
      <c r="BF58" s="270" t="str">
        <f t="shared" si="19"/>
        <v>ALIVE</v>
      </c>
      <c r="BG58" s="250" t="str">
        <f t="shared" si="20"/>
        <v>Aucune</v>
      </c>
      <c r="BH58" s="250" t="str">
        <f t="shared" si="1"/>
        <v>Aucune</v>
      </c>
      <c r="BI58" s="250" t="str">
        <f t="shared" si="2"/>
        <v>Aucune</v>
      </c>
      <c r="BJ58" s="250" t="str">
        <f t="shared" si="74"/>
        <v>NON</v>
      </c>
      <c r="BK58" s="250" t="str">
        <f t="shared" si="4"/>
        <v>NON</v>
      </c>
      <c r="BL58" s="250" t="str">
        <f t="shared" si="75"/>
        <v>Inconnu</v>
      </c>
      <c r="BM58" s="250" t="str">
        <f t="shared" si="67"/>
        <v>Inconnu</v>
      </c>
      <c r="BN58" s="250" t="str">
        <f t="shared" si="68"/>
        <v>Inconnu</v>
      </c>
      <c r="BO58" s="250" t="str">
        <f t="shared" si="76"/>
        <v>Inconnu</v>
      </c>
      <c r="BP58" s="250" t="str">
        <f t="shared" si="69"/>
        <v>Inconnu</v>
      </c>
      <c r="BQ58" s="250" t="str">
        <f t="shared" si="70"/>
        <v>Inconnu</v>
      </c>
      <c r="BR58" s="250" t="str">
        <f t="shared" si="71"/>
        <v>Aucune</v>
      </c>
      <c r="BS58" s="250">
        <f t="shared" si="61"/>
        <v>0</v>
      </c>
      <c r="BT58" s="271" t="e">
        <f>VLOOKUP($I58,Lieu_Activité!$A:$B,2,FALSE)</f>
        <v>#N/A</v>
      </c>
      <c r="BU58" s="250" t="str">
        <f t="shared" si="8"/>
        <v>Aucun</v>
      </c>
      <c r="BV58" s="250" t="str">
        <f t="shared" si="9"/>
        <v>Aucun</v>
      </c>
      <c r="BW58" s="249" t="str">
        <f t="shared" si="77"/>
        <v>NON</v>
      </c>
      <c r="BX58" s="330"/>
    </row>
    <row r="59" spans="1:76" ht="12.95" customHeight="1" x14ac:dyDescent="0.2">
      <c r="A59" s="268" t="s">
        <v>209</v>
      </c>
      <c r="B59" s="276"/>
      <c r="C59" s="269"/>
      <c r="D59" s="299"/>
      <c r="E59" s="320">
        <f t="shared" si="73"/>
        <v>0</v>
      </c>
      <c r="F59" s="320" t="str">
        <f t="shared" si="12"/>
        <v xml:space="preserve"> </v>
      </c>
      <c r="G59" s="298"/>
      <c r="H59" s="298"/>
      <c r="I59" s="298"/>
      <c r="J59" s="298"/>
      <c r="K59" s="298"/>
      <c r="L59" s="299"/>
      <c r="M59" s="285"/>
      <c r="N59" s="274"/>
      <c r="O59" s="274"/>
      <c r="P59" s="307" t="str">
        <f>IFERROR(VLOOKUP(O59,Références!$K$11:$N$19,2)," ")</f>
        <v xml:space="preserve"> </v>
      </c>
      <c r="Q59" s="307" t="str">
        <f>IFERROR(VLOOKUP(O59,Références!$K$11:$N$19,3)," ")</f>
        <v xml:space="preserve"> </v>
      </c>
      <c r="R59" s="307" t="str">
        <f>IFERROR(VLOOKUP(O59,Références!$K$11:$N$19,4)," ")</f>
        <v xml:space="preserve"> </v>
      </c>
      <c r="S59" s="298"/>
      <c r="T59" s="298"/>
      <c r="U59" s="298"/>
      <c r="V59" s="298"/>
      <c r="W59" s="298"/>
      <c r="X59" s="299"/>
      <c r="Y59" s="298"/>
      <c r="Z59" s="298"/>
      <c r="AA59" s="298"/>
      <c r="AB59" s="277"/>
      <c r="AC59" s="277"/>
      <c r="AD59" s="316"/>
      <c r="AE59" s="277"/>
      <c r="AF59" s="277"/>
      <c r="AG59" s="277"/>
      <c r="AH59" s="277"/>
      <c r="AI59" s="277">
        <f t="shared" si="64"/>
        <v>0</v>
      </c>
      <c r="AJ59" s="299"/>
      <c r="AK59" s="298">
        <f t="shared" si="78"/>
        <v>0</v>
      </c>
      <c r="AL59" s="299"/>
      <c r="AM59" s="308">
        <f t="shared" si="72"/>
        <v>0</v>
      </c>
      <c r="AN59" s="298"/>
      <c r="AO59" s="318"/>
      <c r="AP59" s="303" t="str">
        <f t="shared" si="16"/>
        <v xml:space="preserve"> </v>
      </c>
      <c r="AQ59" s="298"/>
      <c r="AR59" s="337"/>
      <c r="AS59" s="337"/>
      <c r="AT59" s="305"/>
      <c r="AU59" s="319"/>
      <c r="AV59" s="305"/>
      <c r="AW59" s="272"/>
      <c r="AX59" s="342"/>
      <c r="AY59" s="343"/>
      <c r="AZ59" s="272"/>
      <c r="BA59" s="342" t="s">
        <v>234</v>
      </c>
      <c r="BB59" s="337"/>
      <c r="BC59" s="270">
        <f t="shared" si="65"/>
        <v>0</v>
      </c>
      <c r="BD59" s="270">
        <f t="shared" si="66"/>
        <v>0</v>
      </c>
      <c r="BE59" s="270">
        <f t="shared" si="0"/>
        <v>1</v>
      </c>
      <c r="BF59" s="270" t="str">
        <f t="shared" si="19"/>
        <v>ALIVE</v>
      </c>
      <c r="BG59" s="250" t="str">
        <f t="shared" si="20"/>
        <v>Aucune</v>
      </c>
      <c r="BH59" s="250" t="str">
        <f t="shared" si="1"/>
        <v>Aucune</v>
      </c>
      <c r="BI59" s="250" t="str">
        <f t="shared" si="2"/>
        <v>Aucune</v>
      </c>
      <c r="BJ59" s="250" t="str">
        <f t="shared" si="74"/>
        <v>NON</v>
      </c>
      <c r="BK59" s="250" t="str">
        <f t="shared" si="4"/>
        <v>NON</v>
      </c>
      <c r="BL59" s="250" t="str">
        <f t="shared" si="75"/>
        <v>Inconnu</v>
      </c>
      <c r="BM59" s="250" t="str">
        <f t="shared" si="67"/>
        <v>Inconnu</v>
      </c>
      <c r="BN59" s="250" t="str">
        <f t="shared" si="68"/>
        <v>Inconnu</v>
      </c>
      <c r="BO59" s="250" t="str">
        <f t="shared" si="76"/>
        <v>Inconnu</v>
      </c>
      <c r="BP59" s="250" t="str">
        <f t="shared" si="69"/>
        <v>Inconnu</v>
      </c>
      <c r="BQ59" s="250" t="str">
        <f t="shared" si="70"/>
        <v>Inconnu</v>
      </c>
      <c r="BR59" s="250" t="str">
        <f t="shared" si="71"/>
        <v>Aucune</v>
      </c>
      <c r="BS59" s="250">
        <f t="shared" si="61"/>
        <v>0</v>
      </c>
      <c r="BT59" s="271" t="e">
        <f>VLOOKUP($I59,Lieu_Activité!$A:$B,2,FALSE)</f>
        <v>#N/A</v>
      </c>
      <c r="BU59" s="250" t="str">
        <f t="shared" si="8"/>
        <v>Aucun</v>
      </c>
      <c r="BV59" s="250" t="str">
        <f t="shared" si="9"/>
        <v>Aucun</v>
      </c>
      <c r="BW59" s="249" t="str">
        <f t="shared" si="77"/>
        <v>NON</v>
      </c>
      <c r="BX59" s="330"/>
    </row>
    <row r="60" spans="1:76" ht="12.95" customHeight="1" x14ac:dyDescent="0.2">
      <c r="A60" s="268" t="s">
        <v>209</v>
      </c>
      <c r="B60" s="276"/>
      <c r="C60" s="269"/>
      <c r="D60" s="299"/>
      <c r="E60" s="320">
        <f t="shared" si="73"/>
        <v>0</v>
      </c>
      <c r="F60" s="320" t="str">
        <f t="shared" si="12"/>
        <v xml:space="preserve"> </v>
      </c>
      <c r="G60" s="298"/>
      <c r="H60" s="298"/>
      <c r="I60" s="298"/>
      <c r="J60" s="298"/>
      <c r="K60" s="298"/>
      <c r="L60" s="299"/>
      <c r="M60" s="285"/>
      <c r="N60" s="274"/>
      <c r="O60" s="274"/>
      <c r="P60" s="307" t="str">
        <f>IFERROR(VLOOKUP(O60,Références!$K$11:$N$19,2)," ")</f>
        <v xml:space="preserve"> </v>
      </c>
      <c r="Q60" s="307" t="str">
        <f>IFERROR(VLOOKUP(O60,Références!$K$11:$N$19,3)," ")</f>
        <v xml:space="preserve"> </v>
      </c>
      <c r="R60" s="307" t="str">
        <f>IFERROR(VLOOKUP(O60,Références!$K$11:$N$19,4)," ")</f>
        <v xml:space="preserve"> </v>
      </c>
      <c r="S60" s="298"/>
      <c r="T60" s="298"/>
      <c r="U60" s="298"/>
      <c r="V60" s="298"/>
      <c r="W60" s="298"/>
      <c r="X60" s="299"/>
      <c r="Y60" s="298"/>
      <c r="Z60" s="298"/>
      <c r="AA60" s="298"/>
      <c r="AB60" s="277"/>
      <c r="AC60" s="277"/>
      <c r="AD60" s="316"/>
      <c r="AE60" s="277"/>
      <c r="AF60" s="277"/>
      <c r="AG60" s="277"/>
      <c r="AH60" s="277"/>
      <c r="AI60" s="277">
        <f t="shared" si="64"/>
        <v>0</v>
      </c>
      <c r="AJ60" s="299"/>
      <c r="AK60" s="298">
        <f t="shared" si="78"/>
        <v>0</v>
      </c>
      <c r="AL60" s="299"/>
      <c r="AM60" s="308">
        <f t="shared" si="72"/>
        <v>0</v>
      </c>
      <c r="AN60" s="298"/>
      <c r="AO60" s="318"/>
      <c r="AP60" s="303" t="str">
        <f t="shared" si="16"/>
        <v xml:space="preserve"> </v>
      </c>
      <c r="AQ60" s="298"/>
      <c r="AR60" s="337"/>
      <c r="AS60" s="337"/>
      <c r="AT60" s="305"/>
      <c r="AU60" s="319"/>
      <c r="AV60" s="305"/>
      <c r="AW60" s="272"/>
      <c r="AX60" s="342"/>
      <c r="AY60" s="343"/>
      <c r="AZ60" s="272"/>
      <c r="BA60" s="342" t="s">
        <v>234</v>
      </c>
      <c r="BB60" s="337"/>
      <c r="BC60" s="270">
        <f t="shared" si="65"/>
        <v>0</v>
      </c>
      <c r="BD60" s="270">
        <f t="shared" si="66"/>
        <v>0</v>
      </c>
      <c r="BE60" s="270">
        <f t="shared" si="0"/>
        <v>1</v>
      </c>
      <c r="BF60" s="270" t="str">
        <f t="shared" si="19"/>
        <v>ALIVE</v>
      </c>
      <c r="BG60" s="250" t="str">
        <f t="shared" si="20"/>
        <v>Aucune</v>
      </c>
      <c r="BH60" s="250" t="str">
        <f t="shared" si="1"/>
        <v>Aucune</v>
      </c>
      <c r="BI60" s="250" t="str">
        <f t="shared" si="2"/>
        <v>Aucune</v>
      </c>
      <c r="BJ60" s="250" t="str">
        <f t="shared" si="74"/>
        <v>NON</v>
      </c>
      <c r="BK60" s="250" t="str">
        <f t="shared" si="4"/>
        <v>NON</v>
      </c>
      <c r="BL60" s="250" t="str">
        <f t="shared" si="75"/>
        <v>Inconnu</v>
      </c>
      <c r="BM60" s="250" t="str">
        <f t="shared" si="67"/>
        <v>Inconnu</v>
      </c>
      <c r="BN60" s="250" t="str">
        <f t="shared" si="68"/>
        <v>Inconnu</v>
      </c>
      <c r="BO60" s="250" t="str">
        <f t="shared" si="76"/>
        <v>Inconnu</v>
      </c>
      <c r="BP60" s="250" t="str">
        <f t="shared" si="69"/>
        <v>Inconnu</v>
      </c>
      <c r="BQ60" s="250" t="str">
        <f t="shared" si="70"/>
        <v>Inconnu</v>
      </c>
      <c r="BR60" s="250" t="str">
        <f t="shared" si="71"/>
        <v>Aucune</v>
      </c>
      <c r="BS60" s="250">
        <f t="shared" si="61"/>
        <v>0</v>
      </c>
      <c r="BT60" s="271" t="e">
        <f>VLOOKUP($I60,Lieu_Activité!$A:$B,2,FALSE)</f>
        <v>#N/A</v>
      </c>
      <c r="BU60" s="250" t="str">
        <f t="shared" si="8"/>
        <v>Aucun</v>
      </c>
      <c r="BV60" s="250" t="str">
        <f t="shared" si="9"/>
        <v>Aucun</v>
      </c>
      <c r="BW60" s="249" t="str">
        <f t="shared" si="77"/>
        <v>NON</v>
      </c>
      <c r="BX60" s="330"/>
    </row>
    <row r="61" spans="1:76" ht="12.95" customHeight="1" x14ac:dyDescent="0.2">
      <c r="A61" s="268" t="s">
        <v>209</v>
      </c>
      <c r="B61" s="276"/>
      <c r="C61" s="269"/>
      <c r="D61" s="299"/>
      <c r="E61" s="320">
        <f t="shared" si="73"/>
        <v>0</v>
      </c>
      <c r="F61" s="320" t="str">
        <f t="shared" si="12"/>
        <v xml:space="preserve"> </v>
      </c>
      <c r="G61" s="298"/>
      <c r="H61" s="298"/>
      <c r="I61" s="298"/>
      <c r="J61" s="298"/>
      <c r="K61" s="298"/>
      <c r="L61" s="299"/>
      <c r="M61" s="285"/>
      <c r="N61" s="274"/>
      <c r="O61" s="274"/>
      <c r="P61" s="307" t="str">
        <f>IFERROR(VLOOKUP(O61,Références!$K$11:$N$19,2)," ")</f>
        <v xml:space="preserve"> </v>
      </c>
      <c r="Q61" s="307" t="str">
        <f>IFERROR(VLOOKUP(O61,Références!$K$11:$N$19,3)," ")</f>
        <v xml:space="preserve"> </v>
      </c>
      <c r="R61" s="307" t="str">
        <f>IFERROR(VLOOKUP(O61,Références!$K$11:$N$19,4)," ")</f>
        <v xml:space="preserve"> </v>
      </c>
      <c r="S61" s="298"/>
      <c r="T61" s="298"/>
      <c r="U61" s="298"/>
      <c r="V61" s="298"/>
      <c r="W61" s="298"/>
      <c r="X61" s="299"/>
      <c r="Y61" s="298"/>
      <c r="Z61" s="298"/>
      <c r="AA61" s="298"/>
      <c r="AB61" s="277"/>
      <c r="AC61" s="277"/>
      <c r="AD61" s="277"/>
      <c r="AE61" s="277"/>
      <c r="AF61" s="277"/>
      <c r="AG61" s="277"/>
      <c r="AH61" s="277"/>
      <c r="AI61" s="277">
        <f t="shared" si="64"/>
        <v>0</v>
      </c>
      <c r="AJ61" s="299"/>
      <c r="AK61" s="298">
        <f t="shared" si="78"/>
        <v>0</v>
      </c>
      <c r="AL61" s="299"/>
      <c r="AM61" s="308">
        <f t="shared" si="72"/>
        <v>0</v>
      </c>
      <c r="AN61" s="298"/>
      <c r="AO61" s="318"/>
      <c r="AP61" s="303" t="str">
        <f t="shared" si="16"/>
        <v xml:space="preserve"> </v>
      </c>
      <c r="AQ61" s="298"/>
      <c r="AR61" s="338"/>
      <c r="AS61" s="337"/>
      <c r="AT61" s="305"/>
      <c r="AU61" s="319"/>
      <c r="AV61" s="305"/>
      <c r="AW61" s="272"/>
      <c r="AX61" s="342"/>
      <c r="AY61" s="343"/>
      <c r="AZ61" s="272"/>
      <c r="BA61" s="342" t="s">
        <v>234</v>
      </c>
      <c r="BB61" s="337"/>
      <c r="BC61" s="270">
        <f t="shared" si="65"/>
        <v>0</v>
      </c>
      <c r="BD61" s="270">
        <f t="shared" si="66"/>
        <v>0</v>
      </c>
      <c r="BE61" s="270">
        <f t="shared" si="0"/>
        <v>1</v>
      </c>
      <c r="BF61" s="270" t="str">
        <f t="shared" si="19"/>
        <v>ALIVE</v>
      </c>
      <c r="BG61" s="250" t="str">
        <f t="shared" si="20"/>
        <v>Aucune</v>
      </c>
      <c r="BH61" s="250" t="str">
        <f t="shared" si="1"/>
        <v>Aucune</v>
      </c>
      <c r="BI61" s="250" t="str">
        <f t="shared" si="2"/>
        <v>Aucune</v>
      </c>
      <c r="BJ61" s="250" t="str">
        <f t="shared" si="74"/>
        <v>NON</v>
      </c>
      <c r="BK61" s="250" t="str">
        <f t="shared" si="4"/>
        <v>NON</v>
      </c>
      <c r="BL61" s="250" t="str">
        <f t="shared" si="75"/>
        <v>Inconnu</v>
      </c>
      <c r="BM61" s="250" t="str">
        <f t="shared" si="67"/>
        <v>Inconnu</v>
      </c>
      <c r="BN61" s="250" t="str">
        <f t="shared" si="68"/>
        <v>Inconnu</v>
      </c>
      <c r="BO61" s="250" t="str">
        <f t="shared" si="76"/>
        <v>Inconnu</v>
      </c>
      <c r="BP61" s="250" t="str">
        <f t="shared" si="69"/>
        <v>Inconnu</v>
      </c>
      <c r="BQ61" s="250" t="str">
        <f t="shared" si="70"/>
        <v>Inconnu</v>
      </c>
      <c r="BR61" s="250" t="str">
        <f t="shared" si="71"/>
        <v>Aucune</v>
      </c>
      <c r="BS61" s="250">
        <f t="shared" si="61"/>
        <v>0</v>
      </c>
      <c r="BT61" s="271" t="e">
        <f>VLOOKUP($I61,Lieu_Activité!$A:$B,2,FALSE)</f>
        <v>#N/A</v>
      </c>
      <c r="BU61" s="250" t="str">
        <f t="shared" si="8"/>
        <v>Aucun</v>
      </c>
      <c r="BV61" s="250" t="str">
        <f t="shared" si="9"/>
        <v>Aucun</v>
      </c>
      <c r="BW61" s="249" t="str">
        <f t="shared" si="77"/>
        <v>NON</v>
      </c>
      <c r="BX61" s="330"/>
    </row>
    <row r="62" spans="1:76" ht="12.95" customHeight="1" x14ac:dyDescent="0.2">
      <c r="A62" s="268" t="s">
        <v>209</v>
      </c>
      <c r="B62" s="276"/>
      <c r="C62" s="269"/>
      <c r="D62" s="299"/>
      <c r="E62" s="320">
        <f t="shared" si="73"/>
        <v>0</v>
      </c>
      <c r="F62" s="320" t="str">
        <f t="shared" si="12"/>
        <v xml:space="preserve"> </v>
      </c>
      <c r="G62" s="298"/>
      <c r="H62" s="298"/>
      <c r="I62" s="298"/>
      <c r="J62" s="298"/>
      <c r="K62" s="298"/>
      <c r="L62" s="299"/>
      <c r="M62" s="285"/>
      <c r="N62" s="274"/>
      <c r="O62" s="274"/>
      <c r="P62" s="307" t="str">
        <f>IFERROR(VLOOKUP(O62,Références!$K$11:$N$19,2)," ")</f>
        <v xml:space="preserve"> </v>
      </c>
      <c r="Q62" s="307" t="str">
        <f>IFERROR(VLOOKUP(O62,Références!$K$11:$N$19,3)," ")</f>
        <v xml:space="preserve"> </v>
      </c>
      <c r="R62" s="307" t="str">
        <f>IFERROR(VLOOKUP(O62,Références!$K$11:$N$19,4)," ")</f>
        <v xml:space="preserve"> </v>
      </c>
      <c r="S62" s="298"/>
      <c r="T62" s="298"/>
      <c r="U62" s="298"/>
      <c r="V62" s="298"/>
      <c r="W62" s="298"/>
      <c r="X62" s="299"/>
      <c r="Y62" s="298"/>
      <c r="Z62" s="298"/>
      <c r="AA62" s="298"/>
      <c r="AB62" s="277"/>
      <c r="AC62" s="277"/>
      <c r="AD62" s="316"/>
      <c r="AE62" s="277"/>
      <c r="AF62" s="277"/>
      <c r="AG62" s="277"/>
      <c r="AH62" s="277"/>
      <c r="AI62" s="277">
        <f t="shared" si="64"/>
        <v>0</v>
      </c>
      <c r="AJ62" s="299"/>
      <c r="AK62" s="298">
        <f t="shared" si="78"/>
        <v>0</v>
      </c>
      <c r="AL62" s="299"/>
      <c r="AM62" s="308">
        <f t="shared" si="72"/>
        <v>0</v>
      </c>
      <c r="AN62" s="298"/>
      <c r="AO62" s="318"/>
      <c r="AP62" s="303" t="str">
        <f t="shared" si="16"/>
        <v xml:space="preserve"> </v>
      </c>
      <c r="AQ62" s="298"/>
      <c r="AR62" s="337"/>
      <c r="AS62" s="337"/>
      <c r="AT62" s="305"/>
      <c r="AU62" s="319"/>
      <c r="AV62" s="305"/>
      <c r="AW62" s="272"/>
      <c r="AX62" s="342"/>
      <c r="AY62" s="343"/>
      <c r="AZ62" s="272"/>
      <c r="BA62" s="342" t="s">
        <v>234</v>
      </c>
      <c r="BB62" s="337"/>
      <c r="BC62" s="270">
        <f t="shared" si="65"/>
        <v>0</v>
      </c>
      <c r="BD62" s="270">
        <f t="shared" si="66"/>
        <v>0</v>
      </c>
      <c r="BE62" s="270">
        <f t="shared" si="0"/>
        <v>1</v>
      </c>
      <c r="BF62" s="270" t="str">
        <f t="shared" si="19"/>
        <v>ALIVE</v>
      </c>
      <c r="BG62" s="250" t="str">
        <f t="shared" si="20"/>
        <v>Aucune</v>
      </c>
      <c r="BH62" s="250" t="str">
        <f t="shared" si="1"/>
        <v>Aucune</v>
      </c>
      <c r="BI62" s="250" t="str">
        <f t="shared" si="2"/>
        <v>Aucune</v>
      </c>
      <c r="BJ62" s="250" t="str">
        <f t="shared" si="74"/>
        <v>NON</v>
      </c>
      <c r="BK62" s="250" t="str">
        <f t="shared" si="4"/>
        <v>NON</v>
      </c>
      <c r="BL62" s="250" t="str">
        <f t="shared" si="75"/>
        <v>Inconnu</v>
      </c>
      <c r="BM62" s="250" t="str">
        <f t="shared" si="67"/>
        <v>Inconnu</v>
      </c>
      <c r="BN62" s="250" t="str">
        <f t="shared" si="68"/>
        <v>Inconnu</v>
      </c>
      <c r="BO62" s="250" t="str">
        <f t="shared" si="76"/>
        <v>Inconnu</v>
      </c>
      <c r="BP62" s="250" t="str">
        <f t="shared" si="69"/>
        <v>Inconnu</v>
      </c>
      <c r="BQ62" s="250" t="str">
        <f t="shared" si="70"/>
        <v>Inconnu</v>
      </c>
      <c r="BR62" s="250" t="str">
        <f t="shared" si="71"/>
        <v>Aucune</v>
      </c>
      <c r="BS62" s="250">
        <f t="shared" si="61"/>
        <v>0</v>
      </c>
      <c r="BT62" s="271" t="e">
        <f>VLOOKUP($I62,Lieu_Activité!$A:$B,2,FALSE)</f>
        <v>#N/A</v>
      </c>
      <c r="BU62" s="250" t="str">
        <f t="shared" si="8"/>
        <v>Aucun</v>
      </c>
      <c r="BV62" s="250" t="str">
        <f t="shared" si="9"/>
        <v>Aucun</v>
      </c>
      <c r="BW62" s="249" t="str">
        <f t="shared" si="77"/>
        <v>NON</v>
      </c>
      <c r="BX62" s="330"/>
    </row>
    <row r="63" spans="1:76" ht="12.95" customHeight="1" x14ac:dyDescent="0.2">
      <c r="A63" s="268" t="s">
        <v>209</v>
      </c>
      <c r="B63" s="276"/>
      <c r="C63" s="269"/>
      <c r="D63" s="299"/>
      <c r="E63" s="320">
        <f t="shared" si="73"/>
        <v>0</v>
      </c>
      <c r="F63" s="320" t="str">
        <f t="shared" si="12"/>
        <v xml:space="preserve"> </v>
      </c>
      <c r="G63" s="298"/>
      <c r="H63" s="298"/>
      <c r="I63" s="298"/>
      <c r="J63" s="298"/>
      <c r="K63" s="298"/>
      <c r="L63" s="299"/>
      <c r="M63" s="285"/>
      <c r="N63" s="274"/>
      <c r="O63" s="274"/>
      <c r="P63" s="307" t="str">
        <f>IFERROR(VLOOKUP(O63,Références!$K$11:$N$19,2)," ")</f>
        <v xml:space="preserve"> </v>
      </c>
      <c r="Q63" s="307" t="str">
        <f>IFERROR(VLOOKUP(O63,Références!$K$11:$N$19,3)," ")</f>
        <v xml:space="preserve"> </v>
      </c>
      <c r="R63" s="307" t="str">
        <f>IFERROR(VLOOKUP(O63,Références!$K$11:$N$19,4)," ")</f>
        <v xml:space="preserve"> </v>
      </c>
      <c r="S63" s="298"/>
      <c r="T63" s="298"/>
      <c r="U63" s="298"/>
      <c r="V63" s="298"/>
      <c r="W63" s="298"/>
      <c r="X63" s="299"/>
      <c r="Y63" s="298"/>
      <c r="Z63" s="298"/>
      <c r="AA63" s="298"/>
      <c r="AB63" s="277"/>
      <c r="AC63" s="277"/>
      <c r="AD63" s="277"/>
      <c r="AE63" s="277"/>
      <c r="AF63" s="277"/>
      <c r="AG63" s="277"/>
      <c r="AH63" s="277"/>
      <c r="AI63" s="277">
        <f t="shared" si="64"/>
        <v>0</v>
      </c>
      <c r="AJ63" s="299"/>
      <c r="AK63" s="298">
        <f t="shared" si="78"/>
        <v>0</v>
      </c>
      <c r="AL63" s="299"/>
      <c r="AM63" s="308">
        <f t="shared" si="72"/>
        <v>0</v>
      </c>
      <c r="AN63" s="298"/>
      <c r="AO63" s="318"/>
      <c r="AP63" s="303" t="str">
        <f t="shared" si="16"/>
        <v xml:space="preserve"> </v>
      </c>
      <c r="AQ63" s="298"/>
      <c r="AR63" s="337"/>
      <c r="AS63" s="337"/>
      <c r="AT63" s="305"/>
      <c r="AU63" s="319"/>
      <c r="AV63" s="305"/>
      <c r="AW63" s="272"/>
      <c r="AX63" s="342"/>
      <c r="AY63" s="343"/>
      <c r="AZ63" s="272"/>
      <c r="BA63" s="342" t="s">
        <v>234</v>
      </c>
      <c r="BB63" s="337"/>
      <c r="BC63" s="270">
        <f t="shared" si="65"/>
        <v>0</v>
      </c>
      <c r="BD63" s="270">
        <f t="shared" si="66"/>
        <v>0</v>
      </c>
      <c r="BE63" s="270">
        <f t="shared" si="0"/>
        <v>1</v>
      </c>
      <c r="BF63" s="270" t="str">
        <f t="shared" si="19"/>
        <v>ALIVE</v>
      </c>
      <c r="BG63" s="250" t="str">
        <f t="shared" si="20"/>
        <v>Aucune</v>
      </c>
      <c r="BH63" s="250" t="str">
        <f t="shared" si="1"/>
        <v>Aucune</v>
      </c>
      <c r="BI63" s="250" t="str">
        <f t="shared" si="2"/>
        <v>Aucune</v>
      </c>
      <c r="BJ63" s="250" t="str">
        <f t="shared" si="74"/>
        <v>NON</v>
      </c>
      <c r="BK63" s="250" t="str">
        <f t="shared" si="4"/>
        <v>NON</v>
      </c>
      <c r="BL63" s="250" t="str">
        <f t="shared" si="75"/>
        <v>Inconnu</v>
      </c>
      <c r="BM63" s="250" t="str">
        <f t="shared" si="67"/>
        <v>Inconnu</v>
      </c>
      <c r="BN63" s="250" t="str">
        <f t="shared" si="68"/>
        <v>Inconnu</v>
      </c>
      <c r="BO63" s="250" t="str">
        <f t="shared" si="76"/>
        <v>Inconnu</v>
      </c>
      <c r="BP63" s="250" t="str">
        <f t="shared" si="69"/>
        <v>Inconnu</v>
      </c>
      <c r="BQ63" s="250" t="str">
        <f t="shared" si="70"/>
        <v>Inconnu</v>
      </c>
      <c r="BR63" s="250" t="str">
        <f t="shared" si="71"/>
        <v>Aucune</v>
      </c>
      <c r="BS63" s="250">
        <f t="shared" si="61"/>
        <v>0</v>
      </c>
      <c r="BT63" s="271" t="e">
        <f>VLOOKUP($I63,Lieu_Activité!$A:$B,2,FALSE)</f>
        <v>#N/A</v>
      </c>
      <c r="BU63" s="250" t="str">
        <f t="shared" si="8"/>
        <v>Aucun</v>
      </c>
      <c r="BV63" s="250" t="str">
        <f t="shared" si="9"/>
        <v>Aucun</v>
      </c>
      <c r="BW63" s="249" t="str">
        <f t="shared" si="77"/>
        <v>NON</v>
      </c>
      <c r="BX63" s="330"/>
    </row>
    <row r="64" spans="1:76" ht="12.95" customHeight="1" x14ac:dyDescent="0.2">
      <c r="A64" s="268" t="s">
        <v>209</v>
      </c>
      <c r="B64" s="276"/>
      <c r="C64" s="269"/>
      <c r="D64" s="299"/>
      <c r="E64" s="320">
        <f t="shared" si="73"/>
        <v>0</v>
      </c>
      <c r="F64" s="320" t="str">
        <f t="shared" si="12"/>
        <v xml:space="preserve"> </v>
      </c>
      <c r="G64" s="298"/>
      <c r="H64" s="298"/>
      <c r="I64" s="298"/>
      <c r="J64" s="298"/>
      <c r="K64" s="298"/>
      <c r="L64" s="299"/>
      <c r="M64" s="285"/>
      <c r="N64" s="274"/>
      <c r="O64" s="274"/>
      <c r="P64" s="307" t="str">
        <f>IFERROR(VLOOKUP(O64,Références!$K$11:$N$19,2)," ")</f>
        <v xml:space="preserve"> </v>
      </c>
      <c r="Q64" s="307" t="str">
        <f>IFERROR(VLOOKUP(O64,Références!$K$11:$N$19,3)," ")</f>
        <v xml:space="preserve"> </v>
      </c>
      <c r="R64" s="307" t="str">
        <f>IFERROR(VLOOKUP(O64,Références!$K$11:$N$19,4)," ")</f>
        <v xml:space="preserve"> </v>
      </c>
      <c r="S64" s="298"/>
      <c r="T64" s="298"/>
      <c r="U64" s="298"/>
      <c r="V64" s="298"/>
      <c r="W64" s="298"/>
      <c r="X64" s="299"/>
      <c r="Y64" s="298"/>
      <c r="Z64" s="298"/>
      <c r="AA64" s="298"/>
      <c r="AB64" s="277"/>
      <c r="AC64" s="277"/>
      <c r="AD64" s="277"/>
      <c r="AE64" s="277"/>
      <c r="AF64" s="277"/>
      <c r="AG64" s="277"/>
      <c r="AH64" s="277"/>
      <c r="AI64" s="277">
        <f t="shared" si="64"/>
        <v>0</v>
      </c>
      <c r="AJ64" s="299"/>
      <c r="AK64" s="298">
        <f t="shared" si="78"/>
        <v>0</v>
      </c>
      <c r="AL64" s="299"/>
      <c r="AM64" s="308">
        <f t="shared" si="72"/>
        <v>0</v>
      </c>
      <c r="AN64" s="298"/>
      <c r="AO64" s="318"/>
      <c r="AP64" s="303" t="str">
        <f t="shared" si="16"/>
        <v xml:space="preserve"> </v>
      </c>
      <c r="AQ64" s="298"/>
      <c r="AR64" s="337"/>
      <c r="AS64" s="337"/>
      <c r="AT64" s="305"/>
      <c r="AU64" s="319"/>
      <c r="AV64" s="305"/>
      <c r="AW64" s="272"/>
      <c r="AX64" s="342"/>
      <c r="AY64" s="343"/>
      <c r="AZ64" s="272"/>
      <c r="BA64" s="342" t="s">
        <v>234</v>
      </c>
      <c r="BB64" s="337"/>
      <c r="BC64" s="270">
        <f t="shared" si="65"/>
        <v>0</v>
      </c>
      <c r="BD64" s="270">
        <f t="shared" si="66"/>
        <v>0</v>
      </c>
      <c r="BE64" s="270">
        <f t="shared" si="0"/>
        <v>1</v>
      </c>
      <c r="BF64" s="270" t="str">
        <f t="shared" si="19"/>
        <v>ALIVE</v>
      </c>
      <c r="BG64" s="250" t="str">
        <f t="shared" si="20"/>
        <v>Aucune</v>
      </c>
      <c r="BH64" s="250" t="str">
        <f t="shared" si="1"/>
        <v>Aucune</v>
      </c>
      <c r="BI64" s="250" t="str">
        <f t="shared" si="2"/>
        <v>Aucune</v>
      </c>
      <c r="BJ64" s="250" t="str">
        <f t="shared" si="74"/>
        <v>NON</v>
      </c>
      <c r="BK64" s="250" t="str">
        <f t="shared" si="4"/>
        <v>NON</v>
      </c>
      <c r="BL64" s="250" t="str">
        <f t="shared" si="75"/>
        <v>Inconnu</v>
      </c>
      <c r="BM64" s="250" t="str">
        <f t="shared" si="67"/>
        <v>Inconnu</v>
      </c>
      <c r="BN64" s="250" t="str">
        <f t="shared" si="68"/>
        <v>Inconnu</v>
      </c>
      <c r="BO64" s="250" t="str">
        <f t="shared" si="76"/>
        <v>Inconnu</v>
      </c>
      <c r="BP64" s="250" t="str">
        <f t="shared" si="69"/>
        <v>Inconnu</v>
      </c>
      <c r="BQ64" s="250" t="str">
        <f t="shared" si="70"/>
        <v>Inconnu</v>
      </c>
      <c r="BR64" s="250" t="str">
        <f t="shared" si="71"/>
        <v>Aucune</v>
      </c>
      <c r="BS64" s="250">
        <f t="shared" si="61"/>
        <v>0</v>
      </c>
      <c r="BT64" s="271" t="e">
        <f>VLOOKUP($I64,Lieu_Activité!$A:$B,2,FALSE)</f>
        <v>#N/A</v>
      </c>
      <c r="BU64" s="250" t="str">
        <f t="shared" si="8"/>
        <v>Aucun</v>
      </c>
      <c r="BV64" s="250" t="str">
        <f t="shared" si="9"/>
        <v>Aucun</v>
      </c>
      <c r="BW64" s="249" t="str">
        <f t="shared" si="77"/>
        <v>NON</v>
      </c>
      <c r="BX64" s="330"/>
    </row>
    <row r="65" spans="1:76" ht="12.95" customHeight="1" x14ac:dyDescent="0.2">
      <c r="A65" s="268" t="s">
        <v>209</v>
      </c>
      <c r="B65" s="310"/>
      <c r="C65" s="269"/>
      <c r="D65" s="299"/>
      <c r="E65" s="320">
        <f t="shared" si="73"/>
        <v>0</v>
      </c>
      <c r="F65" s="320" t="str">
        <f t="shared" si="12"/>
        <v xml:space="preserve"> </v>
      </c>
      <c r="G65" s="298"/>
      <c r="H65" s="298"/>
      <c r="I65" s="298"/>
      <c r="J65" s="298"/>
      <c r="K65" s="298"/>
      <c r="L65" s="299"/>
      <c r="M65" s="285"/>
      <c r="N65" s="274"/>
      <c r="O65" s="274"/>
      <c r="P65" s="307" t="str">
        <f>IFERROR(VLOOKUP(O65,Références!$K$11:$N$19,2)," ")</f>
        <v xml:space="preserve"> </v>
      </c>
      <c r="Q65" s="307" t="str">
        <f>IFERROR(VLOOKUP(O65,Références!$K$11:$N$19,3)," ")</f>
        <v xml:space="preserve"> </v>
      </c>
      <c r="R65" s="307" t="str">
        <f>IFERROR(VLOOKUP(O65,Références!$K$11:$N$19,4)," ")</f>
        <v xml:space="preserve"> </v>
      </c>
      <c r="S65" s="298"/>
      <c r="T65" s="298"/>
      <c r="U65" s="298"/>
      <c r="V65" s="298"/>
      <c r="W65" s="298"/>
      <c r="X65" s="299"/>
      <c r="Y65" s="298"/>
      <c r="Z65" s="298"/>
      <c r="AA65" s="298"/>
      <c r="AB65" s="277"/>
      <c r="AC65" s="277"/>
      <c r="AD65" s="277"/>
      <c r="AE65" s="277"/>
      <c r="AF65" s="277"/>
      <c r="AG65" s="277"/>
      <c r="AH65" s="277"/>
      <c r="AI65" s="277">
        <f t="shared" si="64"/>
        <v>0</v>
      </c>
      <c r="AJ65" s="299"/>
      <c r="AK65" s="298">
        <f t="shared" si="78"/>
        <v>0</v>
      </c>
      <c r="AL65" s="299"/>
      <c r="AM65" s="308">
        <f t="shared" si="72"/>
        <v>0</v>
      </c>
      <c r="AN65" s="298"/>
      <c r="AO65" s="318"/>
      <c r="AP65" s="303" t="str">
        <f t="shared" si="16"/>
        <v xml:space="preserve"> </v>
      </c>
      <c r="AQ65" s="298"/>
      <c r="AR65" s="337"/>
      <c r="AS65" s="337"/>
      <c r="AT65" s="305"/>
      <c r="AU65" s="319"/>
      <c r="AV65" s="305"/>
      <c r="AW65" s="272"/>
      <c r="AX65" s="342"/>
      <c r="AY65" s="343"/>
      <c r="AZ65" s="272"/>
      <c r="BA65" s="275" t="s">
        <v>246</v>
      </c>
      <c r="BB65" s="343"/>
      <c r="BC65" s="270">
        <f t="shared" si="65"/>
        <v>0</v>
      </c>
      <c r="BD65" s="270">
        <f t="shared" si="66"/>
        <v>0</v>
      </c>
      <c r="BE65" s="270">
        <f t="shared" si="0"/>
        <v>1</v>
      </c>
      <c r="BF65" s="270" t="str">
        <f t="shared" si="19"/>
        <v>ALIVE</v>
      </c>
      <c r="BG65" s="250" t="str">
        <f t="shared" si="20"/>
        <v>Aucune</v>
      </c>
      <c r="BH65" s="250" t="str">
        <f t="shared" si="1"/>
        <v>Aucune</v>
      </c>
      <c r="BI65" s="250" t="str">
        <f t="shared" si="2"/>
        <v>Aucune</v>
      </c>
      <c r="BJ65" s="250" t="str">
        <f t="shared" si="74"/>
        <v>NON</v>
      </c>
      <c r="BK65" s="250" t="str">
        <f t="shared" si="4"/>
        <v>NON</v>
      </c>
      <c r="BL65" s="250" t="str">
        <f t="shared" si="75"/>
        <v>Inconnu</v>
      </c>
      <c r="BM65" s="250" t="str">
        <f t="shared" si="67"/>
        <v>Inconnu</v>
      </c>
      <c r="BN65" s="250" t="str">
        <f t="shared" si="68"/>
        <v>Inconnu</v>
      </c>
      <c r="BO65" s="250" t="str">
        <f t="shared" si="76"/>
        <v>Inconnu</v>
      </c>
      <c r="BP65" s="250" t="str">
        <f t="shared" si="69"/>
        <v>Inconnu</v>
      </c>
      <c r="BQ65" s="250" t="str">
        <f t="shared" si="70"/>
        <v>Inconnu</v>
      </c>
      <c r="BR65" s="250" t="str">
        <f t="shared" si="71"/>
        <v>Aucune</v>
      </c>
      <c r="BS65" s="250">
        <f t="shared" si="61"/>
        <v>0</v>
      </c>
      <c r="BT65" s="271" t="e">
        <f>VLOOKUP($I65,Lieu_Activité!$A:$B,2,FALSE)</f>
        <v>#N/A</v>
      </c>
      <c r="BU65" s="250" t="str">
        <f t="shared" si="8"/>
        <v>Aucun</v>
      </c>
      <c r="BV65" s="250" t="str">
        <f t="shared" si="9"/>
        <v>Aucun</v>
      </c>
      <c r="BW65" s="249" t="str">
        <f t="shared" si="77"/>
        <v>NON</v>
      </c>
      <c r="BX65" s="330"/>
    </row>
    <row r="66" spans="1:76" ht="12.95" customHeight="1" x14ac:dyDescent="0.2">
      <c r="A66" s="268" t="s">
        <v>209</v>
      </c>
      <c r="B66" s="276"/>
      <c r="C66" s="269"/>
      <c r="D66" s="299"/>
      <c r="E66" s="320">
        <f t="shared" si="73"/>
        <v>0</v>
      </c>
      <c r="F66" s="320" t="str">
        <f t="shared" si="12"/>
        <v xml:space="preserve"> </v>
      </c>
      <c r="G66" s="298"/>
      <c r="H66" s="298"/>
      <c r="I66" s="298"/>
      <c r="J66" s="298"/>
      <c r="K66" s="298"/>
      <c r="L66" s="299"/>
      <c r="M66" s="285"/>
      <c r="N66" s="274"/>
      <c r="O66" s="274"/>
      <c r="P66" s="307" t="str">
        <f>IFERROR(VLOOKUP(O66,Références!$K$11:$N$19,2)," ")</f>
        <v xml:space="preserve"> </v>
      </c>
      <c r="Q66" s="307" t="str">
        <f>IFERROR(VLOOKUP(O66,Références!$K$11:$N$19,3)," ")</f>
        <v xml:space="preserve"> </v>
      </c>
      <c r="R66" s="307" t="str">
        <f>IFERROR(VLOOKUP(O66,Références!$K$11:$N$19,4)," ")</f>
        <v xml:space="preserve"> </v>
      </c>
      <c r="S66" s="298"/>
      <c r="T66" s="298"/>
      <c r="U66" s="298"/>
      <c r="V66" s="298"/>
      <c r="W66" s="298"/>
      <c r="X66" s="299"/>
      <c r="Y66" s="298"/>
      <c r="Z66" s="298"/>
      <c r="AA66" s="298"/>
      <c r="AB66" s="277"/>
      <c r="AC66" s="277"/>
      <c r="AD66" s="316"/>
      <c r="AE66" s="277"/>
      <c r="AF66" s="277"/>
      <c r="AG66" s="277"/>
      <c r="AH66" s="277"/>
      <c r="AI66" s="277">
        <f t="shared" si="64"/>
        <v>0</v>
      </c>
      <c r="AJ66" s="299"/>
      <c r="AK66" s="298">
        <f t="shared" si="78"/>
        <v>0</v>
      </c>
      <c r="AL66" s="299"/>
      <c r="AM66" s="308">
        <f t="shared" si="72"/>
        <v>0</v>
      </c>
      <c r="AN66" s="298"/>
      <c r="AO66" s="318"/>
      <c r="AP66" s="303" t="str">
        <f t="shared" si="16"/>
        <v xml:space="preserve"> </v>
      </c>
      <c r="AQ66" s="298"/>
      <c r="AR66" s="337"/>
      <c r="AS66" s="337"/>
      <c r="AT66" s="305"/>
      <c r="AU66" s="319"/>
      <c r="AV66" s="305"/>
      <c r="AW66" s="272"/>
      <c r="AX66" s="342"/>
      <c r="AY66" s="343"/>
      <c r="AZ66" s="272"/>
      <c r="BA66" s="342" t="s">
        <v>234</v>
      </c>
      <c r="BB66" s="337"/>
      <c r="BC66" s="270">
        <f t="shared" si="65"/>
        <v>0</v>
      </c>
      <c r="BD66" s="270">
        <f t="shared" si="66"/>
        <v>0</v>
      </c>
      <c r="BE66" s="270">
        <f t="shared" ref="BE66:BE129" si="79">IF(AG66="Aucune",0,1)</f>
        <v>1</v>
      </c>
      <c r="BF66" s="270" t="str">
        <f t="shared" si="19"/>
        <v>ALIVE</v>
      </c>
      <c r="BG66" s="250" t="str">
        <f t="shared" ref="BG66:BG129" si="80">IF(AD66="","Aucune","Infection")</f>
        <v>Aucune</v>
      </c>
      <c r="BH66" s="250" t="str">
        <f t="shared" ref="BH66:BH129" si="81">IF(AI66&gt;0,"Transfusion","Aucune")</f>
        <v>Aucune</v>
      </c>
      <c r="BI66" s="250" t="str">
        <f t="shared" ref="BI66:BI129" si="82">IF(AG66="","Aucune","Transfusé")</f>
        <v>Aucune</v>
      </c>
      <c r="BJ66" s="250" t="str">
        <f t="shared" si="74"/>
        <v>NON</v>
      </c>
      <c r="BK66" s="250" t="str">
        <f t="shared" ref="BK66:BK129" si="83">IF(AS66="","NON","OUI")</f>
        <v>NON</v>
      </c>
      <c r="BL66" s="250" t="str">
        <f t="shared" si="75"/>
        <v>Inconnu</v>
      </c>
      <c r="BM66" s="250" t="str">
        <f t="shared" si="67"/>
        <v>Inconnu</v>
      </c>
      <c r="BN66" s="250" t="str">
        <f t="shared" si="68"/>
        <v>Inconnu</v>
      </c>
      <c r="BO66" s="250" t="str">
        <f t="shared" si="76"/>
        <v>Inconnu</v>
      </c>
      <c r="BP66" s="250" t="str">
        <f t="shared" si="69"/>
        <v>Inconnu</v>
      </c>
      <c r="BQ66" s="250" t="str">
        <f t="shared" si="70"/>
        <v>Inconnu</v>
      </c>
      <c r="BR66" s="250" t="str">
        <f t="shared" si="71"/>
        <v>Aucune</v>
      </c>
      <c r="BS66" s="250">
        <f t="shared" ref="BS66:BS97" si="84">AF66+AH66</f>
        <v>0</v>
      </c>
      <c r="BT66" s="271" t="e">
        <f>VLOOKUP($I66,Lieu_Activité!$A:$B,2,FALSE)</f>
        <v>#N/A</v>
      </c>
      <c r="BU66" s="250" t="str">
        <f t="shared" ref="BU66:BU129" si="85">IF(AB66="","Aucun","AVC")</f>
        <v>Aucun</v>
      </c>
      <c r="BV66" s="250" t="str">
        <f t="shared" ref="BV66:BV129" si="86">IF(AC66="","Aucun","IM")</f>
        <v>Aucun</v>
      </c>
      <c r="BW66" s="249" t="str">
        <f t="shared" si="77"/>
        <v>NON</v>
      </c>
      <c r="BX66" s="330"/>
    </row>
    <row r="67" spans="1:76" ht="12.95" customHeight="1" x14ac:dyDescent="0.2">
      <c r="A67" s="268" t="s">
        <v>209</v>
      </c>
      <c r="B67" s="276"/>
      <c r="C67" s="269"/>
      <c r="D67" s="299"/>
      <c r="E67" s="320">
        <f t="shared" si="73"/>
        <v>0</v>
      </c>
      <c r="F67" s="320" t="str">
        <f t="shared" ref="F67:F130" si="87">IF(E67&lt;80," ","1")</f>
        <v xml:space="preserve"> </v>
      </c>
      <c r="G67" s="298"/>
      <c r="H67" s="298"/>
      <c r="I67" s="298"/>
      <c r="J67" s="298"/>
      <c r="K67" s="298"/>
      <c r="L67" s="299"/>
      <c r="M67" s="285"/>
      <c r="N67" s="274"/>
      <c r="O67" s="274"/>
      <c r="P67" s="307" t="str">
        <f>IFERROR(VLOOKUP(O67,Références!$K$11:$N$19,2)," ")</f>
        <v xml:space="preserve"> </v>
      </c>
      <c r="Q67" s="307" t="str">
        <f>IFERROR(VLOOKUP(O67,Références!$K$11:$N$19,3)," ")</f>
        <v xml:space="preserve"> </v>
      </c>
      <c r="R67" s="307" t="str">
        <f>IFERROR(VLOOKUP(O67,Références!$K$11:$N$19,4)," ")</f>
        <v xml:space="preserve"> </v>
      </c>
      <c r="S67" s="298"/>
      <c r="T67" s="298"/>
      <c r="U67" s="298"/>
      <c r="V67" s="298"/>
      <c r="W67" s="298"/>
      <c r="X67" s="299"/>
      <c r="Y67" s="298"/>
      <c r="Z67" s="298"/>
      <c r="AA67" s="298"/>
      <c r="AB67" s="277"/>
      <c r="AC67" s="277"/>
      <c r="AD67" s="277"/>
      <c r="AE67" s="277"/>
      <c r="AF67" s="277"/>
      <c r="AG67" s="277"/>
      <c r="AH67" s="277"/>
      <c r="AI67" s="277">
        <f t="shared" si="64"/>
        <v>0</v>
      </c>
      <c r="AJ67" s="299"/>
      <c r="AK67" s="298">
        <f t="shared" si="78"/>
        <v>0</v>
      </c>
      <c r="AL67" s="299"/>
      <c r="AM67" s="308">
        <f t="shared" si="72"/>
        <v>0</v>
      </c>
      <c r="AN67" s="298"/>
      <c r="AO67" s="318"/>
      <c r="AP67" s="303" t="str">
        <f t="shared" ref="AP67:AP130" si="88">IF(AO67=1,"ELECTIVE",IF(AO67=2,"URGENCY",IF(AO67=3,"EMERGENCY",IF(AO67=4,"SALVAGE"," "))))</f>
        <v xml:space="preserve"> </v>
      </c>
      <c r="AQ67" s="298"/>
      <c r="AR67" s="337"/>
      <c r="AS67" s="337"/>
      <c r="AT67" s="305"/>
      <c r="AU67" s="319"/>
      <c r="AV67" s="305"/>
      <c r="AW67" s="272"/>
      <c r="AX67" s="342"/>
      <c r="AY67" s="343"/>
      <c r="AZ67" s="272"/>
      <c r="BA67" s="342"/>
      <c r="BB67" s="343"/>
      <c r="BC67" s="270">
        <f t="shared" si="65"/>
        <v>0</v>
      </c>
      <c r="BD67" s="270">
        <f t="shared" si="66"/>
        <v>0</v>
      </c>
      <c r="BE67" s="270">
        <f t="shared" si="79"/>
        <v>1</v>
      </c>
      <c r="BF67" s="270" t="str">
        <f t="shared" ref="BF67:BF130" si="89">IF(AO67=1,"ELECTIVE",IF(AO67=2,"URGENCY",IF(AO67=3,"EMERGENCY",IF(AO67=4,"SALVAGE","ALIVE"))))</f>
        <v>ALIVE</v>
      </c>
      <c r="BG67" s="250" t="str">
        <f t="shared" si="80"/>
        <v>Aucune</v>
      </c>
      <c r="BH67" s="250" t="str">
        <f t="shared" si="81"/>
        <v>Aucune</v>
      </c>
      <c r="BI67" s="250" t="str">
        <f t="shared" si="82"/>
        <v>Aucune</v>
      </c>
      <c r="BJ67" s="250" t="str">
        <f t="shared" si="74"/>
        <v>NON</v>
      </c>
      <c r="BK67" s="250" t="str">
        <f t="shared" si="83"/>
        <v>NON</v>
      </c>
      <c r="BL67" s="250" t="str">
        <f t="shared" si="75"/>
        <v>Inconnu</v>
      </c>
      <c r="BM67" s="250" t="str">
        <f t="shared" si="67"/>
        <v>Inconnu</v>
      </c>
      <c r="BN67" s="250" t="str">
        <f t="shared" si="68"/>
        <v>Inconnu</v>
      </c>
      <c r="BO67" s="250" t="str">
        <f t="shared" si="76"/>
        <v>Inconnu</v>
      </c>
      <c r="BP67" s="250" t="str">
        <f t="shared" si="69"/>
        <v>Inconnu</v>
      </c>
      <c r="BQ67" s="250" t="str">
        <f t="shared" si="70"/>
        <v>Inconnu</v>
      </c>
      <c r="BR67" s="250" t="str">
        <f t="shared" si="71"/>
        <v>Aucune</v>
      </c>
      <c r="BS67" s="250">
        <f t="shared" si="84"/>
        <v>0</v>
      </c>
      <c r="BT67" s="271" t="e">
        <f>VLOOKUP($I67,Lieu_Activité!$A:$B,2,FALSE)</f>
        <v>#N/A</v>
      </c>
      <c r="BU67" s="250" t="str">
        <f t="shared" si="85"/>
        <v>Aucun</v>
      </c>
      <c r="BV67" s="250" t="str">
        <f t="shared" si="86"/>
        <v>Aucun</v>
      </c>
      <c r="BW67" s="249" t="str">
        <f t="shared" si="77"/>
        <v>NON</v>
      </c>
      <c r="BX67" s="330"/>
    </row>
    <row r="68" spans="1:76" ht="12.95" customHeight="1" x14ac:dyDescent="0.2">
      <c r="A68" s="268" t="s">
        <v>209</v>
      </c>
      <c r="B68" s="276"/>
      <c r="C68" s="269"/>
      <c r="D68" s="299"/>
      <c r="E68" s="320">
        <f t="shared" si="73"/>
        <v>0</v>
      </c>
      <c r="F68" s="320" t="str">
        <f t="shared" si="87"/>
        <v xml:space="preserve"> </v>
      </c>
      <c r="G68" s="298"/>
      <c r="H68" s="298"/>
      <c r="I68" s="298"/>
      <c r="J68" s="298"/>
      <c r="K68" s="298"/>
      <c r="L68" s="299"/>
      <c r="M68" s="285"/>
      <c r="N68" s="274"/>
      <c r="O68" s="274"/>
      <c r="P68" s="307" t="str">
        <f>IFERROR(VLOOKUP(O68,Références!$K$11:$N$19,2)," ")</f>
        <v xml:space="preserve"> </v>
      </c>
      <c r="Q68" s="307" t="str">
        <f>IFERROR(VLOOKUP(O68,Références!$K$11:$N$19,3)," ")</f>
        <v xml:space="preserve"> </v>
      </c>
      <c r="R68" s="307" t="str">
        <f>IFERROR(VLOOKUP(O68,Références!$K$11:$N$19,4)," ")</f>
        <v xml:space="preserve"> </v>
      </c>
      <c r="S68" s="298"/>
      <c r="T68" s="298"/>
      <c r="U68" s="298"/>
      <c r="V68" s="298"/>
      <c r="W68" s="298"/>
      <c r="X68" s="299"/>
      <c r="Y68" s="298"/>
      <c r="Z68" s="298"/>
      <c r="AA68" s="298"/>
      <c r="AB68" s="277"/>
      <c r="AC68" s="277"/>
      <c r="AD68" s="316"/>
      <c r="AE68" s="277"/>
      <c r="AF68" s="277"/>
      <c r="AG68" s="277"/>
      <c r="AH68" s="277"/>
      <c r="AI68" s="277">
        <f t="shared" si="64"/>
        <v>0</v>
      </c>
      <c r="AJ68" s="299"/>
      <c r="AK68" s="298">
        <f t="shared" si="78"/>
        <v>0</v>
      </c>
      <c r="AL68" s="299"/>
      <c r="AM68" s="308">
        <f t="shared" si="72"/>
        <v>0</v>
      </c>
      <c r="AN68" s="298"/>
      <c r="AO68" s="318"/>
      <c r="AP68" s="303" t="str">
        <f t="shared" si="88"/>
        <v xml:space="preserve"> </v>
      </c>
      <c r="AQ68" s="298"/>
      <c r="AR68" s="337"/>
      <c r="AS68" s="337"/>
      <c r="AT68" s="305"/>
      <c r="AU68" s="319"/>
      <c r="AV68" s="305"/>
      <c r="AW68" s="272"/>
      <c r="AX68" s="342"/>
      <c r="AY68" s="343"/>
      <c r="AZ68" s="272"/>
      <c r="BA68" s="342" t="s">
        <v>234</v>
      </c>
      <c r="BB68" s="337"/>
      <c r="BC68" s="270">
        <f t="shared" si="65"/>
        <v>0</v>
      </c>
      <c r="BD68" s="270">
        <f t="shared" si="66"/>
        <v>0</v>
      </c>
      <c r="BE68" s="270">
        <f t="shared" si="79"/>
        <v>1</v>
      </c>
      <c r="BF68" s="270" t="str">
        <f t="shared" si="89"/>
        <v>ALIVE</v>
      </c>
      <c r="BG68" s="250" t="str">
        <f t="shared" si="80"/>
        <v>Aucune</v>
      </c>
      <c r="BH68" s="250" t="str">
        <f t="shared" si="81"/>
        <v>Aucune</v>
      </c>
      <c r="BI68" s="250" t="str">
        <f t="shared" si="82"/>
        <v>Aucune</v>
      </c>
      <c r="BJ68" s="250" t="str">
        <f t="shared" si="74"/>
        <v>NON</v>
      </c>
      <c r="BK68" s="250" t="str">
        <f t="shared" si="83"/>
        <v>NON</v>
      </c>
      <c r="BL68" s="250" t="str">
        <f t="shared" si="75"/>
        <v>Inconnu</v>
      </c>
      <c r="BM68" s="250" t="str">
        <f t="shared" si="67"/>
        <v>Inconnu</v>
      </c>
      <c r="BN68" s="250" t="str">
        <f t="shared" si="68"/>
        <v>Inconnu</v>
      </c>
      <c r="BO68" s="250" t="str">
        <f t="shared" si="76"/>
        <v>Inconnu</v>
      </c>
      <c r="BP68" s="250" t="str">
        <f t="shared" si="69"/>
        <v>Inconnu</v>
      </c>
      <c r="BQ68" s="250" t="str">
        <f t="shared" si="70"/>
        <v>Inconnu</v>
      </c>
      <c r="BR68" s="250" t="str">
        <f t="shared" si="71"/>
        <v>Aucune</v>
      </c>
      <c r="BS68" s="250">
        <f t="shared" si="84"/>
        <v>0</v>
      </c>
      <c r="BT68" s="271" t="e">
        <f>VLOOKUP($I68,Lieu_Activité!$A:$B,2,FALSE)</f>
        <v>#N/A</v>
      </c>
      <c r="BU68" s="250" t="str">
        <f t="shared" si="85"/>
        <v>Aucun</v>
      </c>
      <c r="BV68" s="250" t="str">
        <f t="shared" si="86"/>
        <v>Aucun</v>
      </c>
      <c r="BW68" s="249" t="str">
        <f t="shared" si="77"/>
        <v>NON</v>
      </c>
      <c r="BX68" s="330"/>
    </row>
    <row r="69" spans="1:76" ht="12.95" customHeight="1" x14ac:dyDescent="0.2">
      <c r="A69" s="268" t="s">
        <v>209</v>
      </c>
      <c r="B69" s="276"/>
      <c r="C69" s="269"/>
      <c r="D69" s="299"/>
      <c r="E69" s="320">
        <f t="shared" si="73"/>
        <v>0</v>
      </c>
      <c r="F69" s="320" t="str">
        <f t="shared" si="87"/>
        <v xml:space="preserve"> </v>
      </c>
      <c r="G69" s="298"/>
      <c r="H69" s="298"/>
      <c r="I69" s="298"/>
      <c r="J69" s="298"/>
      <c r="K69" s="298"/>
      <c r="L69" s="299"/>
      <c r="M69" s="285"/>
      <c r="N69" s="274"/>
      <c r="O69" s="274"/>
      <c r="P69" s="307" t="str">
        <f>IFERROR(VLOOKUP(O69,Références!$K$11:$N$19,2)," ")</f>
        <v xml:space="preserve"> </v>
      </c>
      <c r="Q69" s="307" t="str">
        <f>IFERROR(VLOOKUP(O69,Références!$K$11:$N$19,3)," ")</f>
        <v xml:space="preserve"> </v>
      </c>
      <c r="R69" s="307" t="str">
        <f>IFERROR(VLOOKUP(O69,Références!$K$11:$N$19,4)," ")</f>
        <v xml:space="preserve"> </v>
      </c>
      <c r="S69" s="298"/>
      <c r="T69" s="298"/>
      <c r="U69" s="298"/>
      <c r="V69" s="298"/>
      <c r="W69" s="298"/>
      <c r="X69" s="299"/>
      <c r="Y69" s="298"/>
      <c r="Z69" s="298"/>
      <c r="AA69" s="298"/>
      <c r="AB69" s="277"/>
      <c r="AC69" s="277"/>
      <c r="AD69" s="277"/>
      <c r="AE69" s="277"/>
      <c r="AF69" s="277"/>
      <c r="AG69" s="277"/>
      <c r="AH69" s="277"/>
      <c r="AI69" s="277">
        <f t="shared" si="64"/>
        <v>0</v>
      </c>
      <c r="AJ69" s="299"/>
      <c r="AK69" s="298">
        <f t="shared" si="78"/>
        <v>0</v>
      </c>
      <c r="AL69" s="299"/>
      <c r="AM69" s="308">
        <f t="shared" si="72"/>
        <v>0</v>
      </c>
      <c r="AN69" s="298"/>
      <c r="AO69" s="318"/>
      <c r="AP69" s="303" t="str">
        <f t="shared" si="88"/>
        <v xml:space="preserve"> </v>
      </c>
      <c r="AQ69" s="298"/>
      <c r="AR69" s="337"/>
      <c r="AS69" s="337"/>
      <c r="AT69" s="305"/>
      <c r="AU69" s="319"/>
      <c r="AV69" s="305"/>
      <c r="AW69" s="272"/>
      <c r="AX69" s="342"/>
      <c r="AY69" s="343"/>
      <c r="AZ69" s="272"/>
      <c r="BA69" s="342" t="s">
        <v>234</v>
      </c>
      <c r="BB69" s="337"/>
      <c r="BC69" s="270">
        <f t="shared" si="65"/>
        <v>0</v>
      </c>
      <c r="BD69" s="270">
        <f t="shared" si="66"/>
        <v>0</v>
      </c>
      <c r="BE69" s="270">
        <f t="shared" si="79"/>
        <v>1</v>
      </c>
      <c r="BF69" s="270" t="str">
        <f t="shared" si="89"/>
        <v>ALIVE</v>
      </c>
      <c r="BG69" s="250" t="str">
        <f t="shared" si="80"/>
        <v>Aucune</v>
      </c>
      <c r="BH69" s="250" t="str">
        <f t="shared" si="81"/>
        <v>Aucune</v>
      </c>
      <c r="BI69" s="250" t="str">
        <f t="shared" si="82"/>
        <v>Aucune</v>
      </c>
      <c r="BJ69" s="250" t="str">
        <f t="shared" si="74"/>
        <v>NON</v>
      </c>
      <c r="BK69" s="250" t="str">
        <f t="shared" si="83"/>
        <v>NON</v>
      </c>
      <c r="BL69" s="250" t="str">
        <f t="shared" si="75"/>
        <v>Inconnu</v>
      </c>
      <c r="BM69" s="250" t="str">
        <f t="shared" si="67"/>
        <v>Inconnu</v>
      </c>
      <c r="BN69" s="250" t="str">
        <f t="shared" si="68"/>
        <v>Inconnu</v>
      </c>
      <c r="BO69" s="250" t="str">
        <f t="shared" si="76"/>
        <v>Inconnu</v>
      </c>
      <c r="BP69" s="250" t="str">
        <f t="shared" si="69"/>
        <v>Inconnu</v>
      </c>
      <c r="BQ69" s="250" t="str">
        <f t="shared" si="70"/>
        <v>Inconnu</v>
      </c>
      <c r="BR69" s="250" t="str">
        <f t="shared" si="71"/>
        <v>Aucune</v>
      </c>
      <c r="BS69" s="250">
        <f t="shared" si="84"/>
        <v>0</v>
      </c>
      <c r="BT69" s="271" t="e">
        <f>VLOOKUP($I69,Lieu_Activité!$A:$B,2,FALSE)</f>
        <v>#N/A</v>
      </c>
      <c r="BU69" s="250" t="str">
        <f t="shared" si="85"/>
        <v>Aucun</v>
      </c>
      <c r="BV69" s="250" t="str">
        <f t="shared" si="86"/>
        <v>Aucun</v>
      </c>
      <c r="BW69" s="249" t="str">
        <f t="shared" si="77"/>
        <v>NON</v>
      </c>
      <c r="BX69" s="330"/>
    </row>
    <row r="70" spans="1:76" ht="12.95" customHeight="1" x14ac:dyDescent="0.2">
      <c r="A70" s="268" t="s">
        <v>209</v>
      </c>
      <c r="B70" s="276"/>
      <c r="C70" s="269"/>
      <c r="D70" s="299"/>
      <c r="E70" s="320">
        <f t="shared" si="73"/>
        <v>0</v>
      </c>
      <c r="F70" s="320" t="str">
        <f t="shared" si="87"/>
        <v xml:space="preserve"> </v>
      </c>
      <c r="G70" s="298"/>
      <c r="H70" s="298"/>
      <c r="I70" s="298"/>
      <c r="J70" s="298"/>
      <c r="K70" s="298"/>
      <c r="L70" s="299"/>
      <c r="M70" s="285"/>
      <c r="N70" s="274"/>
      <c r="O70" s="274"/>
      <c r="P70" s="307" t="str">
        <f>IFERROR(VLOOKUP(O70,Références!$K$11:$N$19,2)," ")</f>
        <v xml:space="preserve"> </v>
      </c>
      <c r="Q70" s="307" t="str">
        <f>IFERROR(VLOOKUP(O70,Références!$K$11:$N$19,3)," ")</f>
        <v xml:space="preserve"> </v>
      </c>
      <c r="R70" s="307" t="str">
        <f>IFERROR(VLOOKUP(O70,Références!$K$11:$N$19,4)," ")</f>
        <v xml:space="preserve"> </v>
      </c>
      <c r="S70" s="298"/>
      <c r="T70" s="298"/>
      <c r="U70" s="298"/>
      <c r="V70" s="298"/>
      <c r="W70" s="298"/>
      <c r="X70" s="299"/>
      <c r="Y70" s="298"/>
      <c r="Z70" s="298"/>
      <c r="AA70" s="298"/>
      <c r="AB70" s="277"/>
      <c r="AC70" s="277"/>
      <c r="AD70" s="277"/>
      <c r="AE70" s="277"/>
      <c r="AF70" s="277"/>
      <c r="AG70" s="277"/>
      <c r="AH70" s="277"/>
      <c r="AI70" s="277">
        <f t="shared" si="64"/>
        <v>0</v>
      </c>
      <c r="AJ70" s="299"/>
      <c r="AK70" s="298">
        <f t="shared" si="78"/>
        <v>0</v>
      </c>
      <c r="AL70" s="299"/>
      <c r="AM70" s="308">
        <f t="shared" si="72"/>
        <v>0</v>
      </c>
      <c r="AN70" s="298"/>
      <c r="AO70" s="318"/>
      <c r="AP70" s="303" t="str">
        <f t="shared" si="88"/>
        <v xml:space="preserve"> </v>
      </c>
      <c r="AQ70" s="298"/>
      <c r="AR70" s="337"/>
      <c r="AS70" s="337"/>
      <c r="AT70" s="305"/>
      <c r="AU70" s="319"/>
      <c r="AV70" s="305"/>
      <c r="AW70" s="272"/>
      <c r="AX70" s="342"/>
      <c r="AY70" s="343"/>
      <c r="AZ70" s="272"/>
      <c r="BA70" s="342" t="s">
        <v>234</v>
      </c>
      <c r="BB70" s="337"/>
      <c r="BC70" s="270">
        <f t="shared" si="65"/>
        <v>0</v>
      </c>
      <c r="BD70" s="270">
        <f t="shared" si="66"/>
        <v>0</v>
      </c>
      <c r="BE70" s="270">
        <f t="shared" si="79"/>
        <v>1</v>
      </c>
      <c r="BF70" s="270" t="str">
        <f t="shared" si="89"/>
        <v>ALIVE</v>
      </c>
      <c r="BG70" s="250" t="str">
        <f t="shared" si="80"/>
        <v>Aucune</v>
      </c>
      <c r="BH70" s="250" t="str">
        <f t="shared" si="81"/>
        <v>Aucune</v>
      </c>
      <c r="BI70" s="250" t="str">
        <f t="shared" si="82"/>
        <v>Aucune</v>
      </c>
      <c r="BJ70" s="250" t="str">
        <f t="shared" si="74"/>
        <v>NON</v>
      </c>
      <c r="BK70" s="250" t="str">
        <f t="shared" si="83"/>
        <v>NON</v>
      </c>
      <c r="BL70" s="250" t="str">
        <f t="shared" si="75"/>
        <v>Inconnu</v>
      </c>
      <c r="BM70" s="250" t="str">
        <f t="shared" si="67"/>
        <v>Inconnu</v>
      </c>
      <c r="BN70" s="250" t="str">
        <f t="shared" si="68"/>
        <v>Inconnu</v>
      </c>
      <c r="BO70" s="250" t="str">
        <f t="shared" si="76"/>
        <v>Inconnu</v>
      </c>
      <c r="BP70" s="250" t="str">
        <f t="shared" si="69"/>
        <v>Inconnu</v>
      </c>
      <c r="BQ70" s="250" t="str">
        <f t="shared" si="70"/>
        <v>Inconnu</v>
      </c>
      <c r="BR70" s="250" t="str">
        <f t="shared" si="71"/>
        <v>Aucune</v>
      </c>
      <c r="BS70" s="250">
        <f t="shared" si="84"/>
        <v>0</v>
      </c>
      <c r="BT70" s="271" t="e">
        <f>VLOOKUP($I70,Lieu_Activité!$A:$B,2,FALSE)</f>
        <v>#N/A</v>
      </c>
      <c r="BU70" s="250" t="str">
        <f t="shared" si="85"/>
        <v>Aucun</v>
      </c>
      <c r="BV70" s="250" t="str">
        <f t="shared" si="86"/>
        <v>Aucun</v>
      </c>
      <c r="BW70" s="249" t="str">
        <f t="shared" si="77"/>
        <v>NON</v>
      </c>
      <c r="BX70" s="330"/>
    </row>
    <row r="71" spans="1:76" ht="12.95" customHeight="1" x14ac:dyDescent="0.2">
      <c r="A71" s="268" t="s">
        <v>209</v>
      </c>
      <c r="B71" s="276"/>
      <c r="C71" s="269"/>
      <c r="D71" s="299"/>
      <c r="E71" s="320">
        <f t="shared" si="73"/>
        <v>0</v>
      </c>
      <c r="F71" s="320" t="str">
        <f t="shared" si="87"/>
        <v xml:space="preserve"> </v>
      </c>
      <c r="G71" s="298"/>
      <c r="H71" s="298"/>
      <c r="I71" s="298"/>
      <c r="J71" s="298"/>
      <c r="K71" s="298"/>
      <c r="L71" s="299"/>
      <c r="M71" s="285"/>
      <c r="N71" s="274"/>
      <c r="O71" s="274"/>
      <c r="P71" s="307" t="str">
        <f>IFERROR(VLOOKUP(O71,Références!$K$11:$N$19,2)," ")</f>
        <v xml:space="preserve"> </v>
      </c>
      <c r="Q71" s="307" t="str">
        <f>IFERROR(VLOOKUP(O71,Références!$K$11:$N$19,3)," ")</f>
        <v xml:space="preserve"> </v>
      </c>
      <c r="R71" s="307" t="str">
        <f>IFERROR(VLOOKUP(O71,Références!$K$11:$N$19,4)," ")</f>
        <v xml:space="preserve"> </v>
      </c>
      <c r="S71" s="298"/>
      <c r="T71" s="298"/>
      <c r="U71" s="298"/>
      <c r="V71" s="298"/>
      <c r="W71" s="298"/>
      <c r="X71" s="299"/>
      <c r="Y71" s="298"/>
      <c r="Z71" s="298"/>
      <c r="AA71" s="298"/>
      <c r="AB71" s="277"/>
      <c r="AC71" s="277"/>
      <c r="AD71" s="277"/>
      <c r="AE71" s="277"/>
      <c r="AF71" s="277"/>
      <c r="AG71" s="277"/>
      <c r="AH71" s="277"/>
      <c r="AI71" s="277">
        <f t="shared" si="64"/>
        <v>0</v>
      </c>
      <c r="AJ71" s="299"/>
      <c r="AK71" s="298">
        <f t="shared" si="78"/>
        <v>0</v>
      </c>
      <c r="AL71" s="299"/>
      <c r="AM71" s="308">
        <f t="shared" si="72"/>
        <v>0</v>
      </c>
      <c r="AN71" s="298"/>
      <c r="AO71" s="318"/>
      <c r="AP71" s="303" t="str">
        <f t="shared" si="88"/>
        <v xml:space="preserve"> </v>
      </c>
      <c r="AQ71" s="298"/>
      <c r="AR71" s="337"/>
      <c r="AS71" s="337"/>
      <c r="AT71" s="305"/>
      <c r="AU71" s="319"/>
      <c r="AV71" s="305"/>
      <c r="AW71" s="272"/>
      <c r="AX71" s="342"/>
      <c r="AY71" s="343"/>
      <c r="AZ71" s="272"/>
      <c r="BA71" s="342" t="s">
        <v>234</v>
      </c>
      <c r="BB71" s="337"/>
      <c r="BC71" s="270">
        <f t="shared" si="65"/>
        <v>0</v>
      </c>
      <c r="BD71" s="270">
        <f t="shared" si="66"/>
        <v>0</v>
      </c>
      <c r="BE71" s="270">
        <f t="shared" si="79"/>
        <v>1</v>
      </c>
      <c r="BF71" s="270" t="str">
        <f t="shared" si="89"/>
        <v>ALIVE</v>
      </c>
      <c r="BG71" s="250" t="str">
        <f t="shared" si="80"/>
        <v>Aucune</v>
      </c>
      <c r="BH71" s="250" t="str">
        <f t="shared" si="81"/>
        <v>Aucune</v>
      </c>
      <c r="BI71" s="250" t="str">
        <f t="shared" si="82"/>
        <v>Aucune</v>
      </c>
      <c r="BJ71" s="250" t="str">
        <f t="shared" si="74"/>
        <v>NON</v>
      </c>
      <c r="BK71" s="250" t="str">
        <f t="shared" si="83"/>
        <v>NON</v>
      </c>
      <c r="BL71" s="250" t="str">
        <f t="shared" si="75"/>
        <v>Inconnu</v>
      </c>
      <c r="BM71" s="250" t="str">
        <f t="shared" si="67"/>
        <v>Inconnu</v>
      </c>
      <c r="BN71" s="250" t="str">
        <f t="shared" si="68"/>
        <v>Inconnu</v>
      </c>
      <c r="BO71" s="250" t="str">
        <f t="shared" si="76"/>
        <v>Inconnu</v>
      </c>
      <c r="BP71" s="250" t="str">
        <f t="shared" si="69"/>
        <v>Inconnu</v>
      </c>
      <c r="BQ71" s="250" t="str">
        <f t="shared" si="70"/>
        <v>Inconnu</v>
      </c>
      <c r="BR71" s="250" t="str">
        <f t="shared" si="71"/>
        <v>Aucune</v>
      </c>
      <c r="BS71" s="250">
        <f t="shared" si="84"/>
        <v>0</v>
      </c>
      <c r="BT71" s="271" t="e">
        <f>VLOOKUP($I71,Lieu_Activité!$A:$B,2,FALSE)</f>
        <v>#N/A</v>
      </c>
      <c r="BU71" s="250" t="str">
        <f t="shared" si="85"/>
        <v>Aucun</v>
      </c>
      <c r="BV71" s="250" t="str">
        <f t="shared" si="86"/>
        <v>Aucun</v>
      </c>
      <c r="BW71" s="249" t="str">
        <f t="shared" si="77"/>
        <v>NON</v>
      </c>
      <c r="BX71" s="330"/>
    </row>
    <row r="72" spans="1:76" ht="12.95" customHeight="1" x14ac:dyDescent="0.2">
      <c r="A72" s="268" t="s">
        <v>209</v>
      </c>
      <c r="B72" s="309"/>
      <c r="C72" s="269"/>
      <c r="D72" s="299"/>
      <c r="E72" s="320">
        <f t="shared" si="73"/>
        <v>0</v>
      </c>
      <c r="F72" s="320" t="str">
        <f t="shared" si="87"/>
        <v xml:space="preserve"> </v>
      </c>
      <c r="G72" s="298"/>
      <c r="H72" s="298"/>
      <c r="I72" s="298"/>
      <c r="J72" s="298"/>
      <c r="K72" s="298"/>
      <c r="L72" s="299"/>
      <c r="M72" s="285"/>
      <c r="N72" s="274"/>
      <c r="O72" s="274"/>
      <c r="P72" s="307" t="str">
        <f>IFERROR(VLOOKUP(O72,Références!$K$11:$N$19,2)," ")</f>
        <v xml:space="preserve"> </v>
      </c>
      <c r="Q72" s="307" t="str">
        <f>IFERROR(VLOOKUP(O72,Références!$K$11:$N$19,3)," ")</f>
        <v xml:space="preserve"> </v>
      </c>
      <c r="R72" s="307" t="str">
        <f>IFERROR(VLOOKUP(O72,Références!$K$11:$N$19,4)," ")</f>
        <v xml:space="preserve"> </v>
      </c>
      <c r="S72" s="298"/>
      <c r="T72" s="298"/>
      <c r="U72" s="298"/>
      <c r="V72" s="298"/>
      <c r="W72" s="298"/>
      <c r="X72" s="299"/>
      <c r="Y72" s="298"/>
      <c r="Z72" s="298"/>
      <c r="AA72" s="298"/>
      <c r="AB72" s="277"/>
      <c r="AC72" s="277"/>
      <c r="AD72" s="277"/>
      <c r="AE72" s="277"/>
      <c r="AF72" s="277"/>
      <c r="AG72" s="277"/>
      <c r="AH72" s="277"/>
      <c r="AI72" s="277">
        <f t="shared" si="64"/>
        <v>0</v>
      </c>
      <c r="AJ72" s="299"/>
      <c r="AK72" s="298">
        <f t="shared" si="78"/>
        <v>0</v>
      </c>
      <c r="AL72" s="299"/>
      <c r="AM72" s="308">
        <f t="shared" si="72"/>
        <v>0</v>
      </c>
      <c r="AN72" s="298"/>
      <c r="AO72" s="318"/>
      <c r="AP72" s="303" t="str">
        <f t="shared" si="88"/>
        <v xml:space="preserve"> </v>
      </c>
      <c r="AQ72" s="298"/>
      <c r="AR72" s="337"/>
      <c r="AS72" s="337"/>
      <c r="AT72" s="305"/>
      <c r="AU72" s="319"/>
      <c r="AV72" s="305"/>
      <c r="AW72" s="272"/>
      <c r="AX72" s="342"/>
      <c r="AY72" s="343"/>
      <c r="AZ72" s="272"/>
      <c r="BA72" s="342"/>
      <c r="BB72" s="337"/>
      <c r="BC72" s="270">
        <f t="shared" si="65"/>
        <v>0</v>
      </c>
      <c r="BD72" s="270">
        <f t="shared" si="66"/>
        <v>0</v>
      </c>
      <c r="BE72" s="270">
        <f t="shared" si="79"/>
        <v>1</v>
      </c>
      <c r="BF72" s="270" t="str">
        <f t="shared" si="89"/>
        <v>ALIVE</v>
      </c>
      <c r="BG72" s="250" t="str">
        <f t="shared" si="80"/>
        <v>Aucune</v>
      </c>
      <c r="BH72" s="250" t="str">
        <f t="shared" si="81"/>
        <v>Aucune</v>
      </c>
      <c r="BI72" s="250" t="str">
        <f t="shared" si="82"/>
        <v>Aucune</v>
      </c>
      <c r="BJ72" s="250" t="str">
        <f t="shared" si="74"/>
        <v>NON</v>
      </c>
      <c r="BK72" s="250" t="str">
        <f t="shared" si="83"/>
        <v>NON</v>
      </c>
      <c r="BL72" s="250" t="str">
        <f t="shared" si="75"/>
        <v>Inconnu</v>
      </c>
      <c r="BM72" s="250" t="str">
        <f t="shared" si="67"/>
        <v>Inconnu</v>
      </c>
      <c r="BN72" s="250" t="str">
        <f t="shared" si="68"/>
        <v>Inconnu</v>
      </c>
      <c r="BO72" s="250" t="str">
        <f t="shared" si="76"/>
        <v>Inconnu</v>
      </c>
      <c r="BP72" s="250" t="str">
        <f t="shared" si="69"/>
        <v>Inconnu</v>
      </c>
      <c r="BQ72" s="250" t="str">
        <f t="shared" si="70"/>
        <v>Inconnu</v>
      </c>
      <c r="BR72" s="250" t="str">
        <f t="shared" si="71"/>
        <v>Aucune</v>
      </c>
      <c r="BS72" s="250">
        <f t="shared" si="84"/>
        <v>0</v>
      </c>
      <c r="BT72" s="271" t="e">
        <f>VLOOKUP($I72,Lieu_Activité!$A:$B,2,FALSE)</f>
        <v>#N/A</v>
      </c>
      <c r="BU72" s="250" t="str">
        <f t="shared" si="85"/>
        <v>Aucun</v>
      </c>
      <c r="BV72" s="250" t="str">
        <f t="shared" si="86"/>
        <v>Aucun</v>
      </c>
      <c r="BW72" s="249" t="str">
        <f t="shared" si="77"/>
        <v>NON</v>
      </c>
      <c r="BX72" s="330"/>
    </row>
    <row r="73" spans="1:76" ht="12.95" customHeight="1" x14ac:dyDescent="0.2">
      <c r="A73" s="268" t="s">
        <v>209</v>
      </c>
      <c r="B73" s="276"/>
      <c r="C73" s="269"/>
      <c r="D73" s="299"/>
      <c r="E73" s="320">
        <f t="shared" si="73"/>
        <v>0</v>
      </c>
      <c r="F73" s="320" t="str">
        <f t="shared" si="87"/>
        <v xml:space="preserve"> </v>
      </c>
      <c r="G73" s="298"/>
      <c r="H73" s="298"/>
      <c r="I73" s="298"/>
      <c r="J73" s="298"/>
      <c r="K73" s="298"/>
      <c r="L73" s="299"/>
      <c r="M73" s="285"/>
      <c r="N73" s="274"/>
      <c r="O73" s="274"/>
      <c r="P73" s="307" t="str">
        <f>IFERROR(VLOOKUP(O73,Références!$K$11:$N$19,2)," ")</f>
        <v xml:space="preserve"> </v>
      </c>
      <c r="Q73" s="307" t="str">
        <f>IFERROR(VLOOKUP(O73,Références!$K$11:$N$19,3)," ")</f>
        <v xml:space="preserve"> </v>
      </c>
      <c r="R73" s="307" t="str">
        <f>IFERROR(VLOOKUP(O73,Références!$K$11:$N$19,4)," ")</f>
        <v xml:space="preserve"> </v>
      </c>
      <c r="S73" s="298"/>
      <c r="T73" s="298"/>
      <c r="U73" s="298"/>
      <c r="V73" s="298"/>
      <c r="W73" s="298"/>
      <c r="X73" s="299"/>
      <c r="Y73" s="298"/>
      <c r="Z73" s="298"/>
      <c r="AA73" s="298"/>
      <c r="AB73" s="277"/>
      <c r="AC73" s="277"/>
      <c r="AD73" s="277"/>
      <c r="AE73" s="277"/>
      <c r="AF73" s="277"/>
      <c r="AG73" s="277"/>
      <c r="AH73" s="277"/>
      <c r="AI73" s="277">
        <f t="shared" si="64"/>
        <v>0</v>
      </c>
      <c r="AJ73" s="299"/>
      <c r="AK73" s="298">
        <f t="shared" si="78"/>
        <v>0</v>
      </c>
      <c r="AL73" s="299"/>
      <c r="AM73" s="308">
        <f t="shared" si="72"/>
        <v>0</v>
      </c>
      <c r="AN73" s="298"/>
      <c r="AO73" s="318"/>
      <c r="AP73" s="303" t="str">
        <f t="shared" si="88"/>
        <v xml:space="preserve"> </v>
      </c>
      <c r="AQ73" s="298"/>
      <c r="AR73" s="337"/>
      <c r="AS73" s="337"/>
      <c r="AT73" s="305"/>
      <c r="AU73" s="319"/>
      <c r="AV73" s="305"/>
      <c r="AW73" s="272"/>
      <c r="AX73" s="342"/>
      <c r="AY73" s="343"/>
      <c r="AZ73" s="272"/>
      <c r="BA73" s="342" t="s">
        <v>234</v>
      </c>
      <c r="BB73" s="337"/>
      <c r="BC73" s="270">
        <f t="shared" si="65"/>
        <v>0</v>
      </c>
      <c r="BD73" s="270">
        <f t="shared" si="66"/>
        <v>0</v>
      </c>
      <c r="BE73" s="270">
        <f t="shared" si="79"/>
        <v>1</v>
      </c>
      <c r="BF73" s="270" t="str">
        <f t="shared" si="89"/>
        <v>ALIVE</v>
      </c>
      <c r="BG73" s="250" t="str">
        <f t="shared" si="80"/>
        <v>Aucune</v>
      </c>
      <c r="BH73" s="250" t="str">
        <f t="shared" si="81"/>
        <v>Aucune</v>
      </c>
      <c r="BI73" s="250" t="str">
        <f t="shared" si="82"/>
        <v>Aucune</v>
      </c>
      <c r="BJ73" s="250" t="str">
        <f t="shared" si="74"/>
        <v>NON</v>
      </c>
      <c r="BK73" s="250" t="str">
        <f t="shared" si="83"/>
        <v>NON</v>
      </c>
      <c r="BL73" s="250" t="str">
        <f t="shared" si="75"/>
        <v>Inconnu</v>
      </c>
      <c r="BM73" s="250" t="str">
        <f t="shared" si="67"/>
        <v>Inconnu</v>
      </c>
      <c r="BN73" s="250" t="str">
        <f t="shared" si="68"/>
        <v>Inconnu</v>
      </c>
      <c r="BO73" s="250" t="str">
        <f t="shared" si="76"/>
        <v>Inconnu</v>
      </c>
      <c r="BP73" s="250" t="str">
        <f t="shared" si="69"/>
        <v>Inconnu</v>
      </c>
      <c r="BQ73" s="250" t="str">
        <f t="shared" si="70"/>
        <v>Inconnu</v>
      </c>
      <c r="BR73" s="250" t="str">
        <f t="shared" si="71"/>
        <v>Aucune</v>
      </c>
      <c r="BS73" s="250">
        <f t="shared" si="84"/>
        <v>0</v>
      </c>
      <c r="BT73" s="271" t="e">
        <f>VLOOKUP($I73,Lieu_Activité!$A:$B,2,FALSE)</f>
        <v>#N/A</v>
      </c>
      <c r="BU73" s="250" t="str">
        <f t="shared" si="85"/>
        <v>Aucun</v>
      </c>
      <c r="BV73" s="250" t="str">
        <f t="shared" si="86"/>
        <v>Aucun</v>
      </c>
      <c r="BW73" s="249" t="str">
        <f t="shared" si="77"/>
        <v>NON</v>
      </c>
      <c r="BX73" s="330"/>
    </row>
    <row r="74" spans="1:76" ht="12.95" customHeight="1" x14ac:dyDescent="0.2">
      <c r="A74" s="268" t="s">
        <v>209</v>
      </c>
      <c r="B74" s="276"/>
      <c r="C74" s="269"/>
      <c r="D74" s="299"/>
      <c r="E74" s="320">
        <f t="shared" si="73"/>
        <v>0</v>
      </c>
      <c r="F74" s="320" t="str">
        <f t="shared" si="87"/>
        <v xml:space="preserve"> </v>
      </c>
      <c r="G74" s="298"/>
      <c r="H74" s="298"/>
      <c r="I74" s="298"/>
      <c r="J74" s="298"/>
      <c r="K74" s="298"/>
      <c r="L74" s="299"/>
      <c r="M74" s="285"/>
      <c r="N74" s="274"/>
      <c r="O74" s="274"/>
      <c r="P74" s="307" t="str">
        <f>IFERROR(VLOOKUP(O74,Références!$K$11:$N$19,2)," ")</f>
        <v xml:space="preserve"> </v>
      </c>
      <c r="Q74" s="307" t="str">
        <f>IFERROR(VLOOKUP(O74,Références!$K$11:$N$19,3)," ")</f>
        <v xml:space="preserve"> </v>
      </c>
      <c r="R74" s="307" t="str">
        <f>IFERROR(VLOOKUP(O74,Références!$K$11:$N$19,4)," ")</f>
        <v xml:space="preserve"> </v>
      </c>
      <c r="S74" s="298"/>
      <c r="T74" s="298"/>
      <c r="U74" s="298"/>
      <c r="V74" s="298"/>
      <c r="W74" s="298"/>
      <c r="X74" s="299"/>
      <c r="Y74" s="298"/>
      <c r="Z74" s="298"/>
      <c r="AA74" s="298"/>
      <c r="AB74" s="277"/>
      <c r="AC74" s="277"/>
      <c r="AD74" s="277"/>
      <c r="AE74" s="277"/>
      <c r="AF74" s="277"/>
      <c r="AG74" s="277"/>
      <c r="AH74" s="277"/>
      <c r="AI74" s="277">
        <f t="shared" si="64"/>
        <v>0</v>
      </c>
      <c r="AJ74" s="299"/>
      <c r="AK74" s="298">
        <f t="shared" si="78"/>
        <v>0</v>
      </c>
      <c r="AL74" s="299"/>
      <c r="AM74" s="308">
        <f t="shared" si="72"/>
        <v>0</v>
      </c>
      <c r="AN74" s="298"/>
      <c r="AO74" s="318"/>
      <c r="AP74" s="303" t="str">
        <f t="shared" si="88"/>
        <v xml:space="preserve"> </v>
      </c>
      <c r="AQ74" s="298"/>
      <c r="AR74" s="338"/>
      <c r="AS74" s="337"/>
      <c r="AT74" s="305"/>
      <c r="AU74" s="319"/>
      <c r="AV74" s="305"/>
      <c r="AW74" s="272"/>
      <c r="AX74" s="342"/>
      <c r="AY74" s="343"/>
      <c r="AZ74" s="272"/>
      <c r="BA74" s="342" t="s">
        <v>234</v>
      </c>
      <c r="BB74" s="337"/>
      <c r="BC74" s="270">
        <f t="shared" si="65"/>
        <v>0</v>
      </c>
      <c r="BD74" s="270">
        <f t="shared" si="66"/>
        <v>0</v>
      </c>
      <c r="BE74" s="270">
        <f t="shared" si="79"/>
        <v>1</v>
      </c>
      <c r="BF74" s="270" t="str">
        <f t="shared" si="89"/>
        <v>ALIVE</v>
      </c>
      <c r="BG74" s="250" t="str">
        <f t="shared" si="80"/>
        <v>Aucune</v>
      </c>
      <c r="BH74" s="250" t="str">
        <f t="shared" si="81"/>
        <v>Aucune</v>
      </c>
      <c r="BI74" s="250" t="str">
        <f t="shared" si="82"/>
        <v>Aucune</v>
      </c>
      <c r="BJ74" s="250" t="str">
        <f t="shared" si="74"/>
        <v>NON</v>
      </c>
      <c r="BK74" s="250" t="str">
        <f t="shared" si="83"/>
        <v>NON</v>
      </c>
      <c r="BL74" s="250" t="str">
        <f t="shared" si="75"/>
        <v>Inconnu</v>
      </c>
      <c r="BM74" s="250" t="str">
        <f t="shared" si="67"/>
        <v>Inconnu</v>
      </c>
      <c r="BN74" s="250" t="str">
        <f t="shared" si="68"/>
        <v>Inconnu</v>
      </c>
      <c r="BO74" s="250" t="str">
        <f t="shared" si="76"/>
        <v>Inconnu</v>
      </c>
      <c r="BP74" s="250" t="str">
        <f t="shared" si="69"/>
        <v>Inconnu</v>
      </c>
      <c r="BQ74" s="250" t="str">
        <f t="shared" si="70"/>
        <v>Inconnu</v>
      </c>
      <c r="BR74" s="250" t="str">
        <f t="shared" si="71"/>
        <v>Aucune</v>
      </c>
      <c r="BS74" s="250">
        <f t="shared" si="84"/>
        <v>0</v>
      </c>
      <c r="BT74" s="271" t="e">
        <f>VLOOKUP($I74,Lieu_Activité!$A:$B,2,FALSE)</f>
        <v>#N/A</v>
      </c>
      <c r="BU74" s="250" t="str">
        <f t="shared" si="85"/>
        <v>Aucun</v>
      </c>
      <c r="BV74" s="250" t="str">
        <f t="shared" si="86"/>
        <v>Aucun</v>
      </c>
      <c r="BW74" s="249" t="str">
        <f t="shared" si="77"/>
        <v>NON</v>
      </c>
      <c r="BX74" s="330"/>
    </row>
    <row r="75" spans="1:76" ht="12.95" customHeight="1" x14ac:dyDescent="0.2">
      <c r="A75" s="268" t="s">
        <v>209</v>
      </c>
      <c r="B75" s="276"/>
      <c r="C75" s="269"/>
      <c r="D75" s="299"/>
      <c r="E75" s="320">
        <f t="shared" si="73"/>
        <v>0</v>
      </c>
      <c r="F75" s="320" t="str">
        <f t="shared" si="87"/>
        <v xml:space="preserve"> </v>
      </c>
      <c r="G75" s="298"/>
      <c r="H75" s="298"/>
      <c r="I75" s="298"/>
      <c r="J75" s="298"/>
      <c r="K75" s="298"/>
      <c r="L75" s="299"/>
      <c r="M75" s="285"/>
      <c r="N75" s="274"/>
      <c r="O75" s="274"/>
      <c r="P75" s="307" t="str">
        <f>IFERROR(VLOOKUP(O75,Références!$K$11:$N$19,2)," ")</f>
        <v xml:space="preserve"> </v>
      </c>
      <c r="Q75" s="307" t="str">
        <f>IFERROR(VLOOKUP(O75,Références!$K$11:$N$19,3)," ")</f>
        <v xml:space="preserve"> </v>
      </c>
      <c r="R75" s="307" t="str">
        <f>IFERROR(VLOOKUP(O75,Références!$K$11:$N$19,4)," ")</f>
        <v xml:space="preserve"> </v>
      </c>
      <c r="S75" s="298"/>
      <c r="T75" s="298"/>
      <c r="U75" s="298"/>
      <c r="V75" s="298"/>
      <c r="W75" s="298"/>
      <c r="X75" s="299"/>
      <c r="Y75" s="298"/>
      <c r="Z75" s="298"/>
      <c r="AA75" s="298"/>
      <c r="AB75" s="277"/>
      <c r="AC75" s="277"/>
      <c r="AD75" s="316"/>
      <c r="AE75" s="277"/>
      <c r="AF75" s="277"/>
      <c r="AG75" s="277"/>
      <c r="AH75" s="277"/>
      <c r="AI75" s="277">
        <f t="shared" si="64"/>
        <v>0</v>
      </c>
      <c r="AJ75" s="299"/>
      <c r="AK75" s="298">
        <f t="shared" si="78"/>
        <v>0</v>
      </c>
      <c r="AL75" s="299"/>
      <c r="AM75" s="308">
        <f t="shared" si="72"/>
        <v>0</v>
      </c>
      <c r="AN75" s="298"/>
      <c r="AO75" s="318"/>
      <c r="AP75" s="303" t="str">
        <f t="shared" si="88"/>
        <v xml:space="preserve"> </v>
      </c>
      <c r="AQ75" s="298"/>
      <c r="AR75" s="337"/>
      <c r="AS75" s="337"/>
      <c r="AT75" s="305"/>
      <c r="AU75" s="319"/>
      <c r="AV75" s="305"/>
      <c r="AW75" s="272"/>
      <c r="AX75" s="342"/>
      <c r="AY75" s="343"/>
      <c r="AZ75" s="272"/>
      <c r="BA75" s="342" t="s">
        <v>234</v>
      </c>
      <c r="BB75" s="337"/>
      <c r="BC75" s="270">
        <f t="shared" ref="BC75:BC92" si="90">IF(BG75="Aucune",0,1)</f>
        <v>0</v>
      </c>
      <c r="BD75" s="270">
        <f t="shared" ref="BD75:BD92" si="91">IF(BH75="Aucune",0,1)</f>
        <v>0</v>
      </c>
      <c r="BE75" s="270">
        <f t="shared" si="79"/>
        <v>1</v>
      </c>
      <c r="BF75" s="270" t="str">
        <f t="shared" si="89"/>
        <v>ALIVE</v>
      </c>
      <c r="BG75" s="250" t="str">
        <f t="shared" si="80"/>
        <v>Aucune</v>
      </c>
      <c r="BH75" s="250" t="str">
        <f t="shared" si="81"/>
        <v>Aucune</v>
      </c>
      <c r="BI75" s="250" t="str">
        <f t="shared" si="82"/>
        <v>Aucune</v>
      </c>
      <c r="BJ75" s="250" t="str">
        <f t="shared" si="74"/>
        <v>NON</v>
      </c>
      <c r="BK75" s="250" t="str">
        <f t="shared" si="83"/>
        <v>NON</v>
      </c>
      <c r="BL75" s="250" t="str">
        <f t="shared" si="75"/>
        <v>Inconnu</v>
      </c>
      <c r="BM75" s="250" t="str">
        <f t="shared" ref="BM75:BM92" si="92">IF($O75&lt;&gt;"HTX",IF($O75&lt;&gt;"LVAD",BL75,"Inconnu"),"Inconnu")</f>
        <v>Inconnu</v>
      </c>
      <c r="BN75" s="250" t="str">
        <f t="shared" ref="BN75:BN92" si="93">IF($O75="HTX",BL75,IF($O75="LVAD",BL75,"Inconnu"))</f>
        <v>Inconnu</v>
      </c>
      <c r="BO75" s="250" t="str">
        <f t="shared" si="76"/>
        <v>Inconnu</v>
      </c>
      <c r="BP75" s="250" t="str">
        <f t="shared" ref="BP75:BP92" si="94">IF($O75&lt;&gt;"HTX",IF($O75&lt;&gt;"LVAD",BO75,"Inconnu"),"Inconnu")</f>
        <v>Inconnu</v>
      </c>
      <c r="BQ75" s="250" t="str">
        <f t="shared" ref="BQ75:BQ92" si="95">IF($O75="HTX",BO75,IF($O75="LVAD",BO75,"Inconnu"))</f>
        <v>Inconnu</v>
      </c>
      <c r="BR75" s="250" t="str">
        <f t="shared" ref="BR75:BR92" si="96">IF(BH75="Aucune",IF(BI75="Aucune","Aucune","Transfusé"),"Transfusé")</f>
        <v>Aucune</v>
      </c>
      <c r="BS75" s="250">
        <f t="shared" si="84"/>
        <v>0</v>
      </c>
      <c r="BT75" s="271" t="e">
        <f>VLOOKUP($I75,Lieu_Activité!$A:$B,2,FALSE)</f>
        <v>#N/A</v>
      </c>
      <c r="BU75" s="250" t="str">
        <f t="shared" si="85"/>
        <v>Aucun</v>
      </c>
      <c r="BV75" s="250" t="str">
        <f t="shared" si="86"/>
        <v>Aucun</v>
      </c>
      <c r="BW75" s="249" t="str">
        <f t="shared" si="77"/>
        <v>NON</v>
      </c>
      <c r="BX75" s="330"/>
    </row>
    <row r="76" spans="1:76" ht="12.95" customHeight="1" x14ac:dyDescent="0.2">
      <c r="A76" s="268" t="s">
        <v>209</v>
      </c>
      <c r="B76" s="276"/>
      <c r="C76" s="269"/>
      <c r="D76" s="299"/>
      <c r="E76" s="320">
        <f t="shared" si="73"/>
        <v>0</v>
      </c>
      <c r="F76" s="320" t="str">
        <f t="shared" si="87"/>
        <v xml:space="preserve"> </v>
      </c>
      <c r="G76" s="298"/>
      <c r="H76" s="298"/>
      <c r="I76" s="298"/>
      <c r="J76" s="298"/>
      <c r="K76" s="298"/>
      <c r="L76" s="299"/>
      <c r="M76" s="285"/>
      <c r="N76" s="274"/>
      <c r="O76" s="274"/>
      <c r="P76" s="307" t="str">
        <f>IFERROR(VLOOKUP(O76,Références!$K$11:$N$19,2)," ")</f>
        <v xml:space="preserve"> </v>
      </c>
      <c r="Q76" s="307" t="str">
        <f>IFERROR(VLOOKUP(O76,Références!$K$11:$N$19,3)," ")</f>
        <v xml:space="preserve"> </v>
      </c>
      <c r="R76" s="307" t="str">
        <f>IFERROR(VLOOKUP(O76,Références!$K$11:$N$19,4)," ")</f>
        <v xml:space="preserve"> </v>
      </c>
      <c r="S76" s="298"/>
      <c r="T76" s="298"/>
      <c r="U76" s="298"/>
      <c r="V76" s="298"/>
      <c r="W76" s="298"/>
      <c r="X76" s="299"/>
      <c r="Y76" s="298"/>
      <c r="Z76" s="298"/>
      <c r="AA76" s="298"/>
      <c r="AB76" s="277"/>
      <c r="AC76" s="277"/>
      <c r="AD76" s="277"/>
      <c r="AE76" s="277"/>
      <c r="AF76" s="277"/>
      <c r="AG76" s="277"/>
      <c r="AH76" s="277"/>
      <c r="AI76" s="277">
        <f t="shared" si="64"/>
        <v>0</v>
      </c>
      <c r="AJ76" s="299"/>
      <c r="AK76" s="298">
        <f>(AJ76-L76)</f>
        <v>0</v>
      </c>
      <c r="AL76" s="299"/>
      <c r="AM76" s="308">
        <f>(AL76-L76)</f>
        <v>0</v>
      </c>
      <c r="AN76" s="298"/>
      <c r="AO76" s="318"/>
      <c r="AP76" s="303" t="str">
        <f t="shared" si="88"/>
        <v xml:space="preserve"> </v>
      </c>
      <c r="AQ76" s="298"/>
      <c r="AR76" s="337"/>
      <c r="AS76" s="337"/>
      <c r="AT76" s="305"/>
      <c r="AU76" s="319"/>
      <c r="AV76" s="305"/>
      <c r="AW76" s="272"/>
      <c r="AX76" s="342"/>
      <c r="AY76" s="343"/>
      <c r="AZ76" s="272"/>
      <c r="BA76" s="342" t="s">
        <v>234</v>
      </c>
      <c r="BB76" s="337"/>
      <c r="BC76" s="270">
        <f t="shared" si="90"/>
        <v>0</v>
      </c>
      <c r="BD76" s="270">
        <f t="shared" si="91"/>
        <v>0</v>
      </c>
      <c r="BE76" s="270">
        <f t="shared" si="79"/>
        <v>1</v>
      </c>
      <c r="BF76" s="270" t="str">
        <f t="shared" si="89"/>
        <v>ALIVE</v>
      </c>
      <c r="BG76" s="250" t="str">
        <f t="shared" si="80"/>
        <v>Aucune</v>
      </c>
      <c r="BH76" s="250" t="str">
        <f t="shared" si="81"/>
        <v>Aucune</v>
      </c>
      <c r="BI76" s="250" t="str">
        <f t="shared" si="82"/>
        <v>Aucune</v>
      </c>
      <c r="BJ76" s="250" t="str">
        <f t="shared" si="74"/>
        <v>NON</v>
      </c>
      <c r="BK76" s="250" t="str">
        <f t="shared" si="83"/>
        <v>NON</v>
      </c>
      <c r="BL76" s="250" t="str">
        <f t="shared" si="75"/>
        <v>Inconnu</v>
      </c>
      <c r="BM76" s="250" t="str">
        <f t="shared" si="92"/>
        <v>Inconnu</v>
      </c>
      <c r="BN76" s="250" t="str">
        <f t="shared" si="93"/>
        <v>Inconnu</v>
      </c>
      <c r="BO76" s="250" t="str">
        <f t="shared" si="76"/>
        <v>Inconnu</v>
      </c>
      <c r="BP76" s="250" t="str">
        <f t="shared" si="94"/>
        <v>Inconnu</v>
      </c>
      <c r="BQ76" s="250" t="str">
        <f t="shared" si="95"/>
        <v>Inconnu</v>
      </c>
      <c r="BR76" s="250" t="str">
        <f t="shared" si="96"/>
        <v>Aucune</v>
      </c>
      <c r="BS76" s="250">
        <f t="shared" si="84"/>
        <v>0</v>
      </c>
      <c r="BT76" s="271" t="e">
        <f>VLOOKUP($I76,Lieu_Activité!$A:$B,2,FALSE)</f>
        <v>#N/A</v>
      </c>
      <c r="BU76" s="250" t="str">
        <f t="shared" si="85"/>
        <v>Aucun</v>
      </c>
      <c r="BV76" s="250" t="str">
        <f t="shared" si="86"/>
        <v>Aucun</v>
      </c>
      <c r="BW76" s="249" t="str">
        <f t="shared" si="77"/>
        <v>NON</v>
      </c>
      <c r="BX76" s="330"/>
    </row>
    <row r="77" spans="1:76" ht="12.95" customHeight="1" x14ac:dyDescent="0.2">
      <c r="A77" s="268" t="s">
        <v>209</v>
      </c>
      <c r="B77" s="276"/>
      <c r="C77" s="269"/>
      <c r="D77" s="299"/>
      <c r="E77" s="320">
        <f t="shared" si="73"/>
        <v>0</v>
      </c>
      <c r="F77" s="320" t="str">
        <f t="shared" si="87"/>
        <v xml:space="preserve"> </v>
      </c>
      <c r="G77" s="298"/>
      <c r="H77" s="298"/>
      <c r="I77" s="298"/>
      <c r="J77" s="298"/>
      <c r="K77" s="298"/>
      <c r="L77" s="299"/>
      <c r="M77" s="285"/>
      <c r="N77" s="274"/>
      <c r="O77" s="274"/>
      <c r="P77" s="307" t="str">
        <f>IFERROR(VLOOKUP(O77,Références!$K$11:$N$19,2)," ")</f>
        <v xml:space="preserve"> </v>
      </c>
      <c r="Q77" s="307" t="str">
        <f>IFERROR(VLOOKUP(O77,Références!$K$11:$N$19,3)," ")</f>
        <v xml:space="preserve"> </v>
      </c>
      <c r="R77" s="307" t="str">
        <f>IFERROR(VLOOKUP(O77,Références!$K$11:$N$19,4)," ")</f>
        <v xml:space="preserve"> </v>
      </c>
      <c r="S77" s="298"/>
      <c r="T77" s="298"/>
      <c r="U77" s="298"/>
      <c r="V77" s="298"/>
      <c r="W77" s="298"/>
      <c r="X77" s="299"/>
      <c r="Y77" s="298"/>
      <c r="Z77" s="298"/>
      <c r="AA77" s="298"/>
      <c r="AB77" s="277"/>
      <c r="AC77" s="277"/>
      <c r="AD77" s="277"/>
      <c r="AE77" s="277"/>
      <c r="AF77" s="277"/>
      <c r="AG77" s="277"/>
      <c r="AH77" s="277"/>
      <c r="AI77" s="277">
        <f t="shared" si="64"/>
        <v>0</v>
      </c>
      <c r="AJ77" s="299"/>
      <c r="AK77" s="298">
        <f>(AJ77-L77)</f>
        <v>0</v>
      </c>
      <c r="AL77" s="299"/>
      <c r="AM77" s="308">
        <f>(AL77-L77)</f>
        <v>0</v>
      </c>
      <c r="AN77" s="298"/>
      <c r="AO77" s="318"/>
      <c r="AP77" s="303" t="str">
        <f t="shared" si="88"/>
        <v xml:space="preserve"> </v>
      </c>
      <c r="AQ77" s="298"/>
      <c r="AR77" s="337"/>
      <c r="AS77" s="337"/>
      <c r="AT77" s="305"/>
      <c r="AU77" s="319"/>
      <c r="AV77" s="305"/>
      <c r="AW77" s="272"/>
      <c r="AX77" s="342"/>
      <c r="AY77" s="343"/>
      <c r="AZ77" s="272"/>
      <c r="BA77" s="342" t="s">
        <v>234</v>
      </c>
      <c r="BB77" s="337"/>
      <c r="BC77" s="270">
        <f t="shared" si="90"/>
        <v>0</v>
      </c>
      <c r="BD77" s="270">
        <f t="shared" si="91"/>
        <v>0</v>
      </c>
      <c r="BE77" s="270">
        <f t="shared" si="79"/>
        <v>1</v>
      </c>
      <c r="BF77" s="270" t="str">
        <f t="shared" si="89"/>
        <v>ALIVE</v>
      </c>
      <c r="BG77" s="250" t="str">
        <f t="shared" si="80"/>
        <v>Aucune</v>
      </c>
      <c r="BH77" s="250" t="str">
        <f t="shared" si="81"/>
        <v>Aucune</v>
      </c>
      <c r="BI77" s="250" t="str">
        <f t="shared" si="82"/>
        <v>Aucune</v>
      </c>
      <c r="BJ77" s="250" t="str">
        <f t="shared" si="74"/>
        <v>NON</v>
      </c>
      <c r="BK77" s="250" t="str">
        <f t="shared" si="83"/>
        <v>NON</v>
      </c>
      <c r="BL77" s="250" t="str">
        <f t="shared" si="75"/>
        <v>Inconnu</v>
      </c>
      <c r="BM77" s="250" t="str">
        <f t="shared" si="92"/>
        <v>Inconnu</v>
      </c>
      <c r="BN77" s="250" t="str">
        <f t="shared" si="93"/>
        <v>Inconnu</v>
      </c>
      <c r="BO77" s="250" t="str">
        <f t="shared" si="76"/>
        <v>Inconnu</v>
      </c>
      <c r="BP77" s="250" t="str">
        <f t="shared" si="94"/>
        <v>Inconnu</v>
      </c>
      <c r="BQ77" s="250" t="str">
        <f t="shared" si="95"/>
        <v>Inconnu</v>
      </c>
      <c r="BR77" s="250" t="str">
        <f t="shared" si="96"/>
        <v>Aucune</v>
      </c>
      <c r="BS77" s="250">
        <f t="shared" si="84"/>
        <v>0</v>
      </c>
      <c r="BT77" s="271" t="e">
        <f>VLOOKUP($I77,Lieu_Activité!$A:$B,2,FALSE)</f>
        <v>#N/A</v>
      </c>
      <c r="BU77" s="250" t="str">
        <f t="shared" si="85"/>
        <v>Aucun</v>
      </c>
      <c r="BV77" s="250" t="str">
        <f t="shared" si="86"/>
        <v>Aucun</v>
      </c>
      <c r="BW77" s="249" t="str">
        <f t="shared" si="77"/>
        <v>NON</v>
      </c>
      <c r="BX77" s="330"/>
    </row>
    <row r="78" spans="1:76" ht="12.95" customHeight="1" x14ac:dyDescent="0.2">
      <c r="A78" s="268" t="s">
        <v>209</v>
      </c>
      <c r="B78" s="276"/>
      <c r="C78" s="269"/>
      <c r="D78" s="299"/>
      <c r="E78" s="320">
        <f t="shared" si="73"/>
        <v>0</v>
      </c>
      <c r="F78" s="320" t="str">
        <f t="shared" si="87"/>
        <v xml:space="preserve"> </v>
      </c>
      <c r="G78" s="298"/>
      <c r="H78" s="298"/>
      <c r="I78" s="298"/>
      <c r="J78" s="298"/>
      <c r="K78" s="298"/>
      <c r="L78" s="299"/>
      <c r="M78" s="285"/>
      <c r="N78" s="274"/>
      <c r="O78" s="274"/>
      <c r="P78" s="307" t="str">
        <f>IFERROR(VLOOKUP(O78,Références!$K$11:$N$19,2)," ")</f>
        <v xml:space="preserve"> </v>
      </c>
      <c r="Q78" s="307" t="str">
        <f>IFERROR(VLOOKUP(O78,Références!$K$11:$N$19,3)," ")</f>
        <v xml:space="preserve"> </v>
      </c>
      <c r="R78" s="307" t="str">
        <f>IFERROR(VLOOKUP(O78,Références!$K$11:$N$19,4)," ")</f>
        <v xml:space="preserve"> </v>
      </c>
      <c r="S78" s="298"/>
      <c r="T78" s="298"/>
      <c r="U78" s="298"/>
      <c r="V78" s="298"/>
      <c r="W78" s="298"/>
      <c r="X78" s="299"/>
      <c r="Y78" s="298"/>
      <c r="Z78" s="298"/>
      <c r="AA78" s="298"/>
      <c r="AB78" s="277"/>
      <c r="AC78" s="277"/>
      <c r="AD78" s="277"/>
      <c r="AE78" s="277"/>
      <c r="AF78" s="277"/>
      <c r="AG78" s="277"/>
      <c r="AH78" s="277"/>
      <c r="AI78" s="277">
        <f t="shared" si="64"/>
        <v>0</v>
      </c>
      <c r="AJ78" s="299"/>
      <c r="AK78" s="298">
        <f>(AJ78-L78)</f>
        <v>0</v>
      </c>
      <c r="AL78" s="299"/>
      <c r="AM78" s="308">
        <f>(AL78-L78)</f>
        <v>0</v>
      </c>
      <c r="AN78" s="298"/>
      <c r="AO78" s="318"/>
      <c r="AP78" s="303" t="str">
        <f t="shared" si="88"/>
        <v xml:space="preserve"> </v>
      </c>
      <c r="AQ78" s="298"/>
      <c r="AR78" s="337"/>
      <c r="AS78" s="337"/>
      <c r="AT78" s="305"/>
      <c r="AU78" s="319"/>
      <c r="AV78" s="305"/>
      <c r="AW78" s="272"/>
      <c r="AX78" s="342"/>
      <c r="AY78" s="343"/>
      <c r="AZ78" s="272"/>
      <c r="BA78" s="342" t="s">
        <v>234</v>
      </c>
      <c r="BB78" s="337"/>
      <c r="BC78" s="270">
        <f t="shared" si="90"/>
        <v>0</v>
      </c>
      <c r="BD78" s="270">
        <f t="shared" si="91"/>
        <v>0</v>
      </c>
      <c r="BE78" s="270">
        <f t="shared" si="79"/>
        <v>1</v>
      </c>
      <c r="BF78" s="270" t="str">
        <f t="shared" si="89"/>
        <v>ALIVE</v>
      </c>
      <c r="BG78" s="250" t="str">
        <f t="shared" si="80"/>
        <v>Aucune</v>
      </c>
      <c r="BH78" s="250" t="str">
        <f t="shared" si="81"/>
        <v>Aucune</v>
      </c>
      <c r="BI78" s="250" t="str">
        <f t="shared" si="82"/>
        <v>Aucune</v>
      </c>
      <c r="BJ78" s="250" t="str">
        <f t="shared" si="74"/>
        <v>NON</v>
      </c>
      <c r="BK78" s="250" t="str">
        <f t="shared" si="83"/>
        <v>NON</v>
      </c>
      <c r="BL78" s="250" t="str">
        <f t="shared" si="75"/>
        <v>Inconnu</v>
      </c>
      <c r="BM78" s="250" t="str">
        <f t="shared" si="92"/>
        <v>Inconnu</v>
      </c>
      <c r="BN78" s="250" t="str">
        <f t="shared" si="93"/>
        <v>Inconnu</v>
      </c>
      <c r="BO78" s="250" t="str">
        <f t="shared" si="76"/>
        <v>Inconnu</v>
      </c>
      <c r="BP78" s="250" t="str">
        <f t="shared" si="94"/>
        <v>Inconnu</v>
      </c>
      <c r="BQ78" s="250" t="str">
        <f t="shared" si="95"/>
        <v>Inconnu</v>
      </c>
      <c r="BR78" s="250" t="str">
        <f t="shared" si="96"/>
        <v>Aucune</v>
      </c>
      <c r="BS78" s="250">
        <f t="shared" si="84"/>
        <v>0</v>
      </c>
      <c r="BT78" s="271" t="e">
        <f>VLOOKUP($I78,Lieu_Activité!$A:$B,2,FALSE)</f>
        <v>#N/A</v>
      </c>
      <c r="BU78" s="250" t="str">
        <f t="shared" si="85"/>
        <v>Aucun</v>
      </c>
      <c r="BV78" s="250" t="str">
        <f t="shared" si="86"/>
        <v>Aucun</v>
      </c>
      <c r="BW78" s="249" t="str">
        <f t="shared" si="77"/>
        <v>NON</v>
      </c>
      <c r="BX78" s="330"/>
    </row>
    <row r="79" spans="1:76" ht="12.95" customHeight="1" x14ac:dyDescent="0.2">
      <c r="A79" s="268" t="s">
        <v>209</v>
      </c>
      <c r="B79" s="276"/>
      <c r="C79" s="269"/>
      <c r="D79" s="299"/>
      <c r="E79" s="320">
        <f t="shared" si="73"/>
        <v>0</v>
      </c>
      <c r="F79" s="320" t="str">
        <f t="shared" si="87"/>
        <v xml:space="preserve"> </v>
      </c>
      <c r="G79" s="298"/>
      <c r="H79" s="298"/>
      <c r="I79" s="298"/>
      <c r="J79" s="298"/>
      <c r="K79" s="298"/>
      <c r="L79" s="299"/>
      <c r="M79" s="285"/>
      <c r="N79" s="274"/>
      <c r="O79" s="274"/>
      <c r="P79" s="307" t="str">
        <f>IFERROR(VLOOKUP(O79,Références!$K$11:$N$19,2)," ")</f>
        <v xml:space="preserve"> </v>
      </c>
      <c r="Q79" s="307" t="str">
        <f>IFERROR(VLOOKUP(O79,Références!$K$11:$N$19,3)," ")</f>
        <v xml:space="preserve"> </v>
      </c>
      <c r="R79" s="307" t="str">
        <f>IFERROR(VLOOKUP(O79,Références!$K$11:$N$19,4)," ")</f>
        <v xml:space="preserve"> </v>
      </c>
      <c r="S79" s="298"/>
      <c r="T79" s="298"/>
      <c r="U79" s="298"/>
      <c r="V79" s="298"/>
      <c r="W79" s="298"/>
      <c r="X79" s="299"/>
      <c r="Y79" s="298"/>
      <c r="Z79" s="298"/>
      <c r="AA79" s="298"/>
      <c r="AB79" s="277"/>
      <c r="AC79" s="277"/>
      <c r="AD79" s="277"/>
      <c r="AE79" s="277"/>
      <c r="AF79" s="277"/>
      <c r="AG79" s="277"/>
      <c r="AH79" s="277"/>
      <c r="AI79" s="277">
        <f t="shared" si="64"/>
        <v>0</v>
      </c>
      <c r="AJ79" s="299"/>
      <c r="AK79" s="298">
        <f>(AJ79-L79)</f>
        <v>0</v>
      </c>
      <c r="AL79" s="299"/>
      <c r="AM79" s="308">
        <f>(AL79-L79)</f>
        <v>0</v>
      </c>
      <c r="AN79" s="298"/>
      <c r="AO79" s="318"/>
      <c r="AP79" s="303" t="str">
        <f t="shared" si="88"/>
        <v xml:space="preserve"> </v>
      </c>
      <c r="AQ79" s="298"/>
      <c r="AR79" s="337"/>
      <c r="AS79" s="337"/>
      <c r="AT79" s="305"/>
      <c r="AU79" s="319"/>
      <c r="AV79" s="305"/>
      <c r="AW79" s="272"/>
      <c r="AX79" s="342"/>
      <c r="AY79" s="343"/>
      <c r="AZ79" s="272"/>
      <c r="BA79" s="342" t="s">
        <v>234</v>
      </c>
      <c r="BB79" s="337"/>
      <c r="BC79" s="270">
        <f t="shared" si="90"/>
        <v>0</v>
      </c>
      <c r="BD79" s="270">
        <f t="shared" si="91"/>
        <v>0</v>
      </c>
      <c r="BE79" s="270">
        <f t="shared" si="79"/>
        <v>1</v>
      </c>
      <c r="BF79" s="270" t="str">
        <f t="shared" si="89"/>
        <v>ALIVE</v>
      </c>
      <c r="BG79" s="250" t="str">
        <f t="shared" si="80"/>
        <v>Aucune</v>
      </c>
      <c r="BH79" s="250" t="str">
        <f t="shared" si="81"/>
        <v>Aucune</v>
      </c>
      <c r="BI79" s="250" t="str">
        <f t="shared" si="82"/>
        <v>Aucune</v>
      </c>
      <c r="BJ79" s="250" t="str">
        <f t="shared" si="74"/>
        <v>NON</v>
      </c>
      <c r="BK79" s="250" t="str">
        <f t="shared" si="83"/>
        <v>NON</v>
      </c>
      <c r="BL79" s="250" t="str">
        <f t="shared" si="75"/>
        <v>Inconnu</v>
      </c>
      <c r="BM79" s="250" t="str">
        <f t="shared" si="92"/>
        <v>Inconnu</v>
      </c>
      <c r="BN79" s="250" t="str">
        <f t="shared" si="93"/>
        <v>Inconnu</v>
      </c>
      <c r="BO79" s="250" t="str">
        <f t="shared" si="76"/>
        <v>Inconnu</v>
      </c>
      <c r="BP79" s="250" t="str">
        <f t="shared" si="94"/>
        <v>Inconnu</v>
      </c>
      <c r="BQ79" s="250" t="str">
        <f t="shared" si="95"/>
        <v>Inconnu</v>
      </c>
      <c r="BR79" s="250" t="str">
        <f t="shared" si="96"/>
        <v>Aucune</v>
      </c>
      <c r="BS79" s="250">
        <f t="shared" si="84"/>
        <v>0</v>
      </c>
      <c r="BT79" s="271" t="e">
        <f>VLOOKUP($I79,Lieu_Activité!$A:$B,2,FALSE)</f>
        <v>#N/A</v>
      </c>
      <c r="BU79" s="250" t="str">
        <f t="shared" si="85"/>
        <v>Aucun</v>
      </c>
      <c r="BV79" s="250" t="str">
        <f t="shared" si="86"/>
        <v>Aucun</v>
      </c>
      <c r="BW79" s="249" t="str">
        <f t="shared" si="77"/>
        <v>NON</v>
      </c>
      <c r="BX79" s="330"/>
    </row>
    <row r="80" spans="1:76" ht="12.95" customHeight="1" x14ac:dyDescent="0.2">
      <c r="A80" s="268" t="s">
        <v>209</v>
      </c>
      <c r="B80" s="276"/>
      <c r="C80" s="269"/>
      <c r="D80" s="299"/>
      <c r="E80" s="320">
        <f t="shared" si="73"/>
        <v>0</v>
      </c>
      <c r="F80" s="320" t="str">
        <f t="shared" si="87"/>
        <v xml:space="preserve"> </v>
      </c>
      <c r="G80" s="298"/>
      <c r="H80" s="298"/>
      <c r="I80" s="298"/>
      <c r="J80" s="298"/>
      <c r="K80" s="298"/>
      <c r="L80" s="299"/>
      <c r="M80" s="285"/>
      <c r="N80" s="274"/>
      <c r="O80" s="274"/>
      <c r="P80" s="307" t="str">
        <f>IFERROR(VLOOKUP(O80,Références!$K$11:$N$19,2)," ")</f>
        <v xml:space="preserve"> </v>
      </c>
      <c r="Q80" s="307" t="str">
        <f>IFERROR(VLOOKUP(O80,Références!$K$11:$N$19,3)," ")</f>
        <v xml:space="preserve"> </v>
      </c>
      <c r="R80" s="307" t="str">
        <f>IFERROR(VLOOKUP(O80,Références!$K$11:$N$19,4)," ")</f>
        <v xml:space="preserve"> </v>
      </c>
      <c r="S80" s="298"/>
      <c r="T80" s="298"/>
      <c r="U80" s="298"/>
      <c r="V80" s="298"/>
      <c r="W80" s="298"/>
      <c r="X80" s="299"/>
      <c r="Y80" s="298"/>
      <c r="Z80" s="298"/>
      <c r="AA80" s="298"/>
      <c r="AB80" s="277"/>
      <c r="AC80" s="277"/>
      <c r="AD80" s="316"/>
      <c r="AE80" s="277"/>
      <c r="AF80" s="277"/>
      <c r="AG80" s="277"/>
      <c r="AH80" s="277"/>
      <c r="AI80" s="277">
        <f t="shared" si="64"/>
        <v>0</v>
      </c>
      <c r="AJ80" s="299"/>
      <c r="AK80" s="298">
        <f>(AJ80-L80)</f>
        <v>0</v>
      </c>
      <c r="AL80" s="299"/>
      <c r="AM80" s="308">
        <f>(AL80-L80)</f>
        <v>0</v>
      </c>
      <c r="AN80" s="298"/>
      <c r="AO80" s="318"/>
      <c r="AP80" s="303" t="str">
        <f t="shared" si="88"/>
        <v xml:space="preserve"> </v>
      </c>
      <c r="AQ80" s="298"/>
      <c r="AR80" s="337"/>
      <c r="AS80" s="337"/>
      <c r="AT80" s="305"/>
      <c r="AU80" s="319"/>
      <c r="AV80" s="305"/>
      <c r="AW80" s="272"/>
      <c r="AX80" s="342"/>
      <c r="AY80" s="343"/>
      <c r="AZ80" s="272"/>
      <c r="BA80" s="342" t="s">
        <v>234</v>
      </c>
      <c r="BB80" s="337"/>
      <c r="BC80" s="270">
        <f t="shared" si="90"/>
        <v>0</v>
      </c>
      <c r="BD80" s="270">
        <f t="shared" si="91"/>
        <v>0</v>
      </c>
      <c r="BE80" s="270">
        <f t="shared" si="79"/>
        <v>1</v>
      </c>
      <c r="BF80" s="270" t="str">
        <f t="shared" si="89"/>
        <v>ALIVE</v>
      </c>
      <c r="BG80" s="250" t="str">
        <f t="shared" si="80"/>
        <v>Aucune</v>
      </c>
      <c r="BH80" s="250" t="str">
        <f t="shared" si="81"/>
        <v>Aucune</v>
      </c>
      <c r="BI80" s="250" t="str">
        <f t="shared" si="82"/>
        <v>Aucune</v>
      </c>
      <c r="BJ80" s="250" t="str">
        <f t="shared" si="74"/>
        <v>NON</v>
      </c>
      <c r="BK80" s="250" t="str">
        <f t="shared" si="83"/>
        <v>NON</v>
      </c>
      <c r="BL80" s="250" t="str">
        <f t="shared" si="75"/>
        <v>Inconnu</v>
      </c>
      <c r="BM80" s="250" t="str">
        <f t="shared" si="92"/>
        <v>Inconnu</v>
      </c>
      <c r="BN80" s="250" t="str">
        <f t="shared" si="93"/>
        <v>Inconnu</v>
      </c>
      <c r="BO80" s="250" t="str">
        <f t="shared" si="76"/>
        <v>Inconnu</v>
      </c>
      <c r="BP80" s="250" t="str">
        <f t="shared" si="94"/>
        <v>Inconnu</v>
      </c>
      <c r="BQ80" s="250" t="str">
        <f t="shared" si="95"/>
        <v>Inconnu</v>
      </c>
      <c r="BR80" s="250" t="str">
        <f t="shared" si="96"/>
        <v>Aucune</v>
      </c>
      <c r="BS80" s="250">
        <f t="shared" si="84"/>
        <v>0</v>
      </c>
      <c r="BT80" s="271" t="e">
        <f>VLOOKUP($I80,Lieu_Activité!$A:$B,2,FALSE)</f>
        <v>#N/A</v>
      </c>
      <c r="BU80" s="250" t="str">
        <f t="shared" si="85"/>
        <v>Aucun</v>
      </c>
      <c r="BV80" s="250" t="str">
        <f t="shared" si="86"/>
        <v>Aucun</v>
      </c>
      <c r="BW80" s="249" t="str">
        <f t="shared" si="77"/>
        <v>NON</v>
      </c>
      <c r="BX80" s="330"/>
    </row>
    <row r="81" spans="1:76" ht="12.95" customHeight="1" x14ac:dyDescent="0.2">
      <c r="A81" s="268" t="s">
        <v>209</v>
      </c>
      <c r="B81" s="309"/>
      <c r="C81" s="269"/>
      <c r="D81" s="299"/>
      <c r="E81" s="320">
        <f t="shared" si="73"/>
        <v>0</v>
      </c>
      <c r="F81" s="320" t="str">
        <f t="shared" si="87"/>
        <v xml:space="preserve"> </v>
      </c>
      <c r="G81" s="298"/>
      <c r="H81" s="298"/>
      <c r="I81" s="298"/>
      <c r="J81" s="298"/>
      <c r="K81" s="298"/>
      <c r="L81" s="299"/>
      <c r="M81" s="285"/>
      <c r="N81" s="274"/>
      <c r="O81" s="274"/>
      <c r="P81" s="307" t="str">
        <f>IFERROR(VLOOKUP(O81,Références!$K$11:$N$19,2)," ")</f>
        <v xml:space="preserve"> </v>
      </c>
      <c r="Q81" s="307" t="str">
        <f>IFERROR(VLOOKUP(O81,Références!$K$11:$N$19,3)," ")</f>
        <v xml:space="preserve"> </v>
      </c>
      <c r="R81" s="307" t="str">
        <f>IFERROR(VLOOKUP(O81,Références!$K$11:$N$19,4)," ")</f>
        <v xml:space="preserve"> </v>
      </c>
      <c r="S81" s="298"/>
      <c r="T81" s="298"/>
      <c r="U81" s="298"/>
      <c r="V81" s="298"/>
      <c r="W81" s="298"/>
      <c r="X81" s="299"/>
      <c r="Y81" s="298"/>
      <c r="Z81" s="298"/>
      <c r="AA81" s="298"/>
      <c r="AB81" s="277"/>
      <c r="AC81" s="277"/>
      <c r="AD81" s="277"/>
      <c r="AE81" s="277"/>
      <c r="AF81" s="277"/>
      <c r="AG81" s="277"/>
      <c r="AH81" s="277"/>
      <c r="AI81" s="277">
        <f t="shared" si="64"/>
        <v>0</v>
      </c>
      <c r="AJ81" s="299"/>
      <c r="AK81" s="298">
        <f t="shared" si="78"/>
        <v>0</v>
      </c>
      <c r="AL81" s="299"/>
      <c r="AM81" s="308">
        <f t="shared" si="72"/>
        <v>0</v>
      </c>
      <c r="AN81" s="298"/>
      <c r="AO81" s="318"/>
      <c r="AP81" s="303" t="str">
        <f t="shared" si="88"/>
        <v xml:space="preserve"> </v>
      </c>
      <c r="AQ81" s="298"/>
      <c r="AR81" s="337"/>
      <c r="AS81" s="337"/>
      <c r="AT81" s="305"/>
      <c r="AU81" s="319"/>
      <c r="AV81" s="305"/>
      <c r="AW81" s="272"/>
      <c r="AX81" s="342"/>
      <c r="AY81" s="343"/>
      <c r="AZ81" s="272"/>
      <c r="BA81" s="342"/>
      <c r="BB81" s="337"/>
      <c r="BC81" s="270">
        <f t="shared" si="90"/>
        <v>0</v>
      </c>
      <c r="BD81" s="270">
        <f t="shared" si="91"/>
        <v>0</v>
      </c>
      <c r="BE81" s="270">
        <f t="shared" si="79"/>
        <v>1</v>
      </c>
      <c r="BF81" s="270" t="str">
        <f t="shared" si="89"/>
        <v>ALIVE</v>
      </c>
      <c r="BG81" s="250" t="str">
        <f t="shared" si="80"/>
        <v>Aucune</v>
      </c>
      <c r="BH81" s="250" t="str">
        <f t="shared" si="81"/>
        <v>Aucune</v>
      </c>
      <c r="BI81" s="250" t="str">
        <f t="shared" si="82"/>
        <v>Aucune</v>
      </c>
      <c r="BJ81" s="250" t="str">
        <f t="shared" si="74"/>
        <v>NON</v>
      </c>
      <c r="BK81" s="250" t="str">
        <f t="shared" si="83"/>
        <v>NON</v>
      </c>
      <c r="BL81" s="250" t="str">
        <f t="shared" si="75"/>
        <v>Inconnu</v>
      </c>
      <c r="BM81" s="250" t="str">
        <f t="shared" si="92"/>
        <v>Inconnu</v>
      </c>
      <c r="BN81" s="250" t="str">
        <f t="shared" si="93"/>
        <v>Inconnu</v>
      </c>
      <c r="BO81" s="250" t="str">
        <f t="shared" si="76"/>
        <v>Inconnu</v>
      </c>
      <c r="BP81" s="250" t="str">
        <f t="shared" si="94"/>
        <v>Inconnu</v>
      </c>
      <c r="BQ81" s="250" t="str">
        <f t="shared" si="95"/>
        <v>Inconnu</v>
      </c>
      <c r="BR81" s="250" t="str">
        <f t="shared" si="96"/>
        <v>Aucune</v>
      </c>
      <c r="BS81" s="250">
        <f t="shared" si="84"/>
        <v>0</v>
      </c>
      <c r="BT81" s="271" t="e">
        <f>VLOOKUP($I81,Lieu_Activité!$A:$B,2,FALSE)</f>
        <v>#N/A</v>
      </c>
      <c r="BU81" s="250" t="str">
        <f t="shared" si="85"/>
        <v>Aucun</v>
      </c>
      <c r="BV81" s="250" t="str">
        <f t="shared" si="86"/>
        <v>Aucun</v>
      </c>
      <c r="BW81" s="249" t="str">
        <f t="shared" si="77"/>
        <v>NON</v>
      </c>
      <c r="BX81" s="330"/>
    </row>
    <row r="82" spans="1:76" ht="12.95" customHeight="1" x14ac:dyDescent="0.2">
      <c r="A82" s="268" t="s">
        <v>209</v>
      </c>
      <c r="B82" s="276"/>
      <c r="C82" s="269"/>
      <c r="D82" s="299"/>
      <c r="E82" s="320">
        <f t="shared" si="73"/>
        <v>0</v>
      </c>
      <c r="F82" s="320" t="str">
        <f t="shared" si="87"/>
        <v xml:space="preserve"> </v>
      </c>
      <c r="G82" s="298"/>
      <c r="H82" s="298"/>
      <c r="I82" s="298"/>
      <c r="J82" s="298"/>
      <c r="K82" s="298"/>
      <c r="L82" s="299"/>
      <c r="M82" s="285"/>
      <c r="N82" s="274"/>
      <c r="O82" s="274"/>
      <c r="P82" s="307" t="str">
        <f>IFERROR(VLOOKUP(O82,Références!$K$11:$N$19,2)," ")</f>
        <v xml:space="preserve"> </v>
      </c>
      <c r="Q82" s="307" t="str">
        <f>IFERROR(VLOOKUP(O82,Références!$K$11:$N$19,3)," ")</f>
        <v xml:space="preserve"> </v>
      </c>
      <c r="R82" s="307" t="str">
        <f>IFERROR(VLOOKUP(O82,Références!$K$11:$N$19,4)," ")</f>
        <v xml:space="preserve"> </v>
      </c>
      <c r="S82" s="298"/>
      <c r="T82" s="298"/>
      <c r="U82" s="298"/>
      <c r="V82" s="298"/>
      <c r="W82" s="298"/>
      <c r="X82" s="299"/>
      <c r="Y82" s="298"/>
      <c r="Z82" s="298"/>
      <c r="AA82" s="298"/>
      <c r="AB82" s="277"/>
      <c r="AC82" s="277"/>
      <c r="AD82" s="277"/>
      <c r="AE82" s="277"/>
      <c r="AF82" s="277"/>
      <c r="AG82" s="277"/>
      <c r="AH82" s="277"/>
      <c r="AI82" s="277">
        <f t="shared" si="64"/>
        <v>0</v>
      </c>
      <c r="AJ82" s="299"/>
      <c r="AK82" s="298">
        <f>(AJ82-L82)</f>
        <v>0</v>
      </c>
      <c r="AL82" s="299"/>
      <c r="AM82" s="308">
        <f>(AL82-L82)</f>
        <v>0</v>
      </c>
      <c r="AN82" s="298"/>
      <c r="AO82" s="318"/>
      <c r="AP82" s="303" t="str">
        <f t="shared" si="88"/>
        <v xml:space="preserve"> </v>
      </c>
      <c r="AQ82" s="298"/>
      <c r="AR82" s="337"/>
      <c r="AS82" s="337"/>
      <c r="AT82" s="305"/>
      <c r="AU82" s="319"/>
      <c r="AV82" s="305"/>
      <c r="AW82" s="272"/>
      <c r="AX82" s="342"/>
      <c r="AY82" s="343"/>
      <c r="AZ82" s="272"/>
      <c r="BA82" s="342" t="s">
        <v>234</v>
      </c>
      <c r="BB82" s="337"/>
      <c r="BC82" s="270">
        <f t="shared" si="90"/>
        <v>0</v>
      </c>
      <c r="BD82" s="270">
        <f t="shared" si="91"/>
        <v>0</v>
      </c>
      <c r="BE82" s="270">
        <f t="shared" si="79"/>
        <v>1</v>
      </c>
      <c r="BF82" s="270" t="str">
        <f t="shared" si="89"/>
        <v>ALIVE</v>
      </c>
      <c r="BG82" s="250" t="str">
        <f t="shared" si="80"/>
        <v>Aucune</v>
      </c>
      <c r="BH82" s="250" t="str">
        <f t="shared" si="81"/>
        <v>Aucune</v>
      </c>
      <c r="BI82" s="250" t="str">
        <f t="shared" si="82"/>
        <v>Aucune</v>
      </c>
      <c r="BJ82" s="250" t="str">
        <f t="shared" si="74"/>
        <v>NON</v>
      </c>
      <c r="BK82" s="250" t="str">
        <f t="shared" si="83"/>
        <v>NON</v>
      </c>
      <c r="BL82" s="250" t="str">
        <f t="shared" si="75"/>
        <v>Inconnu</v>
      </c>
      <c r="BM82" s="250" t="str">
        <f t="shared" si="92"/>
        <v>Inconnu</v>
      </c>
      <c r="BN82" s="250" t="str">
        <f t="shared" si="93"/>
        <v>Inconnu</v>
      </c>
      <c r="BO82" s="250" t="str">
        <f t="shared" si="76"/>
        <v>Inconnu</v>
      </c>
      <c r="BP82" s="250" t="str">
        <f t="shared" si="94"/>
        <v>Inconnu</v>
      </c>
      <c r="BQ82" s="250" t="str">
        <f t="shared" si="95"/>
        <v>Inconnu</v>
      </c>
      <c r="BR82" s="250" t="str">
        <f t="shared" si="96"/>
        <v>Aucune</v>
      </c>
      <c r="BS82" s="250">
        <f t="shared" si="84"/>
        <v>0</v>
      </c>
      <c r="BT82" s="271" t="e">
        <f>VLOOKUP($I82,Lieu_Activité!$A:$B,2,FALSE)</f>
        <v>#N/A</v>
      </c>
      <c r="BU82" s="250" t="str">
        <f t="shared" si="85"/>
        <v>Aucun</v>
      </c>
      <c r="BV82" s="250" t="str">
        <f t="shared" si="86"/>
        <v>Aucun</v>
      </c>
      <c r="BW82" s="249" t="str">
        <f t="shared" si="77"/>
        <v>NON</v>
      </c>
      <c r="BX82" s="330"/>
    </row>
    <row r="83" spans="1:76" ht="12.95" customHeight="1" x14ac:dyDescent="0.2">
      <c r="A83" s="268" t="s">
        <v>209</v>
      </c>
      <c r="B83" s="276"/>
      <c r="C83" s="269"/>
      <c r="D83" s="299"/>
      <c r="E83" s="320">
        <f t="shared" si="73"/>
        <v>0</v>
      </c>
      <c r="F83" s="320" t="str">
        <f t="shared" si="87"/>
        <v xml:space="preserve"> </v>
      </c>
      <c r="G83" s="298"/>
      <c r="H83" s="298"/>
      <c r="I83" s="298"/>
      <c r="J83" s="298"/>
      <c r="K83" s="298"/>
      <c r="L83" s="299"/>
      <c r="M83" s="285"/>
      <c r="N83" s="274"/>
      <c r="O83" s="274"/>
      <c r="P83" s="307" t="str">
        <f>IFERROR(VLOOKUP(O83,Références!$K$11:$N$19,2)," ")</f>
        <v xml:space="preserve"> </v>
      </c>
      <c r="Q83" s="307" t="str">
        <f>IFERROR(VLOOKUP(O83,Références!$K$11:$N$19,3)," ")</f>
        <v xml:space="preserve"> </v>
      </c>
      <c r="R83" s="307" t="str">
        <f>IFERROR(VLOOKUP(O83,Références!$K$11:$N$19,4)," ")</f>
        <v xml:space="preserve"> </v>
      </c>
      <c r="S83" s="298"/>
      <c r="T83" s="298"/>
      <c r="U83" s="298"/>
      <c r="V83" s="298"/>
      <c r="W83" s="298"/>
      <c r="X83" s="299"/>
      <c r="Y83" s="298"/>
      <c r="Z83" s="298"/>
      <c r="AA83" s="298"/>
      <c r="AB83" s="277"/>
      <c r="AC83" s="277"/>
      <c r="AD83" s="277"/>
      <c r="AE83" s="277"/>
      <c r="AF83" s="277"/>
      <c r="AG83" s="277"/>
      <c r="AH83" s="277"/>
      <c r="AI83" s="277">
        <f t="shared" si="64"/>
        <v>0</v>
      </c>
      <c r="AJ83" s="299"/>
      <c r="AK83" s="298">
        <f>(AJ83-L83)</f>
        <v>0</v>
      </c>
      <c r="AL83" s="299"/>
      <c r="AM83" s="308">
        <f>(AL83-L83)</f>
        <v>0</v>
      </c>
      <c r="AN83" s="298"/>
      <c r="AO83" s="318"/>
      <c r="AP83" s="303" t="str">
        <f t="shared" si="88"/>
        <v xml:space="preserve"> </v>
      </c>
      <c r="AQ83" s="298"/>
      <c r="AR83" s="337"/>
      <c r="AS83" s="337"/>
      <c r="AT83" s="305"/>
      <c r="AU83" s="319"/>
      <c r="AV83" s="305"/>
      <c r="AW83" s="272"/>
      <c r="AX83" s="342"/>
      <c r="AY83" s="343"/>
      <c r="AZ83" s="272"/>
      <c r="BA83" s="342" t="s">
        <v>234</v>
      </c>
      <c r="BB83" s="337"/>
      <c r="BC83" s="270">
        <f t="shared" si="90"/>
        <v>0</v>
      </c>
      <c r="BD83" s="270">
        <f t="shared" si="91"/>
        <v>0</v>
      </c>
      <c r="BE83" s="270">
        <f t="shared" si="79"/>
        <v>1</v>
      </c>
      <c r="BF83" s="270" t="str">
        <f t="shared" si="89"/>
        <v>ALIVE</v>
      </c>
      <c r="BG83" s="250" t="str">
        <f t="shared" si="80"/>
        <v>Aucune</v>
      </c>
      <c r="BH83" s="250" t="str">
        <f t="shared" si="81"/>
        <v>Aucune</v>
      </c>
      <c r="BI83" s="250" t="str">
        <f t="shared" si="82"/>
        <v>Aucune</v>
      </c>
      <c r="BJ83" s="250" t="str">
        <f t="shared" si="74"/>
        <v>NON</v>
      </c>
      <c r="BK83" s="250" t="str">
        <f t="shared" si="83"/>
        <v>NON</v>
      </c>
      <c r="BL83" s="250" t="str">
        <f t="shared" si="75"/>
        <v>Inconnu</v>
      </c>
      <c r="BM83" s="250" t="str">
        <f t="shared" si="92"/>
        <v>Inconnu</v>
      </c>
      <c r="BN83" s="250" t="str">
        <f t="shared" si="93"/>
        <v>Inconnu</v>
      </c>
      <c r="BO83" s="250" t="str">
        <f t="shared" si="76"/>
        <v>Inconnu</v>
      </c>
      <c r="BP83" s="250" t="str">
        <f t="shared" si="94"/>
        <v>Inconnu</v>
      </c>
      <c r="BQ83" s="250" t="str">
        <f t="shared" si="95"/>
        <v>Inconnu</v>
      </c>
      <c r="BR83" s="250" t="str">
        <f t="shared" si="96"/>
        <v>Aucune</v>
      </c>
      <c r="BS83" s="250">
        <f t="shared" si="84"/>
        <v>0</v>
      </c>
      <c r="BT83" s="271" t="e">
        <f>VLOOKUP($I83,Lieu_Activité!$A:$B,2,FALSE)</f>
        <v>#N/A</v>
      </c>
      <c r="BU83" s="250" t="str">
        <f t="shared" si="85"/>
        <v>Aucun</v>
      </c>
      <c r="BV83" s="250" t="str">
        <f t="shared" si="86"/>
        <v>Aucun</v>
      </c>
      <c r="BW83" s="249" t="str">
        <f t="shared" si="77"/>
        <v>NON</v>
      </c>
      <c r="BX83" s="330"/>
    </row>
    <row r="84" spans="1:76" ht="12.95" customHeight="1" x14ac:dyDescent="0.2">
      <c r="A84" s="268" t="s">
        <v>209</v>
      </c>
      <c r="B84" s="276"/>
      <c r="C84" s="269"/>
      <c r="D84" s="299"/>
      <c r="E84" s="320">
        <f t="shared" si="73"/>
        <v>0</v>
      </c>
      <c r="F84" s="320" t="str">
        <f t="shared" si="87"/>
        <v xml:space="preserve"> </v>
      </c>
      <c r="G84" s="298"/>
      <c r="H84" s="298"/>
      <c r="I84" s="298"/>
      <c r="J84" s="298"/>
      <c r="K84" s="298"/>
      <c r="L84" s="299"/>
      <c r="M84" s="285"/>
      <c r="N84" s="274"/>
      <c r="O84" s="274"/>
      <c r="P84" s="307" t="str">
        <f>IFERROR(VLOOKUP(O84,Références!$K$11:$N$19,2)," ")</f>
        <v xml:space="preserve"> </v>
      </c>
      <c r="Q84" s="307" t="str">
        <f>IFERROR(VLOOKUP(O84,Références!$K$11:$N$19,3)," ")</f>
        <v xml:space="preserve"> </v>
      </c>
      <c r="R84" s="307" t="str">
        <f>IFERROR(VLOOKUP(O84,Références!$K$11:$N$19,4)," ")</f>
        <v xml:space="preserve"> </v>
      </c>
      <c r="S84" s="298"/>
      <c r="T84" s="298"/>
      <c r="U84" s="298"/>
      <c r="V84" s="298"/>
      <c r="W84" s="298"/>
      <c r="X84" s="299"/>
      <c r="Y84" s="298"/>
      <c r="Z84" s="298"/>
      <c r="AA84" s="298"/>
      <c r="AB84" s="277"/>
      <c r="AC84" s="277"/>
      <c r="AD84" s="277"/>
      <c r="AE84" s="277"/>
      <c r="AF84" s="277"/>
      <c r="AG84" s="277"/>
      <c r="AH84" s="277"/>
      <c r="AI84" s="277">
        <f t="shared" si="64"/>
        <v>0</v>
      </c>
      <c r="AJ84" s="299"/>
      <c r="AK84" s="298">
        <f>(AJ84-L84)</f>
        <v>0</v>
      </c>
      <c r="AL84" s="299"/>
      <c r="AM84" s="308">
        <f>(AL84-L84)</f>
        <v>0</v>
      </c>
      <c r="AN84" s="298"/>
      <c r="AO84" s="318"/>
      <c r="AP84" s="303" t="str">
        <f t="shared" si="88"/>
        <v xml:space="preserve"> </v>
      </c>
      <c r="AQ84" s="298"/>
      <c r="AR84" s="337"/>
      <c r="AS84" s="337"/>
      <c r="AT84" s="305"/>
      <c r="AU84" s="319"/>
      <c r="AV84" s="305"/>
      <c r="AW84" s="272"/>
      <c r="AX84" s="342"/>
      <c r="AY84" s="343"/>
      <c r="AZ84" s="272"/>
      <c r="BA84" s="342" t="s">
        <v>234</v>
      </c>
      <c r="BB84" s="337"/>
      <c r="BC84" s="270">
        <f t="shared" si="90"/>
        <v>0</v>
      </c>
      <c r="BD84" s="270">
        <f t="shared" si="91"/>
        <v>0</v>
      </c>
      <c r="BE84" s="270">
        <f t="shared" si="79"/>
        <v>1</v>
      </c>
      <c r="BF84" s="270" t="str">
        <f t="shared" si="89"/>
        <v>ALIVE</v>
      </c>
      <c r="BG84" s="250" t="str">
        <f t="shared" si="80"/>
        <v>Aucune</v>
      </c>
      <c r="BH84" s="250" t="str">
        <f t="shared" si="81"/>
        <v>Aucune</v>
      </c>
      <c r="BI84" s="250" t="str">
        <f t="shared" si="82"/>
        <v>Aucune</v>
      </c>
      <c r="BJ84" s="250" t="str">
        <f t="shared" si="74"/>
        <v>NON</v>
      </c>
      <c r="BK84" s="250" t="str">
        <f t="shared" si="83"/>
        <v>NON</v>
      </c>
      <c r="BL84" s="250" t="str">
        <f t="shared" si="75"/>
        <v>Inconnu</v>
      </c>
      <c r="BM84" s="250" t="str">
        <f t="shared" si="92"/>
        <v>Inconnu</v>
      </c>
      <c r="BN84" s="250" t="str">
        <f t="shared" si="93"/>
        <v>Inconnu</v>
      </c>
      <c r="BO84" s="250" t="str">
        <f t="shared" si="76"/>
        <v>Inconnu</v>
      </c>
      <c r="BP84" s="250" t="str">
        <f t="shared" si="94"/>
        <v>Inconnu</v>
      </c>
      <c r="BQ84" s="250" t="str">
        <f t="shared" si="95"/>
        <v>Inconnu</v>
      </c>
      <c r="BR84" s="250" t="str">
        <f t="shared" si="96"/>
        <v>Aucune</v>
      </c>
      <c r="BS84" s="250">
        <f t="shared" si="84"/>
        <v>0</v>
      </c>
      <c r="BT84" s="271" t="e">
        <f>VLOOKUP($I84,Lieu_Activité!$A:$B,2,FALSE)</f>
        <v>#N/A</v>
      </c>
      <c r="BU84" s="250" t="str">
        <f t="shared" si="85"/>
        <v>Aucun</v>
      </c>
      <c r="BV84" s="250" t="str">
        <f t="shared" si="86"/>
        <v>Aucun</v>
      </c>
      <c r="BW84" s="249" t="str">
        <f t="shared" si="77"/>
        <v>NON</v>
      </c>
      <c r="BX84" s="330"/>
    </row>
    <row r="85" spans="1:76" ht="12.95" customHeight="1" x14ac:dyDescent="0.2">
      <c r="A85" s="268" t="s">
        <v>209</v>
      </c>
      <c r="B85" s="276"/>
      <c r="C85" s="269"/>
      <c r="D85" s="299"/>
      <c r="E85" s="320">
        <f t="shared" si="73"/>
        <v>0</v>
      </c>
      <c r="F85" s="320" t="str">
        <f t="shared" si="87"/>
        <v xml:space="preserve"> </v>
      </c>
      <c r="G85" s="298"/>
      <c r="H85" s="298"/>
      <c r="I85" s="298"/>
      <c r="J85" s="298"/>
      <c r="K85" s="298"/>
      <c r="L85" s="299"/>
      <c r="M85" s="285"/>
      <c r="N85" s="274"/>
      <c r="O85" s="274"/>
      <c r="P85" s="307" t="str">
        <f>IFERROR(VLOOKUP(O85,Références!$K$11:$N$19,2)," ")</f>
        <v xml:space="preserve"> </v>
      </c>
      <c r="Q85" s="307" t="str">
        <f>IFERROR(VLOOKUP(O85,Références!$K$11:$N$19,3)," ")</f>
        <v xml:space="preserve"> </v>
      </c>
      <c r="R85" s="307" t="str">
        <f>IFERROR(VLOOKUP(O85,Références!$K$11:$N$19,4)," ")</f>
        <v xml:space="preserve"> </v>
      </c>
      <c r="S85" s="298"/>
      <c r="T85" s="298"/>
      <c r="U85" s="298"/>
      <c r="V85" s="298"/>
      <c r="W85" s="298"/>
      <c r="X85" s="299"/>
      <c r="Y85" s="298"/>
      <c r="Z85" s="298"/>
      <c r="AA85" s="298"/>
      <c r="AB85" s="277"/>
      <c r="AC85" s="277"/>
      <c r="AD85" s="316"/>
      <c r="AE85" s="277"/>
      <c r="AF85" s="277"/>
      <c r="AG85" s="277"/>
      <c r="AH85" s="277"/>
      <c r="AI85" s="277">
        <f t="shared" si="64"/>
        <v>0</v>
      </c>
      <c r="AJ85" s="299"/>
      <c r="AK85" s="298">
        <f>(AJ85-L85)</f>
        <v>0</v>
      </c>
      <c r="AL85" s="299"/>
      <c r="AM85" s="308">
        <f>(AL85-L85)</f>
        <v>0</v>
      </c>
      <c r="AN85" s="298"/>
      <c r="AO85" s="318"/>
      <c r="AP85" s="303" t="str">
        <f t="shared" si="88"/>
        <v xml:space="preserve"> </v>
      </c>
      <c r="AQ85" s="298"/>
      <c r="AR85" s="337"/>
      <c r="AS85" s="337"/>
      <c r="AT85" s="305"/>
      <c r="AU85" s="319"/>
      <c r="AV85" s="305"/>
      <c r="AW85" s="272"/>
      <c r="AX85" s="342"/>
      <c r="AY85" s="343"/>
      <c r="AZ85" s="272"/>
      <c r="BA85" s="342" t="s">
        <v>234</v>
      </c>
      <c r="BB85" s="337"/>
      <c r="BC85" s="270">
        <f t="shared" si="90"/>
        <v>0</v>
      </c>
      <c r="BD85" s="270">
        <f t="shared" si="91"/>
        <v>0</v>
      </c>
      <c r="BE85" s="270">
        <f t="shared" si="79"/>
        <v>1</v>
      </c>
      <c r="BF85" s="270" t="str">
        <f t="shared" si="89"/>
        <v>ALIVE</v>
      </c>
      <c r="BG85" s="250" t="str">
        <f t="shared" si="80"/>
        <v>Aucune</v>
      </c>
      <c r="BH85" s="250" t="str">
        <f t="shared" si="81"/>
        <v>Aucune</v>
      </c>
      <c r="BI85" s="250" t="str">
        <f t="shared" si="82"/>
        <v>Aucune</v>
      </c>
      <c r="BJ85" s="250" t="str">
        <f t="shared" si="74"/>
        <v>NON</v>
      </c>
      <c r="BK85" s="250" t="str">
        <f t="shared" si="83"/>
        <v>NON</v>
      </c>
      <c r="BL85" s="250" t="str">
        <f t="shared" si="75"/>
        <v>Inconnu</v>
      </c>
      <c r="BM85" s="250" t="str">
        <f t="shared" si="92"/>
        <v>Inconnu</v>
      </c>
      <c r="BN85" s="250" t="str">
        <f t="shared" si="93"/>
        <v>Inconnu</v>
      </c>
      <c r="BO85" s="250" t="str">
        <f t="shared" si="76"/>
        <v>Inconnu</v>
      </c>
      <c r="BP85" s="250" t="str">
        <f t="shared" si="94"/>
        <v>Inconnu</v>
      </c>
      <c r="BQ85" s="250" t="str">
        <f t="shared" si="95"/>
        <v>Inconnu</v>
      </c>
      <c r="BR85" s="250" t="str">
        <f t="shared" si="96"/>
        <v>Aucune</v>
      </c>
      <c r="BS85" s="250">
        <f t="shared" si="84"/>
        <v>0</v>
      </c>
      <c r="BT85" s="271" t="e">
        <f>VLOOKUP($I85,Lieu_Activité!$A:$B,2,FALSE)</f>
        <v>#N/A</v>
      </c>
      <c r="BU85" s="250" t="str">
        <f t="shared" si="85"/>
        <v>Aucun</v>
      </c>
      <c r="BV85" s="250" t="str">
        <f t="shared" si="86"/>
        <v>Aucun</v>
      </c>
      <c r="BW85" s="249" t="str">
        <f t="shared" si="77"/>
        <v>NON</v>
      </c>
      <c r="BX85" s="330"/>
    </row>
    <row r="86" spans="1:76" ht="12.95" customHeight="1" x14ac:dyDescent="0.2">
      <c r="A86" s="268" t="s">
        <v>209</v>
      </c>
      <c r="B86" s="276"/>
      <c r="C86" s="269"/>
      <c r="D86" s="299"/>
      <c r="E86" s="320">
        <f t="shared" si="73"/>
        <v>0</v>
      </c>
      <c r="F86" s="320" t="str">
        <f t="shared" si="87"/>
        <v xml:space="preserve"> </v>
      </c>
      <c r="G86" s="298"/>
      <c r="H86" s="298"/>
      <c r="I86" s="298"/>
      <c r="J86" s="298"/>
      <c r="K86" s="298"/>
      <c r="L86" s="299"/>
      <c r="M86" s="285"/>
      <c r="N86" s="274"/>
      <c r="O86" s="274"/>
      <c r="P86" s="307" t="str">
        <f>IFERROR(VLOOKUP(O86,Références!$K$11:$N$19,2)," ")</f>
        <v xml:space="preserve"> </v>
      </c>
      <c r="Q86" s="307" t="str">
        <f>IFERROR(VLOOKUP(O86,Références!$K$11:$N$19,3)," ")</f>
        <v xml:space="preserve"> </v>
      </c>
      <c r="R86" s="307" t="str">
        <f>IFERROR(VLOOKUP(O86,Références!$K$11:$N$19,4)," ")</f>
        <v xml:space="preserve"> </v>
      </c>
      <c r="S86" s="298"/>
      <c r="T86" s="298"/>
      <c r="U86" s="298"/>
      <c r="V86" s="298"/>
      <c r="W86" s="298"/>
      <c r="X86" s="299"/>
      <c r="Y86" s="298"/>
      <c r="Z86" s="298"/>
      <c r="AA86" s="298"/>
      <c r="AB86" s="277"/>
      <c r="AC86" s="277"/>
      <c r="AD86" s="277"/>
      <c r="AE86" s="277"/>
      <c r="AF86" s="277"/>
      <c r="AG86" s="277"/>
      <c r="AH86" s="277"/>
      <c r="AI86" s="277">
        <f t="shared" si="64"/>
        <v>0</v>
      </c>
      <c r="AJ86" s="299"/>
      <c r="AK86" s="298">
        <f t="shared" si="78"/>
        <v>0</v>
      </c>
      <c r="AL86" s="299"/>
      <c r="AM86" s="308">
        <f t="shared" si="72"/>
        <v>0</v>
      </c>
      <c r="AN86" s="298"/>
      <c r="AO86" s="318"/>
      <c r="AP86" s="303" t="str">
        <f t="shared" si="88"/>
        <v xml:space="preserve"> </v>
      </c>
      <c r="AQ86" s="298"/>
      <c r="AR86" s="337"/>
      <c r="AS86" s="337"/>
      <c r="AT86" s="305"/>
      <c r="AU86" s="319"/>
      <c r="AV86" s="305"/>
      <c r="AW86" s="272"/>
      <c r="AX86" s="342"/>
      <c r="AY86" s="343"/>
      <c r="AZ86" s="272"/>
      <c r="BA86" s="342" t="s">
        <v>234</v>
      </c>
      <c r="BB86" s="337"/>
      <c r="BC86" s="270">
        <f t="shared" si="90"/>
        <v>0</v>
      </c>
      <c r="BD86" s="270">
        <f t="shared" si="91"/>
        <v>0</v>
      </c>
      <c r="BE86" s="270">
        <f t="shared" si="79"/>
        <v>1</v>
      </c>
      <c r="BF86" s="270" t="str">
        <f t="shared" si="89"/>
        <v>ALIVE</v>
      </c>
      <c r="BG86" s="250" t="str">
        <f t="shared" si="80"/>
        <v>Aucune</v>
      </c>
      <c r="BH86" s="250" t="str">
        <f t="shared" si="81"/>
        <v>Aucune</v>
      </c>
      <c r="BI86" s="250" t="str">
        <f t="shared" si="82"/>
        <v>Aucune</v>
      </c>
      <c r="BJ86" s="250" t="str">
        <f t="shared" si="74"/>
        <v>NON</v>
      </c>
      <c r="BK86" s="250" t="str">
        <f t="shared" si="83"/>
        <v>NON</v>
      </c>
      <c r="BL86" s="250" t="str">
        <f t="shared" si="75"/>
        <v>Inconnu</v>
      </c>
      <c r="BM86" s="250" t="str">
        <f t="shared" si="92"/>
        <v>Inconnu</v>
      </c>
      <c r="BN86" s="250" t="str">
        <f t="shared" si="93"/>
        <v>Inconnu</v>
      </c>
      <c r="BO86" s="250" t="str">
        <f t="shared" si="76"/>
        <v>Inconnu</v>
      </c>
      <c r="BP86" s="250" t="str">
        <f t="shared" si="94"/>
        <v>Inconnu</v>
      </c>
      <c r="BQ86" s="250" t="str">
        <f t="shared" si="95"/>
        <v>Inconnu</v>
      </c>
      <c r="BR86" s="250" t="str">
        <f t="shared" si="96"/>
        <v>Aucune</v>
      </c>
      <c r="BS86" s="250">
        <f t="shared" si="84"/>
        <v>0</v>
      </c>
      <c r="BT86" s="271" t="e">
        <f>VLOOKUP($I86,Lieu_Activité!$A:$B,2,FALSE)</f>
        <v>#N/A</v>
      </c>
      <c r="BU86" s="250" t="str">
        <f t="shared" si="85"/>
        <v>Aucun</v>
      </c>
      <c r="BV86" s="250" t="str">
        <f t="shared" si="86"/>
        <v>Aucun</v>
      </c>
      <c r="BW86" s="249" t="str">
        <f t="shared" si="77"/>
        <v>NON</v>
      </c>
      <c r="BX86" s="330"/>
    </row>
    <row r="87" spans="1:76" ht="12.95" customHeight="1" x14ac:dyDescent="0.2">
      <c r="A87" s="268" t="s">
        <v>209</v>
      </c>
      <c r="B87" s="276"/>
      <c r="C87" s="269"/>
      <c r="D87" s="299"/>
      <c r="E87" s="320">
        <f t="shared" si="73"/>
        <v>0</v>
      </c>
      <c r="F87" s="320" t="str">
        <f t="shared" si="87"/>
        <v xml:space="preserve"> </v>
      </c>
      <c r="G87" s="298"/>
      <c r="H87" s="298"/>
      <c r="I87" s="298"/>
      <c r="J87" s="298"/>
      <c r="K87" s="298"/>
      <c r="L87" s="299"/>
      <c r="M87" s="285"/>
      <c r="N87" s="274"/>
      <c r="O87" s="274"/>
      <c r="P87" s="307" t="str">
        <f>IFERROR(VLOOKUP(O87,Références!$K$11:$N$19,2)," ")</f>
        <v xml:space="preserve"> </v>
      </c>
      <c r="Q87" s="307" t="str">
        <f>IFERROR(VLOOKUP(O87,Références!$K$11:$N$19,3)," ")</f>
        <v xml:space="preserve"> </v>
      </c>
      <c r="R87" s="307" t="str">
        <f>IFERROR(VLOOKUP(O87,Références!$K$11:$N$19,4)," ")</f>
        <v xml:space="preserve"> </v>
      </c>
      <c r="S87" s="298"/>
      <c r="T87" s="298"/>
      <c r="U87" s="298"/>
      <c r="V87" s="298"/>
      <c r="W87" s="298"/>
      <c r="X87" s="299"/>
      <c r="Y87" s="298"/>
      <c r="Z87" s="298"/>
      <c r="AA87" s="298"/>
      <c r="AB87" s="277"/>
      <c r="AC87" s="277"/>
      <c r="AD87" s="277"/>
      <c r="AE87" s="277"/>
      <c r="AF87" s="277"/>
      <c r="AG87" s="277"/>
      <c r="AH87" s="277"/>
      <c r="AI87" s="277">
        <f t="shared" si="64"/>
        <v>0</v>
      </c>
      <c r="AJ87" s="299"/>
      <c r="AK87" s="298">
        <f t="shared" ref="AK87:AK92" si="97">(AJ87-L87)</f>
        <v>0</v>
      </c>
      <c r="AL87" s="299"/>
      <c r="AM87" s="308">
        <f t="shared" ref="AM87:AM92" si="98">(AL87-L87)</f>
        <v>0</v>
      </c>
      <c r="AN87" s="298"/>
      <c r="AO87" s="318"/>
      <c r="AP87" s="303" t="str">
        <f t="shared" si="88"/>
        <v xml:space="preserve"> </v>
      </c>
      <c r="AQ87" s="298"/>
      <c r="AR87" s="337"/>
      <c r="AS87" s="337"/>
      <c r="AT87" s="305"/>
      <c r="AU87" s="319"/>
      <c r="AV87" s="305"/>
      <c r="AW87" s="272"/>
      <c r="AX87" s="342"/>
      <c r="AY87" s="343"/>
      <c r="AZ87" s="272"/>
      <c r="BA87" s="342" t="s">
        <v>234</v>
      </c>
      <c r="BB87" s="337"/>
      <c r="BC87" s="270">
        <f t="shared" si="90"/>
        <v>0</v>
      </c>
      <c r="BD87" s="270">
        <f t="shared" si="91"/>
        <v>0</v>
      </c>
      <c r="BE87" s="270">
        <f t="shared" si="79"/>
        <v>1</v>
      </c>
      <c r="BF87" s="270" t="str">
        <f t="shared" si="89"/>
        <v>ALIVE</v>
      </c>
      <c r="BG87" s="250" t="str">
        <f t="shared" si="80"/>
        <v>Aucune</v>
      </c>
      <c r="BH87" s="250" t="str">
        <f t="shared" si="81"/>
        <v>Aucune</v>
      </c>
      <c r="BI87" s="250" t="str">
        <f t="shared" si="82"/>
        <v>Aucune</v>
      </c>
      <c r="BJ87" s="250" t="str">
        <f t="shared" si="74"/>
        <v>NON</v>
      </c>
      <c r="BK87" s="250" t="str">
        <f t="shared" si="83"/>
        <v>NON</v>
      </c>
      <c r="BL87" s="250" t="str">
        <f t="shared" si="75"/>
        <v>Inconnu</v>
      </c>
      <c r="BM87" s="250" t="str">
        <f t="shared" si="92"/>
        <v>Inconnu</v>
      </c>
      <c r="BN87" s="250" t="str">
        <f t="shared" si="93"/>
        <v>Inconnu</v>
      </c>
      <c r="BO87" s="250" t="str">
        <f t="shared" si="76"/>
        <v>Inconnu</v>
      </c>
      <c r="BP87" s="250" t="str">
        <f t="shared" si="94"/>
        <v>Inconnu</v>
      </c>
      <c r="BQ87" s="250" t="str">
        <f t="shared" si="95"/>
        <v>Inconnu</v>
      </c>
      <c r="BR87" s="250" t="str">
        <f t="shared" si="96"/>
        <v>Aucune</v>
      </c>
      <c r="BS87" s="250">
        <f t="shared" si="84"/>
        <v>0</v>
      </c>
      <c r="BT87" s="271" t="e">
        <f>VLOOKUP($I87,Lieu_Activité!$A:$B,2,FALSE)</f>
        <v>#N/A</v>
      </c>
      <c r="BU87" s="250" t="str">
        <f t="shared" si="85"/>
        <v>Aucun</v>
      </c>
      <c r="BV87" s="250" t="str">
        <f t="shared" si="86"/>
        <v>Aucun</v>
      </c>
      <c r="BW87" s="249" t="str">
        <f t="shared" si="77"/>
        <v>NON</v>
      </c>
      <c r="BX87" s="330"/>
    </row>
    <row r="88" spans="1:76" ht="12.95" customHeight="1" x14ac:dyDescent="0.2">
      <c r="A88" s="273" t="s">
        <v>210</v>
      </c>
      <c r="B88" s="276"/>
      <c r="C88" s="269"/>
      <c r="D88" s="299"/>
      <c r="E88" s="320">
        <f t="shared" ref="E88:E113" si="99">(L88-D88)/365</f>
        <v>0</v>
      </c>
      <c r="F88" s="320" t="str">
        <f t="shared" si="87"/>
        <v xml:space="preserve"> </v>
      </c>
      <c r="G88" s="298"/>
      <c r="H88" s="298"/>
      <c r="I88" s="298"/>
      <c r="J88" s="298"/>
      <c r="K88" s="298"/>
      <c r="L88" s="299"/>
      <c r="M88" s="285"/>
      <c r="N88" s="274"/>
      <c r="O88" s="274"/>
      <c r="P88" s="307" t="str">
        <f>IFERROR(VLOOKUP(O88,Références!$K$11:$N$19,2)," ")</f>
        <v xml:space="preserve"> </v>
      </c>
      <c r="Q88" s="307" t="str">
        <f>IFERROR(VLOOKUP(O88,Références!$K$11:$N$19,3)," ")</f>
        <v xml:space="preserve"> </v>
      </c>
      <c r="R88" s="307" t="str">
        <f>IFERROR(VLOOKUP(O88,Références!$K$11:$N$19,4)," ")</f>
        <v xml:space="preserve"> </v>
      </c>
      <c r="S88" s="298"/>
      <c r="T88" s="298"/>
      <c r="U88" s="298"/>
      <c r="V88" s="298"/>
      <c r="W88" s="298"/>
      <c r="X88" s="299"/>
      <c r="Y88" s="298"/>
      <c r="Z88" s="298"/>
      <c r="AA88" s="298"/>
      <c r="AB88" s="277"/>
      <c r="AC88" s="277"/>
      <c r="AD88" s="277"/>
      <c r="AE88" s="277"/>
      <c r="AF88" s="277"/>
      <c r="AG88" s="277"/>
      <c r="AH88" s="277"/>
      <c r="AI88" s="277">
        <f t="shared" si="64"/>
        <v>0</v>
      </c>
      <c r="AJ88" s="299"/>
      <c r="AK88" s="298">
        <f t="shared" si="97"/>
        <v>0</v>
      </c>
      <c r="AL88" s="299"/>
      <c r="AM88" s="308">
        <f t="shared" si="98"/>
        <v>0</v>
      </c>
      <c r="AN88" s="298"/>
      <c r="AO88" s="318"/>
      <c r="AP88" s="303" t="str">
        <f t="shared" si="88"/>
        <v xml:space="preserve"> </v>
      </c>
      <c r="AQ88" s="298"/>
      <c r="AR88" s="337"/>
      <c r="AS88" s="337"/>
      <c r="AT88" s="305"/>
      <c r="AU88" s="319"/>
      <c r="AV88" s="305"/>
      <c r="AW88" s="272"/>
      <c r="AX88" s="342"/>
      <c r="AY88" s="343"/>
      <c r="AZ88" s="272"/>
      <c r="BA88" s="342" t="s">
        <v>234</v>
      </c>
      <c r="BB88" s="337"/>
      <c r="BC88" s="270">
        <f t="shared" si="90"/>
        <v>0</v>
      </c>
      <c r="BD88" s="270">
        <f t="shared" si="91"/>
        <v>0</v>
      </c>
      <c r="BE88" s="270">
        <f t="shared" si="79"/>
        <v>1</v>
      </c>
      <c r="BF88" s="270" t="str">
        <f t="shared" si="89"/>
        <v>ALIVE</v>
      </c>
      <c r="BG88" s="250" t="str">
        <f t="shared" si="80"/>
        <v>Aucune</v>
      </c>
      <c r="BH88" s="250" t="str">
        <f t="shared" si="81"/>
        <v>Aucune</v>
      </c>
      <c r="BI88" s="250" t="str">
        <f t="shared" si="82"/>
        <v>Aucune</v>
      </c>
      <c r="BJ88" s="250" t="str">
        <f t="shared" ref="BJ88:BJ119" si="100">IF(X88&lt;&gt;"",IF(X88-L88&lt;2,"OUI","NON"),"NON")</f>
        <v>NON</v>
      </c>
      <c r="BK88" s="250" t="str">
        <f t="shared" si="83"/>
        <v>NON</v>
      </c>
      <c r="BL88" s="250" t="str">
        <f t="shared" ref="BL88:BL119" si="101">IF(AL88-L88&gt;0,AL88-L88,"Inconnu")</f>
        <v>Inconnu</v>
      </c>
      <c r="BM88" s="250" t="str">
        <f t="shared" si="92"/>
        <v>Inconnu</v>
      </c>
      <c r="BN88" s="250" t="str">
        <f t="shared" si="93"/>
        <v>Inconnu</v>
      </c>
      <c r="BO88" s="250" t="str">
        <f t="shared" ref="BO88:BO119" si="102">IF(AJ88-L88&gt;0,AJ88-L88,"Inconnu")</f>
        <v>Inconnu</v>
      </c>
      <c r="BP88" s="250" t="str">
        <f t="shared" si="94"/>
        <v>Inconnu</v>
      </c>
      <c r="BQ88" s="250" t="str">
        <f t="shared" si="95"/>
        <v>Inconnu</v>
      </c>
      <c r="BR88" s="250" t="str">
        <f t="shared" si="96"/>
        <v>Aucune</v>
      </c>
      <c r="BS88" s="250">
        <f t="shared" si="84"/>
        <v>0</v>
      </c>
      <c r="BT88" s="271" t="e">
        <f>VLOOKUP($I88,Lieu_Activité!$A:$B,2,FALSE)</f>
        <v>#N/A</v>
      </c>
      <c r="BU88" s="250" t="str">
        <f t="shared" si="85"/>
        <v>Aucun</v>
      </c>
      <c r="BV88" s="250" t="str">
        <f t="shared" si="86"/>
        <v>Aucun</v>
      </c>
      <c r="BW88" s="249" t="str">
        <f t="shared" ref="BW88:BW119" si="103">IF(M88="","NON","OUI")</f>
        <v>NON</v>
      </c>
      <c r="BX88" s="330"/>
    </row>
    <row r="89" spans="1:76" ht="12.95" customHeight="1" x14ac:dyDescent="0.2">
      <c r="A89" s="273" t="s">
        <v>210</v>
      </c>
      <c r="B89" s="276"/>
      <c r="C89" s="269"/>
      <c r="D89" s="299"/>
      <c r="E89" s="320">
        <f t="shared" si="99"/>
        <v>0</v>
      </c>
      <c r="F89" s="320" t="str">
        <f t="shared" si="87"/>
        <v xml:space="preserve"> </v>
      </c>
      <c r="G89" s="298"/>
      <c r="H89" s="298"/>
      <c r="I89" s="298"/>
      <c r="J89" s="298"/>
      <c r="K89" s="298"/>
      <c r="L89" s="299"/>
      <c r="M89" s="285"/>
      <c r="N89" s="274"/>
      <c r="O89" s="274"/>
      <c r="P89" s="307" t="str">
        <f>IFERROR(VLOOKUP(O89,Références!$K$11:$N$19,2)," ")</f>
        <v xml:space="preserve"> </v>
      </c>
      <c r="Q89" s="307" t="str">
        <f>IFERROR(VLOOKUP(O89,Références!$K$11:$N$19,3)," ")</f>
        <v xml:space="preserve"> </v>
      </c>
      <c r="R89" s="307" t="str">
        <f>IFERROR(VLOOKUP(O89,Références!$K$11:$N$19,4)," ")</f>
        <v xml:space="preserve"> </v>
      </c>
      <c r="S89" s="298"/>
      <c r="T89" s="298"/>
      <c r="U89" s="298"/>
      <c r="V89" s="298"/>
      <c r="W89" s="298"/>
      <c r="X89" s="299"/>
      <c r="Y89" s="298"/>
      <c r="Z89" s="298"/>
      <c r="AA89" s="298"/>
      <c r="AB89" s="277"/>
      <c r="AC89" s="277"/>
      <c r="AD89" s="277"/>
      <c r="AE89" s="277"/>
      <c r="AF89" s="277"/>
      <c r="AG89" s="277"/>
      <c r="AH89" s="277"/>
      <c r="AI89" s="277">
        <f t="shared" si="64"/>
        <v>0</v>
      </c>
      <c r="AJ89" s="299"/>
      <c r="AK89" s="298">
        <f t="shared" si="97"/>
        <v>0</v>
      </c>
      <c r="AL89" s="299"/>
      <c r="AM89" s="308">
        <f t="shared" si="98"/>
        <v>0</v>
      </c>
      <c r="AN89" s="298"/>
      <c r="AO89" s="318"/>
      <c r="AP89" s="303" t="str">
        <f t="shared" si="88"/>
        <v xml:space="preserve"> </v>
      </c>
      <c r="AQ89" s="298"/>
      <c r="AR89" s="337"/>
      <c r="AS89" s="337"/>
      <c r="AT89" s="305"/>
      <c r="AU89" s="319"/>
      <c r="AV89" s="305"/>
      <c r="AW89" s="272"/>
      <c r="AX89" s="342"/>
      <c r="AY89" s="343"/>
      <c r="AZ89" s="272"/>
      <c r="BA89" s="342" t="s">
        <v>234</v>
      </c>
      <c r="BB89" s="337"/>
      <c r="BC89" s="270">
        <f t="shared" si="90"/>
        <v>0</v>
      </c>
      <c r="BD89" s="270">
        <f t="shared" si="91"/>
        <v>0</v>
      </c>
      <c r="BE89" s="270">
        <f t="shared" si="79"/>
        <v>1</v>
      </c>
      <c r="BF89" s="270" t="str">
        <f t="shared" si="89"/>
        <v>ALIVE</v>
      </c>
      <c r="BG89" s="250" t="str">
        <f t="shared" si="80"/>
        <v>Aucune</v>
      </c>
      <c r="BH89" s="250" t="str">
        <f t="shared" si="81"/>
        <v>Aucune</v>
      </c>
      <c r="BI89" s="250" t="str">
        <f t="shared" si="82"/>
        <v>Aucune</v>
      </c>
      <c r="BJ89" s="250" t="str">
        <f t="shared" si="100"/>
        <v>NON</v>
      </c>
      <c r="BK89" s="250" t="str">
        <f t="shared" si="83"/>
        <v>NON</v>
      </c>
      <c r="BL89" s="250" t="str">
        <f t="shared" si="101"/>
        <v>Inconnu</v>
      </c>
      <c r="BM89" s="250" t="str">
        <f t="shared" si="92"/>
        <v>Inconnu</v>
      </c>
      <c r="BN89" s="250" t="str">
        <f t="shared" si="93"/>
        <v>Inconnu</v>
      </c>
      <c r="BO89" s="250" t="str">
        <f t="shared" si="102"/>
        <v>Inconnu</v>
      </c>
      <c r="BP89" s="250" t="str">
        <f t="shared" si="94"/>
        <v>Inconnu</v>
      </c>
      <c r="BQ89" s="250" t="str">
        <f t="shared" si="95"/>
        <v>Inconnu</v>
      </c>
      <c r="BR89" s="250" t="str">
        <f t="shared" si="96"/>
        <v>Aucune</v>
      </c>
      <c r="BS89" s="250">
        <f t="shared" si="84"/>
        <v>0</v>
      </c>
      <c r="BT89" s="271" t="e">
        <f>VLOOKUP($I89,Lieu_Activité!$A:$B,2,FALSE)</f>
        <v>#N/A</v>
      </c>
      <c r="BU89" s="250" t="str">
        <f t="shared" si="85"/>
        <v>Aucun</v>
      </c>
      <c r="BV89" s="250" t="str">
        <f t="shared" si="86"/>
        <v>Aucun</v>
      </c>
      <c r="BW89" s="249" t="str">
        <f t="shared" si="103"/>
        <v>NON</v>
      </c>
      <c r="BX89" s="330"/>
    </row>
    <row r="90" spans="1:76" ht="12.95" customHeight="1" x14ac:dyDescent="0.2">
      <c r="A90" s="273" t="s">
        <v>210</v>
      </c>
      <c r="B90" s="276"/>
      <c r="C90" s="269"/>
      <c r="D90" s="299"/>
      <c r="E90" s="320">
        <f t="shared" si="99"/>
        <v>0</v>
      </c>
      <c r="F90" s="320" t="str">
        <f t="shared" si="87"/>
        <v xml:space="preserve"> </v>
      </c>
      <c r="G90" s="298"/>
      <c r="H90" s="298"/>
      <c r="I90" s="298"/>
      <c r="J90" s="298"/>
      <c r="K90" s="298"/>
      <c r="L90" s="299"/>
      <c r="M90" s="285"/>
      <c r="N90" s="274"/>
      <c r="O90" s="274"/>
      <c r="P90" s="307" t="str">
        <f>IFERROR(VLOOKUP(O90,Références!$K$11:$N$19,2)," ")</f>
        <v xml:space="preserve"> </v>
      </c>
      <c r="Q90" s="307" t="str">
        <f>IFERROR(VLOOKUP(O90,Références!$K$11:$N$19,3)," ")</f>
        <v xml:space="preserve"> </v>
      </c>
      <c r="R90" s="307" t="str">
        <f>IFERROR(VLOOKUP(O90,Références!$K$11:$N$19,4)," ")</f>
        <v xml:space="preserve"> </v>
      </c>
      <c r="S90" s="298"/>
      <c r="T90" s="298"/>
      <c r="U90" s="298"/>
      <c r="V90" s="298"/>
      <c r="W90" s="298"/>
      <c r="X90" s="299"/>
      <c r="Y90" s="298"/>
      <c r="Z90" s="298"/>
      <c r="AA90" s="298"/>
      <c r="AB90" s="277"/>
      <c r="AC90" s="277"/>
      <c r="AD90" s="277"/>
      <c r="AE90" s="277"/>
      <c r="AF90" s="277"/>
      <c r="AG90" s="277"/>
      <c r="AH90" s="277"/>
      <c r="AI90" s="277">
        <f t="shared" si="64"/>
        <v>0</v>
      </c>
      <c r="AJ90" s="299"/>
      <c r="AK90" s="298">
        <f t="shared" si="97"/>
        <v>0</v>
      </c>
      <c r="AL90" s="299"/>
      <c r="AM90" s="308">
        <f t="shared" si="98"/>
        <v>0</v>
      </c>
      <c r="AN90" s="298"/>
      <c r="AO90" s="318"/>
      <c r="AP90" s="303" t="str">
        <f t="shared" si="88"/>
        <v xml:space="preserve"> </v>
      </c>
      <c r="AQ90" s="298"/>
      <c r="AR90" s="337"/>
      <c r="AS90" s="337"/>
      <c r="AT90" s="305"/>
      <c r="AU90" s="319"/>
      <c r="AV90" s="305"/>
      <c r="AW90" s="272"/>
      <c r="AX90" s="342"/>
      <c r="AY90" s="343"/>
      <c r="AZ90" s="272"/>
      <c r="BA90" s="342" t="s">
        <v>234</v>
      </c>
      <c r="BB90" s="337"/>
      <c r="BC90" s="270">
        <f t="shared" si="90"/>
        <v>0</v>
      </c>
      <c r="BD90" s="270">
        <f t="shared" si="91"/>
        <v>0</v>
      </c>
      <c r="BE90" s="270">
        <f t="shared" si="79"/>
        <v>1</v>
      </c>
      <c r="BF90" s="270" t="str">
        <f t="shared" si="89"/>
        <v>ALIVE</v>
      </c>
      <c r="BG90" s="250" t="str">
        <f t="shared" si="80"/>
        <v>Aucune</v>
      </c>
      <c r="BH90" s="250" t="str">
        <f t="shared" si="81"/>
        <v>Aucune</v>
      </c>
      <c r="BI90" s="250" t="str">
        <f t="shared" si="82"/>
        <v>Aucune</v>
      </c>
      <c r="BJ90" s="250" t="str">
        <f t="shared" si="100"/>
        <v>NON</v>
      </c>
      <c r="BK90" s="250" t="str">
        <f t="shared" si="83"/>
        <v>NON</v>
      </c>
      <c r="BL90" s="250" t="str">
        <f t="shared" si="101"/>
        <v>Inconnu</v>
      </c>
      <c r="BM90" s="250" t="str">
        <f t="shared" si="92"/>
        <v>Inconnu</v>
      </c>
      <c r="BN90" s="250" t="str">
        <f t="shared" si="93"/>
        <v>Inconnu</v>
      </c>
      <c r="BO90" s="250" t="str">
        <f t="shared" si="102"/>
        <v>Inconnu</v>
      </c>
      <c r="BP90" s="250" t="str">
        <f t="shared" si="94"/>
        <v>Inconnu</v>
      </c>
      <c r="BQ90" s="250" t="str">
        <f t="shared" si="95"/>
        <v>Inconnu</v>
      </c>
      <c r="BR90" s="250" t="str">
        <f t="shared" si="96"/>
        <v>Aucune</v>
      </c>
      <c r="BS90" s="250">
        <f t="shared" si="84"/>
        <v>0</v>
      </c>
      <c r="BT90" s="271" t="e">
        <f>VLOOKUP($I90,Lieu_Activité!$A:$B,2,FALSE)</f>
        <v>#N/A</v>
      </c>
      <c r="BU90" s="250" t="str">
        <f t="shared" si="85"/>
        <v>Aucun</v>
      </c>
      <c r="BV90" s="250" t="str">
        <f t="shared" si="86"/>
        <v>Aucun</v>
      </c>
      <c r="BW90" s="249" t="str">
        <f t="shared" si="103"/>
        <v>NON</v>
      </c>
      <c r="BX90" s="330"/>
    </row>
    <row r="91" spans="1:76" ht="12.95" customHeight="1" x14ac:dyDescent="0.2">
      <c r="A91" s="273" t="s">
        <v>210</v>
      </c>
      <c r="B91" s="276"/>
      <c r="C91" s="269"/>
      <c r="D91" s="299"/>
      <c r="E91" s="320">
        <f t="shared" si="99"/>
        <v>0</v>
      </c>
      <c r="F91" s="320" t="str">
        <f t="shared" si="87"/>
        <v xml:space="preserve"> </v>
      </c>
      <c r="G91" s="298"/>
      <c r="H91" s="298"/>
      <c r="I91" s="298"/>
      <c r="J91" s="298"/>
      <c r="K91" s="298"/>
      <c r="L91" s="299"/>
      <c r="M91" s="285"/>
      <c r="N91" s="274"/>
      <c r="O91" s="274"/>
      <c r="P91" s="307" t="str">
        <f>IFERROR(VLOOKUP(O91,Références!$K$11:$N$19,2)," ")</f>
        <v xml:space="preserve"> </v>
      </c>
      <c r="Q91" s="307" t="str">
        <f>IFERROR(VLOOKUP(O91,Références!$K$11:$N$19,3)," ")</f>
        <v xml:space="preserve"> </v>
      </c>
      <c r="R91" s="307" t="str">
        <f>IFERROR(VLOOKUP(O91,Références!$K$11:$N$19,4)," ")</f>
        <v xml:space="preserve"> </v>
      </c>
      <c r="S91" s="298"/>
      <c r="T91" s="298"/>
      <c r="U91" s="298"/>
      <c r="V91" s="298"/>
      <c r="W91" s="298"/>
      <c r="X91" s="299"/>
      <c r="Y91" s="298"/>
      <c r="Z91" s="298"/>
      <c r="AA91" s="298"/>
      <c r="AB91" s="277"/>
      <c r="AC91" s="277"/>
      <c r="AD91" s="316"/>
      <c r="AE91" s="277"/>
      <c r="AF91" s="277"/>
      <c r="AG91" s="277"/>
      <c r="AH91" s="277"/>
      <c r="AI91" s="277">
        <f t="shared" ref="AI91:AI113" si="104">SUM(AF91,AH91)</f>
        <v>0</v>
      </c>
      <c r="AJ91" s="299"/>
      <c r="AK91" s="298">
        <f t="shared" si="97"/>
        <v>0</v>
      </c>
      <c r="AL91" s="299"/>
      <c r="AM91" s="308">
        <f t="shared" si="98"/>
        <v>0</v>
      </c>
      <c r="AN91" s="298"/>
      <c r="AO91" s="318"/>
      <c r="AP91" s="303" t="str">
        <f t="shared" si="88"/>
        <v xml:space="preserve"> </v>
      </c>
      <c r="AQ91" s="298"/>
      <c r="AR91" s="337"/>
      <c r="AS91" s="337"/>
      <c r="AT91" s="305"/>
      <c r="AU91" s="319"/>
      <c r="AV91" s="305"/>
      <c r="AW91" s="272"/>
      <c r="AX91" s="342"/>
      <c r="AY91" s="343"/>
      <c r="AZ91" s="272"/>
      <c r="BA91" s="342" t="s">
        <v>234</v>
      </c>
      <c r="BB91" s="337"/>
      <c r="BC91" s="270">
        <f t="shared" si="90"/>
        <v>0</v>
      </c>
      <c r="BD91" s="270">
        <f t="shared" si="91"/>
        <v>0</v>
      </c>
      <c r="BE91" s="270">
        <f t="shared" si="79"/>
        <v>1</v>
      </c>
      <c r="BF91" s="270" t="str">
        <f t="shared" si="89"/>
        <v>ALIVE</v>
      </c>
      <c r="BG91" s="250" t="str">
        <f t="shared" si="80"/>
        <v>Aucune</v>
      </c>
      <c r="BH91" s="250" t="str">
        <f t="shared" si="81"/>
        <v>Aucune</v>
      </c>
      <c r="BI91" s="250" t="str">
        <f t="shared" si="82"/>
        <v>Aucune</v>
      </c>
      <c r="BJ91" s="250" t="str">
        <f t="shared" si="100"/>
        <v>NON</v>
      </c>
      <c r="BK91" s="250" t="str">
        <f t="shared" si="83"/>
        <v>NON</v>
      </c>
      <c r="BL91" s="250" t="str">
        <f t="shared" si="101"/>
        <v>Inconnu</v>
      </c>
      <c r="BM91" s="250" t="str">
        <f t="shared" si="92"/>
        <v>Inconnu</v>
      </c>
      <c r="BN91" s="250" t="str">
        <f t="shared" si="93"/>
        <v>Inconnu</v>
      </c>
      <c r="BO91" s="250" t="str">
        <f t="shared" si="102"/>
        <v>Inconnu</v>
      </c>
      <c r="BP91" s="250" t="str">
        <f t="shared" si="94"/>
        <v>Inconnu</v>
      </c>
      <c r="BQ91" s="250" t="str">
        <f t="shared" si="95"/>
        <v>Inconnu</v>
      </c>
      <c r="BR91" s="250" t="str">
        <f t="shared" si="96"/>
        <v>Aucune</v>
      </c>
      <c r="BS91" s="250">
        <f t="shared" si="84"/>
        <v>0</v>
      </c>
      <c r="BT91" s="271" t="e">
        <f>VLOOKUP($I91,Lieu_Activité!$A:$B,2,FALSE)</f>
        <v>#N/A</v>
      </c>
      <c r="BU91" s="250" t="str">
        <f t="shared" si="85"/>
        <v>Aucun</v>
      </c>
      <c r="BV91" s="250" t="str">
        <f t="shared" si="86"/>
        <v>Aucun</v>
      </c>
      <c r="BW91" s="249" t="str">
        <f t="shared" si="103"/>
        <v>NON</v>
      </c>
      <c r="BX91" s="330"/>
    </row>
    <row r="92" spans="1:76" ht="12.95" customHeight="1" x14ac:dyDescent="0.2">
      <c r="A92" s="273" t="s">
        <v>210</v>
      </c>
      <c r="B92" s="309"/>
      <c r="C92" s="269"/>
      <c r="D92" s="299"/>
      <c r="E92" s="320">
        <f t="shared" si="99"/>
        <v>0</v>
      </c>
      <c r="F92" s="320" t="str">
        <f t="shared" si="87"/>
        <v xml:space="preserve"> </v>
      </c>
      <c r="G92" s="298"/>
      <c r="H92" s="298"/>
      <c r="I92" s="298"/>
      <c r="J92" s="298"/>
      <c r="K92" s="298"/>
      <c r="L92" s="299"/>
      <c r="M92" s="285"/>
      <c r="N92" s="274"/>
      <c r="O92" s="274"/>
      <c r="P92" s="307" t="str">
        <f>IFERROR(VLOOKUP(O92,Références!$K$11:$N$19,2)," ")</f>
        <v xml:space="preserve"> </v>
      </c>
      <c r="Q92" s="307" t="str">
        <f>IFERROR(VLOOKUP(O92,Références!$K$11:$N$19,3)," ")</f>
        <v xml:space="preserve"> </v>
      </c>
      <c r="R92" s="307" t="str">
        <f>IFERROR(VLOOKUP(O92,Références!$K$11:$N$19,4)," ")</f>
        <v xml:space="preserve"> </v>
      </c>
      <c r="S92" s="298"/>
      <c r="T92" s="298"/>
      <c r="U92" s="298"/>
      <c r="V92" s="298"/>
      <c r="W92" s="298"/>
      <c r="X92" s="299"/>
      <c r="Y92" s="298"/>
      <c r="Z92" s="298"/>
      <c r="AA92" s="298"/>
      <c r="AB92" s="277"/>
      <c r="AC92" s="277"/>
      <c r="AD92" s="277"/>
      <c r="AE92" s="277"/>
      <c r="AF92" s="277"/>
      <c r="AG92" s="277"/>
      <c r="AH92" s="277"/>
      <c r="AI92" s="277">
        <f t="shared" si="104"/>
        <v>0</v>
      </c>
      <c r="AJ92" s="299"/>
      <c r="AK92" s="298">
        <f t="shared" si="97"/>
        <v>0</v>
      </c>
      <c r="AL92" s="299"/>
      <c r="AM92" s="308">
        <f t="shared" si="98"/>
        <v>0</v>
      </c>
      <c r="AN92" s="298"/>
      <c r="AO92" s="318"/>
      <c r="AP92" s="303" t="str">
        <f t="shared" si="88"/>
        <v xml:space="preserve"> </v>
      </c>
      <c r="AQ92" s="298"/>
      <c r="AR92" s="337"/>
      <c r="AS92" s="337"/>
      <c r="AT92" s="305"/>
      <c r="AU92" s="319"/>
      <c r="AV92" s="305"/>
      <c r="AW92" s="272"/>
      <c r="AX92" s="342"/>
      <c r="AY92" s="343"/>
      <c r="AZ92" s="272"/>
      <c r="BA92" s="342"/>
      <c r="BB92" s="337"/>
      <c r="BC92" s="270">
        <f t="shared" si="90"/>
        <v>0</v>
      </c>
      <c r="BD92" s="270">
        <f t="shared" si="91"/>
        <v>0</v>
      </c>
      <c r="BE92" s="270">
        <f t="shared" si="79"/>
        <v>1</v>
      </c>
      <c r="BF92" s="270" t="str">
        <f t="shared" si="89"/>
        <v>ALIVE</v>
      </c>
      <c r="BG92" s="250" t="str">
        <f t="shared" si="80"/>
        <v>Aucune</v>
      </c>
      <c r="BH92" s="250" t="str">
        <f t="shared" si="81"/>
        <v>Aucune</v>
      </c>
      <c r="BI92" s="250" t="str">
        <f t="shared" si="82"/>
        <v>Aucune</v>
      </c>
      <c r="BJ92" s="250" t="str">
        <f t="shared" si="100"/>
        <v>NON</v>
      </c>
      <c r="BK92" s="250" t="str">
        <f t="shared" si="83"/>
        <v>NON</v>
      </c>
      <c r="BL92" s="250" t="str">
        <f t="shared" si="101"/>
        <v>Inconnu</v>
      </c>
      <c r="BM92" s="250" t="str">
        <f t="shared" si="92"/>
        <v>Inconnu</v>
      </c>
      <c r="BN92" s="250" t="str">
        <f t="shared" si="93"/>
        <v>Inconnu</v>
      </c>
      <c r="BO92" s="250" t="str">
        <f t="shared" si="102"/>
        <v>Inconnu</v>
      </c>
      <c r="BP92" s="250" t="str">
        <f t="shared" si="94"/>
        <v>Inconnu</v>
      </c>
      <c r="BQ92" s="250" t="str">
        <f t="shared" si="95"/>
        <v>Inconnu</v>
      </c>
      <c r="BR92" s="250" t="str">
        <f t="shared" si="96"/>
        <v>Aucune</v>
      </c>
      <c r="BS92" s="250">
        <f t="shared" si="84"/>
        <v>0</v>
      </c>
      <c r="BT92" s="271" t="e">
        <f>VLOOKUP($I92,Lieu_Activité!$A:$B,2,FALSE)</f>
        <v>#N/A</v>
      </c>
      <c r="BU92" s="250" t="str">
        <f t="shared" si="85"/>
        <v>Aucun</v>
      </c>
      <c r="BV92" s="250" t="str">
        <f t="shared" si="86"/>
        <v>Aucun</v>
      </c>
      <c r="BW92" s="249" t="str">
        <f t="shared" si="103"/>
        <v>NON</v>
      </c>
      <c r="BX92" s="330"/>
    </row>
    <row r="93" spans="1:76" ht="12.95" customHeight="1" x14ac:dyDescent="0.2">
      <c r="A93" s="273" t="s">
        <v>210</v>
      </c>
      <c r="B93" s="276"/>
      <c r="C93" s="269"/>
      <c r="D93" s="299"/>
      <c r="E93" s="320">
        <f t="shared" si="99"/>
        <v>0</v>
      </c>
      <c r="F93" s="320" t="str">
        <f t="shared" si="87"/>
        <v xml:space="preserve"> </v>
      </c>
      <c r="G93" s="298"/>
      <c r="H93" s="298"/>
      <c r="I93" s="298"/>
      <c r="J93" s="298"/>
      <c r="K93" s="298"/>
      <c r="L93" s="299"/>
      <c r="M93" s="285"/>
      <c r="N93" s="274"/>
      <c r="O93" s="274"/>
      <c r="P93" s="307" t="str">
        <f>IFERROR(VLOOKUP(O93,Références!$K$11:$N$19,2)," ")</f>
        <v xml:space="preserve"> </v>
      </c>
      <c r="Q93" s="307" t="str">
        <f>IFERROR(VLOOKUP(O93,Références!$K$11:$N$19,3)," ")</f>
        <v xml:space="preserve"> </v>
      </c>
      <c r="R93" s="307" t="str">
        <f>IFERROR(VLOOKUP(O93,Références!$K$11:$N$19,4)," ")</f>
        <v xml:space="preserve"> </v>
      </c>
      <c r="S93" s="298"/>
      <c r="T93" s="298"/>
      <c r="U93" s="298"/>
      <c r="V93" s="298"/>
      <c r="W93" s="298"/>
      <c r="X93" s="299"/>
      <c r="Y93" s="298"/>
      <c r="Z93" s="298"/>
      <c r="AA93" s="298"/>
      <c r="AB93" s="277"/>
      <c r="AC93" s="277"/>
      <c r="AD93" s="277"/>
      <c r="AE93" s="277"/>
      <c r="AF93" s="277"/>
      <c r="AG93" s="277"/>
      <c r="AH93" s="277"/>
      <c r="AI93" s="277">
        <f t="shared" si="104"/>
        <v>0</v>
      </c>
      <c r="AJ93" s="299"/>
      <c r="AK93" s="298">
        <f t="shared" ref="AK93:AK112" si="105">(AJ93-L93)</f>
        <v>0</v>
      </c>
      <c r="AL93" s="299"/>
      <c r="AM93" s="308">
        <f t="shared" ref="AM93:AM112" si="106">(AL93-L93)</f>
        <v>0</v>
      </c>
      <c r="AN93" s="298"/>
      <c r="AO93" s="318"/>
      <c r="AP93" s="303" t="str">
        <f t="shared" si="88"/>
        <v xml:space="preserve"> </v>
      </c>
      <c r="AQ93" s="298"/>
      <c r="AR93" s="337"/>
      <c r="AS93" s="337"/>
      <c r="AT93" s="305"/>
      <c r="AU93" s="319"/>
      <c r="AV93" s="305"/>
      <c r="AW93" s="272"/>
      <c r="AX93" s="342"/>
      <c r="AY93" s="343"/>
      <c r="AZ93" s="272"/>
      <c r="BA93" s="342" t="s">
        <v>234</v>
      </c>
      <c r="BB93" s="337"/>
      <c r="BC93" s="270">
        <f t="shared" ref="BC93:BC112" si="107">IF(BG93="Aucune",0,1)</f>
        <v>0</v>
      </c>
      <c r="BD93" s="270">
        <f t="shared" ref="BD93:BD112" si="108">IF(BH93="Aucune",0,1)</f>
        <v>0</v>
      </c>
      <c r="BE93" s="270">
        <f t="shared" si="79"/>
        <v>1</v>
      </c>
      <c r="BF93" s="270" t="str">
        <f t="shared" si="89"/>
        <v>ALIVE</v>
      </c>
      <c r="BG93" s="250" t="str">
        <f t="shared" si="80"/>
        <v>Aucune</v>
      </c>
      <c r="BH93" s="250" t="str">
        <f t="shared" si="81"/>
        <v>Aucune</v>
      </c>
      <c r="BI93" s="250" t="str">
        <f t="shared" si="82"/>
        <v>Aucune</v>
      </c>
      <c r="BJ93" s="250" t="str">
        <f t="shared" si="100"/>
        <v>NON</v>
      </c>
      <c r="BK93" s="250" t="str">
        <f t="shared" si="83"/>
        <v>NON</v>
      </c>
      <c r="BL93" s="250" t="str">
        <f t="shared" si="101"/>
        <v>Inconnu</v>
      </c>
      <c r="BM93" s="250" t="str">
        <f t="shared" ref="BM93:BM112" si="109">IF($O93&lt;&gt;"HTX",IF($O93&lt;&gt;"LVAD",BL93,"Inconnu"),"Inconnu")</f>
        <v>Inconnu</v>
      </c>
      <c r="BN93" s="250" t="str">
        <f t="shared" ref="BN93:BN112" si="110">IF($O93="HTX",BL93,IF($O93="LVAD",BL93,"Inconnu"))</f>
        <v>Inconnu</v>
      </c>
      <c r="BO93" s="250" t="str">
        <f t="shared" si="102"/>
        <v>Inconnu</v>
      </c>
      <c r="BP93" s="250" t="str">
        <f t="shared" ref="BP93:BP112" si="111">IF($O93&lt;&gt;"HTX",IF($O93&lt;&gt;"LVAD",BO93,"Inconnu"),"Inconnu")</f>
        <v>Inconnu</v>
      </c>
      <c r="BQ93" s="250" t="str">
        <f t="shared" ref="BQ93:BQ112" si="112">IF($O93="HTX",BO93,IF($O93="LVAD",BO93,"Inconnu"))</f>
        <v>Inconnu</v>
      </c>
      <c r="BR93" s="250" t="str">
        <f t="shared" ref="BR93:BR112" si="113">IF(BH93="Aucune",IF(BI93="Aucune","Aucune","Transfusé"),"Transfusé")</f>
        <v>Aucune</v>
      </c>
      <c r="BS93" s="250">
        <f t="shared" si="84"/>
        <v>0</v>
      </c>
      <c r="BT93" s="271" t="e">
        <f>VLOOKUP($I93,Lieu_Activité!$A:$B,2,FALSE)</f>
        <v>#N/A</v>
      </c>
      <c r="BU93" s="250" t="str">
        <f t="shared" si="85"/>
        <v>Aucun</v>
      </c>
      <c r="BV93" s="250" t="str">
        <f t="shared" si="86"/>
        <v>Aucun</v>
      </c>
      <c r="BW93" s="249" t="str">
        <f t="shared" si="103"/>
        <v>NON</v>
      </c>
      <c r="BX93" s="330"/>
    </row>
    <row r="94" spans="1:76" ht="12.95" customHeight="1" x14ac:dyDescent="0.2">
      <c r="A94" s="273" t="s">
        <v>210</v>
      </c>
      <c r="B94" s="276"/>
      <c r="C94" s="269"/>
      <c r="D94" s="299"/>
      <c r="E94" s="320">
        <f t="shared" ref="E94:E101" si="114">(L94-D94)/365</f>
        <v>0</v>
      </c>
      <c r="F94" s="320" t="str">
        <f t="shared" si="87"/>
        <v xml:space="preserve"> </v>
      </c>
      <c r="G94" s="298"/>
      <c r="H94" s="298"/>
      <c r="I94" s="298"/>
      <c r="J94" s="298"/>
      <c r="K94" s="298"/>
      <c r="L94" s="299"/>
      <c r="M94" s="285"/>
      <c r="N94" s="274"/>
      <c r="O94" s="274"/>
      <c r="P94" s="307" t="str">
        <f>IFERROR(VLOOKUP(O94,Références!$K$11:$N$19,2)," ")</f>
        <v xml:space="preserve"> </v>
      </c>
      <c r="Q94" s="307" t="str">
        <f>IFERROR(VLOOKUP(O94,Références!$K$11:$N$19,3)," ")</f>
        <v xml:space="preserve"> </v>
      </c>
      <c r="R94" s="307" t="str">
        <f>IFERROR(VLOOKUP(O94,Références!$K$11:$N$19,4)," ")</f>
        <v xml:space="preserve"> </v>
      </c>
      <c r="S94" s="298"/>
      <c r="T94" s="298"/>
      <c r="U94" s="298"/>
      <c r="V94" s="298"/>
      <c r="W94" s="298"/>
      <c r="X94" s="299"/>
      <c r="Y94" s="298"/>
      <c r="Z94" s="298"/>
      <c r="AA94" s="298"/>
      <c r="AB94" s="277"/>
      <c r="AC94" s="277"/>
      <c r="AD94" s="277"/>
      <c r="AE94" s="277"/>
      <c r="AF94" s="277"/>
      <c r="AG94" s="277"/>
      <c r="AH94" s="277"/>
      <c r="AI94" s="277">
        <f t="shared" ref="AI94:AI101" si="115">SUM(AF94,AH94)</f>
        <v>0</v>
      </c>
      <c r="AJ94" s="299"/>
      <c r="AK94" s="298">
        <f t="shared" ref="AK94:AK101" si="116">(AJ94-L94)</f>
        <v>0</v>
      </c>
      <c r="AL94" s="299"/>
      <c r="AM94" s="308">
        <f t="shared" ref="AM94:AM101" si="117">(AL94-L94)</f>
        <v>0</v>
      </c>
      <c r="AN94" s="298"/>
      <c r="AO94" s="318"/>
      <c r="AP94" s="303" t="str">
        <f t="shared" si="88"/>
        <v xml:space="preserve"> </v>
      </c>
      <c r="AQ94" s="298"/>
      <c r="AR94" s="337"/>
      <c r="AS94" s="337"/>
      <c r="AT94" s="305"/>
      <c r="AU94" s="319"/>
      <c r="AV94" s="305"/>
      <c r="AW94" s="272"/>
      <c r="AX94" s="342"/>
      <c r="AY94" s="343"/>
      <c r="AZ94" s="272"/>
      <c r="BA94" s="342" t="s">
        <v>234</v>
      </c>
      <c r="BB94" s="337"/>
      <c r="BC94" s="270">
        <f t="shared" ref="BC94:BC101" si="118">IF(BG94="Aucune",0,1)</f>
        <v>0</v>
      </c>
      <c r="BD94" s="270">
        <f t="shared" ref="BD94:BD101" si="119">IF(BH94="Aucune",0,1)</f>
        <v>0</v>
      </c>
      <c r="BE94" s="270">
        <f t="shared" si="79"/>
        <v>1</v>
      </c>
      <c r="BF94" s="270" t="str">
        <f t="shared" si="89"/>
        <v>ALIVE</v>
      </c>
      <c r="BG94" s="250" t="str">
        <f t="shared" si="80"/>
        <v>Aucune</v>
      </c>
      <c r="BH94" s="250" t="str">
        <f t="shared" si="81"/>
        <v>Aucune</v>
      </c>
      <c r="BI94" s="250" t="str">
        <f t="shared" si="82"/>
        <v>Aucune</v>
      </c>
      <c r="BJ94" s="250" t="str">
        <f t="shared" si="100"/>
        <v>NON</v>
      </c>
      <c r="BK94" s="250" t="str">
        <f t="shared" si="83"/>
        <v>NON</v>
      </c>
      <c r="BL94" s="250" t="str">
        <f t="shared" si="101"/>
        <v>Inconnu</v>
      </c>
      <c r="BM94" s="250" t="str">
        <f t="shared" ref="BM94:BM101" si="120">IF($O94&lt;&gt;"HTX",IF($O94&lt;&gt;"LVAD",BL94,"Inconnu"),"Inconnu")</f>
        <v>Inconnu</v>
      </c>
      <c r="BN94" s="250" t="str">
        <f t="shared" ref="BN94:BN101" si="121">IF($O94="HTX",BL94,IF($O94="LVAD",BL94,"Inconnu"))</f>
        <v>Inconnu</v>
      </c>
      <c r="BO94" s="250" t="str">
        <f t="shared" si="102"/>
        <v>Inconnu</v>
      </c>
      <c r="BP94" s="250" t="str">
        <f t="shared" ref="BP94:BP101" si="122">IF($O94&lt;&gt;"HTX",IF($O94&lt;&gt;"LVAD",BO94,"Inconnu"),"Inconnu")</f>
        <v>Inconnu</v>
      </c>
      <c r="BQ94" s="250" t="str">
        <f t="shared" ref="BQ94:BQ101" si="123">IF($O94="HTX",BO94,IF($O94="LVAD",BO94,"Inconnu"))</f>
        <v>Inconnu</v>
      </c>
      <c r="BR94" s="250" t="str">
        <f t="shared" ref="BR94:BR101" si="124">IF(BH94="Aucune",IF(BI94="Aucune","Aucune","Transfusé"),"Transfusé")</f>
        <v>Aucune</v>
      </c>
      <c r="BS94" s="250">
        <f t="shared" si="84"/>
        <v>0</v>
      </c>
      <c r="BT94" s="271" t="e">
        <f>VLOOKUP($I94,Lieu_Activité!$A:$B,2,FALSE)</f>
        <v>#N/A</v>
      </c>
      <c r="BU94" s="250" t="str">
        <f t="shared" si="85"/>
        <v>Aucun</v>
      </c>
      <c r="BV94" s="250" t="str">
        <f t="shared" si="86"/>
        <v>Aucun</v>
      </c>
      <c r="BW94" s="249" t="str">
        <f t="shared" si="103"/>
        <v>NON</v>
      </c>
      <c r="BX94" s="330"/>
    </row>
    <row r="95" spans="1:76" ht="12.95" customHeight="1" x14ac:dyDescent="0.2">
      <c r="A95" s="273" t="s">
        <v>210</v>
      </c>
      <c r="B95" s="276"/>
      <c r="C95" s="269"/>
      <c r="D95" s="299"/>
      <c r="E95" s="320">
        <f t="shared" si="114"/>
        <v>0</v>
      </c>
      <c r="F95" s="320" t="str">
        <f t="shared" si="87"/>
        <v xml:space="preserve"> </v>
      </c>
      <c r="G95" s="298"/>
      <c r="H95" s="298"/>
      <c r="I95" s="298"/>
      <c r="J95" s="298"/>
      <c r="K95" s="298"/>
      <c r="L95" s="299"/>
      <c r="M95" s="285"/>
      <c r="N95" s="274"/>
      <c r="O95" s="274"/>
      <c r="P95" s="307" t="str">
        <f>IFERROR(VLOOKUP(O95,Références!$K$11:$N$19,2)," ")</f>
        <v xml:space="preserve"> </v>
      </c>
      <c r="Q95" s="307" t="str">
        <f>IFERROR(VLOOKUP(O95,Références!$K$11:$N$19,3)," ")</f>
        <v xml:space="preserve"> </v>
      </c>
      <c r="R95" s="307" t="str">
        <f>IFERROR(VLOOKUP(O95,Références!$K$11:$N$19,4)," ")</f>
        <v xml:space="preserve"> </v>
      </c>
      <c r="S95" s="298"/>
      <c r="T95" s="298"/>
      <c r="U95" s="298"/>
      <c r="V95" s="298"/>
      <c r="W95" s="298"/>
      <c r="X95" s="299"/>
      <c r="Y95" s="298"/>
      <c r="Z95" s="298"/>
      <c r="AA95" s="298"/>
      <c r="AB95" s="277"/>
      <c r="AC95" s="277"/>
      <c r="AD95" s="277"/>
      <c r="AE95" s="277"/>
      <c r="AF95" s="277"/>
      <c r="AG95" s="277"/>
      <c r="AH95" s="277"/>
      <c r="AI95" s="277">
        <f t="shared" si="115"/>
        <v>0</v>
      </c>
      <c r="AJ95" s="299"/>
      <c r="AK95" s="298">
        <f t="shared" si="116"/>
        <v>0</v>
      </c>
      <c r="AL95" s="299"/>
      <c r="AM95" s="308">
        <f t="shared" si="117"/>
        <v>0</v>
      </c>
      <c r="AN95" s="298"/>
      <c r="AO95" s="318"/>
      <c r="AP95" s="303" t="str">
        <f t="shared" si="88"/>
        <v xml:space="preserve"> </v>
      </c>
      <c r="AQ95" s="298"/>
      <c r="AR95" s="337"/>
      <c r="AS95" s="337"/>
      <c r="AT95" s="305"/>
      <c r="AU95" s="319"/>
      <c r="AV95" s="305"/>
      <c r="AW95" s="272"/>
      <c r="AX95" s="342"/>
      <c r="AY95" s="343"/>
      <c r="AZ95" s="272"/>
      <c r="BA95" s="342"/>
      <c r="BB95" s="343"/>
      <c r="BC95" s="270">
        <f t="shared" si="118"/>
        <v>0</v>
      </c>
      <c r="BD95" s="270">
        <f t="shared" si="119"/>
        <v>0</v>
      </c>
      <c r="BE95" s="270">
        <f t="shared" si="79"/>
        <v>1</v>
      </c>
      <c r="BF95" s="270" t="str">
        <f t="shared" si="89"/>
        <v>ALIVE</v>
      </c>
      <c r="BG95" s="250" t="str">
        <f t="shared" si="80"/>
        <v>Aucune</v>
      </c>
      <c r="BH95" s="250" t="str">
        <f t="shared" si="81"/>
        <v>Aucune</v>
      </c>
      <c r="BI95" s="250" t="str">
        <f t="shared" si="82"/>
        <v>Aucune</v>
      </c>
      <c r="BJ95" s="250" t="str">
        <f t="shared" si="100"/>
        <v>NON</v>
      </c>
      <c r="BK95" s="250" t="str">
        <f t="shared" si="83"/>
        <v>NON</v>
      </c>
      <c r="BL95" s="250" t="str">
        <f t="shared" si="101"/>
        <v>Inconnu</v>
      </c>
      <c r="BM95" s="250" t="str">
        <f t="shared" si="120"/>
        <v>Inconnu</v>
      </c>
      <c r="BN95" s="250" t="str">
        <f t="shared" si="121"/>
        <v>Inconnu</v>
      </c>
      <c r="BO95" s="250" t="str">
        <f t="shared" si="102"/>
        <v>Inconnu</v>
      </c>
      <c r="BP95" s="250" t="str">
        <f t="shared" si="122"/>
        <v>Inconnu</v>
      </c>
      <c r="BQ95" s="250" t="str">
        <f t="shared" si="123"/>
        <v>Inconnu</v>
      </c>
      <c r="BR95" s="250" t="str">
        <f t="shared" si="124"/>
        <v>Aucune</v>
      </c>
      <c r="BS95" s="250">
        <f t="shared" si="84"/>
        <v>0</v>
      </c>
      <c r="BT95" s="271" t="e">
        <f>VLOOKUP($I95,Lieu_Activité!$A:$B,2,FALSE)</f>
        <v>#N/A</v>
      </c>
      <c r="BU95" s="250" t="str">
        <f t="shared" si="85"/>
        <v>Aucun</v>
      </c>
      <c r="BV95" s="250" t="str">
        <f t="shared" si="86"/>
        <v>Aucun</v>
      </c>
      <c r="BW95" s="249" t="str">
        <f t="shared" si="103"/>
        <v>NON</v>
      </c>
      <c r="BX95" s="330"/>
    </row>
    <row r="96" spans="1:76" ht="12.95" customHeight="1" x14ac:dyDescent="0.2">
      <c r="A96" s="273" t="s">
        <v>210</v>
      </c>
      <c r="B96" s="276"/>
      <c r="C96" s="269"/>
      <c r="D96" s="299"/>
      <c r="E96" s="320">
        <f t="shared" si="114"/>
        <v>0</v>
      </c>
      <c r="F96" s="320" t="str">
        <f t="shared" si="87"/>
        <v xml:space="preserve"> </v>
      </c>
      <c r="G96" s="298"/>
      <c r="H96" s="298"/>
      <c r="I96" s="298"/>
      <c r="J96" s="298"/>
      <c r="K96" s="298"/>
      <c r="L96" s="299"/>
      <c r="M96" s="285"/>
      <c r="N96" s="274"/>
      <c r="O96" s="274"/>
      <c r="P96" s="307" t="str">
        <f>IFERROR(VLOOKUP(O96,Références!$K$11:$N$19,2)," ")</f>
        <v xml:space="preserve"> </v>
      </c>
      <c r="Q96" s="307" t="str">
        <f>IFERROR(VLOOKUP(O96,Références!$K$11:$N$19,3)," ")</f>
        <v xml:space="preserve"> </v>
      </c>
      <c r="R96" s="307" t="str">
        <f>IFERROR(VLOOKUP(O96,Références!$K$11:$N$19,4)," ")</f>
        <v xml:space="preserve"> </v>
      </c>
      <c r="S96" s="298"/>
      <c r="T96" s="298"/>
      <c r="U96" s="298"/>
      <c r="V96" s="298"/>
      <c r="W96" s="298"/>
      <c r="X96" s="299"/>
      <c r="Y96" s="298"/>
      <c r="Z96" s="298"/>
      <c r="AA96" s="298"/>
      <c r="AB96" s="277"/>
      <c r="AC96" s="277"/>
      <c r="AD96" s="277"/>
      <c r="AE96" s="277"/>
      <c r="AF96" s="277"/>
      <c r="AG96" s="277"/>
      <c r="AH96" s="277"/>
      <c r="AI96" s="277">
        <f t="shared" si="115"/>
        <v>0</v>
      </c>
      <c r="AJ96" s="299"/>
      <c r="AK96" s="298">
        <f t="shared" si="116"/>
        <v>0</v>
      </c>
      <c r="AL96" s="299"/>
      <c r="AM96" s="308">
        <f t="shared" si="117"/>
        <v>0</v>
      </c>
      <c r="AN96" s="298"/>
      <c r="AO96" s="318"/>
      <c r="AP96" s="303" t="str">
        <f t="shared" si="88"/>
        <v xml:space="preserve"> </v>
      </c>
      <c r="AQ96" s="298"/>
      <c r="AR96" s="337"/>
      <c r="AS96" s="337"/>
      <c r="AT96" s="305"/>
      <c r="AU96" s="319"/>
      <c r="AV96" s="305"/>
      <c r="AW96" s="272"/>
      <c r="AX96" s="342"/>
      <c r="AY96" s="343"/>
      <c r="AZ96" s="272"/>
      <c r="BA96" s="342" t="s">
        <v>234</v>
      </c>
      <c r="BB96" s="337"/>
      <c r="BC96" s="270">
        <f t="shared" si="118"/>
        <v>0</v>
      </c>
      <c r="BD96" s="270">
        <f t="shared" si="119"/>
        <v>0</v>
      </c>
      <c r="BE96" s="270">
        <f t="shared" si="79"/>
        <v>1</v>
      </c>
      <c r="BF96" s="270" t="str">
        <f t="shared" si="89"/>
        <v>ALIVE</v>
      </c>
      <c r="BG96" s="250" t="str">
        <f t="shared" si="80"/>
        <v>Aucune</v>
      </c>
      <c r="BH96" s="250" t="str">
        <f t="shared" si="81"/>
        <v>Aucune</v>
      </c>
      <c r="BI96" s="250" t="str">
        <f t="shared" si="82"/>
        <v>Aucune</v>
      </c>
      <c r="BJ96" s="250" t="str">
        <f t="shared" si="100"/>
        <v>NON</v>
      </c>
      <c r="BK96" s="250" t="str">
        <f t="shared" si="83"/>
        <v>NON</v>
      </c>
      <c r="BL96" s="250" t="str">
        <f t="shared" si="101"/>
        <v>Inconnu</v>
      </c>
      <c r="BM96" s="250" t="str">
        <f t="shared" si="120"/>
        <v>Inconnu</v>
      </c>
      <c r="BN96" s="250" t="str">
        <f t="shared" si="121"/>
        <v>Inconnu</v>
      </c>
      <c r="BO96" s="250" t="str">
        <f t="shared" si="102"/>
        <v>Inconnu</v>
      </c>
      <c r="BP96" s="250" t="str">
        <f t="shared" si="122"/>
        <v>Inconnu</v>
      </c>
      <c r="BQ96" s="250" t="str">
        <f t="shared" si="123"/>
        <v>Inconnu</v>
      </c>
      <c r="BR96" s="250" t="str">
        <f t="shared" si="124"/>
        <v>Aucune</v>
      </c>
      <c r="BS96" s="250">
        <f t="shared" si="84"/>
        <v>0</v>
      </c>
      <c r="BT96" s="271" t="e">
        <f>VLOOKUP($I96,Lieu_Activité!$A:$B,2,FALSE)</f>
        <v>#N/A</v>
      </c>
      <c r="BU96" s="250" t="str">
        <f t="shared" si="85"/>
        <v>Aucun</v>
      </c>
      <c r="BV96" s="250" t="str">
        <f t="shared" si="86"/>
        <v>Aucun</v>
      </c>
      <c r="BW96" s="249" t="str">
        <f t="shared" si="103"/>
        <v>NON</v>
      </c>
      <c r="BX96" s="330"/>
    </row>
    <row r="97" spans="1:76" ht="12.95" customHeight="1" x14ac:dyDescent="0.2">
      <c r="A97" s="273" t="s">
        <v>210</v>
      </c>
      <c r="B97" s="276"/>
      <c r="C97" s="269"/>
      <c r="D97" s="299"/>
      <c r="E97" s="320">
        <f t="shared" si="114"/>
        <v>0</v>
      </c>
      <c r="F97" s="320" t="str">
        <f t="shared" si="87"/>
        <v xml:space="preserve"> </v>
      </c>
      <c r="G97" s="298"/>
      <c r="H97" s="298"/>
      <c r="I97" s="298"/>
      <c r="J97" s="298"/>
      <c r="K97" s="298"/>
      <c r="L97" s="299"/>
      <c r="M97" s="285"/>
      <c r="N97" s="274"/>
      <c r="O97" s="274"/>
      <c r="P97" s="307" t="str">
        <f>IFERROR(VLOOKUP(O97,Références!$K$11:$N$19,2)," ")</f>
        <v xml:space="preserve"> </v>
      </c>
      <c r="Q97" s="307" t="str">
        <f>IFERROR(VLOOKUP(O97,Références!$K$11:$N$19,3)," ")</f>
        <v xml:space="preserve"> </v>
      </c>
      <c r="R97" s="307" t="str">
        <f>IFERROR(VLOOKUP(O97,Références!$K$11:$N$19,4)," ")</f>
        <v xml:space="preserve"> </v>
      </c>
      <c r="S97" s="298"/>
      <c r="T97" s="298"/>
      <c r="U97" s="298"/>
      <c r="V97" s="298"/>
      <c r="W97" s="298"/>
      <c r="X97" s="299"/>
      <c r="Y97" s="298"/>
      <c r="Z97" s="298"/>
      <c r="AA97" s="298"/>
      <c r="AB97" s="277"/>
      <c r="AC97" s="277"/>
      <c r="AD97" s="277"/>
      <c r="AE97" s="277"/>
      <c r="AF97" s="277"/>
      <c r="AG97" s="277"/>
      <c r="AH97" s="277"/>
      <c r="AI97" s="277">
        <f t="shared" si="115"/>
        <v>0</v>
      </c>
      <c r="AJ97" s="299"/>
      <c r="AK97" s="298">
        <f t="shared" si="116"/>
        <v>0</v>
      </c>
      <c r="AL97" s="299"/>
      <c r="AM97" s="308">
        <f t="shared" si="117"/>
        <v>0</v>
      </c>
      <c r="AN97" s="298"/>
      <c r="AO97" s="318"/>
      <c r="AP97" s="303" t="str">
        <f t="shared" si="88"/>
        <v xml:space="preserve"> </v>
      </c>
      <c r="AQ97" s="298"/>
      <c r="AR97" s="337"/>
      <c r="AS97" s="337"/>
      <c r="AT97" s="305"/>
      <c r="AU97" s="319"/>
      <c r="AV97" s="305"/>
      <c r="AW97" s="272"/>
      <c r="AX97" s="342"/>
      <c r="AY97" s="343"/>
      <c r="AZ97" s="272"/>
      <c r="BA97" s="342" t="s">
        <v>234</v>
      </c>
      <c r="BB97" s="337"/>
      <c r="BC97" s="270">
        <f t="shared" si="118"/>
        <v>0</v>
      </c>
      <c r="BD97" s="270">
        <f t="shared" si="119"/>
        <v>0</v>
      </c>
      <c r="BE97" s="270">
        <f t="shared" si="79"/>
        <v>1</v>
      </c>
      <c r="BF97" s="270" t="str">
        <f t="shared" si="89"/>
        <v>ALIVE</v>
      </c>
      <c r="BG97" s="250" t="str">
        <f t="shared" si="80"/>
        <v>Aucune</v>
      </c>
      <c r="BH97" s="250" t="str">
        <f t="shared" si="81"/>
        <v>Aucune</v>
      </c>
      <c r="BI97" s="250" t="str">
        <f t="shared" si="82"/>
        <v>Aucune</v>
      </c>
      <c r="BJ97" s="250" t="str">
        <f t="shared" si="100"/>
        <v>NON</v>
      </c>
      <c r="BK97" s="250" t="str">
        <f t="shared" si="83"/>
        <v>NON</v>
      </c>
      <c r="BL97" s="250" t="str">
        <f t="shared" si="101"/>
        <v>Inconnu</v>
      </c>
      <c r="BM97" s="250" t="str">
        <f t="shared" si="120"/>
        <v>Inconnu</v>
      </c>
      <c r="BN97" s="250" t="str">
        <f t="shared" si="121"/>
        <v>Inconnu</v>
      </c>
      <c r="BO97" s="250" t="str">
        <f t="shared" si="102"/>
        <v>Inconnu</v>
      </c>
      <c r="BP97" s="250" t="str">
        <f t="shared" si="122"/>
        <v>Inconnu</v>
      </c>
      <c r="BQ97" s="250" t="str">
        <f t="shared" si="123"/>
        <v>Inconnu</v>
      </c>
      <c r="BR97" s="250" t="str">
        <f t="shared" si="124"/>
        <v>Aucune</v>
      </c>
      <c r="BS97" s="250">
        <f t="shared" si="84"/>
        <v>0</v>
      </c>
      <c r="BT97" s="271" t="e">
        <f>VLOOKUP($I97,Lieu_Activité!$A:$B,2,FALSE)</f>
        <v>#N/A</v>
      </c>
      <c r="BU97" s="250" t="str">
        <f t="shared" si="85"/>
        <v>Aucun</v>
      </c>
      <c r="BV97" s="250" t="str">
        <f t="shared" si="86"/>
        <v>Aucun</v>
      </c>
      <c r="BW97" s="249" t="str">
        <f t="shared" si="103"/>
        <v>NON</v>
      </c>
      <c r="BX97" s="330"/>
    </row>
    <row r="98" spans="1:76" ht="12.95" customHeight="1" x14ac:dyDescent="0.2">
      <c r="A98" s="273" t="s">
        <v>210</v>
      </c>
      <c r="B98" s="276"/>
      <c r="C98" s="269"/>
      <c r="D98" s="299"/>
      <c r="E98" s="320">
        <f t="shared" si="114"/>
        <v>0</v>
      </c>
      <c r="F98" s="320" t="str">
        <f t="shared" si="87"/>
        <v xml:space="preserve"> </v>
      </c>
      <c r="G98" s="298"/>
      <c r="H98" s="298"/>
      <c r="I98" s="298"/>
      <c r="J98" s="298"/>
      <c r="K98" s="298"/>
      <c r="L98" s="299"/>
      <c r="M98" s="285"/>
      <c r="N98" s="274"/>
      <c r="O98" s="274"/>
      <c r="P98" s="307" t="str">
        <f>IFERROR(VLOOKUP(O98,Références!$K$11:$N$19,2)," ")</f>
        <v xml:space="preserve"> </v>
      </c>
      <c r="Q98" s="307" t="str">
        <f>IFERROR(VLOOKUP(O98,Références!$K$11:$N$19,3)," ")</f>
        <v xml:space="preserve"> </v>
      </c>
      <c r="R98" s="307" t="str">
        <f>IFERROR(VLOOKUP(O98,Références!$K$11:$N$19,4)," ")</f>
        <v xml:space="preserve"> </v>
      </c>
      <c r="S98" s="298"/>
      <c r="T98" s="298"/>
      <c r="U98" s="298"/>
      <c r="V98" s="298"/>
      <c r="W98" s="298"/>
      <c r="X98" s="299"/>
      <c r="Y98" s="298"/>
      <c r="Z98" s="298"/>
      <c r="AA98" s="298"/>
      <c r="AB98" s="277"/>
      <c r="AC98" s="277"/>
      <c r="AD98" s="277"/>
      <c r="AE98" s="277"/>
      <c r="AF98" s="277"/>
      <c r="AG98" s="277"/>
      <c r="AH98" s="277"/>
      <c r="AI98" s="277">
        <f t="shared" si="115"/>
        <v>0</v>
      </c>
      <c r="AJ98" s="299"/>
      <c r="AK98" s="298">
        <f t="shared" si="116"/>
        <v>0</v>
      </c>
      <c r="AL98" s="299"/>
      <c r="AM98" s="308">
        <f t="shared" si="117"/>
        <v>0</v>
      </c>
      <c r="AN98" s="298"/>
      <c r="AO98" s="318"/>
      <c r="AP98" s="303" t="str">
        <f t="shared" si="88"/>
        <v xml:space="preserve"> </v>
      </c>
      <c r="AQ98" s="298"/>
      <c r="AR98" s="337"/>
      <c r="AS98" s="337"/>
      <c r="AT98" s="305"/>
      <c r="AU98" s="319"/>
      <c r="AV98" s="305"/>
      <c r="AW98" s="272"/>
      <c r="AX98" s="342"/>
      <c r="AY98" s="343"/>
      <c r="AZ98" s="272"/>
      <c r="BA98" s="342" t="s">
        <v>234</v>
      </c>
      <c r="BB98" s="337"/>
      <c r="BC98" s="270">
        <f t="shared" si="118"/>
        <v>0</v>
      </c>
      <c r="BD98" s="270">
        <f t="shared" si="119"/>
        <v>0</v>
      </c>
      <c r="BE98" s="270">
        <f t="shared" si="79"/>
        <v>1</v>
      </c>
      <c r="BF98" s="270" t="str">
        <f t="shared" si="89"/>
        <v>ALIVE</v>
      </c>
      <c r="BG98" s="250" t="str">
        <f t="shared" si="80"/>
        <v>Aucune</v>
      </c>
      <c r="BH98" s="250" t="str">
        <f t="shared" si="81"/>
        <v>Aucune</v>
      </c>
      <c r="BI98" s="250" t="str">
        <f t="shared" si="82"/>
        <v>Aucune</v>
      </c>
      <c r="BJ98" s="250" t="str">
        <f t="shared" si="100"/>
        <v>NON</v>
      </c>
      <c r="BK98" s="250" t="str">
        <f t="shared" si="83"/>
        <v>NON</v>
      </c>
      <c r="BL98" s="250" t="str">
        <f t="shared" si="101"/>
        <v>Inconnu</v>
      </c>
      <c r="BM98" s="250" t="str">
        <f t="shared" si="120"/>
        <v>Inconnu</v>
      </c>
      <c r="BN98" s="250" t="str">
        <f t="shared" si="121"/>
        <v>Inconnu</v>
      </c>
      <c r="BO98" s="250" t="str">
        <f t="shared" si="102"/>
        <v>Inconnu</v>
      </c>
      <c r="BP98" s="250" t="str">
        <f t="shared" si="122"/>
        <v>Inconnu</v>
      </c>
      <c r="BQ98" s="250" t="str">
        <f t="shared" si="123"/>
        <v>Inconnu</v>
      </c>
      <c r="BR98" s="250" t="str">
        <f t="shared" si="124"/>
        <v>Aucune</v>
      </c>
      <c r="BS98" s="250">
        <f t="shared" ref="BS98:BS121" si="125">AF98+AH98</f>
        <v>0</v>
      </c>
      <c r="BT98" s="271" t="e">
        <f>VLOOKUP($I98,Lieu_Activité!$A:$B,2,FALSE)</f>
        <v>#N/A</v>
      </c>
      <c r="BU98" s="250" t="str">
        <f t="shared" si="85"/>
        <v>Aucun</v>
      </c>
      <c r="BV98" s="250" t="str">
        <f t="shared" si="86"/>
        <v>Aucun</v>
      </c>
      <c r="BW98" s="249" t="str">
        <f t="shared" si="103"/>
        <v>NON</v>
      </c>
      <c r="BX98" s="330"/>
    </row>
    <row r="99" spans="1:76" ht="12.95" customHeight="1" x14ac:dyDescent="0.2">
      <c r="A99" s="273" t="s">
        <v>210</v>
      </c>
      <c r="B99" s="276"/>
      <c r="C99" s="269"/>
      <c r="D99" s="299"/>
      <c r="E99" s="320">
        <f t="shared" si="114"/>
        <v>0</v>
      </c>
      <c r="F99" s="320" t="str">
        <f t="shared" si="87"/>
        <v xml:space="preserve"> </v>
      </c>
      <c r="G99" s="298"/>
      <c r="H99" s="298"/>
      <c r="I99" s="298"/>
      <c r="J99" s="298"/>
      <c r="K99" s="298"/>
      <c r="L99" s="299"/>
      <c r="M99" s="285"/>
      <c r="N99" s="274"/>
      <c r="O99" s="274"/>
      <c r="P99" s="307" t="str">
        <f>IFERROR(VLOOKUP(O99,Références!$K$11:$N$19,2)," ")</f>
        <v xml:space="preserve"> </v>
      </c>
      <c r="Q99" s="307" t="str">
        <f>IFERROR(VLOOKUP(O99,Références!$K$11:$N$19,3)," ")</f>
        <v xml:space="preserve"> </v>
      </c>
      <c r="R99" s="307" t="str">
        <f>IFERROR(VLOOKUP(O99,Références!$K$11:$N$19,4)," ")</f>
        <v xml:space="preserve"> </v>
      </c>
      <c r="S99" s="298"/>
      <c r="T99" s="298"/>
      <c r="U99" s="298"/>
      <c r="V99" s="298"/>
      <c r="W99" s="298"/>
      <c r="X99" s="299"/>
      <c r="Y99" s="298"/>
      <c r="Z99" s="298"/>
      <c r="AA99" s="298"/>
      <c r="AB99" s="277"/>
      <c r="AC99" s="277"/>
      <c r="AD99" s="277"/>
      <c r="AE99" s="277"/>
      <c r="AF99" s="277"/>
      <c r="AG99" s="277"/>
      <c r="AH99" s="277"/>
      <c r="AI99" s="277">
        <f t="shared" si="115"/>
        <v>0</v>
      </c>
      <c r="AJ99" s="299"/>
      <c r="AK99" s="298">
        <f t="shared" si="116"/>
        <v>0</v>
      </c>
      <c r="AL99" s="299"/>
      <c r="AM99" s="308">
        <f t="shared" si="117"/>
        <v>0</v>
      </c>
      <c r="AN99" s="298"/>
      <c r="AO99" s="318"/>
      <c r="AP99" s="303" t="str">
        <f t="shared" si="88"/>
        <v xml:space="preserve"> </v>
      </c>
      <c r="AQ99" s="298"/>
      <c r="AR99" s="337"/>
      <c r="AS99" s="337"/>
      <c r="AT99" s="305"/>
      <c r="AU99" s="319"/>
      <c r="AV99" s="305"/>
      <c r="AW99" s="272"/>
      <c r="AX99" s="342"/>
      <c r="AY99" s="343"/>
      <c r="AZ99" s="272"/>
      <c r="BA99" s="342" t="s">
        <v>234</v>
      </c>
      <c r="BB99" s="337"/>
      <c r="BC99" s="270">
        <f t="shared" si="118"/>
        <v>0</v>
      </c>
      <c r="BD99" s="270">
        <f t="shared" si="119"/>
        <v>0</v>
      </c>
      <c r="BE99" s="270">
        <f t="shared" si="79"/>
        <v>1</v>
      </c>
      <c r="BF99" s="270" t="str">
        <f t="shared" si="89"/>
        <v>ALIVE</v>
      </c>
      <c r="BG99" s="250" t="str">
        <f t="shared" si="80"/>
        <v>Aucune</v>
      </c>
      <c r="BH99" s="250" t="str">
        <f t="shared" si="81"/>
        <v>Aucune</v>
      </c>
      <c r="BI99" s="250" t="str">
        <f t="shared" si="82"/>
        <v>Aucune</v>
      </c>
      <c r="BJ99" s="250" t="str">
        <f t="shared" si="100"/>
        <v>NON</v>
      </c>
      <c r="BK99" s="250" t="str">
        <f t="shared" si="83"/>
        <v>NON</v>
      </c>
      <c r="BL99" s="250" t="str">
        <f t="shared" si="101"/>
        <v>Inconnu</v>
      </c>
      <c r="BM99" s="250" t="str">
        <f t="shared" si="120"/>
        <v>Inconnu</v>
      </c>
      <c r="BN99" s="250" t="str">
        <f t="shared" si="121"/>
        <v>Inconnu</v>
      </c>
      <c r="BO99" s="250" t="str">
        <f t="shared" si="102"/>
        <v>Inconnu</v>
      </c>
      <c r="BP99" s="250" t="str">
        <f t="shared" si="122"/>
        <v>Inconnu</v>
      </c>
      <c r="BQ99" s="250" t="str">
        <f t="shared" si="123"/>
        <v>Inconnu</v>
      </c>
      <c r="BR99" s="250" t="str">
        <f t="shared" si="124"/>
        <v>Aucune</v>
      </c>
      <c r="BS99" s="250">
        <f t="shared" si="125"/>
        <v>0</v>
      </c>
      <c r="BT99" s="271" t="e">
        <f>VLOOKUP($I99,Lieu_Activité!$A:$B,2,FALSE)</f>
        <v>#N/A</v>
      </c>
      <c r="BU99" s="250" t="str">
        <f t="shared" si="85"/>
        <v>Aucun</v>
      </c>
      <c r="BV99" s="250" t="str">
        <f t="shared" si="86"/>
        <v>Aucun</v>
      </c>
      <c r="BW99" s="249" t="str">
        <f t="shared" si="103"/>
        <v>NON</v>
      </c>
      <c r="BX99" s="330"/>
    </row>
    <row r="100" spans="1:76" ht="12.95" customHeight="1" x14ac:dyDescent="0.2">
      <c r="A100" s="273" t="s">
        <v>210</v>
      </c>
      <c r="B100" s="276"/>
      <c r="C100" s="269"/>
      <c r="D100" s="299"/>
      <c r="E100" s="320">
        <f t="shared" si="114"/>
        <v>0</v>
      </c>
      <c r="F100" s="320" t="str">
        <f t="shared" si="87"/>
        <v xml:space="preserve"> </v>
      </c>
      <c r="G100" s="298"/>
      <c r="H100" s="298"/>
      <c r="I100" s="298"/>
      <c r="J100" s="298"/>
      <c r="K100" s="298"/>
      <c r="L100" s="299"/>
      <c r="M100" s="285"/>
      <c r="N100" s="274"/>
      <c r="O100" s="274"/>
      <c r="P100" s="307" t="str">
        <f>IFERROR(VLOOKUP(O100,Références!$K$11:$N$19,2)," ")</f>
        <v xml:space="preserve"> </v>
      </c>
      <c r="Q100" s="307" t="str">
        <f>IFERROR(VLOOKUP(O100,Références!$K$11:$N$19,3)," ")</f>
        <v xml:space="preserve"> </v>
      </c>
      <c r="R100" s="307" t="str">
        <f>IFERROR(VLOOKUP(O100,Références!$K$11:$N$19,4)," ")</f>
        <v xml:space="preserve"> </v>
      </c>
      <c r="S100" s="298"/>
      <c r="T100" s="298"/>
      <c r="U100" s="298"/>
      <c r="V100" s="298"/>
      <c r="W100" s="298"/>
      <c r="X100" s="299"/>
      <c r="Y100" s="298"/>
      <c r="Z100" s="298"/>
      <c r="AA100" s="298"/>
      <c r="AB100" s="277"/>
      <c r="AC100" s="277"/>
      <c r="AD100" s="277"/>
      <c r="AE100" s="277"/>
      <c r="AF100" s="277"/>
      <c r="AG100" s="277"/>
      <c r="AH100" s="277"/>
      <c r="AI100" s="277">
        <f t="shared" si="115"/>
        <v>0</v>
      </c>
      <c r="AJ100" s="299"/>
      <c r="AK100" s="298">
        <f t="shared" si="116"/>
        <v>0</v>
      </c>
      <c r="AL100" s="299"/>
      <c r="AM100" s="308">
        <f t="shared" si="117"/>
        <v>0</v>
      </c>
      <c r="AN100" s="298"/>
      <c r="AO100" s="318"/>
      <c r="AP100" s="303" t="str">
        <f t="shared" si="88"/>
        <v xml:space="preserve"> </v>
      </c>
      <c r="AQ100" s="298"/>
      <c r="AR100" s="337"/>
      <c r="AS100" s="337"/>
      <c r="AT100" s="305"/>
      <c r="AU100" s="319"/>
      <c r="AV100" s="305"/>
      <c r="AW100" s="272"/>
      <c r="AX100" s="342"/>
      <c r="AY100" s="343"/>
      <c r="AZ100" s="272"/>
      <c r="BA100" s="342" t="s">
        <v>234</v>
      </c>
      <c r="BB100" s="337"/>
      <c r="BC100" s="270">
        <f t="shared" si="118"/>
        <v>0</v>
      </c>
      <c r="BD100" s="270">
        <f t="shared" si="119"/>
        <v>0</v>
      </c>
      <c r="BE100" s="270">
        <f t="shared" si="79"/>
        <v>1</v>
      </c>
      <c r="BF100" s="270" t="str">
        <f t="shared" si="89"/>
        <v>ALIVE</v>
      </c>
      <c r="BG100" s="250" t="str">
        <f t="shared" si="80"/>
        <v>Aucune</v>
      </c>
      <c r="BH100" s="250" t="str">
        <f t="shared" si="81"/>
        <v>Aucune</v>
      </c>
      <c r="BI100" s="250" t="str">
        <f t="shared" si="82"/>
        <v>Aucune</v>
      </c>
      <c r="BJ100" s="250" t="str">
        <f t="shared" si="100"/>
        <v>NON</v>
      </c>
      <c r="BK100" s="250" t="str">
        <f t="shared" si="83"/>
        <v>NON</v>
      </c>
      <c r="BL100" s="250" t="str">
        <f t="shared" si="101"/>
        <v>Inconnu</v>
      </c>
      <c r="BM100" s="250" t="str">
        <f t="shared" si="120"/>
        <v>Inconnu</v>
      </c>
      <c r="BN100" s="250" t="str">
        <f t="shared" si="121"/>
        <v>Inconnu</v>
      </c>
      <c r="BO100" s="250" t="str">
        <f t="shared" si="102"/>
        <v>Inconnu</v>
      </c>
      <c r="BP100" s="250" t="str">
        <f t="shared" si="122"/>
        <v>Inconnu</v>
      </c>
      <c r="BQ100" s="250" t="str">
        <f t="shared" si="123"/>
        <v>Inconnu</v>
      </c>
      <c r="BR100" s="250" t="str">
        <f t="shared" si="124"/>
        <v>Aucune</v>
      </c>
      <c r="BS100" s="250">
        <f t="shared" si="125"/>
        <v>0</v>
      </c>
      <c r="BT100" s="271" t="e">
        <f>VLOOKUP($I100,Lieu_Activité!$A:$B,2,FALSE)</f>
        <v>#N/A</v>
      </c>
      <c r="BU100" s="250" t="str">
        <f t="shared" si="85"/>
        <v>Aucun</v>
      </c>
      <c r="BV100" s="250" t="str">
        <f t="shared" si="86"/>
        <v>Aucun</v>
      </c>
      <c r="BW100" s="249" t="str">
        <f t="shared" si="103"/>
        <v>NON</v>
      </c>
      <c r="BX100" s="330"/>
    </row>
    <row r="101" spans="1:76" ht="12.95" customHeight="1" x14ac:dyDescent="0.2">
      <c r="A101" s="273" t="s">
        <v>210</v>
      </c>
      <c r="B101" s="276"/>
      <c r="C101" s="269"/>
      <c r="D101" s="299"/>
      <c r="E101" s="320">
        <f t="shared" si="114"/>
        <v>0</v>
      </c>
      <c r="F101" s="320" t="str">
        <f t="shared" si="87"/>
        <v xml:space="preserve"> </v>
      </c>
      <c r="G101" s="298"/>
      <c r="H101" s="298"/>
      <c r="I101" s="298"/>
      <c r="J101" s="298"/>
      <c r="K101" s="298"/>
      <c r="L101" s="299"/>
      <c r="M101" s="285"/>
      <c r="N101" s="274"/>
      <c r="O101" s="274"/>
      <c r="P101" s="307" t="str">
        <f>IFERROR(VLOOKUP(O101,Références!$K$11:$N$19,2)," ")</f>
        <v xml:space="preserve"> </v>
      </c>
      <c r="Q101" s="307" t="str">
        <f>IFERROR(VLOOKUP(O101,Références!$K$11:$N$19,3)," ")</f>
        <v xml:space="preserve"> </v>
      </c>
      <c r="R101" s="307" t="str">
        <f>IFERROR(VLOOKUP(O101,Références!$K$11:$N$19,4)," ")</f>
        <v xml:space="preserve"> </v>
      </c>
      <c r="S101" s="298"/>
      <c r="T101" s="298"/>
      <c r="U101" s="298"/>
      <c r="V101" s="298"/>
      <c r="W101" s="298"/>
      <c r="X101" s="299"/>
      <c r="Y101" s="298"/>
      <c r="Z101" s="298"/>
      <c r="AA101" s="298"/>
      <c r="AB101" s="277"/>
      <c r="AC101" s="277"/>
      <c r="AD101" s="277"/>
      <c r="AE101" s="277"/>
      <c r="AF101" s="277"/>
      <c r="AG101" s="277"/>
      <c r="AH101" s="277"/>
      <c r="AI101" s="277">
        <f t="shared" si="115"/>
        <v>0</v>
      </c>
      <c r="AJ101" s="299"/>
      <c r="AK101" s="298">
        <f t="shared" si="116"/>
        <v>0</v>
      </c>
      <c r="AL101" s="299"/>
      <c r="AM101" s="308">
        <f t="shared" si="117"/>
        <v>0</v>
      </c>
      <c r="AN101" s="298"/>
      <c r="AO101" s="318"/>
      <c r="AP101" s="303" t="str">
        <f t="shared" si="88"/>
        <v xml:space="preserve"> </v>
      </c>
      <c r="AQ101" s="298"/>
      <c r="AR101" s="337"/>
      <c r="AS101" s="337"/>
      <c r="AT101" s="305"/>
      <c r="AU101" s="319"/>
      <c r="AV101" s="305"/>
      <c r="AW101" s="272"/>
      <c r="AX101" s="342"/>
      <c r="AY101" s="343"/>
      <c r="AZ101" s="272"/>
      <c r="BA101" s="342" t="s">
        <v>234</v>
      </c>
      <c r="BB101" s="337"/>
      <c r="BC101" s="270">
        <f t="shared" si="118"/>
        <v>0</v>
      </c>
      <c r="BD101" s="270">
        <f t="shared" si="119"/>
        <v>0</v>
      </c>
      <c r="BE101" s="270">
        <f t="shared" si="79"/>
        <v>1</v>
      </c>
      <c r="BF101" s="270" t="str">
        <f t="shared" si="89"/>
        <v>ALIVE</v>
      </c>
      <c r="BG101" s="250" t="str">
        <f t="shared" si="80"/>
        <v>Aucune</v>
      </c>
      <c r="BH101" s="250" t="str">
        <f t="shared" si="81"/>
        <v>Aucune</v>
      </c>
      <c r="BI101" s="250" t="str">
        <f t="shared" si="82"/>
        <v>Aucune</v>
      </c>
      <c r="BJ101" s="250" t="str">
        <f t="shared" si="100"/>
        <v>NON</v>
      </c>
      <c r="BK101" s="250" t="str">
        <f t="shared" si="83"/>
        <v>NON</v>
      </c>
      <c r="BL101" s="250" t="str">
        <f t="shared" si="101"/>
        <v>Inconnu</v>
      </c>
      <c r="BM101" s="250" t="str">
        <f t="shared" si="120"/>
        <v>Inconnu</v>
      </c>
      <c r="BN101" s="250" t="str">
        <f t="shared" si="121"/>
        <v>Inconnu</v>
      </c>
      <c r="BO101" s="250" t="str">
        <f t="shared" si="102"/>
        <v>Inconnu</v>
      </c>
      <c r="BP101" s="250" t="str">
        <f t="shared" si="122"/>
        <v>Inconnu</v>
      </c>
      <c r="BQ101" s="250" t="str">
        <f t="shared" si="123"/>
        <v>Inconnu</v>
      </c>
      <c r="BR101" s="250" t="str">
        <f t="shared" si="124"/>
        <v>Aucune</v>
      </c>
      <c r="BS101" s="250">
        <f t="shared" si="125"/>
        <v>0</v>
      </c>
      <c r="BT101" s="271" t="e">
        <f>VLOOKUP($I101,Lieu_Activité!$A:$B,2,FALSE)</f>
        <v>#N/A</v>
      </c>
      <c r="BU101" s="250" t="str">
        <f t="shared" si="85"/>
        <v>Aucun</v>
      </c>
      <c r="BV101" s="250" t="str">
        <f t="shared" si="86"/>
        <v>Aucun</v>
      </c>
      <c r="BW101" s="249" t="str">
        <f t="shared" si="103"/>
        <v>NON</v>
      </c>
      <c r="BX101" s="330"/>
    </row>
    <row r="102" spans="1:76" ht="12.95" customHeight="1" x14ac:dyDescent="0.2">
      <c r="A102" s="273" t="s">
        <v>210</v>
      </c>
      <c r="B102" s="276"/>
      <c r="C102" s="269"/>
      <c r="D102" s="299"/>
      <c r="E102" s="320">
        <f t="shared" si="99"/>
        <v>0</v>
      </c>
      <c r="F102" s="320" t="str">
        <f t="shared" si="87"/>
        <v xml:space="preserve"> </v>
      </c>
      <c r="G102" s="298"/>
      <c r="H102" s="298"/>
      <c r="I102" s="298"/>
      <c r="J102" s="298"/>
      <c r="K102" s="298"/>
      <c r="L102" s="299"/>
      <c r="M102" s="285"/>
      <c r="N102" s="274"/>
      <c r="O102" s="274"/>
      <c r="P102" s="307" t="str">
        <f>IFERROR(VLOOKUP(O102,Références!$K$11:$N$19,2)," ")</f>
        <v xml:space="preserve"> </v>
      </c>
      <c r="Q102" s="307" t="str">
        <f>IFERROR(VLOOKUP(O102,Références!$K$11:$N$19,3)," ")</f>
        <v xml:space="preserve"> </v>
      </c>
      <c r="R102" s="307" t="str">
        <f>IFERROR(VLOOKUP(O102,Références!$K$11:$N$19,4)," ")</f>
        <v xml:space="preserve"> </v>
      </c>
      <c r="S102" s="298"/>
      <c r="T102" s="298"/>
      <c r="U102" s="298"/>
      <c r="V102" s="298"/>
      <c r="W102" s="298"/>
      <c r="X102" s="299"/>
      <c r="Y102" s="298"/>
      <c r="Z102" s="298"/>
      <c r="AA102" s="298"/>
      <c r="AB102" s="277"/>
      <c r="AC102" s="277"/>
      <c r="AD102" s="277"/>
      <c r="AE102" s="277"/>
      <c r="AF102" s="277"/>
      <c r="AG102" s="277"/>
      <c r="AH102" s="277"/>
      <c r="AI102" s="277">
        <f t="shared" si="104"/>
        <v>0</v>
      </c>
      <c r="AJ102" s="299"/>
      <c r="AK102" s="298">
        <f t="shared" si="105"/>
        <v>0</v>
      </c>
      <c r="AL102" s="299"/>
      <c r="AM102" s="308">
        <f t="shared" si="106"/>
        <v>0</v>
      </c>
      <c r="AN102" s="298"/>
      <c r="AO102" s="318"/>
      <c r="AP102" s="303" t="str">
        <f t="shared" si="88"/>
        <v xml:space="preserve"> </v>
      </c>
      <c r="AQ102" s="298"/>
      <c r="AR102" s="337"/>
      <c r="AS102" s="337"/>
      <c r="AT102" s="305"/>
      <c r="AU102" s="319"/>
      <c r="AV102" s="305"/>
      <c r="AW102" s="272"/>
      <c r="AX102" s="342"/>
      <c r="AY102" s="343"/>
      <c r="AZ102" s="272"/>
      <c r="BA102" s="342" t="s">
        <v>234</v>
      </c>
      <c r="BB102" s="337"/>
      <c r="BC102" s="270">
        <f t="shared" si="107"/>
        <v>0</v>
      </c>
      <c r="BD102" s="270">
        <f t="shared" si="108"/>
        <v>0</v>
      </c>
      <c r="BE102" s="270">
        <f t="shared" si="79"/>
        <v>1</v>
      </c>
      <c r="BF102" s="270" t="str">
        <f t="shared" si="89"/>
        <v>ALIVE</v>
      </c>
      <c r="BG102" s="250" t="str">
        <f t="shared" si="80"/>
        <v>Aucune</v>
      </c>
      <c r="BH102" s="250" t="str">
        <f t="shared" si="81"/>
        <v>Aucune</v>
      </c>
      <c r="BI102" s="250" t="str">
        <f t="shared" si="82"/>
        <v>Aucune</v>
      </c>
      <c r="BJ102" s="250" t="str">
        <f t="shared" si="100"/>
        <v>NON</v>
      </c>
      <c r="BK102" s="250" t="str">
        <f t="shared" si="83"/>
        <v>NON</v>
      </c>
      <c r="BL102" s="250" t="str">
        <f t="shared" si="101"/>
        <v>Inconnu</v>
      </c>
      <c r="BM102" s="250" t="str">
        <f t="shared" si="109"/>
        <v>Inconnu</v>
      </c>
      <c r="BN102" s="250" t="str">
        <f t="shared" si="110"/>
        <v>Inconnu</v>
      </c>
      <c r="BO102" s="250" t="str">
        <f t="shared" si="102"/>
        <v>Inconnu</v>
      </c>
      <c r="BP102" s="250" t="str">
        <f t="shared" si="111"/>
        <v>Inconnu</v>
      </c>
      <c r="BQ102" s="250" t="str">
        <f t="shared" si="112"/>
        <v>Inconnu</v>
      </c>
      <c r="BR102" s="250" t="str">
        <f t="shared" si="113"/>
        <v>Aucune</v>
      </c>
      <c r="BS102" s="250">
        <f t="shared" si="125"/>
        <v>0</v>
      </c>
      <c r="BT102" s="271" t="e">
        <f>VLOOKUP($I102,Lieu_Activité!$A:$B,2,FALSE)</f>
        <v>#N/A</v>
      </c>
      <c r="BU102" s="250" t="str">
        <f t="shared" si="85"/>
        <v>Aucun</v>
      </c>
      <c r="BV102" s="250" t="str">
        <f t="shared" si="86"/>
        <v>Aucun</v>
      </c>
      <c r="BW102" s="249" t="str">
        <f t="shared" si="103"/>
        <v>NON</v>
      </c>
      <c r="BX102" s="330"/>
    </row>
    <row r="103" spans="1:76" ht="12.95" customHeight="1" x14ac:dyDescent="0.2">
      <c r="A103" s="273" t="s">
        <v>210</v>
      </c>
      <c r="B103" s="276"/>
      <c r="C103" s="269"/>
      <c r="D103" s="299"/>
      <c r="E103" s="320">
        <f t="shared" si="99"/>
        <v>0</v>
      </c>
      <c r="F103" s="320" t="str">
        <f t="shared" si="87"/>
        <v xml:space="preserve"> </v>
      </c>
      <c r="G103" s="298"/>
      <c r="H103" s="298"/>
      <c r="I103" s="298"/>
      <c r="J103" s="298"/>
      <c r="K103" s="298"/>
      <c r="L103" s="299"/>
      <c r="M103" s="285"/>
      <c r="N103" s="274"/>
      <c r="O103" s="274"/>
      <c r="P103" s="307" t="str">
        <f>IFERROR(VLOOKUP(O103,Références!$K$11:$N$19,2)," ")</f>
        <v xml:space="preserve"> </v>
      </c>
      <c r="Q103" s="307" t="str">
        <f>IFERROR(VLOOKUP(O103,Références!$K$11:$N$19,3)," ")</f>
        <v xml:space="preserve"> </v>
      </c>
      <c r="R103" s="307" t="str">
        <f>IFERROR(VLOOKUP(O103,Références!$K$11:$N$19,4)," ")</f>
        <v xml:space="preserve"> </v>
      </c>
      <c r="S103" s="298"/>
      <c r="T103" s="298"/>
      <c r="U103" s="298"/>
      <c r="V103" s="298"/>
      <c r="W103" s="298"/>
      <c r="X103" s="299"/>
      <c r="Y103" s="298"/>
      <c r="Z103" s="298"/>
      <c r="AA103" s="298"/>
      <c r="AB103" s="277"/>
      <c r="AC103" s="277"/>
      <c r="AD103" s="277"/>
      <c r="AE103" s="277"/>
      <c r="AF103" s="277"/>
      <c r="AG103" s="277"/>
      <c r="AH103" s="277"/>
      <c r="AI103" s="277">
        <f t="shared" si="104"/>
        <v>0</v>
      </c>
      <c r="AJ103" s="299"/>
      <c r="AK103" s="298">
        <f t="shared" si="105"/>
        <v>0</v>
      </c>
      <c r="AL103" s="299"/>
      <c r="AM103" s="308">
        <f t="shared" si="106"/>
        <v>0</v>
      </c>
      <c r="AN103" s="298"/>
      <c r="AO103" s="318"/>
      <c r="AP103" s="303" t="str">
        <f t="shared" si="88"/>
        <v xml:space="preserve"> </v>
      </c>
      <c r="AQ103" s="298"/>
      <c r="AR103" s="337"/>
      <c r="AS103" s="337"/>
      <c r="AT103" s="305"/>
      <c r="AU103" s="319"/>
      <c r="AV103" s="305"/>
      <c r="AW103" s="272"/>
      <c r="AX103" s="342"/>
      <c r="AY103" s="343"/>
      <c r="AZ103" s="272"/>
      <c r="BA103" s="342" t="s">
        <v>234</v>
      </c>
      <c r="BB103" s="337"/>
      <c r="BC103" s="270">
        <f t="shared" si="107"/>
        <v>0</v>
      </c>
      <c r="BD103" s="270">
        <f t="shared" si="108"/>
        <v>0</v>
      </c>
      <c r="BE103" s="270">
        <f t="shared" si="79"/>
        <v>1</v>
      </c>
      <c r="BF103" s="270" t="str">
        <f t="shared" si="89"/>
        <v>ALIVE</v>
      </c>
      <c r="BG103" s="250" t="str">
        <f t="shared" si="80"/>
        <v>Aucune</v>
      </c>
      <c r="BH103" s="250" t="str">
        <f t="shared" si="81"/>
        <v>Aucune</v>
      </c>
      <c r="BI103" s="250" t="str">
        <f t="shared" si="82"/>
        <v>Aucune</v>
      </c>
      <c r="BJ103" s="250" t="str">
        <f t="shared" si="100"/>
        <v>NON</v>
      </c>
      <c r="BK103" s="250" t="str">
        <f t="shared" si="83"/>
        <v>NON</v>
      </c>
      <c r="BL103" s="250" t="str">
        <f t="shared" si="101"/>
        <v>Inconnu</v>
      </c>
      <c r="BM103" s="250" t="str">
        <f t="shared" si="109"/>
        <v>Inconnu</v>
      </c>
      <c r="BN103" s="250" t="str">
        <f t="shared" si="110"/>
        <v>Inconnu</v>
      </c>
      <c r="BO103" s="250" t="str">
        <f t="shared" si="102"/>
        <v>Inconnu</v>
      </c>
      <c r="BP103" s="250" t="str">
        <f t="shared" si="111"/>
        <v>Inconnu</v>
      </c>
      <c r="BQ103" s="250" t="str">
        <f t="shared" si="112"/>
        <v>Inconnu</v>
      </c>
      <c r="BR103" s="250" t="str">
        <f t="shared" si="113"/>
        <v>Aucune</v>
      </c>
      <c r="BS103" s="250">
        <f t="shared" si="125"/>
        <v>0</v>
      </c>
      <c r="BT103" s="271" t="e">
        <f>VLOOKUP($I103,Lieu_Activité!$A:$B,2,FALSE)</f>
        <v>#N/A</v>
      </c>
      <c r="BU103" s="250" t="str">
        <f t="shared" si="85"/>
        <v>Aucun</v>
      </c>
      <c r="BV103" s="250" t="str">
        <f t="shared" si="86"/>
        <v>Aucun</v>
      </c>
      <c r="BW103" s="249" t="str">
        <f t="shared" si="103"/>
        <v>NON</v>
      </c>
      <c r="BX103" s="330"/>
    </row>
    <row r="104" spans="1:76" ht="12.95" customHeight="1" x14ac:dyDescent="0.2">
      <c r="A104" s="273" t="s">
        <v>210</v>
      </c>
      <c r="B104" s="276"/>
      <c r="C104" s="269"/>
      <c r="D104" s="299"/>
      <c r="E104" s="320">
        <f t="shared" si="99"/>
        <v>0</v>
      </c>
      <c r="F104" s="320" t="str">
        <f t="shared" si="87"/>
        <v xml:space="preserve"> </v>
      </c>
      <c r="G104" s="298"/>
      <c r="H104" s="298"/>
      <c r="I104" s="298"/>
      <c r="J104" s="298"/>
      <c r="K104" s="298"/>
      <c r="L104" s="299"/>
      <c r="M104" s="285"/>
      <c r="N104" s="274"/>
      <c r="O104" s="274"/>
      <c r="P104" s="307" t="str">
        <f>IFERROR(VLOOKUP(O104,Références!$K$11:$N$19,2)," ")</f>
        <v xml:space="preserve"> </v>
      </c>
      <c r="Q104" s="307" t="str">
        <f>IFERROR(VLOOKUP(O104,Références!$K$11:$N$19,3)," ")</f>
        <v xml:space="preserve"> </v>
      </c>
      <c r="R104" s="307" t="str">
        <f>IFERROR(VLOOKUP(O104,Références!$K$11:$N$19,4)," ")</f>
        <v xml:space="preserve"> </v>
      </c>
      <c r="S104" s="298"/>
      <c r="T104" s="298"/>
      <c r="U104" s="298"/>
      <c r="V104" s="298"/>
      <c r="W104" s="298"/>
      <c r="X104" s="299"/>
      <c r="Y104" s="298"/>
      <c r="Z104" s="298"/>
      <c r="AA104" s="298"/>
      <c r="AB104" s="277"/>
      <c r="AC104" s="277"/>
      <c r="AD104" s="277"/>
      <c r="AE104" s="277"/>
      <c r="AF104" s="277"/>
      <c r="AG104" s="277"/>
      <c r="AH104" s="277"/>
      <c r="AI104" s="277">
        <f t="shared" si="104"/>
        <v>0</v>
      </c>
      <c r="AJ104" s="299"/>
      <c r="AK104" s="298">
        <f t="shared" si="105"/>
        <v>0</v>
      </c>
      <c r="AL104" s="299"/>
      <c r="AM104" s="308">
        <f t="shared" si="106"/>
        <v>0</v>
      </c>
      <c r="AN104" s="298"/>
      <c r="AO104" s="318"/>
      <c r="AP104" s="303" t="str">
        <f t="shared" si="88"/>
        <v xml:space="preserve"> </v>
      </c>
      <c r="AQ104" s="298"/>
      <c r="AR104" s="337"/>
      <c r="AS104" s="337"/>
      <c r="AT104" s="305"/>
      <c r="AU104" s="319"/>
      <c r="AV104" s="305"/>
      <c r="AW104" s="272"/>
      <c r="AX104" s="342"/>
      <c r="AY104" s="343"/>
      <c r="AZ104" s="272"/>
      <c r="BA104" s="342" t="s">
        <v>234</v>
      </c>
      <c r="BB104" s="337"/>
      <c r="BC104" s="270">
        <f>IF(BG104="Aucune",0,1)</f>
        <v>0</v>
      </c>
      <c r="BD104" s="270">
        <f>IF(BH104="Aucune",0,1)</f>
        <v>0</v>
      </c>
      <c r="BE104" s="270">
        <f t="shared" si="79"/>
        <v>1</v>
      </c>
      <c r="BF104" s="270" t="str">
        <f t="shared" si="89"/>
        <v>ALIVE</v>
      </c>
      <c r="BG104" s="250" t="str">
        <f t="shared" si="80"/>
        <v>Aucune</v>
      </c>
      <c r="BH104" s="250" t="str">
        <f t="shared" si="81"/>
        <v>Aucune</v>
      </c>
      <c r="BI104" s="250" t="str">
        <f t="shared" si="82"/>
        <v>Aucune</v>
      </c>
      <c r="BJ104" s="250" t="str">
        <f t="shared" si="100"/>
        <v>NON</v>
      </c>
      <c r="BK104" s="250" t="str">
        <f t="shared" si="83"/>
        <v>NON</v>
      </c>
      <c r="BL104" s="250" t="str">
        <f t="shared" si="101"/>
        <v>Inconnu</v>
      </c>
      <c r="BM104" s="250" t="str">
        <f>IF($O104&lt;&gt;"HTX",IF($O104&lt;&gt;"LVAD",BL104,"Inconnu"),"Inconnu")</f>
        <v>Inconnu</v>
      </c>
      <c r="BN104" s="250" t="str">
        <f>IF($O104="HTX",BL104,IF($O104="LVAD",BL104,"Inconnu"))</f>
        <v>Inconnu</v>
      </c>
      <c r="BO104" s="250" t="str">
        <f t="shared" si="102"/>
        <v>Inconnu</v>
      </c>
      <c r="BP104" s="250" t="str">
        <f>IF($O104&lt;&gt;"HTX",IF($O104&lt;&gt;"LVAD",BO104,"Inconnu"),"Inconnu")</f>
        <v>Inconnu</v>
      </c>
      <c r="BQ104" s="250" t="str">
        <f>IF($O104="HTX",BO104,IF($O104="LVAD",BO104,"Inconnu"))</f>
        <v>Inconnu</v>
      </c>
      <c r="BR104" s="250" t="str">
        <f>IF(BH104="Aucune",IF(BI104="Aucune","Aucune","Transfusé"),"Transfusé")</f>
        <v>Aucune</v>
      </c>
      <c r="BS104" s="250">
        <f t="shared" si="125"/>
        <v>0</v>
      </c>
      <c r="BT104" s="271" t="e">
        <f>VLOOKUP($I104,Lieu_Activité!$A:$B,2,FALSE)</f>
        <v>#N/A</v>
      </c>
      <c r="BU104" s="250" t="str">
        <f t="shared" si="85"/>
        <v>Aucun</v>
      </c>
      <c r="BV104" s="250" t="str">
        <f t="shared" si="86"/>
        <v>Aucun</v>
      </c>
      <c r="BW104" s="249" t="str">
        <f t="shared" si="103"/>
        <v>NON</v>
      </c>
      <c r="BX104" s="330"/>
    </row>
    <row r="105" spans="1:76" ht="12.95" customHeight="1" x14ac:dyDescent="0.2">
      <c r="A105" s="273" t="s">
        <v>210</v>
      </c>
      <c r="B105" s="276"/>
      <c r="C105" s="269"/>
      <c r="D105" s="299"/>
      <c r="E105" s="320">
        <f t="shared" si="99"/>
        <v>0</v>
      </c>
      <c r="F105" s="320" t="str">
        <f t="shared" si="87"/>
        <v xml:space="preserve"> </v>
      </c>
      <c r="G105" s="298"/>
      <c r="H105" s="298"/>
      <c r="I105" s="298"/>
      <c r="J105" s="298"/>
      <c r="K105" s="298"/>
      <c r="L105" s="299"/>
      <c r="M105" s="285"/>
      <c r="N105" s="274"/>
      <c r="O105" s="274"/>
      <c r="P105" s="307" t="str">
        <f>IFERROR(VLOOKUP(O105,Références!$K$11:$N$19,2)," ")</f>
        <v xml:space="preserve"> </v>
      </c>
      <c r="Q105" s="307" t="str">
        <f>IFERROR(VLOOKUP(O105,Références!$K$11:$N$19,3)," ")</f>
        <v xml:space="preserve"> </v>
      </c>
      <c r="R105" s="307" t="str">
        <f>IFERROR(VLOOKUP(O105,Références!$K$11:$N$19,4)," ")</f>
        <v xml:space="preserve"> </v>
      </c>
      <c r="S105" s="298"/>
      <c r="T105" s="298"/>
      <c r="U105" s="298"/>
      <c r="V105" s="298"/>
      <c r="W105" s="298"/>
      <c r="X105" s="299"/>
      <c r="Y105" s="298"/>
      <c r="Z105" s="298"/>
      <c r="AA105" s="298"/>
      <c r="AB105" s="277"/>
      <c r="AC105" s="277"/>
      <c r="AD105" s="277"/>
      <c r="AE105" s="277"/>
      <c r="AF105" s="277"/>
      <c r="AG105" s="277"/>
      <c r="AH105" s="277"/>
      <c r="AI105" s="277">
        <f t="shared" si="104"/>
        <v>0</v>
      </c>
      <c r="AJ105" s="299"/>
      <c r="AK105" s="298">
        <f t="shared" si="105"/>
        <v>0</v>
      </c>
      <c r="AL105" s="299"/>
      <c r="AM105" s="308">
        <f t="shared" si="106"/>
        <v>0</v>
      </c>
      <c r="AN105" s="298"/>
      <c r="AO105" s="318"/>
      <c r="AP105" s="303" t="str">
        <f t="shared" si="88"/>
        <v xml:space="preserve"> </v>
      </c>
      <c r="AQ105" s="298"/>
      <c r="AR105" s="337"/>
      <c r="AS105" s="337"/>
      <c r="AT105" s="305"/>
      <c r="AU105" s="319"/>
      <c r="AV105" s="305"/>
      <c r="AW105" s="272"/>
      <c r="AX105" s="342"/>
      <c r="AY105" s="343"/>
      <c r="AZ105" s="272"/>
      <c r="BA105" s="342" t="s">
        <v>234</v>
      </c>
      <c r="BB105" s="337"/>
      <c r="BC105" s="270">
        <f t="shared" si="107"/>
        <v>0</v>
      </c>
      <c r="BD105" s="270">
        <f t="shared" si="108"/>
        <v>0</v>
      </c>
      <c r="BE105" s="270">
        <f t="shared" si="79"/>
        <v>1</v>
      </c>
      <c r="BF105" s="270" t="str">
        <f t="shared" si="89"/>
        <v>ALIVE</v>
      </c>
      <c r="BG105" s="250" t="str">
        <f t="shared" si="80"/>
        <v>Aucune</v>
      </c>
      <c r="BH105" s="250" t="str">
        <f t="shared" si="81"/>
        <v>Aucune</v>
      </c>
      <c r="BI105" s="250" t="str">
        <f t="shared" si="82"/>
        <v>Aucune</v>
      </c>
      <c r="BJ105" s="250" t="str">
        <f t="shared" si="100"/>
        <v>NON</v>
      </c>
      <c r="BK105" s="250" t="str">
        <f t="shared" si="83"/>
        <v>NON</v>
      </c>
      <c r="BL105" s="250" t="str">
        <f t="shared" si="101"/>
        <v>Inconnu</v>
      </c>
      <c r="BM105" s="250" t="str">
        <f t="shared" si="109"/>
        <v>Inconnu</v>
      </c>
      <c r="BN105" s="250" t="str">
        <f t="shared" si="110"/>
        <v>Inconnu</v>
      </c>
      <c r="BO105" s="250" t="str">
        <f t="shared" si="102"/>
        <v>Inconnu</v>
      </c>
      <c r="BP105" s="250" t="str">
        <f t="shared" si="111"/>
        <v>Inconnu</v>
      </c>
      <c r="BQ105" s="250" t="str">
        <f t="shared" si="112"/>
        <v>Inconnu</v>
      </c>
      <c r="BR105" s="250" t="str">
        <f t="shared" si="113"/>
        <v>Aucune</v>
      </c>
      <c r="BS105" s="250">
        <f t="shared" si="125"/>
        <v>0</v>
      </c>
      <c r="BT105" s="271" t="e">
        <f>VLOOKUP($I105,Lieu_Activité!$A:$B,2,FALSE)</f>
        <v>#N/A</v>
      </c>
      <c r="BU105" s="250" t="str">
        <f t="shared" si="85"/>
        <v>Aucun</v>
      </c>
      <c r="BV105" s="250" t="str">
        <f t="shared" si="86"/>
        <v>Aucun</v>
      </c>
      <c r="BW105" s="249" t="str">
        <f t="shared" si="103"/>
        <v>NON</v>
      </c>
      <c r="BX105" s="330"/>
    </row>
    <row r="106" spans="1:76" ht="12.95" customHeight="1" x14ac:dyDescent="0.2">
      <c r="A106" s="273" t="s">
        <v>210</v>
      </c>
      <c r="B106" s="276"/>
      <c r="C106" s="269"/>
      <c r="D106" s="299"/>
      <c r="E106" s="320">
        <f t="shared" si="99"/>
        <v>0</v>
      </c>
      <c r="F106" s="320" t="str">
        <f t="shared" si="87"/>
        <v xml:space="preserve"> </v>
      </c>
      <c r="G106" s="298"/>
      <c r="H106" s="298"/>
      <c r="I106" s="298"/>
      <c r="J106" s="298"/>
      <c r="K106" s="298"/>
      <c r="L106" s="299"/>
      <c r="M106" s="285"/>
      <c r="N106" s="274"/>
      <c r="O106" s="274"/>
      <c r="P106" s="307" t="str">
        <f>IFERROR(VLOOKUP(O106,Références!$K$11:$N$19,2)," ")</f>
        <v xml:space="preserve"> </v>
      </c>
      <c r="Q106" s="307" t="str">
        <f>IFERROR(VLOOKUP(O106,Références!$K$11:$N$19,3)," ")</f>
        <v xml:space="preserve"> </v>
      </c>
      <c r="R106" s="307" t="str">
        <f>IFERROR(VLOOKUP(O106,Références!$K$11:$N$19,4)," ")</f>
        <v xml:space="preserve"> </v>
      </c>
      <c r="S106" s="298"/>
      <c r="T106" s="298"/>
      <c r="U106" s="298"/>
      <c r="V106" s="298"/>
      <c r="W106" s="298"/>
      <c r="X106" s="299"/>
      <c r="Y106" s="298"/>
      <c r="Z106" s="298"/>
      <c r="AA106" s="298"/>
      <c r="AB106" s="277"/>
      <c r="AC106" s="277"/>
      <c r="AD106" s="277"/>
      <c r="AE106" s="277"/>
      <c r="AF106" s="277"/>
      <c r="AG106" s="277"/>
      <c r="AH106" s="277"/>
      <c r="AI106" s="277">
        <f t="shared" si="104"/>
        <v>0</v>
      </c>
      <c r="AJ106" s="299"/>
      <c r="AK106" s="298">
        <f t="shared" si="105"/>
        <v>0</v>
      </c>
      <c r="AL106" s="299"/>
      <c r="AM106" s="308">
        <f t="shared" si="106"/>
        <v>0</v>
      </c>
      <c r="AN106" s="298"/>
      <c r="AO106" s="318"/>
      <c r="AP106" s="303" t="str">
        <f t="shared" si="88"/>
        <v xml:space="preserve"> </v>
      </c>
      <c r="AQ106" s="298"/>
      <c r="AR106" s="337"/>
      <c r="AS106" s="337"/>
      <c r="AT106" s="305"/>
      <c r="AU106" s="319"/>
      <c r="AV106" s="305"/>
      <c r="AW106" s="272"/>
      <c r="AX106" s="342"/>
      <c r="AY106" s="343"/>
      <c r="AZ106" s="272"/>
      <c r="BA106" s="342" t="s">
        <v>234</v>
      </c>
      <c r="BB106" s="337"/>
      <c r="BC106" s="270">
        <f t="shared" si="107"/>
        <v>0</v>
      </c>
      <c r="BD106" s="270">
        <f t="shared" si="108"/>
        <v>0</v>
      </c>
      <c r="BE106" s="270">
        <f t="shared" si="79"/>
        <v>1</v>
      </c>
      <c r="BF106" s="270" t="str">
        <f t="shared" si="89"/>
        <v>ALIVE</v>
      </c>
      <c r="BG106" s="250" t="str">
        <f t="shared" si="80"/>
        <v>Aucune</v>
      </c>
      <c r="BH106" s="250" t="str">
        <f t="shared" si="81"/>
        <v>Aucune</v>
      </c>
      <c r="BI106" s="250" t="str">
        <f t="shared" si="82"/>
        <v>Aucune</v>
      </c>
      <c r="BJ106" s="250" t="str">
        <f t="shared" si="100"/>
        <v>NON</v>
      </c>
      <c r="BK106" s="250" t="str">
        <f t="shared" si="83"/>
        <v>NON</v>
      </c>
      <c r="BL106" s="250" t="str">
        <f t="shared" si="101"/>
        <v>Inconnu</v>
      </c>
      <c r="BM106" s="250" t="str">
        <f t="shared" si="109"/>
        <v>Inconnu</v>
      </c>
      <c r="BN106" s="250" t="str">
        <f t="shared" si="110"/>
        <v>Inconnu</v>
      </c>
      <c r="BO106" s="250" t="str">
        <f t="shared" si="102"/>
        <v>Inconnu</v>
      </c>
      <c r="BP106" s="250" t="str">
        <f t="shared" si="111"/>
        <v>Inconnu</v>
      </c>
      <c r="BQ106" s="250" t="str">
        <f t="shared" si="112"/>
        <v>Inconnu</v>
      </c>
      <c r="BR106" s="250" t="str">
        <f t="shared" si="113"/>
        <v>Aucune</v>
      </c>
      <c r="BS106" s="250">
        <f t="shared" si="125"/>
        <v>0</v>
      </c>
      <c r="BT106" s="271" t="e">
        <f>VLOOKUP($I106,Lieu_Activité!$A:$B,2,FALSE)</f>
        <v>#N/A</v>
      </c>
      <c r="BU106" s="250" t="str">
        <f t="shared" si="85"/>
        <v>Aucun</v>
      </c>
      <c r="BV106" s="250" t="str">
        <f t="shared" si="86"/>
        <v>Aucun</v>
      </c>
      <c r="BW106" s="249" t="str">
        <f t="shared" si="103"/>
        <v>NON</v>
      </c>
      <c r="BX106" s="330"/>
    </row>
    <row r="107" spans="1:76" ht="12.95" customHeight="1" x14ac:dyDescent="0.2">
      <c r="A107" s="273" t="s">
        <v>210</v>
      </c>
      <c r="B107" s="276"/>
      <c r="C107" s="269"/>
      <c r="D107" s="299"/>
      <c r="E107" s="320">
        <f t="shared" si="99"/>
        <v>0</v>
      </c>
      <c r="F107" s="320" t="str">
        <f t="shared" si="87"/>
        <v xml:space="preserve"> </v>
      </c>
      <c r="G107" s="298"/>
      <c r="H107" s="298"/>
      <c r="I107" s="298"/>
      <c r="J107" s="298"/>
      <c r="K107" s="298"/>
      <c r="L107" s="299"/>
      <c r="M107" s="285"/>
      <c r="N107" s="274"/>
      <c r="O107" s="274"/>
      <c r="P107" s="307" t="str">
        <f>IFERROR(VLOOKUP(O107,Références!$K$11:$N$19,2)," ")</f>
        <v xml:space="preserve"> </v>
      </c>
      <c r="Q107" s="307" t="str">
        <f>IFERROR(VLOOKUP(O107,Références!$K$11:$N$19,3)," ")</f>
        <v xml:space="preserve"> </v>
      </c>
      <c r="R107" s="307" t="str">
        <f>IFERROR(VLOOKUP(O107,Références!$K$11:$N$19,4)," ")</f>
        <v xml:space="preserve"> </v>
      </c>
      <c r="S107" s="298"/>
      <c r="T107" s="298"/>
      <c r="U107" s="298"/>
      <c r="V107" s="298"/>
      <c r="W107" s="298"/>
      <c r="X107" s="299"/>
      <c r="Y107" s="298"/>
      <c r="Z107" s="298"/>
      <c r="AA107" s="298"/>
      <c r="AB107" s="277"/>
      <c r="AC107" s="277"/>
      <c r="AD107" s="277"/>
      <c r="AE107" s="277"/>
      <c r="AF107" s="277"/>
      <c r="AG107" s="277"/>
      <c r="AH107" s="277"/>
      <c r="AI107" s="277">
        <f t="shared" si="104"/>
        <v>0</v>
      </c>
      <c r="AJ107" s="299"/>
      <c r="AK107" s="298">
        <f t="shared" si="105"/>
        <v>0</v>
      </c>
      <c r="AL107" s="299"/>
      <c r="AM107" s="308">
        <f t="shared" si="106"/>
        <v>0</v>
      </c>
      <c r="AN107" s="298"/>
      <c r="AO107" s="318"/>
      <c r="AP107" s="303" t="str">
        <f t="shared" si="88"/>
        <v xml:space="preserve"> </v>
      </c>
      <c r="AQ107" s="298"/>
      <c r="AR107" s="339"/>
      <c r="AS107" s="337"/>
      <c r="AT107" s="305"/>
      <c r="AU107" s="319"/>
      <c r="AV107" s="305"/>
      <c r="AW107" s="272"/>
      <c r="AX107" s="342"/>
      <c r="AY107" s="343"/>
      <c r="AZ107" s="272"/>
      <c r="BA107" s="342" t="s">
        <v>234</v>
      </c>
      <c r="BB107" s="337"/>
      <c r="BC107" s="270">
        <f t="shared" si="107"/>
        <v>0</v>
      </c>
      <c r="BD107" s="270">
        <f t="shared" si="108"/>
        <v>0</v>
      </c>
      <c r="BE107" s="270">
        <f t="shared" si="79"/>
        <v>1</v>
      </c>
      <c r="BF107" s="270" t="str">
        <f t="shared" si="89"/>
        <v>ALIVE</v>
      </c>
      <c r="BG107" s="250" t="str">
        <f t="shared" si="80"/>
        <v>Aucune</v>
      </c>
      <c r="BH107" s="250" t="str">
        <f t="shared" si="81"/>
        <v>Aucune</v>
      </c>
      <c r="BI107" s="250" t="str">
        <f t="shared" si="82"/>
        <v>Aucune</v>
      </c>
      <c r="BJ107" s="250" t="str">
        <f t="shared" si="100"/>
        <v>NON</v>
      </c>
      <c r="BK107" s="250" t="str">
        <f t="shared" si="83"/>
        <v>NON</v>
      </c>
      <c r="BL107" s="250" t="str">
        <f t="shared" si="101"/>
        <v>Inconnu</v>
      </c>
      <c r="BM107" s="250" t="str">
        <f t="shared" si="109"/>
        <v>Inconnu</v>
      </c>
      <c r="BN107" s="250" t="str">
        <f t="shared" si="110"/>
        <v>Inconnu</v>
      </c>
      <c r="BO107" s="250" t="str">
        <f t="shared" si="102"/>
        <v>Inconnu</v>
      </c>
      <c r="BP107" s="250" t="str">
        <f t="shared" si="111"/>
        <v>Inconnu</v>
      </c>
      <c r="BQ107" s="250" t="str">
        <f t="shared" si="112"/>
        <v>Inconnu</v>
      </c>
      <c r="BR107" s="250" t="str">
        <f t="shared" si="113"/>
        <v>Aucune</v>
      </c>
      <c r="BS107" s="250">
        <f t="shared" si="125"/>
        <v>0</v>
      </c>
      <c r="BT107" s="271" t="e">
        <f>VLOOKUP($I107,Lieu_Activité!$A:$B,2,FALSE)</f>
        <v>#N/A</v>
      </c>
      <c r="BU107" s="250" t="str">
        <f t="shared" si="85"/>
        <v>Aucun</v>
      </c>
      <c r="BV107" s="250" t="str">
        <f t="shared" si="86"/>
        <v>Aucun</v>
      </c>
      <c r="BW107" s="249" t="str">
        <f t="shared" si="103"/>
        <v>NON</v>
      </c>
      <c r="BX107" s="330"/>
    </row>
    <row r="108" spans="1:76" ht="12.95" customHeight="1" x14ac:dyDescent="0.2">
      <c r="A108" s="273" t="s">
        <v>210</v>
      </c>
      <c r="B108" s="276"/>
      <c r="C108" s="269"/>
      <c r="D108" s="299"/>
      <c r="E108" s="320">
        <f t="shared" si="99"/>
        <v>0</v>
      </c>
      <c r="F108" s="320" t="str">
        <f t="shared" si="87"/>
        <v xml:space="preserve"> </v>
      </c>
      <c r="G108" s="298"/>
      <c r="H108" s="298"/>
      <c r="I108" s="298"/>
      <c r="J108" s="298"/>
      <c r="K108" s="298"/>
      <c r="L108" s="299"/>
      <c r="M108" s="285"/>
      <c r="N108" s="274"/>
      <c r="O108" s="274"/>
      <c r="P108" s="307" t="str">
        <f>IFERROR(VLOOKUP(O108,Références!$K$11:$N$19,2)," ")</f>
        <v xml:space="preserve"> </v>
      </c>
      <c r="Q108" s="307" t="str">
        <f>IFERROR(VLOOKUP(O108,Références!$K$11:$N$19,3)," ")</f>
        <v xml:space="preserve"> </v>
      </c>
      <c r="R108" s="307" t="str">
        <f>IFERROR(VLOOKUP(O108,Références!$K$11:$N$19,4)," ")</f>
        <v xml:space="preserve"> </v>
      </c>
      <c r="S108" s="298"/>
      <c r="T108" s="298"/>
      <c r="U108" s="298"/>
      <c r="V108" s="298"/>
      <c r="W108" s="298"/>
      <c r="X108" s="299"/>
      <c r="Y108" s="298"/>
      <c r="Z108" s="298"/>
      <c r="AA108" s="298"/>
      <c r="AB108" s="277"/>
      <c r="AC108" s="277"/>
      <c r="AD108" s="277"/>
      <c r="AE108" s="277"/>
      <c r="AF108" s="277"/>
      <c r="AG108" s="277"/>
      <c r="AH108" s="277"/>
      <c r="AI108" s="277">
        <f t="shared" si="104"/>
        <v>0</v>
      </c>
      <c r="AJ108" s="299"/>
      <c r="AK108" s="298">
        <f t="shared" si="105"/>
        <v>0</v>
      </c>
      <c r="AL108" s="299"/>
      <c r="AM108" s="308">
        <f t="shared" si="106"/>
        <v>0</v>
      </c>
      <c r="AN108" s="298"/>
      <c r="AO108" s="318"/>
      <c r="AP108" s="303" t="str">
        <f t="shared" si="88"/>
        <v xml:space="preserve"> </v>
      </c>
      <c r="AQ108" s="298"/>
      <c r="AR108" s="337"/>
      <c r="AS108" s="337"/>
      <c r="AT108" s="305"/>
      <c r="AU108" s="319"/>
      <c r="AV108" s="305"/>
      <c r="AW108" s="272"/>
      <c r="AX108" s="342"/>
      <c r="AY108" s="343"/>
      <c r="AZ108" s="272"/>
      <c r="BA108" s="342" t="s">
        <v>234</v>
      </c>
      <c r="BB108" s="337"/>
      <c r="BC108" s="270">
        <f t="shared" si="107"/>
        <v>0</v>
      </c>
      <c r="BD108" s="270">
        <f t="shared" si="108"/>
        <v>0</v>
      </c>
      <c r="BE108" s="270">
        <f t="shared" si="79"/>
        <v>1</v>
      </c>
      <c r="BF108" s="270" t="str">
        <f t="shared" si="89"/>
        <v>ALIVE</v>
      </c>
      <c r="BG108" s="250" t="str">
        <f t="shared" si="80"/>
        <v>Aucune</v>
      </c>
      <c r="BH108" s="250" t="str">
        <f t="shared" si="81"/>
        <v>Aucune</v>
      </c>
      <c r="BI108" s="250" t="str">
        <f t="shared" si="82"/>
        <v>Aucune</v>
      </c>
      <c r="BJ108" s="250" t="str">
        <f t="shared" si="100"/>
        <v>NON</v>
      </c>
      <c r="BK108" s="250" t="str">
        <f t="shared" si="83"/>
        <v>NON</v>
      </c>
      <c r="BL108" s="250" t="str">
        <f t="shared" si="101"/>
        <v>Inconnu</v>
      </c>
      <c r="BM108" s="250" t="str">
        <f t="shared" si="109"/>
        <v>Inconnu</v>
      </c>
      <c r="BN108" s="250" t="str">
        <f t="shared" si="110"/>
        <v>Inconnu</v>
      </c>
      <c r="BO108" s="250" t="str">
        <f t="shared" si="102"/>
        <v>Inconnu</v>
      </c>
      <c r="BP108" s="250" t="str">
        <f t="shared" si="111"/>
        <v>Inconnu</v>
      </c>
      <c r="BQ108" s="250" t="str">
        <f t="shared" si="112"/>
        <v>Inconnu</v>
      </c>
      <c r="BR108" s="250" t="str">
        <f t="shared" si="113"/>
        <v>Aucune</v>
      </c>
      <c r="BS108" s="250">
        <f t="shared" si="125"/>
        <v>0</v>
      </c>
      <c r="BT108" s="271" t="e">
        <f>VLOOKUP($I108,Lieu_Activité!$A:$B,2,FALSE)</f>
        <v>#N/A</v>
      </c>
      <c r="BU108" s="250" t="str">
        <f t="shared" si="85"/>
        <v>Aucun</v>
      </c>
      <c r="BV108" s="250" t="str">
        <f t="shared" si="86"/>
        <v>Aucun</v>
      </c>
      <c r="BW108" s="249" t="str">
        <f t="shared" si="103"/>
        <v>NON</v>
      </c>
      <c r="BX108" s="330"/>
    </row>
    <row r="109" spans="1:76" ht="12.95" customHeight="1" x14ac:dyDescent="0.2">
      <c r="A109" s="273" t="s">
        <v>210</v>
      </c>
      <c r="B109" s="310"/>
      <c r="C109" s="269"/>
      <c r="D109" s="299"/>
      <c r="E109" s="320">
        <f>(L109-D109)/365</f>
        <v>0</v>
      </c>
      <c r="F109" s="320" t="str">
        <f t="shared" si="87"/>
        <v xml:space="preserve"> </v>
      </c>
      <c r="G109" s="298"/>
      <c r="H109" s="298"/>
      <c r="I109" s="298"/>
      <c r="J109" s="298"/>
      <c r="K109" s="298"/>
      <c r="L109" s="299"/>
      <c r="M109" s="285"/>
      <c r="N109" s="274"/>
      <c r="O109" s="274"/>
      <c r="P109" s="307" t="str">
        <f>IFERROR(VLOOKUP(O109,Références!$K$11:$N$19,2)," ")</f>
        <v xml:space="preserve"> </v>
      </c>
      <c r="Q109" s="307" t="str">
        <f>IFERROR(VLOOKUP(O109,Références!$K$11:$N$19,3)," ")</f>
        <v xml:space="preserve"> </v>
      </c>
      <c r="R109" s="307" t="str">
        <f>IFERROR(VLOOKUP(O109,Références!$K$11:$N$19,4)," ")</f>
        <v xml:space="preserve"> </v>
      </c>
      <c r="S109" s="298"/>
      <c r="T109" s="298"/>
      <c r="U109" s="298"/>
      <c r="V109" s="298"/>
      <c r="W109" s="298"/>
      <c r="X109" s="299"/>
      <c r="Y109" s="298"/>
      <c r="Z109" s="298"/>
      <c r="AA109" s="298"/>
      <c r="AB109" s="277"/>
      <c r="AC109" s="277"/>
      <c r="AD109" s="277"/>
      <c r="AE109" s="277"/>
      <c r="AF109" s="277"/>
      <c r="AG109" s="277"/>
      <c r="AH109" s="277"/>
      <c r="AI109" s="277">
        <f>SUM(AF109,AH109)</f>
        <v>0</v>
      </c>
      <c r="AJ109" s="299"/>
      <c r="AK109" s="298">
        <f>(AJ109-L109)</f>
        <v>0</v>
      </c>
      <c r="AL109" s="299"/>
      <c r="AM109" s="308">
        <f>(AL109-L109)</f>
        <v>0</v>
      </c>
      <c r="AN109" s="298"/>
      <c r="AO109" s="318"/>
      <c r="AP109" s="303" t="str">
        <f t="shared" si="88"/>
        <v xml:space="preserve"> </v>
      </c>
      <c r="AQ109" s="298"/>
      <c r="AR109" s="337"/>
      <c r="AS109" s="337"/>
      <c r="AT109" s="305"/>
      <c r="AU109" s="319"/>
      <c r="AV109" s="305"/>
      <c r="AW109" s="272"/>
      <c r="AX109" s="342"/>
      <c r="AY109" s="343"/>
      <c r="AZ109" s="272"/>
      <c r="BA109" s="344" t="s">
        <v>246</v>
      </c>
      <c r="BB109" s="337"/>
      <c r="BC109" s="270">
        <f>IF(BG109="Aucune",0,1)</f>
        <v>0</v>
      </c>
      <c r="BD109" s="270">
        <f>IF(BH109="Aucune",0,1)</f>
        <v>0</v>
      </c>
      <c r="BE109" s="270">
        <f t="shared" si="79"/>
        <v>1</v>
      </c>
      <c r="BF109" s="270" t="str">
        <f t="shared" si="89"/>
        <v>ALIVE</v>
      </c>
      <c r="BG109" s="250" t="str">
        <f t="shared" si="80"/>
        <v>Aucune</v>
      </c>
      <c r="BH109" s="250" t="str">
        <f t="shared" si="81"/>
        <v>Aucune</v>
      </c>
      <c r="BI109" s="250" t="str">
        <f t="shared" si="82"/>
        <v>Aucune</v>
      </c>
      <c r="BJ109" s="250" t="str">
        <f t="shared" si="100"/>
        <v>NON</v>
      </c>
      <c r="BK109" s="250" t="str">
        <f t="shared" si="83"/>
        <v>NON</v>
      </c>
      <c r="BL109" s="250" t="str">
        <f t="shared" si="101"/>
        <v>Inconnu</v>
      </c>
      <c r="BM109" s="250" t="str">
        <f>IF($O109&lt;&gt;"HTX",IF($O109&lt;&gt;"LVAD",BL109,"Inconnu"),"Inconnu")</f>
        <v>Inconnu</v>
      </c>
      <c r="BN109" s="250" t="str">
        <f>IF($O109="HTX",BL109,IF($O109="LVAD",BL109,"Inconnu"))</f>
        <v>Inconnu</v>
      </c>
      <c r="BO109" s="250" t="str">
        <f t="shared" si="102"/>
        <v>Inconnu</v>
      </c>
      <c r="BP109" s="250" t="str">
        <f>IF($O109&lt;&gt;"HTX",IF($O109&lt;&gt;"LVAD",BO109,"Inconnu"),"Inconnu")</f>
        <v>Inconnu</v>
      </c>
      <c r="BQ109" s="250" t="str">
        <f>IF($O109="HTX",BO109,IF($O109="LVAD",BO109,"Inconnu"))</f>
        <v>Inconnu</v>
      </c>
      <c r="BR109" s="250" t="str">
        <f>IF(BH109="Aucune",IF(BI109="Aucune","Aucune","Transfusé"),"Transfusé")</f>
        <v>Aucune</v>
      </c>
      <c r="BS109" s="250">
        <f t="shared" si="125"/>
        <v>0</v>
      </c>
      <c r="BT109" s="271" t="e">
        <f>VLOOKUP($I109,Lieu_Activité!$A:$B,2,FALSE)</f>
        <v>#N/A</v>
      </c>
      <c r="BU109" s="250" t="str">
        <f t="shared" si="85"/>
        <v>Aucun</v>
      </c>
      <c r="BV109" s="250" t="str">
        <f t="shared" si="86"/>
        <v>Aucun</v>
      </c>
      <c r="BW109" s="249" t="str">
        <f t="shared" si="103"/>
        <v>NON</v>
      </c>
      <c r="BX109" s="330"/>
    </row>
    <row r="110" spans="1:76" ht="12.95" customHeight="1" x14ac:dyDescent="0.2">
      <c r="A110" s="273" t="s">
        <v>210</v>
      </c>
      <c r="B110" s="276"/>
      <c r="C110" s="269"/>
      <c r="D110" s="299"/>
      <c r="E110" s="320">
        <f t="shared" si="99"/>
        <v>0</v>
      </c>
      <c r="F110" s="320" t="str">
        <f t="shared" si="87"/>
        <v xml:space="preserve"> </v>
      </c>
      <c r="G110" s="298"/>
      <c r="H110" s="298"/>
      <c r="I110" s="298"/>
      <c r="J110" s="298"/>
      <c r="K110" s="298"/>
      <c r="L110" s="299"/>
      <c r="M110" s="285"/>
      <c r="N110" s="274"/>
      <c r="O110" s="274"/>
      <c r="P110" s="307" t="str">
        <f>IFERROR(VLOOKUP(O110,Références!$K$11:$N$19,2)," ")</f>
        <v xml:space="preserve"> </v>
      </c>
      <c r="Q110" s="307" t="str">
        <f>IFERROR(VLOOKUP(O110,Références!$K$11:$N$19,3)," ")</f>
        <v xml:space="preserve"> </v>
      </c>
      <c r="R110" s="307" t="str">
        <f>IFERROR(VLOOKUP(O110,Références!$K$11:$N$19,4)," ")</f>
        <v xml:space="preserve"> </v>
      </c>
      <c r="S110" s="298"/>
      <c r="T110" s="298"/>
      <c r="U110" s="298"/>
      <c r="V110" s="298"/>
      <c r="W110" s="298"/>
      <c r="X110" s="299"/>
      <c r="Y110" s="298"/>
      <c r="Z110" s="298"/>
      <c r="AA110" s="298"/>
      <c r="AB110" s="277"/>
      <c r="AC110" s="277"/>
      <c r="AD110" s="277"/>
      <c r="AE110" s="277"/>
      <c r="AF110" s="277"/>
      <c r="AG110" s="277"/>
      <c r="AH110" s="277"/>
      <c r="AI110" s="277">
        <f t="shared" si="104"/>
        <v>0</v>
      </c>
      <c r="AJ110" s="299"/>
      <c r="AK110" s="298">
        <f t="shared" si="105"/>
        <v>0</v>
      </c>
      <c r="AL110" s="299"/>
      <c r="AM110" s="308">
        <f>(AL110-L110)</f>
        <v>0</v>
      </c>
      <c r="AN110" s="298"/>
      <c r="AO110" s="318"/>
      <c r="AP110" s="303" t="str">
        <f t="shared" si="88"/>
        <v xml:space="preserve"> </v>
      </c>
      <c r="AQ110" s="298"/>
      <c r="AR110" s="337"/>
      <c r="AS110" s="337"/>
      <c r="AT110" s="305"/>
      <c r="AU110" s="319"/>
      <c r="AV110" s="305"/>
      <c r="AW110" s="272"/>
      <c r="AX110" s="342"/>
      <c r="AY110" s="343"/>
      <c r="AZ110" s="272"/>
      <c r="BA110" s="342" t="s">
        <v>234</v>
      </c>
      <c r="BB110" s="337"/>
      <c r="BC110" s="270">
        <f t="shared" si="107"/>
        <v>0</v>
      </c>
      <c r="BD110" s="270">
        <f t="shared" si="108"/>
        <v>0</v>
      </c>
      <c r="BE110" s="270">
        <f t="shared" si="79"/>
        <v>1</v>
      </c>
      <c r="BF110" s="270" t="str">
        <f t="shared" si="89"/>
        <v>ALIVE</v>
      </c>
      <c r="BG110" s="250" t="str">
        <f t="shared" si="80"/>
        <v>Aucune</v>
      </c>
      <c r="BH110" s="250" t="str">
        <f t="shared" si="81"/>
        <v>Aucune</v>
      </c>
      <c r="BI110" s="250" t="str">
        <f t="shared" si="82"/>
        <v>Aucune</v>
      </c>
      <c r="BJ110" s="250" t="str">
        <f t="shared" si="100"/>
        <v>NON</v>
      </c>
      <c r="BK110" s="250" t="str">
        <f t="shared" si="83"/>
        <v>NON</v>
      </c>
      <c r="BL110" s="250" t="str">
        <f t="shared" si="101"/>
        <v>Inconnu</v>
      </c>
      <c r="BM110" s="250" t="str">
        <f t="shared" si="109"/>
        <v>Inconnu</v>
      </c>
      <c r="BN110" s="250" t="str">
        <f t="shared" si="110"/>
        <v>Inconnu</v>
      </c>
      <c r="BO110" s="250" t="str">
        <f t="shared" si="102"/>
        <v>Inconnu</v>
      </c>
      <c r="BP110" s="250" t="str">
        <f t="shared" si="111"/>
        <v>Inconnu</v>
      </c>
      <c r="BQ110" s="250" t="str">
        <f t="shared" si="112"/>
        <v>Inconnu</v>
      </c>
      <c r="BR110" s="250" t="str">
        <f t="shared" si="113"/>
        <v>Aucune</v>
      </c>
      <c r="BS110" s="250">
        <f t="shared" si="125"/>
        <v>0</v>
      </c>
      <c r="BT110" s="271" t="e">
        <f>VLOOKUP($I110,Lieu_Activité!$A:$B,2,FALSE)</f>
        <v>#N/A</v>
      </c>
      <c r="BU110" s="250" t="str">
        <f t="shared" si="85"/>
        <v>Aucun</v>
      </c>
      <c r="BV110" s="250" t="str">
        <f t="shared" si="86"/>
        <v>Aucun</v>
      </c>
      <c r="BW110" s="249" t="str">
        <f t="shared" si="103"/>
        <v>NON</v>
      </c>
      <c r="BX110" s="330"/>
    </row>
    <row r="111" spans="1:76" ht="12.95" customHeight="1" x14ac:dyDescent="0.2">
      <c r="A111" s="273" t="s">
        <v>210</v>
      </c>
      <c r="B111" s="310"/>
      <c r="C111" s="269"/>
      <c r="D111" s="299"/>
      <c r="E111" s="320">
        <f t="shared" si="99"/>
        <v>0</v>
      </c>
      <c r="F111" s="320" t="str">
        <f t="shared" si="87"/>
        <v xml:space="preserve"> </v>
      </c>
      <c r="G111" s="298"/>
      <c r="H111" s="298"/>
      <c r="I111" s="298"/>
      <c r="J111" s="298"/>
      <c r="K111" s="298"/>
      <c r="L111" s="299"/>
      <c r="M111" s="285"/>
      <c r="N111" s="274"/>
      <c r="O111" s="274"/>
      <c r="P111" s="307" t="str">
        <f>IFERROR(VLOOKUP(O111,Références!$K$11:$N$19,2)," ")</f>
        <v xml:space="preserve"> </v>
      </c>
      <c r="Q111" s="307" t="str">
        <f>IFERROR(VLOOKUP(O111,Références!$K$11:$N$19,3)," ")</f>
        <v xml:space="preserve"> </v>
      </c>
      <c r="R111" s="307" t="str">
        <f>IFERROR(VLOOKUP(O111,Références!$K$11:$N$19,4)," ")</f>
        <v xml:space="preserve"> </v>
      </c>
      <c r="S111" s="298"/>
      <c r="T111" s="298"/>
      <c r="U111" s="298"/>
      <c r="V111" s="298"/>
      <c r="W111" s="298"/>
      <c r="X111" s="299"/>
      <c r="Y111" s="298"/>
      <c r="Z111" s="298"/>
      <c r="AA111" s="298"/>
      <c r="AB111" s="277"/>
      <c r="AC111" s="277"/>
      <c r="AD111" s="277"/>
      <c r="AE111" s="277"/>
      <c r="AF111" s="277"/>
      <c r="AG111" s="277"/>
      <c r="AH111" s="277"/>
      <c r="AI111" s="277">
        <f t="shared" si="104"/>
        <v>0</v>
      </c>
      <c r="AJ111" s="299"/>
      <c r="AK111" s="298">
        <f t="shared" si="105"/>
        <v>0</v>
      </c>
      <c r="AL111" s="299"/>
      <c r="AM111" s="308">
        <f t="shared" si="106"/>
        <v>0</v>
      </c>
      <c r="AN111" s="298"/>
      <c r="AO111" s="318"/>
      <c r="AP111" s="303" t="str">
        <f t="shared" si="88"/>
        <v xml:space="preserve"> </v>
      </c>
      <c r="AQ111" s="298"/>
      <c r="AR111" s="337"/>
      <c r="AS111" s="337"/>
      <c r="AT111" s="305"/>
      <c r="AU111" s="319"/>
      <c r="AV111" s="305"/>
      <c r="AW111" s="272"/>
      <c r="AX111" s="342"/>
      <c r="AY111" s="343"/>
      <c r="AZ111" s="272"/>
      <c r="BA111" s="344" t="s">
        <v>246</v>
      </c>
      <c r="BB111" s="337"/>
      <c r="BC111" s="270">
        <f t="shared" si="107"/>
        <v>0</v>
      </c>
      <c r="BD111" s="270">
        <f t="shared" si="108"/>
        <v>0</v>
      </c>
      <c r="BE111" s="270">
        <f t="shared" si="79"/>
        <v>1</v>
      </c>
      <c r="BF111" s="270" t="str">
        <f t="shared" si="89"/>
        <v>ALIVE</v>
      </c>
      <c r="BG111" s="250" t="str">
        <f t="shared" si="80"/>
        <v>Aucune</v>
      </c>
      <c r="BH111" s="250" t="str">
        <f t="shared" si="81"/>
        <v>Aucune</v>
      </c>
      <c r="BI111" s="250" t="str">
        <f t="shared" si="82"/>
        <v>Aucune</v>
      </c>
      <c r="BJ111" s="250" t="str">
        <f t="shared" si="100"/>
        <v>NON</v>
      </c>
      <c r="BK111" s="250" t="str">
        <f t="shared" si="83"/>
        <v>NON</v>
      </c>
      <c r="BL111" s="250" t="str">
        <f t="shared" si="101"/>
        <v>Inconnu</v>
      </c>
      <c r="BM111" s="250" t="str">
        <f t="shared" si="109"/>
        <v>Inconnu</v>
      </c>
      <c r="BN111" s="250" t="str">
        <f t="shared" si="110"/>
        <v>Inconnu</v>
      </c>
      <c r="BO111" s="250" t="str">
        <f t="shared" si="102"/>
        <v>Inconnu</v>
      </c>
      <c r="BP111" s="250" t="str">
        <f t="shared" si="111"/>
        <v>Inconnu</v>
      </c>
      <c r="BQ111" s="250" t="str">
        <f t="shared" si="112"/>
        <v>Inconnu</v>
      </c>
      <c r="BR111" s="250" t="str">
        <f t="shared" si="113"/>
        <v>Aucune</v>
      </c>
      <c r="BS111" s="250">
        <f t="shared" si="125"/>
        <v>0</v>
      </c>
      <c r="BT111" s="271" t="e">
        <f>VLOOKUP($I111,Lieu_Activité!$A:$B,2,FALSE)</f>
        <v>#N/A</v>
      </c>
      <c r="BU111" s="250" t="str">
        <f t="shared" si="85"/>
        <v>Aucun</v>
      </c>
      <c r="BV111" s="250" t="str">
        <f t="shared" si="86"/>
        <v>Aucun</v>
      </c>
      <c r="BW111" s="249" t="str">
        <f t="shared" si="103"/>
        <v>NON</v>
      </c>
      <c r="BX111" s="330"/>
    </row>
    <row r="112" spans="1:76" ht="12.95" customHeight="1" x14ac:dyDescent="0.2">
      <c r="A112" s="273" t="s">
        <v>210</v>
      </c>
      <c r="B112" s="276"/>
      <c r="C112" s="269"/>
      <c r="D112" s="299"/>
      <c r="E112" s="320">
        <f t="shared" si="99"/>
        <v>0</v>
      </c>
      <c r="F112" s="320" t="str">
        <f t="shared" si="87"/>
        <v xml:space="preserve"> </v>
      </c>
      <c r="G112" s="298"/>
      <c r="H112" s="298"/>
      <c r="I112" s="298"/>
      <c r="J112" s="298"/>
      <c r="K112" s="298"/>
      <c r="L112" s="299"/>
      <c r="M112" s="285"/>
      <c r="N112" s="274"/>
      <c r="O112" s="274"/>
      <c r="P112" s="307" t="str">
        <f>IFERROR(VLOOKUP(O112,Références!$K$11:$N$19,2)," ")</f>
        <v xml:space="preserve"> </v>
      </c>
      <c r="Q112" s="307" t="str">
        <f>IFERROR(VLOOKUP(O112,Références!$K$11:$N$19,3)," ")</f>
        <v xml:space="preserve"> </v>
      </c>
      <c r="R112" s="307" t="str">
        <f>IFERROR(VLOOKUP(O112,Références!$K$11:$N$19,4)," ")</f>
        <v xml:space="preserve"> </v>
      </c>
      <c r="S112" s="298"/>
      <c r="T112" s="298"/>
      <c r="U112" s="298"/>
      <c r="V112" s="298"/>
      <c r="W112" s="298"/>
      <c r="X112" s="299"/>
      <c r="Y112" s="298"/>
      <c r="Z112" s="298"/>
      <c r="AA112" s="298"/>
      <c r="AB112" s="277"/>
      <c r="AC112" s="277"/>
      <c r="AD112" s="277"/>
      <c r="AE112" s="277"/>
      <c r="AF112" s="277"/>
      <c r="AG112" s="277"/>
      <c r="AH112" s="277"/>
      <c r="AI112" s="277">
        <f t="shared" si="104"/>
        <v>0</v>
      </c>
      <c r="AJ112" s="299"/>
      <c r="AK112" s="298">
        <f t="shared" si="105"/>
        <v>0</v>
      </c>
      <c r="AL112" s="299"/>
      <c r="AM112" s="308">
        <f t="shared" si="106"/>
        <v>0</v>
      </c>
      <c r="AN112" s="298"/>
      <c r="AO112" s="318"/>
      <c r="AP112" s="303" t="str">
        <f t="shared" si="88"/>
        <v xml:space="preserve"> </v>
      </c>
      <c r="AQ112" s="298"/>
      <c r="AR112" s="337"/>
      <c r="AS112" s="337"/>
      <c r="AT112" s="305"/>
      <c r="AU112" s="319"/>
      <c r="AV112" s="305"/>
      <c r="AW112" s="272"/>
      <c r="AX112" s="342"/>
      <c r="AY112" s="343"/>
      <c r="AZ112" s="272"/>
      <c r="BA112" s="342" t="s">
        <v>234</v>
      </c>
      <c r="BB112" s="337"/>
      <c r="BC112" s="270">
        <f t="shared" si="107"/>
        <v>0</v>
      </c>
      <c r="BD112" s="270">
        <f t="shared" si="108"/>
        <v>0</v>
      </c>
      <c r="BE112" s="270">
        <f t="shared" si="79"/>
        <v>1</v>
      </c>
      <c r="BF112" s="270" t="str">
        <f t="shared" si="89"/>
        <v>ALIVE</v>
      </c>
      <c r="BG112" s="250" t="str">
        <f t="shared" si="80"/>
        <v>Aucune</v>
      </c>
      <c r="BH112" s="250" t="str">
        <f t="shared" si="81"/>
        <v>Aucune</v>
      </c>
      <c r="BI112" s="250" t="str">
        <f t="shared" si="82"/>
        <v>Aucune</v>
      </c>
      <c r="BJ112" s="250" t="str">
        <f t="shared" si="100"/>
        <v>NON</v>
      </c>
      <c r="BK112" s="250" t="str">
        <f t="shared" si="83"/>
        <v>NON</v>
      </c>
      <c r="BL112" s="250" t="str">
        <f t="shared" si="101"/>
        <v>Inconnu</v>
      </c>
      <c r="BM112" s="250" t="str">
        <f t="shared" si="109"/>
        <v>Inconnu</v>
      </c>
      <c r="BN112" s="250" t="str">
        <f t="shared" si="110"/>
        <v>Inconnu</v>
      </c>
      <c r="BO112" s="250" t="str">
        <f t="shared" si="102"/>
        <v>Inconnu</v>
      </c>
      <c r="BP112" s="250" t="str">
        <f t="shared" si="111"/>
        <v>Inconnu</v>
      </c>
      <c r="BQ112" s="250" t="str">
        <f t="shared" si="112"/>
        <v>Inconnu</v>
      </c>
      <c r="BR112" s="250" t="str">
        <f t="shared" si="113"/>
        <v>Aucune</v>
      </c>
      <c r="BS112" s="250">
        <f t="shared" si="125"/>
        <v>0</v>
      </c>
      <c r="BT112" s="271" t="e">
        <f>VLOOKUP($I112,Lieu_Activité!$A:$B,2,FALSE)</f>
        <v>#N/A</v>
      </c>
      <c r="BU112" s="250" t="str">
        <f t="shared" si="85"/>
        <v>Aucun</v>
      </c>
      <c r="BV112" s="250" t="str">
        <f t="shared" si="86"/>
        <v>Aucun</v>
      </c>
      <c r="BW112" s="249" t="str">
        <f t="shared" si="103"/>
        <v>NON</v>
      </c>
      <c r="BX112" s="330"/>
    </row>
    <row r="113" spans="1:170" ht="12.95" customHeight="1" x14ac:dyDescent="0.2">
      <c r="A113" s="273" t="s">
        <v>210</v>
      </c>
      <c r="B113" s="276"/>
      <c r="C113" s="269"/>
      <c r="D113" s="299"/>
      <c r="E113" s="320">
        <f t="shared" si="99"/>
        <v>0</v>
      </c>
      <c r="F113" s="320" t="str">
        <f t="shared" si="87"/>
        <v xml:space="preserve"> </v>
      </c>
      <c r="G113" s="298"/>
      <c r="H113" s="298"/>
      <c r="I113" s="298"/>
      <c r="J113" s="298"/>
      <c r="K113" s="298"/>
      <c r="L113" s="299"/>
      <c r="M113" s="285"/>
      <c r="N113" s="274"/>
      <c r="O113" s="274"/>
      <c r="P113" s="307" t="str">
        <f>IFERROR(VLOOKUP(O113,Références!$K$11:$N$19,2)," ")</f>
        <v xml:space="preserve"> </v>
      </c>
      <c r="Q113" s="307" t="str">
        <f>IFERROR(VLOOKUP(O113,Références!$K$11:$N$19,3)," ")</f>
        <v xml:space="preserve"> </v>
      </c>
      <c r="R113" s="307" t="str">
        <f>IFERROR(VLOOKUP(O113,Références!$K$11:$N$19,4)," ")</f>
        <v xml:space="preserve"> </v>
      </c>
      <c r="S113" s="298"/>
      <c r="T113" s="298"/>
      <c r="U113" s="298"/>
      <c r="V113" s="298"/>
      <c r="W113" s="298"/>
      <c r="X113" s="299"/>
      <c r="Y113" s="298"/>
      <c r="Z113" s="298"/>
      <c r="AA113" s="298"/>
      <c r="AB113" s="277"/>
      <c r="AC113" s="277"/>
      <c r="AD113" s="316"/>
      <c r="AE113" s="277"/>
      <c r="AF113" s="277"/>
      <c r="AG113" s="277"/>
      <c r="AH113" s="277"/>
      <c r="AI113" s="277">
        <f t="shared" si="104"/>
        <v>0</v>
      </c>
      <c r="AJ113" s="299"/>
      <c r="AK113" s="298">
        <f t="shared" ref="AK113:AK124" si="126">(AJ113-L113)</f>
        <v>0</v>
      </c>
      <c r="AL113" s="299"/>
      <c r="AM113" s="308">
        <f t="shared" ref="AM113:AM124" si="127">(AL113-L113)</f>
        <v>0</v>
      </c>
      <c r="AN113" s="298"/>
      <c r="AO113" s="318"/>
      <c r="AP113" s="303" t="str">
        <f t="shared" si="88"/>
        <v xml:space="preserve"> </v>
      </c>
      <c r="AQ113" s="298"/>
      <c r="AR113" s="337"/>
      <c r="AS113" s="337"/>
      <c r="AT113" s="305"/>
      <c r="AU113" s="319"/>
      <c r="AV113" s="305"/>
      <c r="AW113" s="272"/>
      <c r="AX113" s="342"/>
      <c r="AY113" s="343"/>
      <c r="AZ113" s="272"/>
      <c r="BA113" s="342" t="s">
        <v>234</v>
      </c>
      <c r="BB113" s="337"/>
      <c r="BC113" s="270">
        <f t="shared" ref="BC113:BC124" si="128">IF(BG113="Aucune",0,1)</f>
        <v>0</v>
      </c>
      <c r="BD113" s="270">
        <f t="shared" ref="BD113:BD124" si="129">IF(BH113="Aucune",0,1)</f>
        <v>0</v>
      </c>
      <c r="BE113" s="270">
        <f t="shared" si="79"/>
        <v>1</v>
      </c>
      <c r="BF113" s="270" t="str">
        <f t="shared" si="89"/>
        <v>ALIVE</v>
      </c>
      <c r="BG113" s="250" t="str">
        <f t="shared" si="80"/>
        <v>Aucune</v>
      </c>
      <c r="BH113" s="250" t="str">
        <f t="shared" si="81"/>
        <v>Aucune</v>
      </c>
      <c r="BI113" s="250" t="str">
        <f t="shared" si="82"/>
        <v>Aucune</v>
      </c>
      <c r="BJ113" s="250" t="str">
        <f t="shared" si="100"/>
        <v>NON</v>
      </c>
      <c r="BK113" s="250" t="str">
        <f t="shared" si="83"/>
        <v>NON</v>
      </c>
      <c r="BL113" s="250" t="str">
        <f t="shared" si="101"/>
        <v>Inconnu</v>
      </c>
      <c r="BM113" s="250" t="str">
        <f t="shared" ref="BM113:BM124" si="130">IF($O113&lt;&gt;"HTX",IF($O113&lt;&gt;"LVAD",BL113,"Inconnu"),"Inconnu")</f>
        <v>Inconnu</v>
      </c>
      <c r="BN113" s="250" t="str">
        <f t="shared" ref="BN113:BN124" si="131">IF($O113="HTX",BL113,IF($O113="LVAD",BL113,"Inconnu"))</f>
        <v>Inconnu</v>
      </c>
      <c r="BO113" s="250" t="str">
        <f t="shared" si="102"/>
        <v>Inconnu</v>
      </c>
      <c r="BP113" s="250" t="str">
        <f t="shared" ref="BP113:BP124" si="132">IF($O113&lt;&gt;"HTX",IF($O113&lt;&gt;"LVAD",BO113,"Inconnu"),"Inconnu")</f>
        <v>Inconnu</v>
      </c>
      <c r="BQ113" s="250" t="str">
        <f t="shared" ref="BQ113:BQ124" si="133">IF($O113="HTX",BO113,IF($O113="LVAD",BO113,"Inconnu"))</f>
        <v>Inconnu</v>
      </c>
      <c r="BR113" s="250" t="str">
        <f t="shared" ref="BR113:BR124" si="134">IF(BH113="Aucune",IF(BI113="Aucune","Aucune","Transfusé"),"Transfusé")</f>
        <v>Aucune</v>
      </c>
      <c r="BS113" s="250">
        <f t="shared" si="125"/>
        <v>0</v>
      </c>
      <c r="BT113" s="271" t="e">
        <f>VLOOKUP($I113,Lieu_Activité!$A:$B,2,FALSE)</f>
        <v>#N/A</v>
      </c>
      <c r="BU113" s="250" t="str">
        <f t="shared" si="85"/>
        <v>Aucun</v>
      </c>
      <c r="BV113" s="250" t="str">
        <f t="shared" si="86"/>
        <v>Aucun</v>
      </c>
      <c r="BW113" s="249" t="str">
        <f t="shared" si="103"/>
        <v>NON</v>
      </c>
      <c r="BX113" s="330"/>
    </row>
    <row r="114" spans="1:170" ht="12.95" customHeight="1" x14ac:dyDescent="0.2">
      <c r="A114" s="273" t="s">
        <v>210</v>
      </c>
      <c r="B114" s="276"/>
      <c r="C114" s="269"/>
      <c r="D114" s="299"/>
      <c r="E114" s="320">
        <f>(L114-D114)/365</f>
        <v>0</v>
      </c>
      <c r="F114" s="320" t="str">
        <f t="shared" si="87"/>
        <v xml:space="preserve"> </v>
      </c>
      <c r="G114" s="298"/>
      <c r="H114" s="298"/>
      <c r="I114" s="298"/>
      <c r="J114" s="298"/>
      <c r="K114" s="298"/>
      <c r="L114" s="299"/>
      <c r="M114" s="285"/>
      <c r="N114" s="274"/>
      <c r="O114" s="274"/>
      <c r="P114" s="307" t="str">
        <f>IFERROR(VLOOKUP(O114,Références!$K$11:$N$19,2)," ")</f>
        <v xml:space="preserve"> </v>
      </c>
      <c r="Q114" s="307" t="str">
        <f>IFERROR(VLOOKUP(O114,Références!$K$11:$N$19,3)," ")</f>
        <v xml:space="preserve"> </v>
      </c>
      <c r="R114" s="307" t="str">
        <f>IFERROR(VLOOKUP(O114,Références!$K$11:$N$19,4)," ")</f>
        <v xml:space="preserve"> </v>
      </c>
      <c r="S114" s="298"/>
      <c r="T114" s="298"/>
      <c r="U114" s="298"/>
      <c r="V114" s="298"/>
      <c r="W114" s="298"/>
      <c r="X114" s="299"/>
      <c r="Y114" s="298"/>
      <c r="Z114" s="298"/>
      <c r="AA114" s="298"/>
      <c r="AB114" s="277"/>
      <c r="AC114" s="277"/>
      <c r="AD114" s="316"/>
      <c r="AE114" s="277"/>
      <c r="AF114" s="277"/>
      <c r="AG114" s="277"/>
      <c r="AH114" s="277"/>
      <c r="AI114" s="277">
        <f t="shared" ref="AI114:AI133" si="135">SUM(AF114,AH114)</f>
        <v>0</v>
      </c>
      <c r="AJ114" s="299"/>
      <c r="AK114" s="298">
        <f t="shared" si="126"/>
        <v>0</v>
      </c>
      <c r="AL114" s="299"/>
      <c r="AM114" s="308">
        <f t="shared" si="127"/>
        <v>0</v>
      </c>
      <c r="AN114" s="298"/>
      <c r="AO114" s="318"/>
      <c r="AP114" s="303" t="str">
        <f t="shared" si="88"/>
        <v xml:space="preserve"> </v>
      </c>
      <c r="AQ114" s="298"/>
      <c r="AR114" s="337"/>
      <c r="AS114" s="337"/>
      <c r="AT114" s="305"/>
      <c r="AU114" s="319"/>
      <c r="AV114" s="305"/>
      <c r="AW114" s="272"/>
      <c r="AX114" s="342"/>
      <c r="AY114" s="343"/>
      <c r="AZ114" s="272"/>
      <c r="BA114" s="342" t="s">
        <v>234</v>
      </c>
      <c r="BB114" s="337"/>
      <c r="BC114" s="270">
        <f t="shared" si="128"/>
        <v>0</v>
      </c>
      <c r="BD114" s="270">
        <f t="shared" si="129"/>
        <v>0</v>
      </c>
      <c r="BE114" s="270">
        <f t="shared" si="79"/>
        <v>1</v>
      </c>
      <c r="BF114" s="270" t="str">
        <f t="shared" si="89"/>
        <v>ALIVE</v>
      </c>
      <c r="BG114" s="250" t="str">
        <f t="shared" si="80"/>
        <v>Aucune</v>
      </c>
      <c r="BH114" s="250" t="str">
        <f t="shared" si="81"/>
        <v>Aucune</v>
      </c>
      <c r="BI114" s="250" t="str">
        <f t="shared" si="82"/>
        <v>Aucune</v>
      </c>
      <c r="BJ114" s="250" t="str">
        <f t="shared" si="100"/>
        <v>NON</v>
      </c>
      <c r="BK114" s="250" t="str">
        <f t="shared" si="83"/>
        <v>NON</v>
      </c>
      <c r="BL114" s="250" t="str">
        <f t="shared" si="101"/>
        <v>Inconnu</v>
      </c>
      <c r="BM114" s="250" t="str">
        <f t="shared" si="130"/>
        <v>Inconnu</v>
      </c>
      <c r="BN114" s="250" t="str">
        <f t="shared" si="131"/>
        <v>Inconnu</v>
      </c>
      <c r="BO114" s="250" t="str">
        <f t="shared" si="102"/>
        <v>Inconnu</v>
      </c>
      <c r="BP114" s="250" t="str">
        <f t="shared" si="132"/>
        <v>Inconnu</v>
      </c>
      <c r="BQ114" s="250" t="str">
        <f t="shared" si="133"/>
        <v>Inconnu</v>
      </c>
      <c r="BR114" s="250" t="str">
        <f t="shared" si="134"/>
        <v>Aucune</v>
      </c>
      <c r="BS114" s="250">
        <f t="shared" si="125"/>
        <v>0</v>
      </c>
      <c r="BT114" s="271" t="e">
        <f>VLOOKUP($I114,Lieu_Activité!$A:$B,2,FALSE)</f>
        <v>#N/A</v>
      </c>
      <c r="BU114" s="250" t="str">
        <f t="shared" si="85"/>
        <v>Aucun</v>
      </c>
      <c r="BV114" s="250" t="str">
        <f t="shared" si="86"/>
        <v>Aucun</v>
      </c>
      <c r="BW114" s="249" t="str">
        <f t="shared" si="103"/>
        <v>NON</v>
      </c>
      <c r="BX114" s="330"/>
    </row>
    <row r="115" spans="1:170" ht="12.95" customHeight="1" x14ac:dyDescent="0.25">
      <c r="A115" s="273" t="s">
        <v>210</v>
      </c>
      <c r="B115" s="276"/>
      <c r="C115" s="269"/>
      <c r="D115" s="299"/>
      <c r="E115" s="320">
        <f>(L115-D115)/365</f>
        <v>0</v>
      </c>
      <c r="F115" s="320" t="str">
        <f t="shared" si="87"/>
        <v xml:space="preserve"> </v>
      </c>
      <c r="G115" s="298"/>
      <c r="H115" s="298"/>
      <c r="I115" s="298"/>
      <c r="J115" s="298"/>
      <c r="K115" s="298"/>
      <c r="L115" s="299"/>
      <c r="M115" s="285"/>
      <c r="N115" s="274"/>
      <c r="O115" s="274"/>
      <c r="P115" s="307" t="str">
        <f>IFERROR(VLOOKUP(O115,Références!$K$11:$N$19,2)," ")</f>
        <v xml:space="preserve"> </v>
      </c>
      <c r="Q115" s="307" t="str">
        <f>IFERROR(VLOOKUP(O115,Références!$K$11:$N$19,3)," ")</f>
        <v xml:space="preserve"> </v>
      </c>
      <c r="R115" s="307" t="str">
        <f>IFERROR(VLOOKUP(O115,Références!$K$11:$N$19,4)," ")</f>
        <v xml:space="preserve"> </v>
      </c>
      <c r="S115" s="298"/>
      <c r="T115" s="298"/>
      <c r="U115" s="298"/>
      <c r="V115" s="298"/>
      <c r="W115" s="298"/>
      <c r="X115" s="299"/>
      <c r="Y115" s="298"/>
      <c r="Z115" s="298"/>
      <c r="AA115" s="298"/>
      <c r="AB115" s="277"/>
      <c r="AC115" s="277"/>
      <c r="AD115" s="277"/>
      <c r="AE115" s="277"/>
      <c r="AF115" s="277"/>
      <c r="AG115" s="317"/>
      <c r="AH115" s="277"/>
      <c r="AI115" s="277">
        <f t="shared" si="135"/>
        <v>0</v>
      </c>
      <c r="AJ115" s="299"/>
      <c r="AK115" s="298">
        <f t="shared" si="126"/>
        <v>0</v>
      </c>
      <c r="AL115" s="299"/>
      <c r="AM115" s="308">
        <f t="shared" si="127"/>
        <v>0</v>
      </c>
      <c r="AN115" s="298"/>
      <c r="AO115" s="318"/>
      <c r="AP115" s="303" t="str">
        <f t="shared" si="88"/>
        <v xml:space="preserve"> </v>
      </c>
      <c r="AQ115" s="298"/>
      <c r="AR115" s="337"/>
      <c r="AS115" s="337"/>
      <c r="AT115" s="305"/>
      <c r="AU115" s="319"/>
      <c r="AV115" s="305"/>
      <c r="AW115" s="272"/>
      <c r="AX115" s="342"/>
      <c r="AY115" s="343"/>
      <c r="AZ115" s="272"/>
      <c r="BA115" s="342" t="s">
        <v>234</v>
      </c>
      <c r="BB115" s="337"/>
      <c r="BC115" s="270">
        <f t="shared" si="128"/>
        <v>0</v>
      </c>
      <c r="BD115" s="270">
        <f t="shared" si="129"/>
        <v>0</v>
      </c>
      <c r="BE115" s="270">
        <f t="shared" si="79"/>
        <v>1</v>
      </c>
      <c r="BF115" s="270" t="str">
        <f t="shared" si="89"/>
        <v>ALIVE</v>
      </c>
      <c r="BG115" s="250" t="str">
        <f t="shared" si="80"/>
        <v>Aucune</v>
      </c>
      <c r="BH115" s="250" t="str">
        <f t="shared" si="81"/>
        <v>Aucune</v>
      </c>
      <c r="BI115" s="250" t="str">
        <f t="shared" si="82"/>
        <v>Aucune</v>
      </c>
      <c r="BJ115" s="250" t="str">
        <f t="shared" si="100"/>
        <v>NON</v>
      </c>
      <c r="BK115" s="250" t="str">
        <f t="shared" si="83"/>
        <v>NON</v>
      </c>
      <c r="BL115" s="250" t="str">
        <f t="shared" si="101"/>
        <v>Inconnu</v>
      </c>
      <c r="BM115" s="250" t="str">
        <f t="shared" si="130"/>
        <v>Inconnu</v>
      </c>
      <c r="BN115" s="250" t="str">
        <f t="shared" si="131"/>
        <v>Inconnu</v>
      </c>
      <c r="BO115" s="250" t="str">
        <f t="shared" si="102"/>
        <v>Inconnu</v>
      </c>
      <c r="BP115" s="250" t="str">
        <f t="shared" si="132"/>
        <v>Inconnu</v>
      </c>
      <c r="BQ115" s="250" t="str">
        <f t="shared" si="133"/>
        <v>Inconnu</v>
      </c>
      <c r="BR115" s="250" t="str">
        <f t="shared" si="134"/>
        <v>Aucune</v>
      </c>
      <c r="BS115" s="250">
        <f t="shared" si="125"/>
        <v>0</v>
      </c>
      <c r="BT115" s="271" t="e">
        <f>VLOOKUP($I115,Lieu_Activité!$A:$B,2,FALSE)</f>
        <v>#N/A</v>
      </c>
      <c r="BU115" s="250" t="str">
        <f t="shared" si="85"/>
        <v>Aucun</v>
      </c>
      <c r="BV115" s="250" t="str">
        <f t="shared" si="86"/>
        <v>Aucun</v>
      </c>
      <c r="BW115" s="249" t="str">
        <f t="shared" si="103"/>
        <v>NON</v>
      </c>
      <c r="BX115" s="330"/>
    </row>
    <row r="116" spans="1:170" ht="12.95" customHeight="1" x14ac:dyDescent="0.2">
      <c r="A116" s="273" t="s">
        <v>210</v>
      </c>
      <c r="B116" s="276"/>
      <c r="C116" s="269"/>
      <c r="D116" s="299"/>
      <c r="E116" s="320">
        <f>(L116-D116)/365</f>
        <v>0</v>
      </c>
      <c r="F116" s="320" t="str">
        <f t="shared" si="87"/>
        <v xml:space="preserve"> </v>
      </c>
      <c r="G116" s="298"/>
      <c r="H116" s="298"/>
      <c r="I116" s="298"/>
      <c r="J116" s="298"/>
      <c r="K116" s="298"/>
      <c r="L116" s="299"/>
      <c r="M116" s="285"/>
      <c r="N116" s="274"/>
      <c r="O116" s="274"/>
      <c r="P116" s="307" t="str">
        <f>IFERROR(VLOOKUP(O116,Références!$K$11:$N$19,2)," ")</f>
        <v xml:space="preserve"> </v>
      </c>
      <c r="Q116" s="307" t="str">
        <f>IFERROR(VLOOKUP(O116,Références!$K$11:$N$19,3)," ")</f>
        <v xml:space="preserve"> </v>
      </c>
      <c r="R116" s="307" t="str">
        <f>IFERROR(VLOOKUP(O116,Références!$K$11:$N$19,4)," ")</f>
        <v xml:space="preserve"> </v>
      </c>
      <c r="S116" s="298"/>
      <c r="T116" s="298"/>
      <c r="U116" s="298"/>
      <c r="V116" s="298"/>
      <c r="W116" s="298"/>
      <c r="X116" s="299"/>
      <c r="Y116" s="298"/>
      <c r="Z116" s="298"/>
      <c r="AA116" s="298"/>
      <c r="AB116" s="277"/>
      <c r="AC116" s="277"/>
      <c r="AD116" s="277"/>
      <c r="AE116" s="277"/>
      <c r="AF116" s="277"/>
      <c r="AG116" s="277"/>
      <c r="AH116" s="277"/>
      <c r="AI116" s="277">
        <f t="shared" si="135"/>
        <v>0</v>
      </c>
      <c r="AJ116" s="299"/>
      <c r="AK116" s="298">
        <f t="shared" si="126"/>
        <v>0</v>
      </c>
      <c r="AL116" s="299"/>
      <c r="AM116" s="308">
        <f t="shared" si="127"/>
        <v>0</v>
      </c>
      <c r="AN116" s="298"/>
      <c r="AO116" s="318"/>
      <c r="AP116" s="303" t="str">
        <f t="shared" si="88"/>
        <v xml:space="preserve"> </v>
      </c>
      <c r="AQ116" s="298"/>
      <c r="AR116" s="337"/>
      <c r="AS116" s="337"/>
      <c r="AT116" s="305"/>
      <c r="AU116" s="319"/>
      <c r="AV116" s="305"/>
      <c r="AW116" s="272"/>
      <c r="AX116" s="342"/>
      <c r="AY116" s="343"/>
      <c r="AZ116" s="272"/>
      <c r="BA116" s="342" t="s">
        <v>234</v>
      </c>
      <c r="BB116" s="337"/>
      <c r="BC116" s="270">
        <f t="shared" si="128"/>
        <v>0</v>
      </c>
      <c r="BD116" s="270">
        <f t="shared" si="129"/>
        <v>0</v>
      </c>
      <c r="BE116" s="270">
        <f t="shared" si="79"/>
        <v>1</v>
      </c>
      <c r="BF116" s="270" t="str">
        <f t="shared" si="89"/>
        <v>ALIVE</v>
      </c>
      <c r="BG116" s="250" t="str">
        <f t="shared" si="80"/>
        <v>Aucune</v>
      </c>
      <c r="BH116" s="250" t="str">
        <f t="shared" si="81"/>
        <v>Aucune</v>
      </c>
      <c r="BI116" s="250" t="str">
        <f t="shared" si="82"/>
        <v>Aucune</v>
      </c>
      <c r="BJ116" s="250" t="str">
        <f t="shared" si="100"/>
        <v>NON</v>
      </c>
      <c r="BK116" s="250" t="str">
        <f t="shared" si="83"/>
        <v>NON</v>
      </c>
      <c r="BL116" s="250" t="str">
        <f t="shared" si="101"/>
        <v>Inconnu</v>
      </c>
      <c r="BM116" s="250" t="str">
        <f t="shared" si="130"/>
        <v>Inconnu</v>
      </c>
      <c r="BN116" s="250" t="str">
        <f t="shared" si="131"/>
        <v>Inconnu</v>
      </c>
      <c r="BO116" s="250" t="str">
        <f t="shared" si="102"/>
        <v>Inconnu</v>
      </c>
      <c r="BP116" s="250" t="str">
        <f t="shared" si="132"/>
        <v>Inconnu</v>
      </c>
      <c r="BQ116" s="250" t="str">
        <f t="shared" si="133"/>
        <v>Inconnu</v>
      </c>
      <c r="BR116" s="250" t="str">
        <f t="shared" si="134"/>
        <v>Aucune</v>
      </c>
      <c r="BS116" s="250">
        <f t="shared" si="125"/>
        <v>0</v>
      </c>
      <c r="BT116" s="271" t="e">
        <f>VLOOKUP($I116,Lieu_Activité!$A:$B,2,FALSE)</f>
        <v>#N/A</v>
      </c>
      <c r="BU116" s="250" t="str">
        <f t="shared" si="85"/>
        <v>Aucun</v>
      </c>
      <c r="BV116" s="250" t="str">
        <f t="shared" si="86"/>
        <v>Aucun</v>
      </c>
      <c r="BW116" s="249" t="str">
        <f t="shared" si="103"/>
        <v>NON</v>
      </c>
      <c r="BX116" s="330"/>
    </row>
    <row r="117" spans="1:170" s="1" customFormat="1" ht="12.75" customHeight="1" x14ac:dyDescent="0.2">
      <c r="A117" s="268" t="s">
        <v>211</v>
      </c>
      <c r="B117" s="276"/>
      <c r="C117" s="269"/>
      <c r="D117" s="299"/>
      <c r="E117" s="320">
        <f t="shared" ref="E117:E156" si="136">(L117-D117)/365</f>
        <v>0</v>
      </c>
      <c r="F117" s="320" t="str">
        <f t="shared" si="87"/>
        <v xml:space="preserve"> </v>
      </c>
      <c r="G117" s="298"/>
      <c r="H117" s="298"/>
      <c r="I117" s="298"/>
      <c r="J117" s="298"/>
      <c r="K117" s="298"/>
      <c r="L117" s="299"/>
      <c r="M117" s="285"/>
      <c r="N117" s="274"/>
      <c r="O117" s="274"/>
      <c r="P117" s="307" t="str">
        <f>IFERROR(VLOOKUP(O117,Références!$K$11:$N$19,2)," ")</f>
        <v xml:space="preserve"> </v>
      </c>
      <c r="Q117" s="307" t="str">
        <f>IFERROR(VLOOKUP(O117,Références!$K$11:$N$19,3)," ")</f>
        <v xml:space="preserve"> </v>
      </c>
      <c r="R117" s="307" t="str">
        <f>IFERROR(VLOOKUP(O117,Références!$K$11:$N$19,4)," ")</f>
        <v xml:space="preserve"> </v>
      </c>
      <c r="S117" s="298"/>
      <c r="T117" s="298"/>
      <c r="U117" s="298"/>
      <c r="V117" s="298"/>
      <c r="W117" s="298"/>
      <c r="X117" s="299"/>
      <c r="Y117" s="298"/>
      <c r="Z117" s="298"/>
      <c r="AA117" s="298"/>
      <c r="AB117" s="277"/>
      <c r="AC117" s="277"/>
      <c r="AD117" s="277"/>
      <c r="AE117" s="277"/>
      <c r="AF117" s="277"/>
      <c r="AG117" s="277"/>
      <c r="AH117" s="277"/>
      <c r="AI117" s="277">
        <f t="shared" si="135"/>
        <v>0</v>
      </c>
      <c r="AJ117" s="299"/>
      <c r="AK117" s="298">
        <f t="shared" si="126"/>
        <v>0</v>
      </c>
      <c r="AL117" s="299"/>
      <c r="AM117" s="308">
        <f t="shared" si="127"/>
        <v>0</v>
      </c>
      <c r="AN117" s="298"/>
      <c r="AO117" s="318"/>
      <c r="AP117" s="303" t="str">
        <f t="shared" si="88"/>
        <v xml:space="preserve"> </v>
      </c>
      <c r="AQ117" s="298"/>
      <c r="AR117" s="337"/>
      <c r="AS117" s="337"/>
      <c r="AT117" s="305"/>
      <c r="AU117" s="319"/>
      <c r="AV117" s="305"/>
      <c r="AW117" s="272"/>
      <c r="AX117" s="342"/>
      <c r="AY117" s="343"/>
      <c r="AZ117" s="272"/>
      <c r="BA117" s="342" t="s">
        <v>234</v>
      </c>
      <c r="BB117" s="337"/>
      <c r="BC117" s="270">
        <f t="shared" si="128"/>
        <v>0</v>
      </c>
      <c r="BD117" s="270">
        <f t="shared" si="129"/>
        <v>0</v>
      </c>
      <c r="BE117" s="270">
        <f t="shared" si="79"/>
        <v>1</v>
      </c>
      <c r="BF117" s="270" t="str">
        <f t="shared" si="89"/>
        <v>ALIVE</v>
      </c>
      <c r="BG117" s="250" t="str">
        <f t="shared" si="80"/>
        <v>Aucune</v>
      </c>
      <c r="BH117" s="250" t="str">
        <f t="shared" si="81"/>
        <v>Aucune</v>
      </c>
      <c r="BI117" s="250" t="str">
        <f t="shared" si="82"/>
        <v>Aucune</v>
      </c>
      <c r="BJ117" s="250" t="str">
        <f t="shared" si="100"/>
        <v>NON</v>
      </c>
      <c r="BK117" s="250" t="str">
        <f t="shared" si="83"/>
        <v>NON</v>
      </c>
      <c r="BL117" s="250" t="str">
        <f t="shared" si="101"/>
        <v>Inconnu</v>
      </c>
      <c r="BM117" s="250" t="str">
        <f t="shared" si="130"/>
        <v>Inconnu</v>
      </c>
      <c r="BN117" s="250" t="str">
        <f t="shared" si="131"/>
        <v>Inconnu</v>
      </c>
      <c r="BO117" s="250" t="str">
        <f t="shared" si="102"/>
        <v>Inconnu</v>
      </c>
      <c r="BP117" s="250" t="str">
        <f t="shared" si="132"/>
        <v>Inconnu</v>
      </c>
      <c r="BQ117" s="250" t="str">
        <f t="shared" si="133"/>
        <v>Inconnu</v>
      </c>
      <c r="BR117" s="250" t="str">
        <f t="shared" si="134"/>
        <v>Aucune</v>
      </c>
      <c r="BS117" s="250">
        <f t="shared" si="125"/>
        <v>0</v>
      </c>
      <c r="BT117" s="271" t="e">
        <f>VLOOKUP($I117,Lieu_Activité!$A:$B,2,FALSE)</f>
        <v>#N/A</v>
      </c>
      <c r="BU117" s="250" t="str">
        <f t="shared" si="85"/>
        <v>Aucun</v>
      </c>
      <c r="BV117" s="250" t="str">
        <f t="shared" si="86"/>
        <v>Aucun</v>
      </c>
      <c r="BW117" s="249" t="str">
        <f t="shared" si="103"/>
        <v>NON</v>
      </c>
      <c r="BX117" s="330"/>
      <c r="BY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</row>
    <row r="118" spans="1:170" ht="12" customHeight="1" x14ac:dyDescent="0.2">
      <c r="A118" s="268" t="s">
        <v>211</v>
      </c>
      <c r="B118" s="276"/>
      <c r="C118" s="269"/>
      <c r="D118" s="299"/>
      <c r="E118" s="320">
        <f t="shared" si="136"/>
        <v>0</v>
      </c>
      <c r="F118" s="320" t="str">
        <f t="shared" si="87"/>
        <v xml:space="preserve"> </v>
      </c>
      <c r="G118" s="298"/>
      <c r="H118" s="298"/>
      <c r="I118" s="298"/>
      <c r="J118" s="298"/>
      <c r="K118" s="298"/>
      <c r="L118" s="299"/>
      <c r="M118" s="285"/>
      <c r="N118" s="274"/>
      <c r="O118" s="274"/>
      <c r="P118" s="307" t="str">
        <f>IFERROR(VLOOKUP(O118,Références!$K$11:$N$19,2)," ")</f>
        <v xml:space="preserve"> </v>
      </c>
      <c r="Q118" s="307" t="str">
        <f>IFERROR(VLOOKUP(O118,Références!$K$11:$N$19,3)," ")</f>
        <v xml:space="preserve"> </v>
      </c>
      <c r="R118" s="307" t="str">
        <f>IFERROR(VLOOKUP(O118,Références!$K$11:$N$19,4)," ")</f>
        <v xml:space="preserve"> </v>
      </c>
      <c r="S118" s="298"/>
      <c r="T118" s="298"/>
      <c r="U118" s="298"/>
      <c r="V118" s="298"/>
      <c r="W118" s="298"/>
      <c r="X118" s="299"/>
      <c r="Y118" s="298"/>
      <c r="Z118" s="298"/>
      <c r="AA118" s="298"/>
      <c r="AB118" s="277"/>
      <c r="AC118" s="277"/>
      <c r="AD118" s="277"/>
      <c r="AE118" s="277"/>
      <c r="AF118" s="277"/>
      <c r="AG118" s="277"/>
      <c r="AH118" s="277"/>
      <c r="AI118" s="277">
        <f t="shared" si="135"/>
        <v>0</v>
      </c>
      <c r="AJ118" s="299"/>
      <c r="AK118" s="298">
        <f t="shared" si="126"/>
        <v>0</v>
      </c>
      <c r="AL118" s="299"/>
      <c r="AM118" s="308">
        <f t="shared" si="127"/>
        <v>0</v>
      </c>
      <c r="AN118" s="298"/>
      <c r="AO118" s="318"/>
      <c r="AP118" s="303" t="str">
        <f t="shared" si="88"/>
        <v xml:space="preserve"> </v>
      </c>
      <c r="AQ118" s="298"/>
      <c r="AR118" s="337"/>
      <c r="AS118" s="337"/>
      <c r="AT118" s="305"/>
      <c r="AU118" s="319"/>
      <c r="AV118" s="305"/>
      <c r="AW118" s="272"/>
      <c r="AX118" s="342"/>
      <c r="AY118" s="343"/>
      <c r="AZ118" s="272"/>
      <c r="BA118" s="342" t="s">
        <v>234</v>
      </c>
      <c r="BB118" s="337"/>
      <c r="BC118" s="270">
        <f t="shared" si="128"/>
        <v>0</v>
      </c>
      <c r="BD118" s="270">
        <f t="shared" si="129"/>
        <v>0</v>
      </c>
      <c r="BE118" s="270">
        <f t="shared" si="79"/>
        <v>1</v>
      </c>
      <c r="BF118" s="270" t="str">
        <f t="shared" si="89"/>
        <v>ALIVE</v>
      </c>
      <c r="BG118" s="250" t="str">
        <f t="shared" si="80"/>
        <v>Aucune</v>
      </c>
      <c r="BH118" s="250" t="str">
        <f t="shared" si="81"/>
        <v>Aucune</v>
      </c>
      <c r="BI118" s="250" t="str">
        <f t="shared" si="82"/>
        <v>Aucune</v>
      </c>
      <c r="BJ118" s="250" t="str">
        <f t="shared" si="100"/>
        <v>NON</v>
      </c>
      <c r="BK118" s="250" t="str">
        <f t="shared" si="83"/>
        <v>NON</v>
      </c>
      <c r="BL118" s="250" t="str">
        <f t="shared" si="101"/>
        <v>Inconnu</v>
      </c>
      <c r="BM118" s="250" t="str">
        <f t="shared" si="130"/>
        <v>Inconnu</v>
      </c>
      <c r="BN118" s="250" t="str">
        <f t="shared" si="131"/>
        <v>Inconnu</v>
      </c>
      <c r="BO118" s="250" t="str">
        <f t="shared" si="102"/>
        <v>Inconnu</v>
      </c>
      <c r="BP118" s="250" t="str">
        <f t="shared" si="132"/>
        <v>Inconnu</v>
      </c>
      <c r="BQ118" s="250" t="str">
        <f t="shared" si="133"/>
        <v>Inconnu</v>
      </c>
      <c r="BR118" s="250" t="str">
        <f t="shared" si="134"/>
        <v>Aucune</v>
      </c>
      <c r="BS118" s="250">
        <f t="shared" si="125"/>
        <v>0</v>
      </c>
      <c r="BT118" s="271" t="e">
        <f>VLOOKUP($I118,Lieu_Activité!$A:$B,2,FALSE)</f>
        <v>#N/A</v>
      </c>
      <c r="BU118" s="250" t="str">
        <f t="shared" si="85"/>
        <v>Aucun</v>
      </c>
      <c r="BV118" s="250" t="str">
        <f t="shared" si="86"/>
        <v>Aucun</v>
      </c>
      <c r="BW118" s="249" t="str">
        <f t="shared" si="103"/>
        <v>NON</v>
      </c>
      <c r="BX118" s="330"/>
    </row>
    <row r="119" spans="1:170" ht="12" customHeight="1" x14ac:dyDescent="0.2">
      <c r="A119" s="268" t="s">
        <v>211</v>
      </c>
      <c r="B119" s="276"/>
      <c r="C119" s="269"/>
      <c r="D119" s="299"/>
      <c r="E119" s="320">
        <f t="shared" si="136"/>
        <v>0</v>
      </c>
      <c r="F119" s="320" t="str">
        <f t="shared" si="87"/>
        <v xml:space="preserve"> </v>
      </c>
      <c r="G119" s="298"/>
      <c r="H119" s="298"/>
      <c r="I119" s="298"/>
      <c r="J119" s="298"/>
      <c r="K119" s="298"/>
      <c r="L119" s="299"/>
      <c r="M119" s="285"/>
      <c r="N119" s="274"/>
      <c r="O119" s="274"/>
      <c r="P119" s="307" t="str">
        <f>IFERROR(VLOOKUP(O119,Références!$K$11:$N$19,2)," ")</f>
        <v xml:space="preserve"> </v>
      </c>
      <c r="Q119" s="307" t="str">
        <f>IFERROR(VLOOKUP(O119,Références!$K$11:$N$19,3)," ")</f>
        <v xml:space="preserve"> </v>
      </c>
      <c r="R119" s="307" t="str">
        <f>IFERROR(VLOOKUP(O119,Références!$K$11:$N$19,4)," ")</f>
        <v xml:space="preserve"> </v>
      </c>
      <c r="S119" s="298"/>
      <c r="T119" s="298"/>
      <c r="U119" s="298"/>
      <c r="V119" s="298"/>
      <c r="W119" s="298"/>
      <c r="X119" s="299"/>
      <c r="Y119" s="298"/>
      <c r="Z119" s="298"/>
      <c r="AA119" s="298"/>
      <c r="AB119" s="277"/>
      <c r="AC119" s="277"/>
      <c r="AD119" s="277"/>
      <c r="AE119" s="277"/>
      <c r="AF119" s="277"/>
      <c r="AG119" s="277"/>
      <c r="AH119" s="277"/>
      <c r="AI119" s="277">
        <f t="shared" si="135"/>
        <v>0</v>
      </c>
      <c r="AJ119" s="299"/>
      <c r="AK119" s="298">
        <f t="shared" si="126"/>
        <v>0</v>
      </c>
      <c r="AL119" s="299"/>
      <c r="AM119" s="308">
        <f t="shared" si="127"/>
        <v>0</v>
      </c>
      <c r="AN119" s="298"/>
      <c r="AO119" s="318"/>
      <c r="AP119" s="303" t="str">
        <f t="shared" si="88"/>
        <v xml:space="preserve"> </v>
      </c>
      <c r="AQ119" s="298"/>
      <c r="AR119" s="337"/>
      <c r="AS119" s="337"/>
      <c r="AT119" s="305"/>
      <c r="AU119" s="319"/>
      <c r="AV119" s="305"/>
      <c r="AW119" s="272"/>
      <c r="AX119" s="342"/>
      <c r="AY119" s="343"/>
      <c r="AZ119" s="272"/>
      <c r="BA119" s="342" t="s">
        <v>234</v>
      </c>
      <c r="BB119" s="337"/>
      <c r="BC119" s="270">
        <f t="shared" si="128"/>
        <v>0</v>
      </c>
      <c r="BD119" s="270">
        <f t="shared" si="129"/>
        <v>0</v>
      </c>
      <c r="BE119" s="270">
        <f t="shared" si="79"/>
        <v>1</v>
      </c>
      <c r="BF119" s="270" t="str">
        <f t="shared" si="89"/>
        <v>ALIVE</v>
      </c>
      <c r="BG119" s="250" t="str">
        <f t="shared" si="80"/>
        <v>Aucune</v>
      </c>
      <c r="BH119" s="250" t="str">
        <f t="shared" si="81"/>
        <v>Aucune</v>
      </c>
      <c r="BI119" s="250" t="str">
        <f t="shared" si="82"/>
        <v>Aucune</v>
      </c>
      <c r="BJ119" s="250" t="str">
        <f t="shared" si="100"/>
        <v>NON</v>
      </c>
      <c r="BK119" s="250" t="str">
        <f t="shared" si="83"/>
        <v>NON</v>
      </c>
      <c r="BL119" s="250" t="str">
        <f t="shared" si="101"/>
        <v>Inconnu</v>
      </c>
      <c r="BM119" s="250" t="str">
        <f t="shared" si="130"/>
        <v>Inconnu</v>
      </c>
      <c r="BN119" s="250" t="str">
        <f t="shared" si="131"/>
        <v>Inconnu</v>
      </c>
      <c r="BO119" s="250" t="str">
        <f t="shared" si="102"/>
        <v>Inconnu</v>
      </c>
      <c r="BP119" s="250" t="str">
        <f t="shared" si="132"/>
        <v>Inconnu</v>
      </c>
      <c r="BQ119" s="250" t="str">
        <f t="shared" si="133"/>
        <v>Inconnu</v>
      </c>
      <c r="BR119" s="250" t="str">
        <f t="shared" si="134"/>
        <v>Aucune</v>
      </c>
      <c r="BS119" s="250">
        <f t="shared" si="125"/>
        <v>0</v>
      </c>
      <c r="BT119" s="271" t="e">
        <f>VLOOKUP($I119,Lieu_Activité!$A:$B,2,FALSE)</f>
        <v>#N/A</v>
      </c>
      <c r="BU119" s="250" t="str">
        <f t="shared" si="85"/>
        <v>Aucun</v>
      </c>
      <c r="BV119" s="250" t="str">
        <f t="shared" si="86"/>
        <v>Aucun</v>
      </c>
      <c r="BW119" s="249" t="str">
        <f t="shared" si="103"/>
        <v>NON</v>
      </c>
      <c r="BX119" s="330"/>
    </row>
    <row r="120" spans="1:170" ht="12" customHeight="1" x14ac:dyDescent="0.2">
      <c r="A120" s="268" t="s">
        <v>211</v>
      </c>
      <c r="B120" s="276"/>
      <c r="C120" s="269"/>
      <c r="D120" s="299"/>
      <c r="E120" s="320">
        <f t="shared" si="136"/>
        <v>0</v>
      </c>
      <c r="F120" s="320" t="str">
        <f t="shared" si="87"/>
        <v xml:space="preserve"> </v>
      </c>
      <c r="G120" s="298"/>
      <c r="H120" s="298"/>
      <c r="I120" s="298"/>
      <c r="J120" s="298"/>
      <c r="K120" s="298"/>
      <c r="L120" s="299"/>
      <c r="M120" s="285"/>
      <c r="N120" s="274"/>
      <c r="O120" s="274"/>
      <c r="P120" s="307" t="str">
        <f>IFERROR(VLOOKUP(O120,Références!$K$11:$N$19,2)," ")</f>
        <v xml:space="preserve"> </v>
      </c>
      <c r="Q120" s="307" t="str">
        <f>IFERROR(VLOOKUP(O120,Références!$K$11:$N$19,3)," ")</f>
        <v xml:space="preserve"> </v>
      </c>
      <c r="R120" s="307" t="str">
        <f>IFERROR(VLOOKUP(O120,Références!$K$11:$N$19,4)," ")</f>
        <v xml:space="preserve"> </v>
      </c>
      <c r="S120" s="298"/>
      <c r="T120" s="298"/>
      <c r="U120" s="298"/>
      <c r="V120" s="298"/>
      <c r="W120" s="298"/>
      <c r="X120" s="299"/>
      <c r="Y120" s="298"/>
      <c r="Z120" s="298"/>
      <c r="AA120" s="298"/>
      <c r="AB120" s="277"/>
      <c r="AC120" s="277"/>
      <c r="AD120" s="277"/>
      <c r="AE120" s="277"/>
      <c r="AF120" s="277"/>
      <c r="AG120" s="277"/>
      <c r="AH120" s="277"/>
      <c r="AI120" s="277">
        <f t="shared" si="135"/>
        <v>0</v>
      </c>
      <c r="AJ120" s="299"/>
      <c r="AK120" s="298">
        <f t="shared" si="126"/>
        <v>0</v>
      </c>
      <c r="AL120" s="299"/>
      <c r="AM120" s="308">
        <f t="shared" si="127"/>
        <v>0</v>
      </c>
      <c r="AN120" s="298"/>
      <c r="AO120" s="318"/>
      <c r="AP120" s="303" t="str">
        <f t="shared" si="88"/>
        <v xml:space="preserve"> </v>
      </c>
      <c r="AQ120" s="298"/>
      <c r="AR120" s="337"/>
      <c r="AS120" s="337"/>
      <c r="AT120" s="305"/>
      <c r="AU120" s="319"/>
      <c r="AV120" s="305"/>
      <c r="AW120" s="272"/>
      <c r="AX120" s="342"/>
      <c r="AY120" s="343"/>
      <c r="AZ120" s="272"/>
      <c r="BA120" s="342" t="s">
        <v>234</v>
      </c>
      <c r="BB120" s="337"/>
      <c r="BC120" s="270">
        <f t="shared" si="128"/>
        <v>0</v>
      </c>
      <c r="BD120" s="270">
        <f t="shared" si="129"/>
        <v>0</v>
      </c>
      <c r="BE120" s="270">
        <f t="shared" si="79"/>
        <v>1</v>
      </c>
      <c r="BF120" s="270" t="str">
        <f t="shared" si="89"/>
        <v>ALIVE</v>
      </c>
      <c r="BG120" s="250" t="str">
        <f t="shared" si="80"/>
        <v>Aucune</v>
      </c>
      <c r="BH120" s="250" t="str">
        <f t="shared" si="81"/>
        <v>Aucune</v>
      </c>
      <c r="BI120" s="250" t="str">
        <f t="shared" si="82"/>
        <v>Aucune</v>
      </c>
      <c r="BJ120" s="250" t="str">
        <f t="shared" ref="BJ120:BJ125" si="137">IF(X120&lt;&gt;"",IF(X120-L120&lt;2,"OUI","NON"),"NON")</f>
        <v>NON</v>
      </c>
      <c r="BK120" s="250" t="str">
        <f t="shared" si="83"/>
        <v>NON</v>
      </c>
      <c r="BL120" s="250" t="str">
        <f t="shared" ref="BL120:BL125" si="138">IF(AL120-L120&gt;0,AL120-L120,"Inconnu")</f>
        <v>Inconnu</v>
      </c>
      <c r="BM120" s="250" t="str">
        <f t="shared" si="130"/>
        <v>Inconnu</v>
      </c>
      <c r="BN120" s="250" t="str">
        <f t="shared" si="131"/>
        <v>Inconnu</v>
      </c>
      <c r="BO120" s="250" t="str">
        <f t="shared" ref="BO120:BO125" si="139">IF(AJ120-L120&gt;0,AJ120-L120,"Inconnu")</f>
        <v>Inconnu</v>
      </c>
      <c r="BP120" s="250" t="str">
        <f t="shared" si="132"/>
        <v>Inconnu</v>
      </c>
      <c r="BQ120" s="250" t="str">
        <f t="shared" si="133"/>
        <v>Inconnu</v>
      </c>
      <c r="BR120" s="250" t="str">
        <f t="shared" si="134"/>
        <v>Aucune</v>
      </c>
      <c r="BS120" s="250">
        <f t="shared" si="125"/>
        <v>0</v>
      </c>
      <c r="BT120" s="271" t="e">
        <f>VLOOKUP($I120,Lieu_Activité!$A:$B,2,FALSE)</f>
        <v>#N/A</v>
      </c>
      <c r="BU120" s="250" t="str">
        <f t="shared" si="85"/>
        <v>Aucun</v>
      </c>
      <c r="BV120" s="250" t="str">
        <f t="shared" si="86"/>
        <v>Aucun</v>
      </c>
      <c r="BW120" s="249" t="str">
        <f t="shared" ref="BW120:BW151" si="140">IF(M120="","NON","OUI")</f>
        <v>NON</v>
      </c>
      <c r="BX120" s="330"/>
    </row>
    <row r="121" spans="1:170" s="1" customFormat="1" ht="12.75" customHeight="1" x14ac:dyDescent="0.2">
      <c r="A121" s="268" t="s">
        <v>211</v>
      </c>
      <c r="B121" s="276"/>
      <c r="C121" s="269"/>
      <c r="D121" s="299"/>
      <c r="E121" s="320">
        <f>(L121-D121)/365</f>
        <v>0</v>
      </c>
      <c r="F121" s="320" t="str">
        <f t="shared" si="87"/>
        <v xml:space="preserve"> </v>
      </c>
      <c r="G121" s="298"/>
      <c r="H121" s="298"/>
      <c r="I121" s="298"/>
      <c r="J121" s="298"/>
      <c r="K121" s="298"/>
      <c r="L121" s="299"/>
      <c r="M121" s="285"/>
      <c r="N121" s="274"/>
      <c r="O121" s="274"/>
      <c r="P121" s="307" t="str">
        <f>IFERROR(VLOOKUP(O121,Références!$K$11:$N$19,2)," ")</f>
        <v xml:space="preserve"> </v>
      </c>
      <c r="Q121" s="307" t="str">
        <f>IFERROR(VLOOKUP(O121,Références!$K$11:$N$19,3)," ")</f>
        <v xml:space="preserve"> </v>
      </c>
      <c r="R121" s="307" t="str">
        <f>IFERROR(VLOOKUP(O121,Références!$K$11:$N$19,4)," ")</f>
        <v xml:space="preserve"> </v>
      </c>
      <c r="S121" s="298"/>
      <c r="T121" s="298"/>
      <c r="U121" s="298"/>
      <c r="V121" s="298"/>
      <c r="W121" s="298"/>
      <c r="X121" s="299"/>
      <c r="Y121" s="298"/>
      <c r="Z121" s="298"/>
      <c r="AA121" s="298"/>
      <c r="AB121" s="277"/>
      <c r="AC121" s="277"/>
      <c r="AD121" s="277"/>
      <c r="AE121" s="277"/>
      <c r="AF121" s="277"/>
      <c r="AG121" s="277"/>
      <c r="AH121" s="277"/>
      <c r="AI121" s="277">
        <f t="shared" si="135"/>
        <v>0</v>
      </c>
      <c r="AJ121" s="299"/>
      <c r="AK121" s="298">
        <f t="shared" si="126"/>
        <v>0</v>
      </c>
      <c r="AL121" s="299"/>
      <c r="AM121" s="308">
        <f t="shared" si="127"/>
        <v>0</v>
      </c>
      <c r="AN121" s="298"/>
      <c r="AO121" s="318"/>
      <c r="AP121" s="303" t="str">
        <f t="shared" si="88"/>
        <v xml:space="preserve"> </v>
      </c>
      <c r="AQ121" s="298"/>
      <c r="AR121" s="337"/>
      <c r="AS121" s="337"/>
      <c r="AT121" s="305"/>
      <c r="AU121" s="319"/>
      <c r="AV121" s="305"/>
      <c r="AW121" s="272"/>
      <c r="AX121" s="342"/>
      <c r="AY121" s="343"/>
      <c r="AZ121" s="272"/>
      <c r="BA121" s="342" t="s">
        <v>234</v>
      </c>
      <c r="BB121" s="337"/>
      <c r="BC121" s="270">
        <f t="shared" si="128"/>
        <v>0</v>
      </c>
      <c r="BD121" s="270">
        <f t="shared" si="129"/>
        <v>0</v>
      </c>
      <c r="BE121" s="270">
        <f t="shared" si="79"/>
        <v>1</v>
      </c>
      <c r="BF121" s="270" t="str">
        <f t="shared" si="89"/>
        <v>ALIVE</v>
      </c>
      <c r="BG121" s="250" t="str">
        <f t="shared" si="80"/>
        <v>Aucune</v>
      </c>
      <c r="BH121" s="250" t="str">
        <f t="shared" si="81"/>
        <v>Aucune</v>
      </c>
      <c r="BI121" s="250" t="str">
        <f t="shared" si="82"/>
        <v>Aucune</v>
      </c>
      <c r="BJ121" s="250" t="str">
        <f t="shared" si="137"/>
        <v>NON</v>
      </c>
      <c r="BK121" s="250" t="str">
        <f t="shared" si="83"/>
        <v>NON</v>
      </c>
      <c r="BL121" s="250" t="str">
        <f t="shared" si="138"/>
        <v>Inconnu</v>
      </c>
      <c r="BM121" s="250" t="str">
        <f t="shared" si="130"/>
        <v>Inconnu</v>
      </c>
      <c r="BN121" s="250" t="str">
        <f t="shared" si="131"/>
        <v>Inconnu</v>
      </c>
      <c r="BO121" s="250" t="str">
        <f t="shared" si="139"/>
        <v>Inconnu</v>
      </c>
      <c r="BP121" s="250" t="str">
        <f t="shared" si="132"/>
        <v>Inconnu</v>
      </c>
      <c r="BQ121" s="250" t="str">
        <f t="shared" si="133"/>
        <v>Inconnu</v>
      </c>
      <c r="BR121" s="250" t="str">
        <f t="shared" si="134"/>
        <v>Aucune</v>
      </c>
      <c r="BS121" s="250">
        <f t="shared" si="125"/>
        <v>0</v>
      </c>
      <c r="BT121" s="271" t="e">
        <f>VLOOKUP($I121,Lieu_Activité!$A:$B,2,FALSE)</f>
        <v>#N/A</v>
      </c>
      <c r="BU121" s="250" t="str">
        <f t="shared" si="85"/>
        <v>Aucun</v>
      </c>
      <c r="BV121" s="250" t="str">
        <f t="shared" si="86"/>
        <v>Aucun</v>
      </c>
      <c r="BW121" s="249" t="str">
        <f t="shared" si="140"/>
        <v>NON</v>
      </c>
      <c r="BX121" s="330"/>
      <c r="BY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</row>
    <row r="122" spans="1:170" ht="12" customHeight="1" x14ac:dyDescent="0.2">
      <c r="A122" s="268" t="s">
        <v>211</v>
      </c>
      <c r="B122" s="276"/>
      <c r="C122" s="269"/>
      <c r="D122" s="299"/>
      <c r="E122" s="320">
        <f>(L122-D122)/365</f>
        <v>0</v>
      </c>
      <c r="F122" s="320" t="str">
        <f t="shared" si="87"/>
        <v xml:space="preserve"> </v>
      </c>
      <c r="G122" s="298"/>
      <c r="H122" s="298"/>
      <c r="I122" s="298"/>
      <c r="J122" s="298"/>
      <c r="K122" s="298"/>
      <c r="L122" s="299"/>
      <c r="M122" s="285"/>
      <c r="N122" s="274"/>
      <c r="O122" s="274"/>
      <c r="P122" s="307" t="str">
        <f>IFERROR(VLOOKUP(O122,Références!$K$11:$N$19,2)," ")</f>
        <v xml:space="preserve"> </v>
      </c>
      <c r="Q122" s="307" t="str">
        <f>IFERROR(VLOOKUP(O122,Références!$K$11:$N$19,3)," ")</f>
        <v xml:space="preserve"> </v>
      </c>
      <c r="R122" s="307" t="str">
        <f>IFERROR(VLOOKUP(O122,Références!$K$11:$N$19,4)," ")</f>
        <v xml:space="preserve"> </v>
      </c>
      <c r="S122" s="298"/>
      <c r="T122" s="298"/>
      <c r="U122" s="298"/>
      <c r="V122" s="298"/>
      <c r="W122" s="298"/>
      <c r="X122" s="299"/>
      <c r="Y122" s="298"/>
      <c r="Z122" s="298"/>
      <c r="AA122" s="298"/>
      <c r="AB122" s="277"/>
      <c r="AC122" s="277"/>
      <c r="AD122" s="277"/>
      <c r="AE122" s="277"/>
      <c r="AF122" s="277"/>
      <c r="AG122" s="277"/>
      <c r="AH122" s="277"/>
      <c r="AI122" s="277">
        <f t="shared" si="135"/>
        <v>0</v>
      </c>
      <c r="AJ122" s="299"/>
      <c r="AK122" s="298">
        <f t="shared" si="126"/>
        <v>0</v>
      </c>
      <c r="AL122" s="299"/>
      <c r="AM122" s="308">
        <f t="shared" si="127"/>
        <v>0</v>
      </c>
      <c r="AN122" s="298"/>
      <c r="AO122" s="318"/>
      <c r="AP122" s="303" t="str">
        <f t="shared" si="88"/>
        <v xml:space="preserve"> </v>
      </c>
      <c r="AQ122" s="298"/>
      <c r="AR122" s="337"/>
      <c r="AS122" s="337"/>
      <c r="AT122" s="305"/>
      <c r="AU122" s="319"/>
      <c r="AV122" s="305"/>
      <c r="AW122" s="272"/>
      <c r="AX122" s="342"/>
      <c r="AY122" s="343"/>
      <c r="AZ122" s="272"/>
      <c r="BA122" s="342" t="s">
        <v>234</v>
      </c>
      <c r="BB122" s="337"/>
      <c r="BC122" s="270">
        <f t="shared" si="128"/>
        <v>0</v>
      </c>
      <c r="BD122" s="270">
        <f t="shared" si="129"/>
        <v>0</v>
      </c>
      <c r="BE122" s="270">
        <f t="shared" si="79"/>
        <v>1</v>
      </c>
      <c r="BF122" s="270" t="str">
        <f t="shared" si="89"/>
        <v>ALIVE</v>
      </c>
      <c r="BG122" s="250" t="str">
        <f t="shared" si="80"/>
        <v>Aucune</v>
      </c>
      <c r="BH122" s="250" t="str">
        <f t="shared" si="81"/>
        <v>Aucune</v>
      </c>
      <c r="BI122" s="250" t="str">
        <f t="shared" si="82"/>
        <v>Aucune</v>
      </c>
      <c r="BJ122" s="250" t="str">
        <f t="shared" si="137"/>
        <v>NON</v>
      </c>
      <c r="BK122" s="250" t="str">
        <f t="shared" si="83"/>
        <v>NON</v>
      </c>
      <c r="BL122" s="250" t="str">
        <f t="shared" si="138"/>
        <v>Inconnu</v>
      </c>
      <c r="BM122" s="250" t="str">
        <f t="shared" si="130"/>
        <v>Inconnu</v>
      </c>
      <c r="BN122" s="250" t="str">
        <f t="shared" si="131"/>
        <v>Inconnu</v>
      </c>
      <c r="BO122" s="250" t="str">
        <f t="shared" si="139"/>
        <v>Inconnu</v>
      </c>
      <c r="BP122" s="250" t="str">
        <f t="shared" si="132"/>
        <v>Inconnu</v>
      </c>
      <c r="BQ122" s="250" t="str">
        <f t="shared" si="133"/>
        <v>Inconnu</v>
      </c>
      <c r="BR122" s="250" t="str">
        <f t="shared" si="134"/>
        <v>Aucune</v>
      </c>
      <c r="BS122" s="250" t="e">
        <f>#REF!+AH122</f>
        <v>#REF!</v>
      </c>
      <c r="BT122" s="271" t="e">
        <f>VLOOKUP($I122,Lieu_Activité!$A:$B,2,FALSE)</f>
        <v>#N/A</v>
      </c>
      <c r="BU122" s="250" t="str">
        <f t="shared" si="85"/>
        <v>Aucun</v>
      </c>
      <c r="BV122" s="250" t="str">
        <f t="shared" si="86"/>
        <v>Aucun</v>
      </c>
      <c r="BW122" s="249" t="str">
        <f t="shared" si="140"/>
        <v>NON</v>
      </c>
      <c r="BX122" s="330"/>
    </row>
    <row r="123" spans="1:170" ht="12" customHeight="1" x14ac:dyDescent="0.2">
      <c r="A123" s="268" t="s">
        <v>211</v>
      </c>
      <c r="B123" s="276"/>
      <c r="C123" s="269"/>
      <c r="D123" s="299"/>
      <c r="E123" s="320">
        <f>(L123-D123)/365</f>
        <v>0</v>
      </c>
      <c r="F123" s="320" t="str">
        <f t="shared" si="87"/>
        <v xml:space="preserve"> </v>
      </c>
      <c r="G123" s="298"/>
      <c r="H123" s="298"/>
      <c r="I123" s="298"/>
      <c r="J123" s="298"/>
      <c r="K123" s="298"/>
      <c r="L123" s="299"/>
      <c r="M123" s="285"/>
      <c r="N123" s="274"/>
      <c r="O123" s="274"/>
      <c r="P123" s="307" t="str">
        <f>IFERROR(VLOOKUP(O123,Références!$K$11:$N$19,2)," ")</f>
        <v xml:space="preserve"> </v>
      </c>
      <c r="Q123" s="307" t="str">
        <f>IFERROR(VLOOKUP(O123,Références!$K$11:$N$19,3)," ")</f>
        <v xml:space="preserve"> </v>
      </c>
      <c r="R123" s="307" t="str">
        <f>IFERROR(VLOOKUP(O123,Références!$K$11:$N$19,4)," ")</f>
        <v xml:space="preserve"> </v>
      </c>
      <c r="S123" s="298"/>
      <c r="T123" s="298"/>
      <c r="U123" s="298"/>
      <c r="V123" s="298"/>
      <c r="W123" s="298"/>
      <c r="X123" s="299"/>
      <c r="Y123" s="298"/>
      <c r="Z123" s="298"/>
      <c r="AA123" s="298"/>
      <c r="AB123" s="277"/>
      <c r="AC123" s="277"/>
      <c r="AD123" s="277"/>
      <c r="AE123" s="277"/>
      <c r="AF123" s="277"/>
      <c r="AG123" s="277"/>
      <c r="AH123" s="277"/>
      <c r="AI123" s="277">
        <f t="shared" si="135"/>
        <v>0</v>
      </c>
      <c r="AJ123" s="299"/>
      <c r="AK123" s="298">
        <f t="shared" si="126"/>
        <v>0</v>
      </c>
      <c r="AL123" s="299"/>
      <c r="AM123" s="308">
        <f t="shared" si="127"/>
        <v>0</v>
      </c>
      <c r="AN123" s="298"/>
      <c r="AO123" s="318"/>
      <c r="AP123" s="303" t="str">
        <f t="shared" si="88"/>
        <v xml:space="preserve"> </v>
      </c>
      <c r="AQ123" s="298"/>
      <c r="AR123" s="337"/>
      <c r="AS123" s="337"/>
      <c r="AT123" s="305"/>
      <c r="AU123" s="319"/>
      <c r="AV123" s="305"/>
      <c r="AW123" s="272"/>
      <c r="AX123" s="342"/>
      <c r="AY123" s="343"/>
      <c r="AZ123" s="272"/>
      <c r="BA123" s="342" t="s">
        <v>234</v>
      </c>
      <c r="BB123" s="337"/>
      <c r="BC123" s="270">
        <f t="shared" si="128"/>
        <v>0</v>
      </c>
      <c r="BD123" s="270">
        <f t="shared" si="129"/>
        <v>0</v>
      </c>
      <c r="BE123" s="270">
        <f t="shared" si="79"/>
        <v>1</v>
      </c>
      <c r="BF123" s="270" t="str">
        <f t="shared" si="89"/>
        <v>ALIVE</v>
      </c>
      <c r="BG123" s="250" t="str">
        <f t="shared" si="80"/>
        <v>Aucune</v>
      </c>
      <c r="BH123" s="250" t="str">
        <f t="shared" si="81"/>
        <v>Aucune</v>
      </c>
      <c r="BI123" s="250" t="str">
        <f t="shared" si="82"/>
        <v>Aucune</v>
      </c>
      <c r="BJ123" s="250" t="str">
        <f t="shared" si="137"/>
        <v>NON</v>
      </c>
      <c r="BK123" s="250" t="str">
        <f t="shared" si="83"/>
        <v>NON</v>
      </c>
      <c r="BL123" s="250" t="str">
        <f t="shared" si="138"/>
        <v>Inconnu</v>
      </c>
      <c r="BM123" s="250" t="str">
        <f t="shared" si="130"/>
        <v>Inconnu</v>
      </c>
      <c r="BN123" s="250" t="str">
        <f t="shared" si="131"/>
        <v>Inconnu</v>
      </c>
      <c r="BO123" s="250" t="str">
        <f t="shared" si="139"/>
        <v>Inconnu</v>
      </c>
      <c r="BP123" s="250" t="str">
        <f t="shared" si="132"/>
        <v>Inconnu</v>
      </c>
      <c r="BQ123" s="250" t="str">
        <f t="shared" si="133"/>
        <v>Inconnu</v>
      </c>
      <c r="BR123" s="250" t="str">
        <f t="shared" si="134"/>
        <v>Aucune</v>
      </c>
      <c r="BS123" s="250">
        <f>AF122+AH123</f>
        <v>0</v>
      </c>
      <c r="BT123" s="271" t="e">
        <f>VLOOKUP($I123,Lieu_Activité!$A:$B,2,FALSE)</f>
        <v>#N/A</v>
      </c>
      <c r="BU123" s="250" t="str">
        <f t="shared" si="85"/>
        <v>Aucun</v>
      </c>
      <c r="BV123" s="250" t="str">
        <f t="shared" si="86"/>
        <v>Aucun</v>
      </c>
      <c r="BW123" s="249" t="str">
        <f t="shared" si="140"/>
        <v>NON</v>
      </c>
      <c r="BX123" s="330"/>
    </row>
    <row r="124" spans="1:170" ht="12" customHeight="1" x14ac:dyDescent="0.2">
      <c r="A124" s="268" t="s">
        <v>211</v>
      </c>
      <c r="B124" s="276"/>
      <c r="C124" s="269"/>
      <c r="D124" s="299"/>
      <c r="E124" s="320">
        <f>(L124-D124)/365</f>
        <v>0</v>
      </c>
      <c r="F124" s="320" t="str">
        <f t="shared" si="87"/>
        <v xml:space="preserve"> </v>
      </c>
      <c r="G124" s="298"/>
      <c r="H124" s="298"/>
      <c r="I124" s="298"/>
      <c r="J124" s="298"/>
      <c r="K124" s="298"/>
      <c r="L124" s="299"/>
      <c r="M124" s="285"/>
      <c r="N124" s="274"/>
      <c r="O124" s="274"/>
      <c r="P124" s="307" t="str">
        <f>IFERROR(VLOOKUP(O124,Références!$K$11:$N$19,2)," ")</f>
        <v xml:space="preserve"> </v>
      </c>
      <c r="Q124" s="307" t="str">
        <f>IFERROR(VLOOKUP(O124,Références!$K$11:$N$19,3)," ")</f>
        <v xml:space="preserve"> </v>
      </c>
      <c r="R124" s="307" t="str">
        <f>IFERROR(VLOOKUP(O124,Références!$K$11:$N$19,4)," ")</f>
        <v xml:space="preserve"> </v>
      </c>
      <c r="S124" s="298"/>
      <c r="T124" s="298"/>
      <c r="U124" s="298"/>
      <c r="V124" s="298"/>
      <c r="W124" s="298"/>
      <c r="X124" s="299"/>
      <c r="Y124" s="298"/>
      <c r="Z124" s="298"/>
      <c r="AA124" s="298"/>
      <c r="AB124" s="277"/>
      <c r="AC124" s="277"/>
      <c r="AD124" s="277"/>
      <c r="AE124" s="277"/>
      <c r="AF124" s="277"/>
      <c r="AG124" s="277"/>
      <c r="AH124" s="277"/>
      <c r="AI124" s="277">
        <f t="shared" si="135"/>
        <v>0</v>
      </c>
      <c r="AJ124" s="299"/>
      <c r="AK124" s="298">
        <f t="shared" si="126"/>
        <v>0</v>
      </c>
      <c r="AL124" s="299"/>
      <c r="AM124" s="308">
        <f t="shared" si="127"/>
        <v>0</v>
      </c>
      <c r="AN124" s="298"/>
      <c r="AO124" s="318"/>
      <c r="AP124" s="303" t="str">
        <f t="shared" si="88"/>
        <v xml:space="preserve"> </v>
      </c>
      <c r="AQ124" s="298"/>
      <c r="AR124" s="337"/>
      <c r="AS124" s="337"/>
      <c r="AT124" s="305"/>
      <c r="AU124" s="319"/>
      <c r="AV124" s="305"/>
      <c r="AW124" s="272"/>
      <c r="AX124" s="342"/>
      <c r="AY124" s="343"/>
      <c r="AZ124" s="272"/>
      <c r="BA124" s="342" t="s">
        <v>234</v>
      </c>
      <c r="BB124" s="337"/>
      <c r="BC124" s="270">
        <f t="shared" si="128"/>
        <v>0</v>
      </c>
      <c r="BD124" s="270">
        <f t="shared" si="129"/>
        <v>0</v>
      </c>
      <c r="BE124" s="270">
        <f t="shared" si="79"/>
        <v>1</v>
      </c>
      <c r="BF124" s="270" t="str">
        <f t="shared" si="89"/>
        <v>ALIVE</v>
      </c>
      <c r="BG124" s="250" t="str">
        <f t="shared" si="80"/>
        <v>Aucune</v>
      </c>
      <c r="BH124" s="250" t="str">
        <f t="shared" si="81"/>
        <v>Aucune</v>
      </c>
      <c r="BI124" s="250" t="str">
        <f t="shared" si="82"/>
        <v>Aucune</v>
      </c>
      <c r="BJ124" s="250" t="str">
        <f t="shared" si="137"/>
        <v>NON</v>
      </c>
      <c r="BK124" s="250" t="str">
        <f t="shared" si="83"/>
        <v>NON</v>
      </c>
      <c r="BL124" s="250" t="str">
        <f t="shared" si="138"/>
        <v>Inconnu</v>
      </c>
      <c r="BM124" s="250" t="str">
        <f t="shared" si="130"/>
        <v>Inconnu</v>
      </c>
      <c r="BN124" s="250" t="str">
        <f t="shared" si="131"/>
        <v>Inconnu</v>
      </c>
      <c r="BO124" s="250" t="str">
        <f t="shared" si="139"/>
        <v>Inconnu</v>
      </c>
      <c r="BP124" s="250" t="str">
        <f t="shared" si="132"/>
        <v>Inconnu</v>
      </c>
      <c r="BQ124" s="250" t="str">
        <f t="shared" si="133"/>
        <v>Inconnu</v>
      </c>
      <c r="BR124" s="250" t="str">
        <f t="shared" si="134"/>
        <v>Aucune</v>
      </c>
      <c r="BS124" s="250">
        <f t="shared" ref="BS124:BS155" si="141">AF124+AH124</f>
        <v>0</v>
      </c>
      <c r="BT124" s="271" t="e">
        <f>VLOOKUP($I124,Lieu_Activité!$A:$B,2,FALSE)</f>
        <v>#N/A</v>
      </c>
      <c r="BU124" s="250" t="str">
        <f t="shared" si="85"/>
        <v>Aucun</v>
      </c>
      <c r="BV124" s="250" t="str">
        <f t="shared" si="86"/>
        <v>Aucun</v>
      </c>
      <c r="BW124" s="249" t="str">
        <f t="shared" si="140"/>
        <v>NON</v>
      </c>
      <c r="BX124" s="330"/>
    </row>
    <row r="125" spans="1:170" s="1" customFormat="1" ht="12.75" customHeight="1" x14ac:dyDescent="0.2">
      <c r="A125" s="268" t="s">
        <v>211</v>
      </c>
      <c r="B125" s="276"/>
      <c r="C125" s="269"/>
      <c r="D125" s="299"/>
      <c r="E125" s="320">
        <f t="shared" ref="E125:E136" si="142">(L125-D125)/365</f>
        <v>0</v>
      </c>
      <c r="F125" s="320" t="str">
        <f t="shared" si="87"/>
        <v xml:space="preserve"> </v>
      </c>
      <c r="G125" s="298"/>
      <c r="H125" s="298"/>
      <c r="I125" s="298"/>
      <c r="J125" s="298"/>
      <c r="K125" s="298"/>
      <c r="L125" s="299"/>
      <c r="M125" s="285"/>
      <c r="N125" s="274"/>
      <c r="O125" s="307"/>
      <c r="P125" s="307" t="str">
        <f>IFERROR(VLOOKUP(O125,Références!$K$11:$N$19,2)," ")</f>
        <v xml:space="preserve"> </v>
      </c>
      <c r="Q125" s="307" t="str">
        <f>IFERROR(VLOOKUP(O125,Références!$K$11:$N$19,3)," ")</f>
        <v xml:space="preserve"> </v>
      </c>
      <c r="R125" s="307" t="str">
        <f>IFERROR(VLOOKUP(O125,Références!$K$11:$N$19,4)," ")</f>
        <v xml:space="preserve"> </v>
      </c>
      <c r="S125" s="298"/>
      <c r="T125" s="298"/>
      <c r="U125" s="298"/>
      <c r="V125" s="298"/>
      <c r="W125" s="298"/>
      <c r="X125" s="299"/>
      <c r="Y125" s="298"/>
      <c r="Z125" s="298"/>
      <c r="AA125" s="298"/>
      <c r="AB125" s="277"/>
      <c r="AC125" s="277"/>
      <c r="AD125" s="277"/>
      <c r="AE125" s="277"/>
      <c r="AF125" s="277"/>
      <c r="AG125" s="277"/>
      <c r="AH125" s="277"/>
      <c r="AI125" s="277">
        <f t="shared" si="135"/>
        <v>0</v>
      </c>
      <c r="AJ125" s="299"/>
      <c r="AK125" s="298">
        <f t="shared" ref="AK125:AK136" si="143">(AJ125-L125)</f>
        <v>0</v>
      </c>
      <c r="AL125" s="299"/>
      <c r="AM125" s="308">
        <f t="shared" ref="AM125:AM136" si="144">(AL125-L125)</f>
        <v>0</v>
      </c>
      <c r="AN125" s="298"/>
      <c r="AO125" s="318"/>
      <c r="AP125" s="303" t="str">
        <f t="shared" si="88"/>
        <v xml:space="preserve"> </v>
      </c>
      <c r="AQ125" s="298"/>
      <c r="AR125" s="337"/>
      <c r="AS125" s="337"/>
      <c r="AT125" s="305"/>
      <c r="AU125" s="319"/>
      <c r="AV125" s="305"/>
      <c r="AW125" s="272"/>
      <c r="AX125" s="342"/>
      <c r="AY125" s="343"/>
      <c r="AZ125" s="272"/>
      <c r="BA125" s="342" t="s">
        <v>234</v>
      </c>
      <c r="BB125" s="337"/>
      <c r="BC125" s="270">
        <f t="shared" ref="BC125:BC136" si="145">IF(BG125="Aucune",0,1)</f>
        <v>0</v>
      </c>
      <c r="BD125" s="270">
        <f>IF(BH125="Aucune",0,1)</f>
        <v>0</v>
      </c>
      <c r="BE125" s="270">
        <f t="shared" si="79"/>
        <v>1</v>
      </c>
      <c r="BF125" s="270" t="str">
        <f t="shared" si="89"/>
        <v>ALIVE</v>
      </c>
      <c r="BG125" s="250" t="str">
        <f t="shared" si="80"/>
        <v>Aucune</v>
      </c>
      <c r="BH125" s="250" t="str">
        <f t="shared" si="81"/>
        <v>Aucune</v>
      </c>
      <c r="BI125" s="250" t="str">
        <f t="shared" si="82"/>
        <v>Aucune</v>
      </c>
      <c r="BJ125" s="250" t="str">
        <f t="shared" si="137"/>
        <v>NON</v>
      </c>
      <c r="BK125" s="250" t="str">
        <f t="shared" si="83"/>
        <v>NON</v>
      </c>
      <c r="BL125" s="250" t="str">
        <f t="shared" si="138"/>
        <v>Inconnu</v>
      </c>
      <c r="BM125" s="250" t="str">
        <f t="shared" ref="BM125:BM136" si="146">IF($O125&lt;&gt;"HTX",IF($O125&lt;&gt;"LVAD",BL125,"Inconnu"),"Inconnu")</f>
        <v>Inconnu</v>
      </c>
      <c r="BN125" s="250" t="str">
        <f t="shared" ref="BN125:BN136" si="147">IF($O125="HTX",BL125,IF($O125="LVAD",BL125,"Inconnu"))</f>
        <v>Inconnu</v>
      </c>
      <c r="BO125" s="250" t="str">
        <f t="shared" si="139"/>
        <v>Inconnu</v>
      </c>
      <c r="BP125" s="250" t="str">
        <f t="shared" ref="BP125:BP136" si="148">IF($O125&lt;&gt;"HTX",IF($O125&lt;&gt;"LVAD",BO125,"Inconnu"),"Inconnu")</f>
        <v>Inconnu</v>
      </c>
      <c r="BQ125" s="250" t="str">
        <f t="shared" ref="BQ125:BQ136" si="149">IF($O125="HTX",BO125,IF($O125="LVAD",BO125,"Inconnu"))</f>
        <v>Inconnu</v>
      </c>
      <c r="BR125" s="250" t="str">
        <f t="shared" ref="BR125:BR136" si="150">IF(BH125="Aucune",IF(BI125="Aucune","Aucune","Transfusé"),"Transfusé")</f>
        <v>Aucune</v>
      </c>
      <c r="BS125" s="250">
        <f t="shared" si="141"/>
        <v>0</v>
      </c>
      <c r="BT125" s="271" t="e">
        <f>VLOOKUP($I125,Lieu_Activité!$A:$B,2,FALSE)</f>
        <v>#N/A</v>
      </c>
      <c r="BU125" s="250" t="str">
        <f t="shared" si="85"/>
        <v>Aucun</v>
      </c>
      <c r="BV125" s="250" t="str">
        <f t="shared" si="86"/>
        <v>Aucun</v>
      </c>
      <c r="BW125" s="249" t="str">
        <f t="shared" si="140"/>
        <v>NON</v>
      </c>
      <c r="BX125" s="330"/>
      <c r="BY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</row>
    <row r="126" spans="1:170" ht="12" customHeight="1" x14ac:dyDescent="0.2">
      <c r="A126" s="268" t="s">
        <v>211</v>
      </c>
      <c r="B126" s="276"/>
      <c r="C126" s="269"/>
      <c r="D126" s="299"/>
      <c r="E126" s="320">
        <f t="shared" si="142"/>
        <v>0</v>
      </c>
      <c r="F126" s="320" t="str">
        <f t="shared" si="87"/>
        <v xml:space="preserve"> </v>
      </c>
      <c r="G126" s="298"/>
      <c r="H126" s="298"/>
      <c r="I126" s="298"/>
      <c r="J126" s="298"/>
      <c r="K126" s="298"/>
      <c r="L126" s="299"/>
      <c r="M126" s="311"/>
      <c r="N126" s="274"/>
      <c r="O126" s="274"/>
      <c r="P126" s="307" t="str">
        <f>IFERROR(VLOOKUP(O126,Références!$K$11:$N$19,2)," ")</f>
        <v xml:space="preserve"> </v>
      </c>
      <c r="Q126" s="307" t="str">
        <f>IFERROR(VLOOKUP(O126,Références!$K$11:$N$19,3)," ")</f>
        <v xml:space="preserve"> </v>
      </c>
      <c r="R126" s="307" t="str">
        <f>IFERROR(VLOOKUP(O126,Références!$K$11:$N$19,4)," ")</f>
        <v xml:space="preserve"> </v>
      </c>
      <c r="S126" s="298"/>
      <c r="T126" s="298"/>
      <c r="U126" s="298"/>
      <c r="V126" s="298"/>
      <c r="W126" s="298"/>
      <c r="X126" s="299"/>
      <c r="Y126" s="298"/>
      <c r="Z126" s="298"/>
      <c r="AA126" s="298"/>
      <c r="AB126" s="277"/>
      <c r="AC126" s="277"/>
      <c r="AD126" s="277"/>
      <c r="AE126" s="277"/>
      <c r="AF126" s="277"/>
      <c r="AG126" s="277"/>
      <c r="AH126" s="277"/>
      <c r="AI126" s="277">
        <f t="shared" si="135"/>
        <v>0</v>
      </c>
      <c r="AJ126" s="299"/>
      <c r="AK126" s="298">
        <f t="shared" si="143"/>
        <v>0</v>
      </c>
      <c r="AL126" s="299"/>
      <c r="AM126" s="308">
        <f t="shared" si="144"/>
        <v>0</v>
      </c>
      <c r="AN126" s="298"/>
      <c r="AO126" s="318"/>
      <c r="AP126" s="303" t="str">
        <f t="shared" si="88"/>
        <v xml:space="preserve"> </v>
      </c>
      <c r="AQ126" s="298"/>
      <c r="AR126" s="337"/>
      <c r="AS126" s="337"/>
      <c r="AT126" s="305"/>
      <c r="AU126" s="319"/>
      <c r="AV126" s="305"/>
      <c r="AW126" s="272"/>
      <c r="AX126" s="342"/>
      <c r="AY126" s="343"/>
      <c r="AZ126" s="272"/>
      <c r="BA126" s="342" t="s">
        <v>234</v>
      </c>
      <c r="BB126" s="337"/>
      <c r="BC126" s="270">
        <f t="shared" si="145"/>
        <v>0</v>
      </c>
      <c r="BD126" s="270">
        <f>IF(BH126="Aucune",0,1)</f>
        <v>0</v>
      </c>
      <c r="BE126" s="270">
        <f t="shared" si="79"/>
        <v>1</v>
      </c>
      <c r="BF126" s="270" t="str">
        <f t="shared" si="89"/>
        <v>ALIVE</v>
      </c>
      <c r="BG126" s="250" t="str">
        <f t="shared" si="80"/>
        <v>Aucune</v>
      </c>
      <c r="BH126" s="250" t="str">
        <f t="shared" si="81"/>
        <v>Aucune</v>
      </c>
      <c r="BI126" s="250" t="str">
        <f t="shared" si="82"/>
        <v>Aucune</v>
      </c>
      <c r="BJ126" s="250" t="str">
        <f>IF(X126&lt;&gt;"",IF(X126-M126&lt;2,"OUI","NON"),"NON")</f>
        <v>NON</v>
      </c>
      <c r="BK126" s="250" t="str">
        <f t="shared" si="83"/>
        <v>NON</v>
      </c>
      <c r="BL126" s="250" t="str">
        <f>IF(AL126-M126&gt;0,AL126-M126,"Inconnu")</f>
        <v>Inconnu</v>
      </c>
      <c r="BM126" s="250" t="str">
        <f t="shared" si="146"/>
        <v>Inconnu</v>
      </c>
      <c r="BN126" s="250" t="str">
        <f t="shared" si="147"/>
        <v>Inconnu</v>
      </c>
      <c r="BO126" s="250" t="str">
        <f>IF(AJ126-M126&gt;0,AJ126-M126,"Inconnu")</f>
        <v>Inconnu</v>
      </c>
      <c r="BP126" s="250" t="str">
        <f t="shared" si="148"/>
        <v>Inconnu</v>
      </c>
      <c r="BQ126" s="250" t="str">
        <f t="shared" si="149"/>
        <v>Inconnu</v>
      </c>
      <c r="BR126" s="250" t="str">
        <f t="shared" si="150"/>
        <v>Aucune</v>
      </c>
      <c r="BS126" s="250">
        <f t="shared" si="141"/>
        <v>0</v>
      </c>
      <c r="BT126" s="271" t="e">
        <f>VLOOKUP($I126,Lieu_Activité!$A:$B,2,FALSE)</f>
        <v>#N/A</v>
      </c>
      <c r="BU126" s="250" t="str">
        <f t="shared" si="85"/>
        <v>Aucun</v>
      </c>
      <c r="BV126" s="250" t="str">
        <f t="shared" si="86"/>
        <v>Aucun</v>
      </c>
      <c r="BW126" s="249" t="str">
        <f t="shared" si="140"/>
        <v>NON</v>
      </c>
      <c r="BX126" s="330"/>
    </row>
    <row r="127" spans="1:170" ht="12" customHeight="1" x14ac:dyDescent="0.2">
      <c r="A127" s="268" t="s">
        <v>211</v>
      </c>
      <c r="B127" s="276"/>
      <c r="C127" s="269"/>
      <c r="D127" s="299"/>
      <c r="E127" s="320">
        <f t="shared" si="142"/>
        <v>0</v>
      </c>
      <c r="F127" s="320" t="str">
        <f t="shared" si="87"/>
        <v xml:space="preserve"> </v>
      </c>
      <c r="G127" s="298"/>
      <c r="H127" s="298"/>
      <c r="I127" s="298"/>
      <c r="J127" s="298"/>
      <c r="K127" s="298"/>
      <c r="L127" s="299"/>
      <c r="M127" s="285"/>
      <c r="N127" s="274"/>
      <c r="O127" s="274"/>
      <c r="P127" s="307" t="str">
        <f>IFERROR(VLOOKUP(O127,Références!$K$11:$N$19,2)," ")</f>
        <v xml:space="preserve"> </v>
      </c>
      <c r="Q127" s="307" t="str">
        <f>IFERROR(VLOOKUP(O127,Références!$K$11:$N$19,3)," ")</f>
        <v xml:space="preserve"> </v>
      </c>
      <c r="R127" s="307" t="str">
        <f>IFERROR(VLOOKUP(O127,Références!$K$11:$N$19,4)," ")</f>
        <v xml:space="preserve"> </v>
      </c>
      <c r="S127" s="298"/>
      <c r="T127" s="298"/>
      <c r="U127" s="298"/>
      <c r="V127" s="298"/>
      <c r="W127" s="298"/>
      <c r="X127" s="299"/>
      <c r="Y127" s="298"/>
      <c r="Z127" s="298"/>
      <c r="AA127" s="298"/>
      <c r="AB127" s="277"/>
      <c r="AC127" s="277"/>
      <c r="AD127" s="277"/>
      <c r="AE127" s="277"/>
      <c r="AF127" s="277"/>
      <c r="AG127" s="277"/>
      <c r="AH127" s="277"/>
      <c r="AI127" s="277">
        <f t="shared" si="135"/>
        <v>0</v>
      </c>
      <c r="AJ127" s="299"/>
      <c r="AK127" s="298">
        <f t="shared" si="143"/>
        <v>0</v>
      </c>
      <c r="AL127" s="299"/>
      <c r="AM127" s="308">
        <f t="shared" si="144"/>
        <v>0</v>
      </c>
      <c r="AN127" s="298"/>
      <c r="AO127" s="318"/>
      <c r="AP127" s="303" t="str">
        <f t="shared" si="88"/>
        <v xml:space="preserve"> </v>
      </c>
      <c r="AQ127" s="298"/>
      <c r="AR127" s="337"/>
      <c r="AS127" s="337"/>
      <c r="AT127" s="305"/>
      <c r="AU127" s="319"/>
      <c r="AV127" s="305"/>
      <c r="AW127" s="272"/>
      <c r="AX127" s="342"/>
      <c r="AY127" s="343"/>
      <c r="AZ127" s="272"/>
      <c r="BA127" s="342" t="s">
        <v>234</v>
      </c>
      <c r="BB127" s="337"/>
      <c r="BC127" s="270">
        <f t="shared" si="145"/>
        <v>0</v>
      </c>
      <c r="BD127" s="270">
        <f>IF(BH127="Aucune",0,1)</f>
        <v>0</v>
      </c>
      <c r="BE127" s="270">
        <f t="shared" si="79"/>
        <v>1</v>
      </c>
      <c r="BF127" s="270" t="str">
        <f t="shared" si="89"/>
        <v>ALIVE</v>
      </c>
      <c r="BG127" s="250" t="str">
        <f t="shared" si="80"/>
        <v>Aucune</v>
      </c>
      <c r="BH127" s="250" t="str">
        <f t="shared" si="81"/>
        <v>Aucune</v>
      </c>
      <c r="BI127" s="250" t="str">
        <f t="shared" si="82"/>
        <v>Aucune</v>
      </c>
      <c r="BJ127" s="250" t="str">
        <f t="shared" ref="BJ127:BJ158" si="151">IF(X127&lt;&gt;"",IF(X127-L127&lt;2,"OUI","NON"),"NON")</f>
        <v>NON</v>
      </c>
      <c r="BK127" s="250" t="str">
        <f t="shared" si="83"/>
        <v>NON</v>
      </c>
      <c r="BL127" s="250" t="str">
        <f t="shared" ref="BL127:BL158" si="152">IF(AL127-L127&gt;0,AL127-L127,"Inconnu")</f>
        <v>Inconnu</v>
      </c>
      <c r="BM127" s="250" t="str">
        <f t="shared" si="146"/>
        <v>Inconnu</v>
      </c>
      <c r="BN127" s="250" t="str">
        <f t="shared" si="147"/>
        <v>Inconnu</v>
      </c>
      <c r="BO127" s="250" t="str">
        <f t="shared" ref="BO127:BO158" si="153">IF(AJ127-L127&gt;0,AJ127-L127,"Inconnu")</f>
        <v>Inconnu</v>
      </c>
      <c r="BP127" s="250" t="str">
        <f t="shared" si="148"/>
        <v>Inconnu</v>
      </c>
      <c r="BQ127" s="250" t="str">
        <f t="shared" si="149"/>
        <v>Inconnu</v>
      </c>
      <c r="BR127" s="250" t="str">
        <f t="shared" si="150"/>
        <v>Aucune</v>
      </c>
      <c r="BS127" s="250">
        <f t="shared" si="141"/>
        <v>0</v>
      </c>
      <c r="BT127" s="271" t="e">
        <f>VLOOKUP($I127,Lieu_Activité!$A:$B,2,FALSE)</f>
        <v>#N/A</v>
      </c>
      <c r="BU127" s="250" t="str">
        <f t="shared" si="85"/>
        <v>Aucun</v>
      </c>
      <c r="BV127" s="250" t="str">
        <f t="shared" si="86"/>
        <v>Aucun</v>
      </c>
      <c r="BW127" s="249" t="str">
        <f t="shared" si="140"/>
        <v>NON</v>
      </c>
      <c r="BX127" s="330"/>
    </row>
    <row r="128" spans="1:170" ht="12" customHeight="1" x14ac:dyDescent="0.2">
      <c r="A128" s="268" t="s">
        <v>211</v>
      </c>
      <c r="B128" s="276"/>
      <c r="C128" s="269"/>
      <c r="D128" s="299"/>
      <c r="E128" s="320">
        <f t="shared" si="142"/>
        <v>0</v>
      </c>
      <c r="F128" s="320" t="str">
        <f t="shared" si="87"/>
        <v xml:space="preserve"> </v>
      </c>
      <c r="G128" s="298"/>
      <c r="H128" s="298"/>
      <c r="I128" s="298"/>
      <c r="J128" s="298"/>
      <c r="K128" s="298"/>
      <c r="L128" s="299"/>
      <c r="M128" s="285"/>
      <c r="N128" s="274"/>
      <c r="O128" s="274"/>
      <c r="P128" s="307" t="str">
        <f>IFERROR(VLOOKUP(O128,Références!$K$11:$N$19,2)," ")</f>
        <v xml:space="preserve"> </v>
      </c>
      <c r="Q128" s="307" t="str">
        <f>IFERROR(VLOOKUP(O128,Références!$K$11:$N$19,3)," ")</f>
        <v xml:space="preserve"> </v>
      </c>
      <c r="R128" s="307" t="str">
        <f>IFERROR(VLOOKUP(O128,Références!$K$11:$N$19,4)," ")</f>
        <v xml:space="preserve"> </v>
      </c>
      <c r="S128" s="298"/>
      <c r="T128" s="298"/>
      <c r="U128" s="298"/>
      <c r="V128" s="298"/>
      <c r="W128" s="298"/>
      <c r="X128" s="299"/>
      <c r="Y128" s="298"/>
      <c r="Z128" s="298"/>
      <c r="AA128" s="298"/>
      <c r="AB128" s="277"/>
      <c r="AC128" s="277"/>
      <c r="AD128" s="277"/>
      <c r="AE128" s="277"/>
      <c r="AF128" s="277"/>
      <c r="AG128" s="277"/>
      <c r="AH128" s="277"/>
      <c r="AI128" s="277">
        <f t="shared" si="135"/>
        <v>0</v>
      </c>
      <c r="AJ128" s="299"/>
      <c r="AK128" s="298">
        <f t="shared" si="143"/>
        <v>0</v>
      </c>
      <c r="AL128" s="299"/>
      <c r="AM128" s="308">
        <f t="shared" si="144"/>
        <v>0</v>
      </c>
      <c r="AN128" s="298"/>
      <c r="AO128" s="318"/>
      <c r="AP128" s="303" t="str">
        <f t="shared" si="88"/>
        <v xml:space="preserve"> </v>
      </c>
      <c r="AQ128" s="298"/>
      <c r="AR128" s="337"/>
      <c r="AS128" s="337"/>
      <c r="AT128" s="305"/>
      <c r="AU128" s="319"/>
      <c r="AV128" s="305"/>
      <c r="AW128" s="272"/>
      <c r="AX128" s="342"/>
      <c r="AY128" s="343"/>
      <c r="AZ128" s="272"/>
      <c r="BA128" s="342" t="s">
        <v>234</v>
      </c>
      <c r="BB128" s="337"/>
      <c r="BC128" s="270">
        <f t="shared" si="145"/>
        <v>0</v>
      </c>
      <c r="BD128" s="270">
        <f t="shared" ref="BD128:BD136" si="154">IF(BH128="Aucune",0,1)</f>
        <v>0</v>
      </c>
      <c r="BE128" s="270">
        <f t="shared" si="79"/>
        <v>1</v>
      </c>
      <c r="BF128" s="270" t="str">
        <f t="shared" si="89"/>
        <v>ALIVE</v>
      </c>
      <c r="BG128" s="250" t="str">
        <f t="shared" si="80"/>
        <v>Aucune</v>
      </c>
      <c r="BH128" s="250" t="str">
        <f t="shared" si="81"/>
        <v>Aucune</v>
      </c>
      <c r="BI128" s="250" t="str">
        <f t="shared" si="82"/>
        <v>Aucune</v>
      </c>
      <c r="BJ128" s="250" t="str">
        <f t="shared" si="151"/>
        <v>NON</v>
      </c>
      <c r="BK128" s="250" t="str">
        <f t="shared" si="83"/>
        <v>NON</v>
      </c>
      <c r="BL128" s="250" t="str">
        <f t="shared" si="152"/>
        <v>Inconnu</v>
      </c>
      <c r="BM128" s="250" t="str">
        <f t="shared" si="146"/>
        <v>Inconnu</v>
      </c>
      <c r="BN128" s="250" t="str">
        <f t="shared" si="147"/>
        <v>Inconnu</v>
      </c>
      <c r="BO128" s="250" t="str">
        <f t="shared" si="153"/>
        <v>Inconnu</v>
      </c>
      <c r="BP128" s="250" t="str">
        <f t="shared" si="148"/>
        <v>Inconnu</v>
      </c>
      <c r="BQ128" s="250" t="str">
        <f t="shared" si="149"/>
        <v>Inconnu</v>
      </c>
      <c r="BR128" s="250" t="str">
        <f t="shared" si="150"/>
        <v>Aucune</v>
      </c>
      <c r="BS128" s="250">
        <f t="shared" si="141"/>
        <v>0</v>
      </c>
      <c r="BT128" s="271" t="e">
        <f>VLOOKUP($I128,Lieu_Activité!$A:$B,2,FALSE)</f>
        <v>#N/A</v>
      </c>
      <c r="BU128" s="250" t="str">
        <f t="shared" si="85"/>
        <v>Aucun</v>
      </c>
      <c r="BV128" s="250" t="str">
        <f t="shared" si="86"/>
        <v>Aucun</v>
      </c>
      <c r="BW128" s="249" t="str">
        <f t="shared" si="140"/>
        <v>NON</v>
      </c>
      <c r="BX128" s="330"/>
    </row>
    <row r="129" spans="1:170" ht="12" customHeight="1" x14ac:dyDescent="0.2">
      <c r="A129" s="268" t="s">
        <v>211</v>
      </c>
      <c r="B129" s="276"/>
      <c r="C129" s="269"/>
      <c r="D129" s="299"/>
      <c r="E129" s="320">
        <f t="shared" si="142"/>
        <v>0</v>
      </c>
      <c r="F129" s="320" t="str">
        <f t="shared" si="87"/>
        <v xml:space="preserve"> </v>
      </c>
      <c r="G129" s="298"/>
      <c r="H129" s="298"/>
      <c r="I129" s="298"/>
      <c r="J129" s="298"/>
      <c r="K129" s="298"/>
      <c r="L129" s="299"/>
      <c r="M129" s="285"/>
      <c r="N129" s="274"/>
      <c r="O129" s="274"/>
      <c r="P129" s="307" t="str">
        <f>IFERROR(VLOOKUP(O129,Références!$K$11:$N$19,2)," ")</f>
        <v xml:space="preserve"> </v>
      </c>
      <c r="Q129" s="307" t="str">
        <f>IFERROR(VLOOKUP(O129,Références!$K$11:$N$19,3)," ")</f>
        <v xml:space="preserve"> </v>
      </c>
      <c r="R129" s="307" t="str">
        <f>IFERROR(VLOOKUP(O129,Références!$K$11:$N$19,4)," ")</f>
        <v xml:space="preserve"> </v>
      </c>
      <c r="S129" s="298"/>
      <c r="T129" s="298"/>
      <c r="U129" s="298"/>
      <c r="V129" s="298"/>
      <c r="W129" s="298"/>
      <c r="X129" s="299"/>
      <c r="Y129" s="298"/>
      <c r="Z129" s="298"/>
      <c r="AA129" s="298"/>
      <c r="AB129" s="277"/>
      <c r="AC129" s="277"/>
      <c r="AD129" s="277"/>
      <c r="AE129" s="277"/>
      <c r="AF129" s="277"/>
      <c r="AG129" s="277"/>
      <c r="AH129" s="277"/>
      <c r="AI129" s="277">
        <f t="shared" si="135"/>
        <v>0</v>
      </c>
      <c r="AJ129" s="299"/>
      <c r="AK129" s="298">
        <f t="shared" si="143"/>
        <v>0</v>
      </c>
      <c r="AL129" s="299"/>
      <c r="AM129" s="308">
        <f t="shared" si="144"/>
        <v>0</v>
      </c>
      <c r="AN129" s="298"/>
      <c r="AO129" s="318"/>
      <c r="AP129" s="303" t="str">
        <f t="shared" si="88"/>
        <v xml:space="preserve"> </v>
      </c>
      <c r="AQ129" s="298"/>
      <c r="AR129" s="337"/>
      <c r="AS129" s="337"/>
      <c r="AT129" s="305"/>
      <c r="AU129" s="319"/>
      <c r="AV129" s="305"/>
      <c r="AW129" s="272"/>
      <c r="AX129" s="342"/>
      <c r="AY129" s="343"/>
      <c r="AZ129" s="272"/>
      <c r="BA129" s="342" t="s">
        <v>234</v>
      </c>
      <c r="BB129" s="337"/>
      <c r="BC129" s="270">
        <f t="shared" si="145"/>
        <v>0</v>
      </c>
      <c r="BD129" s="270">
        <f t="shared" si="154"/>
        <v>0</v>
      </c>
      <c r="BE129" s="270">
        <f t="shared" si="79"/>
        <v>1</v>
      </c>
      <c r="BF129" s="270" t="str">
        <f t="shared" si="89"/>
        <v>ALIVE</v>
      </c>
      <c r="BG129" s="250" t="str">
        <f t="shared" si="80"/>
        <v>Aucune</v>
      </c>
      <c r="BH129" s="250" t="str">
        <f t="shared" si="81"/>
        <v>Aucune</v>
      </c>
      <c r="BI129" s="250" t="str">
        <f t="shared" si="82"/>
        <v>Aucune</v>
      </c>
      <c r="BJ129" s="250" t="str">
        <f t="shared" si="151"/>
        <v>NON</v>
      </c>
      <c r="BK129" s="250" t="str">
        <f t="shared" si="83"/>
        <v>NON</v>
      </c>
      <c r="BL129" s="250" t="str">
        <f t="shared" si="152"/>
        <v>Inconnu</v>
      </c>
      <c r="BM129" s="250" t="str">
        <f t="shared" si="146"/>
        <v>Inconnu</v>
      </c>
      <c r="BN129" s="250" t="str">
        <f t="shared" si="147"/>
        <v>Inconnu</v>
      </c>
      <c r="BO129" s="250" t="str">
        <f t="shared" si="153"/>
        <v>Inconnu</v>
      </c>
      <c r="BP129" s="250" t="str">
        <f t="shared" si="148"/>
        <v>Inconnu</v>
      </c>
      <c r="BQ129" s="250" t="str">
        <f t="shared" si="149"/>
        <v>Inconnu</v>
      </c>
      <c r="BR129" s="250" t="str">
        <f t="shared" si="150"/>
        <v>Aucune</v>
      </c>
      <c r="BS129" s="250">
        <f t="shared" si="141"/>
        <v>0</v>
      </c>
      <c r="BT129" s="271" t="e">
        <f>VLOOKUP($I129,Lieu_Activité!$A:$B,2,FALSE)</f>
        <v>#N/A</v>
      </c>
      <c r="BU129" s="250" t="str">
        <f t="shared" si="85"/>
        <v>Aucun</v>
      </c>
      <c r="BV129" s="250" t="str">
        <f t="shared" si="86"/>
        <v>Aucun</v>
      </c>
      <c r="BW129" s="249" t="str">
        <f t="shared" si="140"/>
        <v>NON</v>
      </c>
      <c r="BX129" s="330"/>
    </row>
    <row r="130" spans="1:170" ht="12" customHeight="1" x14ac:dyDescent="0.2">
      <c r="A130" s="268" t="s">
        <v>211</v>
      </c>
      <c r="B130" s="276"/>
      <c r="C130" s="269"/>
      <c r="D130" s="299"/>
      <c r="E130" s="320">
        <f t="shared" si="142"/>
        <v>0</v>
      </c>
      <c r="F130" s="320" t="str">
        <f t="shared" si="87"/>
        <v xml:space="preserve"> </v>
      </c>
      <c r="G130" s="298"/>
      <c r="H130" s="298"/>
      <c r="I130" s="298"/>
      <c r="J130" s="298"/>
      <c r="K130" s="298"/>
      <c r="L130" s="299"/>
      <c r="M130" s="285"/>
      <c r="N130" s="274"/>
      <c r="O130" s="274"/>
      <c r="P130" s="307" t="str">
        <f>IFERROR(VLOOKUP(O130,Références!$K$11:$N$19,2)," ")</f>
        <v xml:space="preserve"> </v>
      </c>
      <c r="Q130" s="307" t="str">
        <f>IFERROR(VLOOKUP(O130,Références!$K$11:$N$19,3)," ")</f>
        <v xml:space="preserve"> </v>
      </c>
      <c r="R130" s="307" t="str">
        <f>IFERROR(VLOOKUP(O130,Références!$K$11:$N$19,4)," ")</f>
        <v xml:space="preserve"> </v>
      </c>
      <c r="S130" s="298"/>
      <c r="T130" s="298"/>
      <c r="U130" s="298"/>
      <c r="V130" s="298"/>
      <c r="W130" s="298"/>
      <c r="X130" s="299"/>
      <c r="Y130" s="298"/>
      <c r="Z130" s="298"/>
      <c r="AA130" s="298"/>
      <c r="AB130" s="277"/>
      <c r="AC130" s="277"/>
      <c r="AD130" s="277"/>
      <c r="AE130" s="277"/>
      <c r="AF130" s="277"/>
      <c r="AG130" s="277"/>
      <c r="AH130" s="277"/>
      <c r="AI130" s="277">
        <f t="shared" si="135"/>
        <v>0</v>
      </c>
      <c r="AJ130" s="299"/>
      <c r="AK130" s="298">
        <f t="shared" si="143"/>
        <v>0</v>
      </c>
      <c r="AL130" s="299"/>
      <c r="AM130" s="308">
        <f t="shared" si="144"/>
        <v>0</v>
      </c>
      <c r="AN130" s="298"/>
      <c r="AO130" s="318"/>
      <c r="AP130" s="303" t="str">
        <f t="shared" si="88"/>
        <v xml:space="preserve"> </v>
      </c>
      <c r="AQ130" s="298"/>
      <c r="AR130" s="337"/>
      <c r="AS130" s="337"/>
      <c r="AT130" s="305"/>
      <c r="AU130" s="319"/>
      <c r="AV130" s="305"/>
      <c r="AW130" s="272"/>
      <c r="AX130" s="342"/>
      <c r="AY130" s="343"/>
      <c r="AZ130" s="272"/>
      <c r="BA130" s="342" t="s">
        <v>234</v>
      </c>
      <c r="BB130" s="337"/>
      <c r="BC130" s="270">
        <f t="shared" si="145"/>
        <v>0</v>
      </c>
      <c r="BD130" s="270">
        <f t="shared" si="154"/>
        <v>0</v>
      </c>
      <c r="BE130" s="270">
        <f t="shared" ref="BE130:BE193" si="155">IF(AG130="Aucune",0,1)</f>
        <v>1</v>
      </c>
      <c r="BF130" s="270" t="str">
        <f t="shared" si="89"/>
        <v>ALIVE</v>
      </c>
      <c r="BG130" s="250" t="str">
        <f t="shared" ref="BG130:BG193" si="156">IF(AD130="","Aucune","Infection")</f>
        <v>Aucune</v>
      </c>
      <c r="BH130" s="250" t="str">
        <f t="shared" ref="BH130:BH193" si="157">IF(AI130&gt;0,"Transfusion","Aucune")</f>
        <v>Aucune</v>
      </c>
      <c r="BI130" s="250" t="str">
        <f t="shared" ref="BI130:BI193" si="158">IF(AG130="","Aucune","Transfusé")</f>
        <v>Aucune</v>
      </c>
      <c r="BJ130" s="250" t="str">
        <f t="shared" si="151"/>
        <v>NON</v>
      </c>
      <c r="BK130" s="250" t="str">
        <f t="shared" ref="BK130:BK193" si="159">IF(AS130="","NON","OUI")</f>
        <v>NON</v>
      </c>
      <c r="BL130" s="250" t="str">
        <f t="shared" si="152"/>
        <v>Inconnu</v>
      </c>
      <c r="BM130" s="250" t="str">
        <f t="shared" si="146"/>
        <v>Inconnu</v>
      </c>
      <c r="BN130" s="250" t="str">
        <f t="shared" si="147"/>
        <v>Inconnu</v>
      </c>
      <c r="BO130" s="250" t="str">
        <f t="shared" si="153"/>
        <v>Inconnu</v>
      </c>
      <c r="BP130" s="250" t="str">
        <f t="shared" si="148"/>
        <v>Inconnu</v>
      </c>
      <c r="BQ130" s="250" t="str">
        <f t="shared" si="149"/>
        <v>Inconnu</v>
      </c>
      <c r="BR130" s="250" t="str">
        <f t="shared" si="150"/>
        <v>Aucune</v>
      </c>
      <c r="BS130" s="250">
        <f t="shared" si="141"/>
        <v>0</v>
      </c>
      <c r="BT130" s="271" t="e">
        <f>VLOOKUP($I130,Lieu_Activité!$A:$B,2,FALSE)</f>
        <v>#N/A</v>
      </c>
      <c r="BU130" s="250" t="str">
        <f t="shared" ref="BU130:BU193" si="160">IF(AB130="","Aucun","AVC")</f>
        <v>Aucun</v>
      </c>
      <c r="BV130" s="250" t="str">
        <f t="shared" ref="BV130:BV193" si="161">IF(AC130="","Aucun","IM")</f>
        <v>Aucun</v>
      </c>
      <c r="BW130" s="249" t="str">
        <f t="shared" si="140"/>
        <v>NON</v>
      </c>
      <c r="BX130" s="330"/>
    </row>
    <row r="131" spans="1:170" ht="12" customHeight="1" x14ac:dyDescent="0.2">
      <c r="A131" s="268" t="s">
        <v>211</v>
      </c>
      <c r="B131" s="276"/>
      <c r="C131" s="269"/>
      <c r="D131" s="299"/>
      <c r="E131" s="320">
        <f t="shared" si="142"/>
        <v>0</v>
      </c>
      <c r="F131" s="320" t="str">
        <f t="shared" ref="F131:F194" si="162">IF(E131&lt;80," ","1")</f>
        <v xml:space="preserve"> </v>
      </c>
      <c r="G131" s="298"/>
      <c r="H131" s="298"/>
      <c r="I131" s="298"/>
      <c r="J131" s="298"/>
      <c r="K131" s="298"/>
      <c r="L131" s="299"/>
      <c r="M131" s="285"/>
      <c r="N131" s="274"/>
      <c r="O131" s="274"/>
      <c r="P131" s="307" t="str">
        <f>IFERROR(VLOOKUP(O131,Références!$K$11:$N$19,2)," ")</f>
        <v xml:space="preserve"> </v>
      </c>
      <c r="Q131" s="307" t="str">
        <f>IFERROR(VLOOKUP(O131,Références!$K$11:$N$19,3)," ")</f>
        <v xml:space="preserve"> </v>
      </c>
      <c r="R131" s="307" t="str">
        <f>IFERROR(VLOOKUP(O131,Références!$K$11:$N$19,4)," ")</f>
        <v xml:space="preserve"> </v>
      </c>
      <c r="S131" s="298"/>
      <c r="T131" s="298"/>
      <c r="U131" s="298"/>
      <c r="V131" s="298"/>
      <c r="W131" s="298"/>
      <c r="X131" s="299"/>
      <c r="Y131" s="298"/>
      <c r="Z131" s="298"/>
      <c r="AA131" s="298"/>
      <c r="AB131" s="277"/>
      <c r="AC131" s="277"/>
      <c r="AD131" s="277"/>
      <c r="AE131" s="277"/>
      <c r="AF131" s="277"/>
      <c r="AG131" s="277"/>
      <c r="AH131" s="277"/>
      <c r="AI131" s="277">
        <f t="shared" si="135"/>
        <v>0</v>
      </c>
      <c r="AJ131" s="299"/>
      <c r="AK131" s="298">
        <f t="shared" si="143"/>
        <v>0</v>
      </c>
      <c r="AL131" s="299"/>
      <c r="AM131" s="308">
        <f t="shared" si="144"/>
        <v>0</v>
      </c>
      <c r="AN131" s="298"/>
      <c r="AO131" s="318"/>
      <c r="AP131" s="303" t="str">
        <f t="shared" ref="AP131:AP194" si="163">IF(AO131=1,"ELECTIVE",IF(AO131=2,"URGENCY",IF(AO131=3,"EMERGENCY",IF(AO131=4,"SALVAGE"," "))))</f>
        <v xml:space="preserve"> </v>
      </c>
      <c r="AQ131" s="298"/>
      <c r="AR131" s="337"/>
      <c r="AS131" s="337"/>
      <c r="AT131" s="305"/>
      <c r="AU131" s="319"/>
      <c r="AV131" s="305"/>
      <c r="AW131" s="272"/>
      <c r="AX131" s="342"/>
      <c r="AY131" s="343"/>
      <c r="AZ131" s="272"/>
      <c r="BA131" s="342" t="s">
        <v>234</v>
      </c>
      <c r="BB131" s="337"/>
      <c r="BC131" s="270">
        <f t="shared" si="145"/>
        <v>0</v>
      </c>
      <c r="BD131" s="270">
        <f t="shared" si="154"/>
        <v>0</v>
      </c>
      <c r="BE131" s="270">
        <f t="shared" si="155"/>
        <v>1</v>
      </c>
      <c r="BF131" s="270" t="str">
        <f t="shared" ref="BF131:BF194" si="164">IF(AO131=1,"ELECTIVE",IF(AO131=2,"URGENCY",IF(AO131=3,"EMERGENCY",IF(AO131=4,"SALVAGE","ALIVE"))))</f>
        <v>ALIVE</v>
      </c>
      <c r="BG131" s="250" t="str">
        <f t="shared" si="156"/>
        <v>Aucune</v>
      </c>
      <c r="BH131" s="250" t="str">
        <f t="shared" si="157"/>
        <v>Aucune</v>
      </c>
      <c r="BI131" s="250" t="str">
        <f t="shared" si="158"/>
        <v>Aucune</v>
      </c>
      <c r="BJ131" s="250" t="str">
        <f t="shared" si="151"/>
        <v>NON</v>
      </c>
      <c r="BK131" s="250" t="str">
        <f t="shared" si="159"/>
        <v>NON</v>
      </c>
      <c r="BL131" s="250" t="str">
        <f t="shared" si="152"/>
        <v>Inconnu</v>
      </c>
      <c r="BM131" s="250" t="str">
        <f t="shared" si="146"/>
        <v>Inconnu</v>
      </c>
      <c r="BN131" s="250" t="str">
        <f t="shared" si="147"/>
        <v>Inconnu</v>
      </c>
      <c r="BO131" s="250" t="str">
        <f t="shared" si="153"/>
        <v>Inconnu</v>
      </c>
      <c r="BP131" s="250" t="str">
        <f t="shared" si="148"/>
        <v>Inconnu</v>
      </c>
      <c r="BQ131" s="250" t="str">
        <f t="shared" si="149"/>
        <v>Inconnu</v>
      </c>
      <c r="BR131" s="250" t="str">
        <f t="shared" si="150"/>
        <v>Aucune</v>
      </c>
      <c r="BS131" s="250">
        <f t="shared" si="141"/>
        <v>0</v>
      </c>
      <c r="BT131" s="271" t="e">
        <f>VLOOKUP($I131,Lieu_Activité!$A:$B,2,FALSE)</f>
        <v>#N/A</v>
      </c>
      <c r="BU131" s="250" t="str">
        <f t="shared" si="160"/>
        <v>Aucun</v>
      </c>
      <c r="BV131" s="250" t="str">
        <f t="shared" si="161"/>
        <v>Aucun</v>
      </c>
      <c r="BW131" s="249" t="str">
        <f t="shared" si="140"/>
        <v>NON</v>
      </c>
      <c r="BX131" s="330"/>
    </row>
    <row r="132" spans="1:170" ht="12" customHeight="1" x14ac:dyDescent="0.2">
      <c r="A132" s="268" t="s">
        <v>211</v>
      </c>
      <c r="B132" s="310"/>
      <c r="C132" s="269"/>
      <c r="D132" s="299"/>
      <c r="E132" s="320">
        <f>(L132-D132)/365</f>
        <v>0</v>
      </c>
      <c r="F132" s="320" t="str">
        <f t="shared" si="162"/>
        <v xml:space="preserve"> </v>
      </c>
      <c r="G132" s="298"/>
      <c r="H132" s="298"/>
      <c r="I132" s="298"/>
      <c r="J132" s="298"/>
      <c r="K132" s="298"/>
      <c r="L132" s="299"/>
      <c r="M132" s="285"/>
      <c r="N132" s="274"/>
      <c r="O132" s="274"/>
      <c r="P132" s="307" t="str">
        <f>IFERROR(VLOOKUP(O132,Références!$K$11:$N$19,2)," ")</f>
        <v xml:space="preserve"> </v>
      </c>
      <c r="Q132" s="307" t="str">
        <f>IFERROR(VLOOKUP(O132,Références!$K$11:$N$19,3)," ")</f>
        <v xml:space="preserve"> </v>
      </c>
      <c r="R132" s="307" t="str">
        <f>IFERROR(VLOOKUP(O132,Références!$K$11:$N$19,4)," ")</f>
        <v xml:space="preserve"> </v>
      </c>
      <c r="S132" s="298"/>
      <c r="T132" s="298"/>
      <c r="U132" s="298"/>
      <c r="V132" s="298"/>
      <c r="W132" s="298"/>
      <c r="X132" s="299"/>
      <c r="Y132" s="298"/>
      <c r="Z132" s="298"/>
      <c r="AA132" s="298"/>
      <c r="AB132" s="277"/>
      <c r="AC132" s="277"/>
      <c r="AD132" s="277"/>
      <c r="AE132" s="277"/>
      <c r="AF132" s="277"/>
      <c r="AG132" s="277"/>
      <c r="AH132" s="277"/>
      <c r="AI132" s="277">
        <f t="shared" si="135"/>
        <v>0</v>
      </c>
      <c r="AJ132" s="299"/>
      <c r="AK132" s="298">
        <f>(AJ132-L132)</f>
        <v>0</v>
      </c>
      <c r="AL132" s="299"/>
      <c r="AM132" s="308">
        <f>(AL132-L132)</f>
        <v>0</v>
      </c>
      <c r="AN132" s="298"/>
      <c r="AO132" s="318"/>
      <c r="AP132" s="303" t="str">
        <f t="shared" si="163"/>
        <v xml:space="preserve"> </v>
      </c>
      <c r="AQ132" s="298"/>
      <c r="AR132" s="337"/>
      <c r="AS132" s="337"/>
      <c r="AT132" s="305"/>
      <c r="AU132" s="319"/>
      <c r="AV132" s="305"/>
      <c r="AW132" s="272"/>
      <c r="AX132" s="342"/>
      <c r="AY132" s="343"/>
      <c r="AZ132" s="342"/>
      <c r="BA132" s="344" t="s">
        <v>246</v>
      </c>
      <c r="BB132" s="337"/>
      <c r="BC132" s="270">
        <f>IF(BG132="Aucune",0,1)</f>
        <v>0</v>
      </c>
      <c r="BD132" s="270">
        <f>IF(BH132="Aucune",0,1)</f>
        <v>0</v>
      </c>
      <c r="BE132" s="270">
        <f t="shared" si="155"/>
        <v>1</v>
      </c>
      <c r="BF132" s="270" t="str">
        <f t="shared" si="164"/>
        <v>ALIVE</v>
      </c>
      <c r="BG132" s="250" t="str">
        <f t="shared" si="156"/>
        <v>Aucune</v>
      </c>
      <c r="BH132" s="250" t="str">
        <f t="shared" si="157"/>
        <v>Aucune</v>
      </c>
      <c r="BI132" s="250" t="str">
        <f t="shared" si="158"/>
        <v>Aucune</v>
      </c>
      <c r="BJ132" s="250" t="str">
        <f t="shared" si="151"/>
        <v>NON</v>
      </c>
      <c r="BK132" s="250" t="str">
        <f t="shared" si="159"/>
        <v>NON</v>
      </c>
      <c r="BL132" s="250" t="str">
        <f t="shared" si="152"/>
        <v>Inconnu</v>
      </c>
      <c r="BM132" s="250" t="str">
        <f>IF($O132&lt;&gt;"HTX",IF($O132&lt;&gt;"LVAD",BL132,"Inconnu"),"Inconnu")</f>
        <v>Inconnu</v>
      </c>
      <c r="BN132" s="250" t="str">
        <f>IF($O132="HTX",BL132,IF($O132="LVAD",BL132,"Inconnu"))</f>
        <v>Inconnu</v>
      </c>
      <c r="BO132" s="250" t="str">
        <f t="shared" si="153"/>
        <v>Inconnu</v>
      </c>
      <c r="BP132" s="250" t="str">
        <f>IF($O132&lt;&gt;"HTX",IF($O132&lt;&gt;"LVAD",BO132,"Inconnu"),"Inconnu")</f>
        <v>Inconnu</v>
      </c>
      <c r="BQ132" s="250" t="str">
        <f>IF($O132="HTX",BO132,IF($O132="LVAD",BO132,"Inconnu"))</f>
        <v>Inconnu</v>
      </c>
      <c r="BR132" s="250" t="str">
        <f>IF(BH132="Aucune",IF(BI132="Aucune","Aucune","Transfusé"),"Transfusé")</f>
        <v>Aucune</v>
      </c>
      <c r="BS132" s="250">
        <f t="shared" si="141"/>
        <v>0</v>
      </c>
      <c r="BT132" s="271" t="e">
        <f>VLOOKUP($I132,Lieu_Activité!$A:$B,2,FALSE)</f>
        <v>#N/A</v>
      </c>
      <c r="BU132" s="250" t="str">
        <f t="shared" si="160"/>
        <v>Aucun</v>
      </c>
      <c r="BV132" s="250" t="str">
        <f t="shared" si="161"/>
        <v>Aucun</v>
      </c>
      <c r="BW132" s="249" t="str">
        <f t="shared" si="140"/>
        <v>NON</v>
      </c>
      <c r="BX132" s="330"/>
    </row>
    <row r="133" spans="1:170" s="1" customFormat="1" ht="12.75" customHeight="1" x14ac:dyDescent="0.2">
      <c r="A133" s="268" t="s">
        <v>211</v>
      </c>
      <c r="B133" s="276"/>
      <c r="C133" s="269"/>
      <c r="D133" s="299"/>
      <c r="E133" s="320">
        <f>(L133-D133)/365</f>
        <v>0</v>
      </c>
      <c r="F133" s="320" t="str">
        <f t="shared" si="162"/>
        <v xml:space="preserve"> </v>
      </c>
      <c r="G133" s="298"/>
      <c r="H133" s="298"/>
      <c r="I133" s="298"/>
      <c r="J133" s="298"/>
      <c r="K133" s="298"/>
      <c r="L133" s="299"/>
      <c r="M133" s="285"/>
      <c r="N133" s="274"/>
      <c r="O133" s="307"/>
      <c r="P133" s="307" t="str">
        <f>IFERROR(VLOOKUP(O133,Références!$K$11:$N$19,2)," ")</f>
        <v xml:space="preserve"> </v>
      </c>
      <c r="Q133" s="307" t="str">
        <f>IFERROR(VLOOKUP(O133,Références!$K$11:$N$19,3)," ")</f>
        <v xml:space="preserve"> </v>
      </c>
      <c r="R133" s="307" t="str">
        <f>IFERROR(VLOOKUP(O133,Références!$K$11:$N$19,4)," ")</f>
        <v xml:space="preserve"> </v>
      </c>
      <c r="S133" s="298"/>
      <c r="T133" s="298"/>
      <c r="U133" s="298"/>
      <c r="V133" s="298"/>
      <c r="W133" s="298"/>
      <c r="X133" s="299"/>
      <c r="Y133" s="298"/>
      <c r="Z133" s="298"/>
      <c r="AA133" s="298"/>
      <c r="AB133" s="277"/>
      <c r="AC133" s="277"/>
      <c r="AD133" s="277"/>
      <c r="AE133" s="277"/>
      <c r="AF133" s="277"/>
      <c r="AG133" s="277"/>
      <c r="AH133" s="277"/>
      <c r="AI133" s="277">
        <f t="shared" si="135"/>
        <v>0</v>
      </c>
      <c r="AJ133" s="299"/>
      <c r="AK133" s="298">
        <f t="shared" si="143"/>
        <v>0</v>
      </c>
      <c r="AL133" s="299"/>
      <c r="AM133" s="308">
        <f t="shared" si="144"/>
        <v>0</v>
      </c>
      <c r="AN133" s="298"/>
      <c r="AO133" s="318"/>
      <c r="AP133" s="303" t="str">
        <f t="shared" si="163"/>
        <v xml:space="preserve"> </v>
      </c>
      <c r="AQ133" s="298"/>
      <c r="AR133" s="337"/>
      <c r="AS133" s="337"/>
      <c r="AT133" s="305"/>
      <c r="AU133" s="319"/>
      <c r="AV133" s="305"/>
      <c r="AW133" s="272"/>
      <c r="AX133" s="342"/>
      <c r="AY133" s="343"/>
      <c r="AZ133" s="272"/>
      <c r="BA133" s="342" t="s">
        <v>234</v>
      </c>
      <c r="BB133" s="337"/>
      <c r="BC133" s="270">
        <f t="shared" si="145"/>
        <v>0</v>
      </c>
      <c r="BD133" s="270">
        <f t="shared" si="154"/>
        <v>0</v>
      </c>
      <c r="BE133" s="270">
        <f t="shared" si="155"/>
        <v>1</v>
      </c>
      <c r="BF133" s="270" t="str">
        <f t="shared" si="164"/>
        <v>ALIVE</v>
      </c>
      <c r="BG133" s="250" t="str">
        <f t="shared" si="156"/>
        <v>Aucune</v>
      </c>
      <c r="BH133" s="250" t="str">
        <f t="shared" si="157"/>
        <v>Aucune</v>
      </c>
      <c r="BI133" s="250" t="str">
        <f t="shared" si="158"/>
        <v>Aucune</v>
      </c>
      <c r="BJ133" s="250" t="str">
        <f t="shared" si="151"/>
        <v>NON</v>
      </c>
      <c r="BK133" s="250" t="str">
        <f t="shared" si="159"/>
        <v>NON</v>
      </c>
      <c r="BL133" s="250" t="str">
        <f t="shared" si="152"/>
        <v>Inconnu</v>
      </c>
      <c r="BM133" s="250" t="str">
        <f t="shared" si="146"/>
        <v>Inconnu</v>
      </c>
      <c r="BN133" s="250" t="str">
        <f t="shared" si="147"/>
        <v>Inconnu</v>
      </c>
      <c r="BO133" s="250" t="str">
        <f t="shared" si="153"/>
        <v>Inconnu</v>
      </c>
      <c r="BP133" s="250" t="str">
        <f t="shared" si="148"/>
        <v>Inconnu</v>
      </c>
      <c r="BQ133" s="250" t="str">
        <f t="shared" si="149"/>
        <v>Inconnu</v>
      </c>
      <c r="BR133" s="250" t="str">
        <f t="shared" si="150"/>
        <v>Aucune</v>
      </c>
      <c r="BS133" s="250">
        <f t="shared" si="141"/>
        <v>0</v>
      </c>
      <c r="BT133" s="271" t="e">
        <f>VLOOKUP($I133,Lieu_Activité!$A:$B,2,FALSE)</f>
        <v>#N/A</v>
      </c>
      <c r="BU133" s="250" t="str">
        <f t="shared" si="160"/>
        <v>Aucun</v>
      </c>
      <c r="BV133" s="250" t="str">
        <f t="shared" si="161"/>
        <v>Aucun</v>
      </c>
      <c r="BW133" s="249" t="str">
        <f t="shared" si="140"/>
        <v>NON</v>
      </c>
      <c r="BX133" s="330"/>
      <c r="BY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</row>
    <row r="134" spans="1:170" ht="12" customHeight="1" x14ac:dyDescent="0.2">
      <c r="A134" s="268" t="s">
        <v>211</v>
      </c>
      <c r="B134" s="276"/>
      <c r="C134" s="269"/>
      <c r="D134" s="299"/>
      <c r="E134" s="320">
        <f t="shared" si="142"/>
        <v>0</v>
      </c>
      <c r="F134" s="320" t="str">
        <f t="shared" si="162"/>
        <v xml:space="preserve"> </v>
      </c>
      <c r="G134" s="298"/>
      <c r="H134" s="298"/>
      <c r="I134" s="298"/>
      <c r="J134" s="298"/>
      <c r="K134" s="298"/>
      <c r="L134" s="299"/>
      <c r="M134" s="285"/>
      <c r="N134" s="274"/>
      <c r="O134" s="274"/>
      <c r="P134" s="307" t="str">
        <f>IFERROR(VLOOKUP(O134,Références!$K$11:$N$19,2)," ")</f>
        <v xml:space="preserve"> </v>
      </c>
      <c r="Q134" s="307" t="str">
        <f>IFERROR(VLOOKUP(O134,Références!$K$11:$N$19,3)," ")</f>
        <v xml:space="preserve"> </v>
      </c>
      <c r="R134" s="307" t="str">
        <f>IFERROR(VLOOKUP(O134,Références!$K$11:$N$19,4)," ")</f>
        <v xml:space="preserve"> </v>
      </c>
      <c r="S134" s="298"/>
      <c r="T134" s="298"/>
      <c r="U134" s="298"/>
      <c r="V134" s="298"/>
      <c r="W134" s="298"/>
      <c r="X134" s="299"/>
      <c r="Y134" s="298"/>
      <c r="Z134" s="298"/>
      <c r="AA134" s="298"/>
      <c r="AB134" s="277"/>
      <c r="AC134" s="277"/>
      <c r="AD134" s="277"/>
      <c r="AE134" s="277"/>
      <c r="AF134" s="277"/>
      <c r="AG134" s="277"/>
      <c r="AH134" s="277"/>
      <c r="AI134" s="277">
        <f t="shared" ref="AI134:AI148" si="165">SUM(AF134,AH134)</f>
        <v>0</v>
      </c>
      <c r="AJ134" s="299"/>
      <c r="AK134" s="298">
        <f t="shared" si="143"/>
        <v>0</v>
      </c>
      <c r="AL134" s="299"/>
      <c r="AM134" s="308">
        <f t="shared" si="144"/>
        <v>0</v>
      </c>
      <c r="AN134" s="298"/>
      <c r="AO134" s="318"/>
      <c r="AP134" s="303" t="str">
        <f t="shared" si="163"/>
        <v xml:space="preserve"> </v>
      </c>
      <c r="AQ134" s="298"/>
      <c r="AR134" s="337"/>
      <c r="AS134" s="337"/>
      <c r="AT134" s="305"/>
      <c r="AU134" s="319"/>
      <c r="AV134" s="305"/>
      <c r="AW134" s="272"/>
      <c r="AX134" s="342"/>
      <c r="AY134" s="343"/>
      <c r="AZ134" s="272"/>
      <c r="BA134" s="342" t="s">
        <v>234</v>
      </c>
      <c r="BB134" s="337"/>
      <c r="BC134" s="270">
        <f t="shared" si="145"/>
        <v>0</v>
      </c>
      <c r="BD134" s="270">
        <f t="shared" si="154"/>
        <v>0</v>
      </c>
      <c r="BE134" s="270">
        <f t="shared" si="155"/>
        <v>1</v>
      </c>
      <c r="BF134" s="270" t="str">
        <f t="shared" si="164"/>
        <v>ALIVE</v>
      </c>
      <c r="BG134" s="250" t="str">
        <f t="shared" si="156"/>
        <v>Aucune</v>
      </c>
      <c r="BH134" s="250" t="str">
        <f t="shared" si="157"/>
        <v>Aucune</v>
      </c>
      <c r="BI134" s="250" t="str">
        <f t="shared" si="158"/>
        <v>Aucune</v>
      </c>
      <c r="BJ134" s="250" t="str">
        <f t="shared" si="151"/>
        <v>NON</v>
      </c>
      <c r="BK134" s="250" t="str">
        <f t="shared" si="159"/>
        <v>NON</v>
      </c>
      <c r="BL134" s="250" t="str">
        <f t="shared" si="152"/>
        <v>Inconnu</v>
      </c>
      <c r="BM134" s="250" t="str">
        <f t="shared" si="146"/>
        <v>Inconnu</v>
      </c>
      <c r="BN134" s="250" t="str">
        <f t="shared" si="147"/>
        <v>Inconnu</v>
      </c>
      <c r="BO134" s="250" t="str">
        <f t="shared" si="153"/>
        <v>Inconnu</v>
      </c>
      <c r="BP134" s="250" t="str">
        <f t="shared" si="148"/>
        <v>Inconnu</v>
      </c>
      <c r="BQ134" s="250" t="str">
        <f t="shared" si="149"/>
        <v>Inconnu</v>
      </c>
      <c r="BR134" s="250" t="str">
        <f t="shared" si="150"/>
        <v>Aucune</v>
      </c>
      <c r="BS134" s="250">
        <f t="shared" si="141"/>
        <v>0</v>
      </c>
      <c r="BT134" s="271" t="e">
        <f>VLOOKUP($I134,Lieu_Activité!$A:$B,2,FALSE)</f>
        <v>#N/A</v>
      </c>
      <c r="BU134" s="250" t="str">
        <f t="shared" si="160"/>
        <v>Aucun</v>
      </c>
      <c r="BV134" s="250" t="str">
        <f t="shared" si="161"/>
        <v>Aucun</v>
      </c>
      <c r="BW134" s="249" t="str">
        <f t="shared" si="140"/>
        <v>NON</v>
      </c>
      <c r="BX134" s="330"/>
    </row>
    <row r="135" spans="1:170" ht="12" customHeight="1" x14ac:dyDescent="0.2">
      <c r="A135" s="268" t="s">
        <v>211</v>
      </c>
      <c r="B135" s="276"/>
      <c r="C135" s="269"/>
      <c r="D135" s="299"/>
      <c r="E135" s="320">
        <f t="shared" si="142"/>
        <v>0</v>
      </c>
      <c r="F135" s="320" t="str">
        <f t="shared" si="162"/>
        <v xml:space="preserve"> </v>
      </c>
      <c r="G135" s="298"/>
      <c r="H135" s="298"/>
      <c r="I135" s="298"/>
      <c r="J135" s="298"/>
      <c r="K135" s="298"/>
      <c r="L135" s="299"/>
      <c r="M135" s="285"/>
      <c r="N135" s="274"/>
      <c r="O135" s="274"/>
      <c r="P135" s="307" t="str">
        <f>IFERROR(VLOOKUP(O135,Références!$K$11:$N$19,2)," ")</f>
        <v xml:space="preserve"> </v>
      </c>
      <c r="Q135" s="307" t="str">
        <f>IFERROR(VLOOKUP(O135,Références!$K$11:$N$19,3)," ")</f>
        <v xml:space="preserve"> </v>
      </c>
      <c r="R135" s="307" t="str">
        <f>IFERROR(VLOOKUP(O135,Références!$K$11:$N$19,4)," ")</f>
        <v xml:space="preserve"> </v>
      </c>
      <c r="S135" s="298"/>
      <c r="T135" s="298"/>
      <c r="U135" s="298"/>
      <c r="V135" s="298"/>
      <c r="W135" s="298"/>
      <c r="X135" s="299"/>
      <c r="Y135" s="298"/>
      <c r="Z135" s="298"/>
      <c r="AA135" s="298"/>
      <c r="AB135" s="277"/>
      <c r="AC135" s="277"/>
      <c r="AD135" s="277"/>
      <c r="AE135" s="277"/>
      <c r="AF135" s="277"/>
      <c r="AG135" s="277"/>
      <c r="AH135" s="277"/>
      <c r="AI135" s="277">
        <f t="shared" si="165"/>
        <v>0</v>
      </c>
      <c r="AJ135" s="299"/>
      <c r="AK135" s="298">
        <f t="shared" si="143"/>
        <v>0</v>
      </c>
      <c r="AL135" s="299"/>
      <c r="AM135" s="308">
        <f t="shared" si="144"/>
        <v>0</v>
      </c>
      <c r="AN135" s="298"/>
      <c r="AO135" s="318"/>
      <c r="AP135" s="303" t="str">
        <f t="shared" si="163"/>
        <v xml:space="preserve"> </v>
      </c>
      <c r="AQ135" s="298"/>
      <c r="AR135" s="337"/>
      <c r="AS135" s="337"/>
      <c r="AT135" s="305"/>
      <c r="AU135" s="319"/>
      <c r="AV135" s="305"/>
      <c r="AW135" s="272"/>
      <c r="AX135" s="342"/>
      <c r="AY135" s="343"/>
      <c r="AZ135" s="272"/>
      <c r="BA135" s="342" t="s">
        <v>234</v>
      </c>
      <c r="BB135" s="337"/>
      <c r="BC135" s="270">
        <f t="shared" si="145"/>
        <v>0</v>
      </c>
      <c r="BD135" s="270">
        <f t="shared" si="154"/>
        <v>0</v>
      </c>
      <c r="BE135" s="270">
        <f t="shared" si="155"/>
        <v>1</v>
      </c>
      <c r="BF135" s="270" t="str">
        <f t="shared" si="164"/>
        <v>ALIVE</v>
      </c>
      <c r="BG135" s="250" t="str">
        <f t="shared" si="156"/>
        <v>Aucune</v>
      </c>
      <c r="BH135" s="250" t="str">
        <f t="shared" si="157"/>
        <v>Aucune</v>
      </c>
      <c r="BI135" s="250" t="str">
        <f t="shared" si="158"/>
        <v>Aucune</v>
      </c>
      <c r="BJ135" s="250" t="str">
        <f t="shared" si="151"/>
        <v>NON</v>
      </c>
      <c r="BK135" s="250" t="str">
        <f t="shared" si="159"/>
        <v>NON</v>
      </c>
      <c r="BL135" s="250" t="str">
        <f t="shared" si="152"/>
        <v>Inconnu</v>
      </c>
      <c r="BM135" s="250" t="str">
        <f t="shared" si="146"/>
        <v>Inconnu</v>
      </c>
      <c r="BN135" s="250" t="str">
        <f t="shared" si="147"/>
        <v>Inconnu</v>
      </c>
      <c r="BO135" s="250" t="str">
        <f t="shared" si="153"/>
        <v>Inconnu</v>
      </c>
      <c r="BP135" s="250" t="str">
        <f t="shared" si="148"/>
        <v>Inconnu</v>
      </c>
      <c r="BQ135" s="250" t="str">
        <f t="shared" si="149"/>
        <v>Inconnu</v>
      </c>
      <c r="BR135" s="250" t="str">
        <f t="shared" si="150"/>
        <v>Aucune</v>
      </c>
      <c r="BS135" s="250">
        <f t="shared" si="141"/>
        <v>0</v>
      </c>
      <c r="BT135" s="271" t="e">
        <f>VLOOKUP($I135,Lieu_Activité!$A:$B,2,FALSE)</f>
        <v>#N/A</v>
      </c>
      <c r="BU135" s="250" t="str">
        <f t="shared" si="160"/>
        <v>Aucun</v>
      </c>
      <c r="BV135" s="250" t="str">
        <f t="shared" si="161"/>
        <v>Aucun</v>
      </c>
      <c r="BW135" s="249" t="str">
        <f t="shared" si="140"/>
        <v>NON</v>
      </c>
      <c r="BX135" s="330"/>
    </row>
    <row r="136" spans="1:170" ht="12" customHeight="1" x14ac:dyDescent="0.2">
      <c r="A136" s="268" t="s">
        <v>211</v>
      </c>
      <c r="B136" s="276"/>
      <c r="C136" s="269"/>
      <c r="D136" s="299"/>
      <c r="E136" s="320">
        <f t="shared" si="142"/>
        <v>0</v>
      </c>
      <c r="F136" s="320" t="str">
        <f t="shared" si="162"/>
        <v xml:space="preserve"> </v>
      </c>
      <c r="G136" s="298"/>
      <c r="H136" s="298"/>
      <c r="I136" s="298"/>
      <c r="J136" s="298"/>
      <c r="K136" s="298"/>
      <c r="L136" s="299"/>
      <c r="M136" s="285"/>
      <c r="N136" s="274"/>
      <c r="O136" s="274"/>
      <c r="P136" s="307" t="str">
        <f>IFERROR(VLOOKUP(O136,Références!$K$11:$N$19,2)," ")</f>
        <v xml:space="preserve"> </v>
      </c>
      <c r="Q136" s="307" t="str">
        <f>IFERROR(VLOOKUP(O136,Références!$K$11:$N$19,3)," ")</f>
        <v xml:space="preserve"> </v>
      </c>
      <c r="R136" s="307" t="str">
        <f>IFERROR(VLOOKUP(O136,Références!$K$11:$N$19,4)," ")</f>
        <v xml:space="preserve"> </v>
      </c>
      <c r="S136" s="298"/>
      <c r="T136" s="298"/>
      <c r="U136" s="298"/>
      <c r="V136" s="298"/>
      <c r="W136" s="298"/>
      <c r="X136" s="299"/>
      <c r="Y136" s="298"/>
      <c r="Z136" s="298"/>
      <c r="AA136" s="298"/>
      <c r="AB136" s="277"/>
      <c r="AC136" s="277"/>
      <c r="AD136" s="277"/>
      <c r="AE136" s="277"/>
      <c r="AF136" s="277"/>
      <c r="AG136" s="277"/>
      <c r="AH136" s="277"/>
      <c r="AI136" s="277">
        <f t="shared" si="165"/>
        <v>0</v>
      </c>
      <c r="AJ136" s="299"/>
      <c r="AK136" s="298">
        <f t="shared" si="143"/>
        <v>0</v>
      </c>
      <c r="AL136" s="299"/>
      <c r="AM136" s="308">
        <f t="shared" si="144"/>
        <v>0</v>
      </c>
      <c r="AN136" s="298"/>
      <c r="AO136" s="318"/>
      <c r="AP136" s="303" t="str">
        <f t="shared" si="163"/>
        <v xml:space="preserve"> </v>
      </c>
      <c r="AQ136" s="298"/>
      <c r="AR136" s="337"/>
      <c r="AS136" s="337"/>
      <c r="AT136" s="305"/>
      <c r="AU136" s="319"/>
      <c r="AV136" s="305"/>
      <c r="AW136" s="272"/>
      <c r="AX136" s="342"/>
      <c r="AY136" s="343"/>
      <c r="AZ136" s="272"/>
      <c r="BA136" s="342" t="s">
        <v>234</v>
      </c>
      <c r="BB136" s="337"/>
      <c r="BC136" s="270">
        <f t="shared" si="145"/>
        <v>0</v>
      </c>
      <c r="BD136" s="270">
        <f t="shared" si="154"/>
        <v>0</v>
      </c>
      <c r="BE136" s="270">
        <f t="shared" si="155"/>
        <v>1</v>
      </c>
      <c r="BF136" s="270" t="str">
        <f t="shared" si="164"/>
        <v>ALIVE</v>
      </c>
      <c r="BG136" s="250" t="str">
        <f t="shared" si="156"/>
        <v>Aucune</v>
      </c>
      <c r="BH136" s="250" t="str">
        <f t="shared" si="157"/>
        <v>Aucune</v>
      </c>
      <c r="BI136" s="250" t="str">
        <f t="shared" si="158"/>
        <v>Aucune</v>
      </c>
      <c r="BJ136" s="250" t="str">
        <f t="shared" si="151"/>
        <v>NON</v>
      </c>
      <c r="BK136" s="250" t="str">
        <f t="shared" si="159"/>
        <v>NON</v>
      </c>
      <c r="BL136" s="250" t="str">
        <f t="shared" si="152"/>
        <v>Inconnu</v>
      </c>
      <c r="BM136" s="250" t="str">
        <f t="shared" si="146"/>
        <v>Inconnu</v>
      </c>
      <c r="BN136" s="250" t="str">
        <f t="shared" si="147"/>
        <v>Inconnu</v>
      </c>
      <c r="BO136" s="250" t="str">
        <f t="shared" si="153"/>
        <v>Inconnu</v>
      </c>
      <c r="BP136" s="250" t="str">
        <f t="shared" si="148"/>
        <v>Inconnu</v>
      </c>
      <c r="BQ136" s="250" t="str">
        <f t="shared" si="149"/>
        <v>Inconnu</v>
      </c>
      <c r="BR136" s="250" t="str">
        <f t="shared" si="150"/>
        <v>Aucune</v>
      </c>
      <c r="BS136" s="250">
        <f t="shared" si="141"/>
        <v>0</v>
      </c>
      <c r="BT136" s="271" t="e">
        <f>VLOOKUP($I136,Lieu_Activité!$A:$B,2,FALSE)</f>
        <v>#N/A</v>
      </c>
      <c r="BU136" s="250" t="str">
        <f t="shared" si="160"/>
        <v>Aucun</v>
      </c>
      <c r="BV136" s="250" t="str">
        <f t="shared" si="161"/>
        <v>Aucun</v>
      </c>
      <c r="BW136" s="249" t="str">
        <f t="shared" si="140"/>
        <v>NON</v>
      </c>
      <c r="BX136" s="330"/>
    </row>
    <row r="137" spans="1:170" s="1" customFormat="1" ht="12.75" customHeight="1" x14ac:dyDescent="0.2">
      <c r="A137" s="268" t="s">
        <v>211</v>
      </c>
      <c r="B137" s="276"/>
      <c r="C137" s="269"/>
      <c r="D137" s="299"/>
      <c r="E137" s="320">
        <f>(L137-D137)/365</f>
        <v>0</v>
      </c>
      <c r="F137" s="320" t="str">
        <f t="shared" si="162"/>
        <v xml:space="preserve"> </v>
      </c>
      <c r="G137" s="298"/>
      <c r="H137" s="298"/>
      <c r="I137" s="298"/>
      <c r="J137" s="298"/>
      <c r="K137" s="298"/>
      <c r="L137" s="299"/>
      <c r="M137" s="285"/>
      <c r="N137" s="274"/>
      <c r="O137" s="307"/>
      <c r="P137" s="307" t="str">
        <f>IFERROR(VLOOKUP(O137,Références!$K$11:$N$19,2)," ")</f>
        <v xml:space="preserve"> </v>
      </c>
      <c r="Q137" s="307" t="str">
        <f>IFERROR(VLOOKUP(O137,Références!$K$11:$N$19,3)," ")</f>
        <v xml:space="preserve"> </v>
      </c>
      <c r="R137" s="307" t="str">
        <f>IFERROR(VLOOKUP(O137,Références!$K$11:$N$19,4)," ")</f>
        <v xml:space="preserve"> </v>
      </c>
      <c r="S137" s="298"/>
      <c r="T137" s="298"/>
      <c r="U137" s="298"/>
      <c r="V137" s="298"/>
      <c r="W137" s="298"/>
      <c r="X137" s="299"/>
      <c r="Y137" s="298"/>
      <c r="Z137" s="298"/>
      <c r="AA137" s="298"/>
      <c r="AB137" s="277"/>
      <c r="AC137" s="277"/>
      <c r="AD137" s="277"/>
      <c r="AE137" s="277"/>
      <c r="AF137" s="277"/>
      <c r="AG137" s="277"/>
      <c r="AH137" s="277"/>
      <c r="AI137" s="277">
        <f t="shared" si="165"/>
        <v>0</v>
      </c>
      <c r="AJ137" s="299"/>
      <c r="AK137" s="298">
        <f t="shared" ref="AK137:AK147" si="166">(AJ137-L137)</f>
        <v>0</v>
      </c>
      <c r="AL137" s="299"/>
      <c r="AM137" s="308">
        <f t="shared" ref="AM137:AM148" si="167">(AL137-L137)</f>
        <v>0</v>
      </c>
      <c r="AN137" s="298"/>
      <c r="AO137" s="318"/>
      <c r="AP137" s="303" t="str">
        <f t="shared" si="163"/>
        <v xml:space="preserve"> </v>
      </c>
      <c r="AQ137" s="298"/>
      <c r="AR137" s="339"/>
      <c r="AS137" s="337"/>
      <c r="AT137" s="305"/>
      <c r="AU137" s="319"/>
      <c r="AV137" s="305"/>
      <c r="AW137" s="272"/>
      <c r="AX137" s="342"/>
      <c r="AY137" s="343"/>
      <c r="AZ137" s="272"/>
      <c r="BA137" s="342" t="s">
        <v>234</v>
      </c>
      <c r="BB137" s="337"/>
      <c r="BC137" s="270">
        <f t="shared" ref="BC137:BC148" si="168">IF(BG137="Aucune",0,1)</f>
        <v>0</v>
      </c>
      <c r="BD137" s="270">
        <f t="shared" ref="BD137:BD148" si="169">IF(BH137="Aucune",0,1)</f>
        <v>0</v>
      </c>
      <c r="BE137" s="270">
        <f t="shared" si="155"/>
        <v>1</v>
      </c>
      <c r="BF137" s="270" t="str">
        <f t="shared" si="164"/>
        <v>ALIVE</v>
      </c>
      <c r="BG137" s="250" t="str">
        <f t="shared" si="156"/>
        <v>Aucune</v>
      </c>
      <c r="BH137" s="250" t="str">
        <f t="shared" si="157"/>
        <v>Aucune</v>
      </c>
      <c r="BI137" s="250" t="str">
        <f t="shared" si="158"/>
        <v>Aucune</v>
      </c>
      <c r="BJ137" s="250" t="str">
        <f t="shared" si="151"/>
        <v>NON</v>
      </c>
      <c r="BK137" s="250" t="str">
        <f t="shared" si="159"/>
        <v>NON</v>
      </c>
      <c r="BL137" s="250" t="str">
        <f t="shared" si="152"/>
        <v>Inconnu</v>
      </c>
      <c r="BM137" s="250" t="str">
        <f t="shared" ref="BM137:BM148" si="170">IF($O137&lt;&gt;"HTX",IF($O137&lt;&gt;"LVAD",BL137,"Inconnu"),"Inconnu")</f>
        <v>Inconnu</v>
      </c>
      <c r="BN137" s="250" t="str">
        <f t="shared" ref="BN137:BN148" si="171">IF($O137="HTX",BL137,IF($O137="LVAD",BL137,"Inconnu"))</f>
        <v>Inconnu</v>
      </c>
      <c r="BO137" s="250" t="str">
        <f t="shared" si="153"/>
        <v>Inconnu</v>
      </c>
      <c r="BP137" s="250" t="str">
        <f t="shared" ref="BP137:BP148" si="172">IF($O137&lt;&gt;"HTX",IF($O137&lt;&gt;"LVAD",BO137,"Inconnu"),"Inconnu")</f>
        <v>Inconnu</v>
      </c>
      <c r="BQ137" s="250" t="str">
        <f t="shared" ref="BQ137:BQ148" si="173">IF($O137="HTX",BO137,IF($O137="LVAD",BO137,"Inconnu"))</f>
        <v>Inconnu</v>
      </c>
      <c r="BR137" s="250" t="str">
        <f t="shared" ref="BR137:BR148" si="174">IF(BH137="Aucune",IF(BI137="Aucune","Aucune","Transfusé"),"Transfusé")</f>
        <v>Aucune</v>
      </c>
      <c r="BS137" s="250">
        <f t="shared" si="141"/>
        <v>0</v>
      </c>
      <c r="BT137" s="271" t="e">
        <f>VLOOKUP($I137,Lieu_Activité!$A:$B,2,FALSE)</f>
        <v>#N/A</v>
      </c>
      <c r="BU137" s="250" t="str">
        <f t="shared" si="160"/>
        <v>Aucun</v>
      </c>
      <c r="BV137" s="250" t="str">
        <f t="shared" si="161"/>
        <v>Aucun</v>
      </c>
      <c r="BW137" s="249" t="str">
        <f t="shared" si="140"/>
        <v>NON</v>
      </c>
      <c r="BX137" s="330"/>
      <c r="BY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</row>
    <row r="138" spans="1:170" ht="12" customHeight="1" x14ac:dyDescent="0.2">
      <c r="A138" s="268" t="s">
        <v>211</v>
      </c>
      <c r="B138" s="276"/>
      <c r="C138" s="269"/>
      <c r="D138" s="299"/>
      <c r="E138" s="320">
        <f>(L138-D138)/365</f>
        <v>0</v>
      </c>
      <c r="F138" s="320" t="str">
        <f t="shared" si="162"/>
        <v xml:space="preserve"> </v>
      </c>
      <c r="G138" s="298"/>
      <c r="H138" s="298"/>
      <c r="I138" s="298"/>
      <c r="J138" s="298"/>
      <c r="K138" s="298"/>
      <c r="L138" s="299"/>
      <c r="M138" s="285"/>
      <c r="N138" s="274"/>
      <c r="O138" s="274"/>
      <c r="P138" s="307" t="str">
        <f>IFERROR(VLOOKUP(O138,Références!$K$11:$N$19,2)," ")</f>
        <v xml:space="preserve"> </v>
      </c>
      <c r="Q138" s="307" t="str">
        <f>IFERROR(VLOOKUP(O138,Références!$K$11:$N$19,3)," ")</f>
        <v xml:space="preserve"> </v>
      </c>
      <c r="R138" s="307" t="str">
        <f>IFERROR(VLOOKUP(O138,Références!$K$11:$N$19,4)," ")</f>
        <v xml:space="preserve"> </v>
      </c>
      <c r="S138" s="298"/>
      <c r="T138" s="298"/>
      <c r="U138" s="298"/>
      <c r="V138" s="298"/>
      <c r="W138" s="298"/>
      <c r="X138" s="299"/>
      <c r="Y138" s="298"/>
      <c r="Z138" s="298"/>
      <c r="AA138" s="298"/>
      <c r="AB138" s="277"/>
      <c r="AC138" s="277"/>
      <c r="AD138" s="277"/>
      <c r="AE138" s="277"/>
      <c r="AF138" s="277"/>
      <c r="AG138" s="277"/>
      <c r="AH138" s="277"/>
      <c r="AI138" s="277">
        <f t="shared" si="165"/>
        <v>0</v>
      </c>
      <c r="AJ138" s="299"/>
      <c r="AK138" s="298">
        <f t="shared" si="166"/>
        <v>0</v>
      </c>
      <c r="AL138" s="299"/>
      <c r="AM138" s="308">
        <f t="shared" si="167"/>
        <v>0</v>
      </c>
      <c r="AN138" s="298"/>
      <c r="AO138" s="318"/>
      <c r="AP138" s="303" t="str">
        <f t="shared" si="163"/>
        <v xml:space="preserve"> </v>
      </c>
      <c r="AQ138" s="298"/>
      <c r="AR138" s="337"/>
      <c r="AS138" s="337"/>
      <c r="AT138" s="305"/>
      <c r="AU138" s="319"/>
      <c r="AV138" s="305"/>
      <c r="AW138" s="272"/>
      <c r="AX138" s="342"/>
      <c r="AY138" s="343"/>
      <c r="AZ138" s="272"/>
      <c r="BA138" s="342" t="s">
        <v>234</v>
      </c>
      <c r="BB138" s="337"/>
      <c r="BC138" s="270">
        <f t="shared" si="168"/>
        <v>0</v>
      </c>
      <c r="BD138" s="270">
        <f t="shared" si="169"/>
        <v>0</v>
      </c>
      <c r="BE138" s="270">
        <f t="shared" si="155"/>
        <v>1</v>
      </c>
      <c r="BF138" s="270" t="str">
        <f t="shared" si="164"/>
        <v>ALIVE</v>
      </c>
      <c r="BG138" s="250" t="str">
        <f t="shared" si="156"/>
        <v>Aucune</v>
      </c>
      <c r="BH138" s="250" t="str">
        <f t="shared" si="157"/>
        <v>Aucune</v>
      </c>
      <c r="BI138" s="250" t="str">
        <f t="shared" si="158"/>
        <v>Aucune</v>
      </c>
      <c r="BJ138" s="250" t="str">
        <f t="shared" si="151"/>
        <v>NON</v>
      </c>
      <c r="BK138" s="250" t="str">
        <f t="shared" si="159"/>
        <v>NON</v>
      </c>
      <c r="BL138" s="250" t="str">
        <f t="shared" si="152"/>
        <v>Inconnu</v>
      </c>
      <c r="BM138" s="250" t="str">
        <f t="shared" si="170"/>
        <v>Inconnu</v>
      </c>
      <c r="BN138" s="250" t="str">
        <f t="shared" si="171"/>
        <v>Inconnu</v>
      </c>
      <c r="BO138" s="250" t="str">
        <f t="shared" si="153"/>
        <v>Inconnu</v>
      </c>
      <c r="BP138" s="250" t="str">
        <f t="shared" si="172"/>
        <v>Inconnu</v>
      </c>
      <c r="BQ138" s="250" t="str">
        <f t="shared" si="173"/>
        <v>Inconnu</v>
      </c>
      <c r="BR138" s="250" t="str">
        <f t="shared" si="174"/>
        <v>Aucune</v>
      </c>
      <c r="BS138" s="250">
        <f t="shared" si="141"/>
        <v>0</v>
      </c>
      <c r="BT138" s="271" t="e">
        <f>VLOOKUP($I138,Lieu_Activité!$A:$B,2,FALSE)</f>
        <v>#N/A</v>
      </c>
      <c r="BU138" s="250" t="str">
        <f t="shared" si="160"/>
        <v>Aucun</v>
      </c>
      <c r="BV138" s="250" t="str">
        <f t="shared" si="161"/>
        <v>Aucun</v>
      </c>
      <c r="BW138" s="249" t="str">
        <f t="shared" si="140"/>
        <v>NON</v>
      </c>
      <c r="BX138" s="330"/>
    </row>
    <row r="139" spans="1:170" ht="12" customHeight="1" x14ac:dyDescent="0.2">
      <c r="A139" s="268" t="s">
        <v>211</v>
      </c>
      <c r="B139" s="276"/>
      <c r="C139" s="269"/>
      <c r="D139" s="299"/>
      <c r="E139" s="320">
        <f>(L139-D139)/365</f>
        <v>0</v>
      </c>
      <c r="F139" s="320" t="str">
        <f t="shared" si="162"/>
        <v xml:space="preserve"> </v>
      </c>
      <c r="G139" s="298"/>
      <c r="H139" s="298"/>
      <c r="I139" s="298"/>
      <c r="J139" s="298"/>
      <c r="K139" s="298"/>
      <c r="L139" s="299"/>
      <c r="M139" s="285"/>
      <c r="N139" s="274"/>
      <c r="O139" s="274"/>
      <c r="P139" s="307" t="str">
        <f>IFERROR(VLOOKUP(O139,Références!$K$11:$N$19,2)," ")</f>
        <v xml:space="preserve"> </v>
      </c>
      <c r="Q139" s="307" t="str">
        <f>IFERROR(VLOOKUP(O139,Références!$K$11:$N$19,3)," ")</f>
        <v xml:space="preserve"> </v>
      </c>
      <c r="R139" s="307" t="str">
        <f>IFERROR(VLOOKUP(O139,Références!$K$11:$N$19,4)," ")</f>
        <v xml:space="preserve"> </v>
      </c>
      <c r="S139" s="298"/>
      <c r="T139" s="298"/>
      <c r="U139" s="298"/>
      <c r="V139" s="298"/>
      <c r="W139" s="298"/>
      <c r="X139" s="299"/>
      <c r="Y139" s="298"/>
      <c r="Z139" s="298"/>
      <c r="AA139" s="298"/>
      <c r="AB139" s="277"/>
      <c r="AC139" s="277"/>
      <c r="AD139" s="277"/>
      <c r="AE139" s="277"/>
      <c r="AF139" s="277"/>
      <c r="AG139" s="277"/>
      <c r="AH139" s="277"/>
      <c r="AI139" s="277">
        <f t="shared" si="165"/>
        <v>0</v>
      </c>
      <c r="AJ139" s="299"/>
      <c r="AK139" s="298">
        <f t="shared" si="166"/>
        <v>0</v>
      </c>
      <c r="AL139" s="299"/>
      <c r="AM139" s="308">
        <f t="shared" si="167"/>
        <v>0</v>
      </c>
      <c r="AN139" s="298"/>
      <c r="AO139" s="318"/>
      <c r="AP139" s="303" t="str">
        <f t="shared" si="163"/>
        <v xml:space="preserve"> </v>
      </c>
      <c r="AQ139" s="298"/>
      <c r="AR139" s="337"/>
      <c r="AS139" s="337"/>
      <c r="AT139" s="305"/>
      <c r="AU139" s="319"/>
      <c r="AV139" s="305"/>
      <c r="AW139" s="272"/>
      <c r="AX139" s="342"/>
      <c r="AY139" s="343"/>
      <c r="AZ139" s="272"/>
      <c r="BA139" s="342" t="s">
        <v>234</v>
      </c>
      <c r="BB139" s="337"/>
      <c r="BC139" s="270">
        <f t="shared" si="168"/>
        <v>0</v>
      </c>
      <c r="BD139" s="270">
        <f t="shared" si="169"/>
        <v>0</v>
      </c>
      <c r="BE139" s="270">
        <f t="shared" si="155"/>
        <v>1</v>
      </c>
      <c r="BF139" s="270" t="str">
        <f t="shared" si="164"/>
        <v>ALIVE</v>
      </c>
      <c r="BG139" s="250" t="str">
        <f t="shared" si="156"/>
        <v>Aucune</v>
      </c>
      <c r="BH139" s="250" t="str">
        <f t="shared" si="157"/>
        <v>Aucune</v>
      </c>
      <c r="BI139" s="250" t="str">
        <f t="shared" si="158"/>
        <v>Aucune</v>
      </c>
      <c r="BJ139" s="250" t="str">
        <f t="shared" si="151"/>
        <v>NON</v>
      </c>
      <c r="BK139" s="250" t="str">
        <f t="shared" si="159"/>
        <v>NON</v>
      </c>
      <c r="BL139" s="250" t="str">
        <f t="shared" si="152"/>
        <v>Inconnu</v>
      </c>
      <c r="BM139" s="250" t="str">
        <f t="shared" si="170"/>
        <v>Inconnu</v>
      </c>
      <c r="BN139" s="250" t="str">
        <f t="shared" si="171"/>
        <v>Inconnu</v>
      </c>
      <c r="BO139" s="250" t="str">
        <f t="shared" si="153"/>
        <v>Inconnu</v>
      </c>
      <c r="BP139" s="250" t="str">
        <f t="shared" si="172"/>
        <v>Inconnu</v>
      </c>
      <c r="BQ139" s="250" t="str">
        <f t="shared" si="173"/>
        <v>Inconnu</v>
      </c>
      <c r="BR139" s="250" t="str">
        <f t="shared" si="174"/>
        <v>Aucune</v>
      </c>
      <c r="BS139" s="250">
        <f t="shared" si="141"/>
        <v>0</v>
      </c>
      <c r="BT139" s="271" t="e">
        <f>VLOOKUP($I139,Lieu_Activité!$A:$B,2,FALSE)</f>
        <v>#N/A</v>
      </c>
      <c r="BU139" s="250" t="str">
        <f t="shared" si="160"/>
        <v>Aucun</v>
      </c>
      <c r="BV139" s="250" t="str">
        <f t="shared" si="161"/>
        <v>Aucun</v>
      </c>
      <c r="BW139" s="249" t="str">
        <f t="shared" si="140"/>
        <v>NON</v>
      </c>
      <c r="BX139" s="330"/>
    </row>
    <row r="140" spans="1:170" ht="12" customHeight="1" x14ac:dyDescent="0.2">
      <c r="A140" s="268" t="s">
        <v>211</v>
      </c>
      <c r="B140" s="276"/>
      <c r="C140" s="269"/>
      <c r="D140" s="299"/>
      <c r="E140" s="320">
        <f>(L140-D140)/365</f>
        <v>0</v>
      </c>
      <c r="F140" s="320" t="str">
        <f t="shared" si="162"/>
        <v xml:space="preserve"> </v>
      </c>
      <c r="G140" s="298"/>
      <c r="H140" s="298"/>
      <c r="I140" s="298"/>
      <c r="J140" s="298"/>
      <c r="K140" s="298"/>
      <c r="L140" s="299"/>
      <c r="M140" s="285"/>
      <c r="N140" s="274"/>
      <c r="O140" s="274"/>
      <c r="P140" s="307" t="str">
        <f>IFERROR(VLOOKUP(O140,Références!$K$11:$N$19,2)," ")</f>
        <v xml:space="preserve"> </v>
      </c>
      <c r="Q140" s="307" t="str">
        <f>IFERROR(VLOOKUP(O140,Références!$K$11:$N$19,3)," ")</f>
        <v xml:space="preserve"> </v>
      </c>
      <c r="R140" s="307" t="str">
        <f>IFERROR(VLOOKUP(O140,Références!$K$11:$N$19,4)," ")</f>
        <v xml:space="preserve"> </v>
      </c>
      <c r="S140" s="298"/>
      <c r="T140" s="298"/>
      <c r="U140" s="298"/>
      <c r="V140" s="298"/>
      <c r="W140" s="298"/>
      <c r="X140" s="299"/>
      <c r="Y140" s="298"/>
      <c r="Z140" s="298"/>
      <c r="AA140" s="298"/>
      <c r="AB140" s="277"/>
      <c r="AC140" s="277"/>
      <c r="AD140" s="277"/>
      <c r="AE140" s="277"/>
      <c r="AF140" s="277"/>
      <c r="AG140" s="277"/>
      <c r="AH140" s="277"/>
      <c r="AI140" s="277">
        <f t="shared" si="165"/>
        <v>0</v>
      </c>
      <c r="AJ140" s="299"/>
      <c r="AK140" s="298">
        <f t="shared" si="166"/>
        <v>0</v>
      </c>
      <c r="AL140" s="299"/>
      <c r="AM140" s="308">
        <f t="shared" si="167"/>
        <v>0</v>
      </c>
      <c r="AN140" s="298"/>
      <c r="AO140" s="318"/>
      <c r="AP140" s="303" t="str">
        <f t="shared" si="163"/>
        <v xml:space="preserve"> </v>
      </c>
      <c r="AQ140" s="298"/>
      <c r="AR140" s="337"/>
      <c r="AS140" s="337"/>
      <c r="AT140" s="305"/>
      <c r="AU140" s="319"/>
      <c r="AV140" s="305"/>
      <c r="AW140" s="272"/>
      <c r="AX140" s="342"/>
      <c r="AY140" s="343"/>
      <c r="AZ140" s="272"/>
      <c r="BA140" s="342" t="s">
        <v>234</v>
      </c>
      <c r="BB140" s="343"/>
      <c r="BC140" s="270">
        <f t="shared" si="168"/>
        <v>0</v>
      </c>
      <c r="BD140" s="270">
        <f t="shared" si="169"/>
        <v>0</v>
      </c>
      <c r="BE140" s="270">
        <f t="shared" si="155"/>
        <v>1</v>
      </c>
      <c r="BF140" s="270" t="str">
        <f t="shared" si="164"/>
        <v>ALIVE</v>
      </c>
      <c r="BG140" s="250" t="str">
        <f t="shared" si="156"/>
        <v>Aucune</v>
      </c>
      <c r="BH140" s="250" t="str">
        <f t="shared" si="157"/>
        <v>Aucune</v>
      </c>
      <c r="BI140" s="250" t="str">
        <f t="shared" si="158"/>
        <v>Aucune</v>
      </c>
      <c r="BJ140" s="250" t="str">
        <f t="shared" si="151"/>
        <v>NON</v>
      </c>
      <c r="BK140" s="250" t="str">
        <f t="shared" si="159"/>
        <v>NON</v>
      </c>
      <c r="BL140" s="250" t="str">
        <f t="shared" si="152"/>
        <v>Inconnu</v>
      </c>
      <c r="BM140" s="250" t="str">
        <f t="shared" si="170"/>
        <v>Inconnu</v>
      </c>
      <c r="BN140" s="250" t="str">
        <f t="shared" si="171"/>
        <v>Inconnu</v>
      </c>
      <c r="BO140" s="250" t="str">
        <f t="shared" si="153"/>
        <v>Inconnu</v>
      </c>
      <c r="BP140" s="250" t="str">
        <f t="shared" si="172"/>
        <v>Inconnu</v>
      </c>
      <c r="BQ140" s="250" t="str">
        <f t="shared" si="173"/>
        <v>Inconnu</v>
      </c>
      <c r="BR140" s="250" t="str">
        <f t="shared" si="174"/>
        <v>Aucune</v>
      </c>
      <c r="BS140" s="250">
        <f t="shared" si="141"/>
        <v>0</v>
      </c>
      <c r="BT140" s="271" t="e">
        <f>VLOOKUP($I140,Lieu_Activité!$A:$B,2,FALSE)</f>
        <v>#N/A</v>
      </c>
      <c r="BU140" s="250" t="str">
        <f t="shared" si="160"/>
        <v>Aucun</v>
      </c>
      <c r="BV140" s="250" t="str">
        <f t="shared" si="161"/>
        <v>Aucun</v>
      </c>
      <c r="BW140" s="249" t="str">
        <f t="shared" si="140"/>
        <v>NON</v>
      </c>
      <c r="BX140" s="330"/>
    </row>
    <row r="141" spans="1:170" s="1" customFormat="1" ht="12.75" customHeight="1" x14ac:dyDescent="0.2">
      <c r="A141" s="268" t="s">
        <v>211</v>
      </c>
      <c r="B141" s="276"/>
      <c r="C141" s="269"/>
      <c r="D141" s="299"/>
      <c r="E141" s="320">
        <f t="shared" si="136"/>
        <v>0</v>
      </c>
      <c r="F141" s="320" t="str">
        <f t="shared" si="162"/>
        <v xml:space="preserve"> </v>
      </c>
      <c r="G141" s="298"/>
      <c r="H141" s="298"/>
      <c r="I141" s="298"/>
      <c r="J141" s="298"/>
      <c r="K141" s="298"/>
      <c r="L141" s="299"/>
      <c r="M141" s="285"/>
      <c r="N141" s="274"/>
      <c r="O141" s="307"/>
      <c r="P141" s="307" t="str">
        <f>IFERROR(VLOOKUP(O141,Références!$K$11:$N$19,2)," ")</f>
        <v xml:space="preserve"> </v>
      </c>
      <c r="Q141" s="307" t="str">
        <f>IFERROR(VLOOKUP(O141,Références!$K$11:$N$19,3)," ")</f>
        <v xml:space="preserve"> </v>
      </c>
      <c r="R141" s="307" t="str">
        <f>IFERROR(VLOOKUP(O141,Références!$K$11:$N$19,4)," ")</f>
        <v xml:space="preserve"> </v>
      </c>
      <c r="S141" s="298"/>
      <c r="T141" s="298"/>
      <c r="U141" s="298"/>
      <c r="V141" s="298"/>
      <c r="W141" s="298"/>
      <c r="X141" s="299"/>
      <c r="Y141" s="298"/>
      <c r="Z141" s="298"/>
      <c r="AA141" s="298"/>
      <c r="AB141" s="277"/>
      <c r="AC141" s="277"/>
      <c r="AD141" s="316"/>
      <c r="AE141" s="277"/>
      <c r="AF141" s="277"/>
      <c r="AG141" s="277"/>
      <c r="AH141" s="277"/>
      <c r="AI141" s="277">
        <f t="shared" si="165"/>
        <v>0</v>
      </c>
      <c r="AJ141" s="299"/>
      <c r="AK141" s="298">
        <f t="shared" si="166"/>
        <v>0</v>
      </c>
      <c r="AL141" s="299"/>
      <c r="AM141" s="308">
        <f t="shared" si="167"/>
        <v>0</v>
      </c>
      <c r="AN141" s="298"/>
      <c r="AO141" s="318"/>
      <c r="AP141" s="303" t="str">
        <f t="shared" si="163"/>
        <v xml:space="preserve"> </v>
      </c>
      <c r="AQ141" s="298"/>
      <c r="AR141" s="339"/>
      <c r="AS141" s="337"/>
      <c r="AT141" s="305"/>
      <c r="AU141" s="319"/>
      <c r="AV141" s="305"/>
      <c r="AW141" s="272"/>
      <c r="AX141" s="342"/>
      <c r="AY141" s="343"/>
      <c r="AZ141" s="272"/>
      <c r="BA141" s="342" t="s">
        <v>234</v>
      </c>
      <c r="BB141" s="337"/>
      <c r="BC141" s="270">
        <f t="shared" si="168"/>
        <v>0</v>
      </c>
      <c r="BD141" s="270">
        <f t="shared" si="169"/>
        <v>0</v>
      </c>
      <c r="BE141" s="270">
        <f t="shared" si="155"/>
        <v>1</v>
      </c>
      <c r="BF141" s="270" t="str">
        <f t="shared" si="164"/>
        <v>ALIVE</v>
      </c>
      <c r="BG141" s="250" t="str">
        <f t="shared" si="156"/>
        <v>Aucune</v>
      </c>
      <c r="BH141" s="250" t="str">
        <f t="shared" si="157"/>
        <v>Aucune</v>
      </c>
      <c r="BI141" s="250" t="str">
        <f t="shared" si="158"/>
        <v>Aucune</v>
      </c>
      <c r="BJ141" s="250" t="str">
        <f t="shared" si="151"/>
        <v>NON</v>
      </c>
      <c r="BK141" s="250" t="str">
        <f t="shared" si="159"/>
        <v>NON</v>
      </c>
      <c r="BL141" s="250" t="str">
        <f t="shared" si="152"/>
        <v>Inconnu</v>
      </c>
      <c r="BM141" s="250" t="str">
        <f t="shared" si="170"/>
        <v>Inconnu</v>
      </c>
      <c r="BN141" s="250" t="str">
        <f t="shared" si="171"/>
        <v>Inconnu</v>
      </c>
      <c r="BO141" s="250" t="str">
        <f t="shared" si="153"/>
        <v>Inconnu</v>
      </c>
      <c r="BP141" s="250" t="str">
        <f t="shared" si="172"/>
        <v>Inconnu</v>
      </c>
      <c r="BQ141" s="250" t="str">
        <f t="shared" si="173"/>
        <v>Inconnu</v>
      </c>
      <c r="BR141" s="250" t="str">
        <f t="shared" si="174"/>
        <v>Aucune</v>
      </c>
      <c r="BS141" s="250">
        <f t="shared" si="141"/>
        <v>0</v>
      </c>
      <c r="BT141" s="271" t="e">
        <f>VLOOKUP($I141,Lieu_Activité!$A:$B,2,FALSE)</f>
        <v>#N/A</v>
      </c>
      <c r="BU141" s="250" t="str">
        <f t="shared" si="160"/>
        <v>Aucun</v>
      </c>
      <c r="BV141" s="250" t="str">
        <f t="shared" si="161"/>
        <v>Aucun</v>
      </c>
      <c r="BW141" s="249" t="str">
        <f t="shared" si="140"/>
        <v>NON</v>
      </c>
      <c r="BX141" s="330"/>
      <c r="BY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</row>
    <row r="142" spans="1:170" ht="12" customHeight="1" x14ac:dyDescent="0.2">
      <c r="A142" s="268" t="s">
        <v>211</v>
      </c>
      <c r="B142" s="276"/>
      <c r="C142" s="269"/>
      <c r="D142" s="299"/>
      <c r="E142" s="320">
        <f t="shared" si="136"/>
        <v>0</v>
      </c>
      <c r="F142" s="320" t="str">
        <f t="shared" si="162"/>
        <v xml:space="preserve"> </v>
      </c>
      <c r="G142" s="298"/>
      <c r="H142" s="298"/>
      <c r="I142" s="298"/>
      <c r="J142" s="298"/>
      <c r="K142" s="298"/>
      <c r="L142" s="299"/>
      <c r="M142" s="285"/>
      <c r="N142" s="274"/>
      <c r="O142" s="274"/>
      <c r="P142" s="307" t="str">
        <f>IFERROR(VLOOKUP(O142,Références!$K$11:$N$19,2)," ")</f>
        <v xml:space="preserve"> </v>
      </c>
      <c r="Q142" s="307" t="str">
        <f>IFERROR(VLOOKUP(O142,Références!$K$11:$N$19,3)," ")</f>
        <v xml:space="preserve"> </v>
      </c>
      <c r="R142" s="307" t="str">
        <f>IFERROR(VLOOKUP(O142,Références!$K$11:$N$19,4)," ")</f>
        <v xml:space="preserve"> </v>
      </c>
      <c r="S142" s="298"/>
      <c r="T142" s="298"/>
      <c r="U142" s="298"/>
      <c r="V142" s="298"/>
      <c r="W142" s="298"/>
      <c r="X142" s="299"/>
      <c r="Y142" s="298"/>
      <c r="Z142" s="298"/>
      <c r="AA142" s="298"/>
      <c r="AB142" s="277"/>
      <c r="AC142" s="277"/>
      <c r="AD142" s="277"/>
      <c r="AE142" s="277"/>
      <c r="AF142" s="277"/>
      <c r="AG142" s="277"/>
      <c r="AH142" s="277"/>
      <c r="AI142" s="277">
        <f t="shared" si="165"/>
        <v>0</v>
      </c>
      <c r="AJ142" s="299"/>
      <c r="AK142" s="298">
        <f t="shared" si="166"/>
        <v>0</v>
      </c>
      <c r="AL142" s="299"/>
      <c r="AM142" s="308">
        <f t="shared" si="167"/>
        <v>0</v>
      </c>
      <c r="AN142" s="298"/>
      <c r="AO142" s="318"/>
      <c r="AP142" s="303" t="str">
        <f t="shared" si="163"/>
        <v xml:space="preserve"> </v>
      </c>
      <c r="AQ142" s="298"/>
      <c r="AR142" s="337"/>
      <c r="AS142" s="337"/>
      <c r="AT142" s="305"/>
      <c r="AU142" s="319"/>
      <c r="AV142" s="305"/>
      <c r="AW142" s="272"/>
      <c r="AX142" s="342"/>
      <c r="AY142" s="343"/>
      <c r="AZ142" s="272"/>
      <c r="BA142" s="342" t="s">
        <v>234</v>
      </c>
      <c r="BB142" s="337"/>
      <c r="BC142" s="270">
        <f t="shared" si="168"/>
        <v>0</v>
      </c>
      <c r="BD142" s="270">
        <f t="shared" si="169"/>
        <v>0</v>
      </c>
      <c r="BE142" s="270">
        <f t="shared" si="155"/>
        <v>1</v>
      </c>
      <c r="BF142" s="270" t="str">
        <f t="shared" si="164"/>
        <v>ALIVE</v>
      </c>
      <c r="BG142" s="250" t="str">
        <f t="shared" si="156"/>
        <v>Aucune</v>
      </c>
      <c r="BH142" s="250" t="str">
        <f t="shared" si="157"/>
        <v>Aucune</v>
      </c>
      <c r="BI142" s="250" t="str">
        <f t="shared" si="158"/>
        <v>Aucune</v>
      </c>
      <c r="BJ142" s="250" t="str">
        <f t="shared" si="151"/>
        <v>NON</v>
      </c>
      <c r="BK142" s="250" t="str">
        <f t="shared" si="159"/>
        <v>NON</v>
      </c>
      <c r="BL142" s="250" t="str">
        <f t="shared" si="152"/>
        <v>Inconnu</v>
      </c>
      <c r="BM142" s="250" t="str">
        <f t="shared" si="170"/>
        <v>Inconnu</v>
      </c>
      <c r="BN142" s="250" t="str">
        <f t="shared" si="171"/>
        <v>Inconnu</v>
      </c>
      <c r="BO142" s="250" t="str">
        <f t="shared" si="153"/>
        <v>Inconnu</v>
      </c>
      <c r="BP142" s="250" t="str">
        <f t="shared" si="172"/>
        <v>Inconnu</v>
      </c>
      <c r="BQ142" s="250" t="str">
        <f t="shared" si="173"/>
        <v>Inconnu</v>
      </c>
      <c r="BR142" s="250" t="str">
        <f t="shared" si="174"/>
        <v>Aucune</v>
      </c>
      <c r="BS142" s="250">
        <f t="shared" si="141"/>
        <v>0</v>
      </c>
      <c r="BT142" s="271" t="e">
        <f>VLOOKUP($I142,Lieu_Activité!$A:$B,2,FALSE)</f>
        <v>#N/A</v>
      </c>
      <c r="BU142" s="250" t="str">
        <f t="shared" si="160"/>
        <v>Aucun</v>
      </c>
      <c r="BV142" s="250" t="str">
        <f t="shared" si="161"/>
        <v>Aucun</v>
      </c>
      <c r="BW142" s="249" t="str">
        <f t="shared" si="140"/>
        <v>NON</v>
      </c>
      <c r="BX142" s="330"/>
    </row>
    <row r="143" spans="1:170" ht="12" customHeight="1" x14ac:dyDescent="0.2">
      <c r="A143" s="268" t="s">
        <v>211</v>
      </c>
      <c r="B143" s="310"/>
      <c r="C143" s="269"/>
      <c r="D143" s="299"/>
      <c r="E143" s="320">
        <f t="shared" si="136"/>
        <v>0</v>
      </c>
      <c r="F143" s="320" t="str">
        <f t="shared" si="162"/>
        <v xml:space="preserve"> </v>
      </c>
      <c r="G143" s="298"/>
      <c r="H143" s="298"/>
      <c r="I143" s="298"/>
      <c r="J143" s="298"/>
      <c r="K143" s="298"/>
      <c r="L143" s="299"/>
      <c r="M143" s="285"/>
      <c r="N143" s="274"/>
      <c r="O143" s="274"/>
      <c r="P143" s="307" t="str">
        <f>IFERROR(VLOOKUP(O143,Références!$K$11:$N$19,2)," ")</f>
        <v xml:space="preserve"> </v>
      </c>
      <c r="Q143" s="307" t="str">
        <f>IFERROR(VLOOKUP(O143,Références!$K$11:$N$19,3)," ")</f>
        <v xml:space="preserve"> </v>
      </c>
      <c r="R143" s="307" t="str">
        <f>IFERROR(VLOOKUP(O143,Références!$K$11:$N$19,4)," ")</f>
        <v xml:space="preserve"> </v>
      </c>
      <c r="S143" s="298"/>
      <c r="T143" s="298"/>
      <c r="U143" s="298"/>
      <c r="V143" s="298"/>
      <c r="W143" s="298"/>
      <c r="X143" s="299"/>
      <c r="Y143" s="298"/>
      <c r="Z143" s="298"/>
      <c r="AA143" s="298"/>
      <c r="AB143" s="277"/>
      <c r="AC143" s="277"/>
      <c r="AD143" s="277"/>
      <c r="AE143" s="277"/>
      <c r="AF143" s="277"/>
      <c r="AG143" s="277"/>
      <c r="AH143" s="277"/>
      <c r="AI143" s="277">
        <f t="shared" si="165"/>
        <v>0</v>
      </c>
      <c r="AJ143" s="299"/>
      <c r="AK143" s="298">
        <f t="shared" si="166"/>
        <v>0</v>
      </c>
      <c r="AL143" s="299"/>
      <c r="AM143" s="308">
        <f t="shared" si="167"/>
        <v>0</v>
      </c>
      <c r="AN143" s="298"/>
      <c r="AO143" s="318"/>
      <c r="AP143" s="303" t="str">
        <f t="shared" si="163"/>
        <v xml:space="preserve"> </v>
      </c>
      <c r="AQ143" s="298"/>
      <c r="AR143" s="337"/>
      <c r="AS143" s="337"/>
      <c r="AT143" s="305"/>
      <c r="AU143" s="319"/>
      <c r="AV143" s="305"/>
      <c r="AW143" s="272"/>
      <c r="AX143" s="342"/>
      <c r="AY143" s="343"/>
      <c r="AZ143" s="272"/>
      <c r="BA143" s="344" t="s">
        <v>246</v>
      </c>
      <c r="BB143" s="337"/>
      <c r="BC143" s="270">
        <f t="shared" si="168"/>
        <v>0</v>
      </c>
      <c r="BD143" s="270">
        <f t="shared" si="169"/>
        <v>0</v>
      </c>
      <c r="BE143" s="270">
        <f t="shared" si="155"/>
        <v>1</v>
      </c>
      <c r="BF143" s="270" t="str">
        <f t="shared" si="164"/>
        <v>ALIVE</v>
      </c>
      <c r="BG143" s="250" t="str">
        <f t="shared" si="156"/>
        <v>Aucune</v>
      </c>
      <c r="BH143" s="250" t="str">
        <f t="shared" si="157"/>
        <v>Aucune</v>
      </c>
      <c r="BI143" s="250" t="str">
        <f t="shared" si="158"/>
        <v>Aucune</v>
      </c>
      <c r="BJ143" s="250" t="str">
        <f t="shared" si="151"/>
        <v>NON</v>
      </c>
      <c r="BK143" s="250" t="str">
        <f t="shared" si="159"/>
        <v>NON</v>
      </c>
      <c r="BL143" s="250" t="str">
        <f t="shared" si="152"/>
        <v>Inconnu</v>
      </c>
      <c r="BM143" s="250" t="str">
        <f t="shared" si="170"/>
        <v>Inconnu</v>
      </c>
      <c r="BN143" s="250" t="str">
        <f t="shared" si="171"/>
        <v>Inconnu</v>
      </c>
      <c r="BO143" s="250" t="str">
        <f t="shared" si="153"/>
        <v>Inconnu</v>
      </c>
      <c r="BP143" s="250" t="str">
        <f t="shared" si="172"/>
        <v>Inconnu</v>
      </c>
      <c r="BQ143" s="250" t="str">
        <f t="shared" si="173"/>
        <v>Inconnu</v>
      </c>
      <c r="BR143" s="250" t="str">
        <f t="shared" si="174"/>
        <v>Aucune</v>
      </c>
      <c r="BS143" s="250">
        <f t="shared" si="141"/>
        <v>0</v>
      </c>
      <c r="BT143" s="271" t="e">
        <f>VLOOKUP($I143,Lieu_Activité!$A:$B,2,FALSE)</f>
        <v>#N/A</v>
      </c>
      <c r="BU143" s="250" t="str">
        <f t="shared" si="160"/>
        <v>Aucun</v>
      </c>
      <c r="BV143" s="250" t="str">
        <f t="shared" si="161"/>
        <v>Aucun</v>
      </c>
      <c r="BW143" s="249" t="str">
        <f t="shared" si="140"/>
        <v>NON</v>
      </c>
      <c r="BX143" s="330"/>
    </row>
    <row r="144" spans="1:170" ht="12" customHeight="1" x14ac:dyDescent="0.2">
      <c r="A144" s="268" t="s">
        <v>211</v>
      </c>
      <c r="B144" s="276"/>
      <c r="C144" s="269"/>
      <c r="D144" s="299"/>
      <c r="E144" s="320">
        <f t="shared" si="136"/>
        <v>0</v>
      </c>
      <c r="F144" s="320" t="str">
        <f t="shared" si="162"/>
        <v xml:space="preserve"> </v>
      </c>
      <c r="G144" s="298"/>
      <c r="H144" s="298"/>
      <c r="I144" s="298"/>
      <c r="J144" s="298"/>
      <c r="K144" s="298"/>
      <c r="L144" s="299"/>
      <c r="M144" s="285"/>
      <c r="N144" s="274"/>
      <c r="O144" s="274"/>
      <c r="P144" s="307" t="str">
        <f>IFERROR(VLOOKUP(O144,Références!$K$11:$N$19,2)," ")</f>
        <v xml:space="preserve"> </v>
      </c>
      <c r="Q144" s="307" t="str">
        <f>IFERROR(VLOOKUP(O144,Références!$K$11:$N$19,3)," ")</f>
        <v xml:space="preserve"> </v>
      </c>
      <c r="R144" s="307" t="str">
        <f>IFERROR(VLOOKUP(O144,Références!$K$11:$N$19,4)," ")</f>
        <v xml:space="preserve"> </v>
      </c>
      <c r="S144" s="298"/>
      <c r="T144" s="298"/>
      <c r="U144" s="298"/>
      <c r="V144" s="298"/>
      <c r="W144" s="298"/>
      <c r="X144" s="299"/>
      <c r="Y144" s="298"/>
      <c r="Z144" s="298"/>
      <c r="AA144" s="298"/>
      <c r="AB144" s="277"/>
      <c r="AC144" s="277"/>
      <c r="AD144" s="277"/>
      <c r="AE144" s="277"/>
      <c r="AF144" s="277"/>
      <c r="AG144" s="277"/>
      <c r="AH144" s="277"/>
      <c r="AI144" s="277">
        <f t="shared" si="165"/>
        <v>0</v>
      </c>
      <c r="AJ144" s="299"/>
      <c r="AK144" s="298">
        <f t="shared" si="166"/>
        <v>0</v>
      </c>
      <c r="AL144" s="299"/>
      <c r="AM144" s="308">
        <f t="shared" si="167"/>
        <v>0</v>
      </c>
      <c r="AN144" s="298"/>
      <c r="AO144" s="318"/>
      <c r="AP144" s="303" t="str">
        <f t="shared" si="163"/>
        <v xml:space="preserve"> </v>
      </c>
      <c r="AQ144" s="298"/>
      <c r="AR144" s="337"/>
      <c r="AS144" s="337"/>
      <c r="AT144" s="305"/>
      <c r="AU144" s="319"/>
      <c r="AV144" s="305"/>
      <c r="AW144" s="272"/>
      <c r="AX144" s="342"/>
      <c r="AY144" s="343"/>
      <c r="AZ144" s="272"/>
      <c r="BA144" s="342" t="s">
        <v>234</v>
      </c>
      <c r="BB144" s="337"/>
      <c r="BC144" s="270">
        <f t="shared" si="168"/>
        <v>0</v>
      </c>
      <c r="BD144" s="270">
        <f t="shared" si="169"/>
        <v>0</v>
      </c>
      <c r="BE144" s="270">
        <f t="shared" si="155"/>
        <v>1</v>
      </c>
      <c r="BF144" s="270" t="str">
        <f t="shared" si="164"/>
        <v>ALIVE</v>
      </c>
      <c r="BG144" s="250" t="str">
        <f t="shared" si="156"/>
        <v>Aucune</v>
      </c>
      <c r="BH144" s="250" t="str">
        <f t="shared" si="157"/>
        <v>Aucune</v>
      </c>
      <c r="BI144" s="250" t="str">
        <f t="shared" si="158"/>
        <v>Aucune</v>
      </c>
      <c r="BJ144" s="250" t="str">
        <f t="shared" si="151"/>
        <v>NON</v>
      </c>
      <c r="BK144" s="250" t="str">
        <f t="shared" si="159"/>
        <v>NON</v>
      </c>
      <c r="BL144" s="250" t="str">
        <f t="shared" si="152"/>
        <v>Inconnu</v>
      </c>
      <c r="BM144" s="250" t="str">
        <f t="shared" si="170"/>
        <v>Inconnu</v>
      </c>
      <c r="BN144" s="250" t="str">
        <f t="shared" si="171"/>
        <v>Inconnu</v>
      </c>
      <c r="BO144" s="250" t="str">
        <f t="shared" si="153"/>
        <v>Inconnu</v>
      </c>
      <c r="BP144" s="250" t="str">
        <f t="shared" si="172"/>
        <v>Inconnu</v>
      </c>
      <c r="BQ144" s="250" t="str">
        <f t="shared" si="173"/>
        <v>Inconnu</v>
      </c>
      <c r="BR144" s="250" t="str">
        <f t="shared" si="174"/>
        <v>Aucune</v>
      </c>
      <c r="BS144" s="250">
        <f t="shared" si="141"/>
        <v>0</v>
      </c>
      <c r="BT144" s="271" t="e">
        <f>VLOOKUP($I144,Lieu_Activité!$A:$B,2,FALSE)</f>
        <v>#N/A</v>
      </c>
      <c r="BU144" s="250" t="str">
        <f t="shared" si="160"/>
        <v>Aucun</v>
      </c>
      <c r="BV144" s="250" t="str">
        <f t="shared" si="161"/>
        <v>Aucun</v>
      </c>
      <c r="BW144" s="249" t="str">
        <f t="shared" si="140"/>
        <v>NON</v>
      </c>
      <c r="BX144" s="330"/>
    </row>
    <row r="145" spans="1:170" ht="12" customHeight="1" x14ac:dyDescent="0.2">
      <c r="A145" s="268" t="s">
        <v>211</v>
      </c>
      <c r="B145" s="310"/>
      <c r="C145" s="269"/>
      <c r="D145" s="299"/>
      <c r="E145" s="320">
        <f t="shared" si="136"/>
        <v>0</v>
      </c>
      <c r="F145" s="320" t="str">
        <f t="shared" si="162"/>
        <v xml:space="preserve"> </v>
      </c>
      <c r="G145" s="298"/>
      <c r="H145" s="298"/>
      <c r="I145" s="298"/>
      <c r="J145" s="298"/>
      <c r="K145" s="298"/>
      <c r="L145" s="299"/>
      <c r="M145" s="285"/>
      <c r="N145" s="274"/>
      <c r="O145" s="274"/>
      <c r="P145" s="307" t="str">
        <f>IFERROR(VLOOKUP(O145,Références!$K$11:$N$19,2)," ")</f>
        <v xml:space="preserve"> </v>
      </c>
      <c r="Q145" s="307" t="str">
        <f>IFERROR(VLOOKUP(O145,Références!$K$11:$N$19,3)," ")</f>
        <v xml:space="preserve"> </v>
      </c>
      <c r="R145" s="307" t="str">
        <f>IFERROR(VLOOKUP(O145,Références!$K$11:$N$19,4)," ")</f>
        <v xml:space="preserve"> </v>
      </c>
      <c r="S145" s="298"/>
      <c r="T145" s="298"/>
      <c r="U145" s="298"/>
      <c r="V145" s="298"/>
      <c r="W145" s="298"/>
      <c r="X145" s="299"/>
      <c r="Y145" s="298"/>
      <c r="Z145" s="298"/>
      <c r="AA145" s="298"/>
      <c r="AB145" s="277"/>
      <c r="AC145" s="277"/>
      <c r="AD145" s="316"/>
      <c r="AE145" s="277"/>
      <c r="AF145" s="277"/>
      <c r="AG145" s="277"/>
      <c r="AH145" s="277"/>
      <c r="AI145" s="277">
        <f t="shared" si="165"/>
        <v>0</v>
      </c>
      <c r="AJ145" s="299"/>
      <c r="AK145" s="298">
        <f t="shared" si="166"/>
        <v>0</v>
      </c>
      <c r="AL145" s="299"/>
      <c r="AM145" s="308">
        <f t="shared" si="167"/>
        <v>0</v>
      </c>
      <c r="AN145" s="298"/>
      <c r="AO145" s="318"/>
      <c r="AP145" s="303" t="str">
        <f t="shared" si="163"/>
        <v xml:space="preserve"> </v>
      </c>
      <c r="AQ145" s="298"/>
      <c r="AR145" s="337"/>
      <c r="AS145" s="337"/>
      <c r="AT145" s="305"/>
      <c r="AU145" s="319"/>
      <c r="AV145" s="305"/>
      <c r="AW145" s="272"/>
      <c r="AX145" s="342"/>
      <c r="AY145" s="343"/>
      <c r="AZ145" s="272"/>
      <c r="BA145" s="344" t="s">
        <v>246</v>
      </c>
      <c r="BB145" s="343"/>
      <c r="BC145" s="270">
        <f t="shared" si="168"/>
        <v>0</v>
      </c>
      <c r="BD145" s="270">
        <f t="shared" si="169"/>
        <v>0</v>
      </c>
      <c r="BE145" s="270">
        <f t="shared" si="155"/>
        <v>1</v>
      </c>
      <c r="BF145" s="270" t="str">
        <f t="shared" si="164"/>
        <v>ALIVE</v>
      </c>
      <c r="BG145" s="250" t="str">
        <f t="shared" si="156"/>
        <v>Aucune</v>
      </c>
      <c r="BH145" s="250" t="str">
        <f t="shared" si="157"/>
        <v>Aucune</v>
      </c>
      <c r="BI145" s="250" t="str">
        <f t="shared" si="158"/>
        <v>Aucune</v>
      </c>
      <c r="BJ145" s="250" t="str">
        <f t="shared" si="151"/>
        <v>NON</v>
      </c>
      <c r="BK145" s="250" t="str">
        <f t="shared" si="159"/>
        <v>NON</v>
      </c>
      <c r="BL145" s="250" t="str">
        <f t="shared" si="152"/>
        <v>Inconnu</v>
      </c>
      <c r="BM145" s="250" t="str">
        <f t="shared" si="170"/>
        <v>Inconnu</v>
      </c>
      <c r="BN145" s="250" t="str">
        <f t="shared" si="171"/>
        <v>Inconnu</v>
      </c>
      <c r="BO145" s="250" t="str">
        <f t="shared" si="153"/>
        <v>Inconnu</v>
      </c>
      <c r="BP145" s="250" t="str">
        <f t="shared" si="172"/>
        <v>Inconnu</v>
      </c>
      <c r="BQ145" s="250" t="str">
        <f t="shared" si="173"/>
        <v>Inconnu</v>
      </c>
      <c r="BR145" s="250" t="str">
        <f t="shared" si="174"/>
        <v>Aucune</v>
      </c>
      <c r="BS145" s="250">
        <f t="shared" si="141"/>
        <v>0</v>
      </c>
      <c r="BT145" s="271" t="e">
        <f>VLOOKUP($I145,Lieu_Activité!$A:$B,2,FALSE)</f>
        <v>#N/A</v>
      </c>
      <c r="BU145" s="250" t="str">
        <f t="shared" si="160"/>
        <v>Aucun</v>
      </c>
      <c r="BV145" s="250" t="str">
        <f t="shared" si="161"/>
        <v>Aucun</v>
      </c>
      <c r="BW145" s="249" t="str">
        <f t="shared" si="140"/>
        <v>NON</v>
      </c>
      <c r="BX145" s="330"/>
    </row>
    <row r="146" spans="1:170" ht="12" customHeight="1" x14ac:dyDescent="0.2">
      <c r="A146" s="268" t="s">
        <v>211</v>
      </c>
      <c r="B146" s="276"/>
      <c r="C146" s="269"/>
      <c r="D146" s="299"/>
      <c r="E146" s="320">
        <f t="shared" si="136"/>
        <v>0</v>
      </c>
      <c r="F146" s="320" t="str">
        <f t="shared" si="162"/>
        <v xml:space="preserve"> </v>
      </c>
      <c r="G146" s="298"/>
      <c r="H146" s="298"/>
      <c r="I146" s="298"/>
      <c r="J146" s="298"/>
      <c r="K146" s="298"/>
      <c r="L146" s="299"/>
      <c r="M146" s="285"/>
      <c r="N146" s="274"/>
      <c r="O146" s="274"/>
      <c r="P146" s="307" t="str">
        <f>IFERROR(VLOOKUP(O146,Références!$K$11:$N$19,2)," ")</f>
        <v xml:space="preserve"> </v>
      </c>
      <c r="Q146" s="307" t="str">
        <f>IFERROR(VLOOKUP(O146,Références!$K$11:$N$19,3)," ")</f>
        <v xml:space="preserve"> </v>
      </c>
      <c r="R146" s="307" t="str">
        <f>IFERROR(VLOOKUP(O146,Références!$K$11:$N$19,4)," ")</f>
        <v xml:space="preserve"> </v>
      </c>
      <c r="S146" s="298"/>
      <c r="T146" s="298"/>
      <c r="U146" s="298"/>
      <c r="V146" s="298"/>
      <c r="W146" s="298"/>
      <c r="X146" s="299"/>
      <c r="Y146" s="298"/>
      <c r="Z146" s="298"/>
      <c r="AA146" s="298"/>
      <c r="AB146" s="277"/>
      <c r="AC146" s="277"/>
      <c r="AD146" s="277"/>
      <c r="AE146" s="277"/>
      <c r="AF146" s="277"/>
      <c r="AG146" s="277"/>
      <c r="AH146" s="277"/>
      <c r="AI146" s="277">
        <f t="shared" si="165"/>
        <v>0</v>
      </c>
      <c r="AJ146" s="299"/>
      <c r="AK146" s="298">
        <f t="shared" si="166"/>
        <v>0</v>
      </c>
      <c r="AL146" s="299"/>
      <c r="AM146" s="308">
        <f t="shared" si="167"/>
        <v>0</v>
      </c>
      <c r="AN146" s="298"/>
      <c r="AO146" s="318"/>
      <c r="AP146" s="303" t="str">
        <f t="shared" si="163"/>
        <v xml:space="preserve"> </v>
      </c>
      <c r="AQ146" s="298"/>
      <c r="AR146" s="337"/>
      <c r="AS146" s="337"/>
      <c r="AT146" s="305"/>
      <c r="AU146" s="319"/>
      <c r="AV146" s="305"/>
      <c r="AW146" s="272"/>
      <c r="AX146" s="342"/>
      <c r="AY146" s="343"/>
      <c r="AZ146" s="272"/>
      <c r="BA146" s="342" t="s">
        <v>234</v>
      </c>
      <c r="BB146" s="337"/>
      <c r="BC146" s="270">
        <f t="shared" si="168"/>
        <v>0</v>
      </c>
      <c r="BD146" s="270">
        <f t="shared" si="169"/>
        <v>0</v>
      </c>
      <c r="BE146" s="270">
        <f t="shared" si="155"/>
        <v>1</v>
      </c>
      <c r="BF146" s="270" t="str">
        <f t="shared" si="164"/>
        <v>ALIVE</v>
      </c>
      <c r="BG146" s="250" t="str">
        <f t="shared" si="156"/>
        <v>Aucune</v>
      </c>
      <c r="BH146" s="250" t="str">
        <f t="shared" si="157"/>
        <v>Aucune</v>
      </c>
      <c r="BI146" s="250" t="str">
        <f t="shared" si="158"/>
        <v>Aucune</v>
      </c>
      <c r="BJ146" s="250" t="str">
        <f t="shared" si="151"/>
        <v>NON</v>
      </c>
      <c r="BK146" s="250" t="str">
        <f t="shared" si="159"/>
        <v>NON</v>
      </c>
      <c r="BL146" s="250" t="str">
        <f t="shared" si="152"/>
        <v>Inconnu</v>
      </c>
      <c r="BM146" s="250" t="str">
        <f t="shared" si="170"/>
        <v>Inconnu</v>
      </c>
      <c r="BN146" s="250" t="str">
        <f t="shared" si="171"/>
        <v>Inconnu</v>
      </c>
      <c r="BO146" s="250" t="str">
        <f t="shared" si="153"/>
        <v>Inconnu</v>
      </c>
      <c r="BP146" s="250" t="str">
        <f t="shared" si="172"/>
        <v>Inconnu</v>
      </c>
      <c r="BQ146" s="250" t="str">
        <f t="shared" si="173"/>
        <v>Inconnu</v>
      </c>
      <c r="BR146" s="250" t="str">
        <f t="shared" si="174"/>
        <v>Aucune</v>
      </c>
      <c r="BS146" s="250">
        <f t="shared" si="141"/>
        <v>0</v>
      </c>
      <c r="BT146" s="271" t="e">
        <f>VLOOKUP($I146,Lieu_Activité!$A:$B,2,FALSE)</f>
        <v>#N/A</v>
      </c>
      <c r="BU146" s="250" t="str">
        <f t="shared" si="160"/>
        <v>Aucun</v>
      </c>
      <c r="BV146" s="250" t="str">
        <f t="shared" si="161"/>
        <v>Aucun</v>
      </c>
      <c r="BW146" s="249" t="str">
        <f t="shared" si="140"/>
        <v>NON</v>
      </c>
      <c r="BX146" s="330"/>
    </row>
    <row r="147" spans="1:170" ht="12" customHeight="1" x14ac:dyDescent="0.2">
      <c r="A147" s="268" t="s">
        <v>211</v>
      </c>
      <c r="B147" s="276"/>
      <c r="C147" s="269"/>
      <c r="D147" s="299"/>
      <c r="E147" s="320">
        <f t="shared" si="136"/>
        <v>0</v>
      </c>
      <c r="F147" s="320" t="str">
        <f t="shared" si="162"/>
        <v xml:space="preserve"> </v>
      </c>
      <c r="G147" s="298"/>
      <c r="H147" s="298"/>
      <c r="I147" s="298"/>
      <c r="J147" s="298"/>
      <c r="K147" s="298"/>
      <c r="L147" s="299"/>
      <c r="M147" s="285"/>
      <c r="N147" s="274"/>
      <c r="O147" s="274"/>
      <c r="P147" s="307" t="str">
        <f>IFERROR(VLOOKUP(O147,Références!$K$11:$N$19,2)," ")</f>
        <v xml:space="preserve"> </v>
      </c>
      <c r="Q147" s="307" t="str">
        <f>IFERROR(VLOOKUP(O147,Références!$K$11:$N$19,3)," ")</f>
        <v xml:space="preserve"> </v>
      </c>
      <c r="R147" s="307" t="str">
        <f>IFERROR(VLOOKUP(O147,Références!$K$11:$N$19,4)," ")</f>
        <v xml:space="preserve"> </v>
      </c>
      <c r="S147" s="298"/>
      <c r="T147" s="298"/>
      <c r="U147" s="298"/>
      <c r="V147" s="298"/>
      <c r="W147" s="298"/>
      <c r="X147" s="299"/>
      <c r="Y147" s="298"/>
      <c r="Z147" s="298"/>
      <c r="AA147" s="298"/>
      <c r="AB147" s="277"/>
      <c r="AC147" s="277"/>
      <c r="AD147" s="277"/>
      <c r="AE147" s="277"/>
      <c r="AF147" s="277"/>
      <c r="AG147" s="277"/>
      <c r="AH147" s="277"/>
      <c r="AI147" s="277">
        <f t="shared" si="165"/>
        <v>0</v>
      </c>
      <c r="AJ147" s="299"/>
      <c r="AK147" s="298">
        <f t="shared" si="166"/>
        <v>0</v>
      </c>
      <c r="AL147" s="299"/>
      <c r="AM147" s="308">
        <f t="shared" si="167"/>
        <v>0</v>
      </c>
      <c r="AN147" s="298"/>
      <c r="AO147" s="318"/>
      <c r="AP147" s="303" t="str">
        <f t="shared" si="163"/>
        <v xml:space="preserve"> </v>
      </c>
      <c r="AQ147" s="298"/>
      <c r="AR147" s="337"/>
      <c r="AS147" s="337"/>
      <c r="AT147" s="305"/>
      <c r="AU147" s="319"/>
      <c r="AV147" s="305"/>
      <c r="AW147" s="272"/>
      <c r="AX147" s="342"/>
      <c r="AY147" s="343"/>
      <c r="AZ147" s="272"/>
      <c r="BA147" s="342" t="s">
        <v>234</v>
      </c>
      <c r="BB147" s="337"/>
      <c r="BC147" s="270">
        <f t="shared" si="168"/>
        <v>0</v>
      </c>
      <c r="BD147" s="270">
        <f t="shared" si="169"/>
        <v>0</v>
      </c>
      <c r="BE147" s="270">
        <f t="shared" si="155"/>
        <v>1</v>
      </c>
      <c r="BF147" s="270" t="str">
        <f t="shared" si="164"/>
        <v>ALIVE</v>
      </c>
      <c r="BG147" s="250" t="str">
        <f t="shared" si="156"/>
        <v>Aucune</v>
      </c>
      <c r="BH147" s="250" t="str">
        <f t="shared" si="157"/>
        <v>Aucune</v>
      </c>
      <c r="BI147" s="250" t="str">
        <f t="shared" si="158"/>
        <v>Aucune</v>
      </c>
      <c r="BJ147" s="250" t="str">
        <f t="shared" si="151"/>
        <v>NON</v>
      </c>
      <c r="BK147" s="250" t="str">
        <f t="shared" si="159"/>
        <v>NON</v>
      </c>
      <c r="BL147" s="250" t="str">
        <f t="shared" si="152"/>
        <v>Inconnu</v>
      </c>
      <c r="BM147" s="250" t="str">
        <f t="shared" si="170"/>
        <v>Inconnu</v>
      </c>
      <c r="BN147" s="250" t="str">
        <f t="shared" si="171"/>
        <v>Inconnu</v>
      </c>
      <c r="BO147" s="250" t="str">
        <f t="shared" si="153"/>
        <v>Inconnu</v>
      </c>
      <c r="BP147" s="250" t="str">
        <f t="shared" si="172"/>
        <v>Inconnu</v>
      </c>
      <c r="BQ147" s="250" t="str">
        <f t="shared" si="173"/>
        <v>Inconnu</v>
      </c>
      <c r="BR147" s="250" t="str">
        <f t="shared" si="174"/>
        <v>Aucune</v>
      </c>
      <c r="BS147" s="250">
        <f t="shared" si="141"/>
        <v>0</v>
      </c>
      <c r="BT147" s="271" t="e">
        <f>VLOOKUP($I147,Lieu_Activité!$A:$B,2,FALSE)</f>
        <v>#N/A</v>
      </c>
      <c r="BU147" s="250" t="str">
        <f t="shared" si="160"/>
        <v>Aucun</v>
      </c>
      <c r="BV147" s="250" t="str">
        <f t="shared" si="161"/>
        <v>Aucun</v>
      </c>
      <c r="BW147" s="249" t="str">
        <f t="shared" si="140"/>
        <v>NON</v>
      </c>
      <c r="BX147" s="330"/>
    </row>
    <row r="148" spans="1:170" ht="12" customHeight="1" x14ac:dyDescent="0.2">
      <c r="A148" s="268" t="s">
        <v>211</v>
      </c>
      <c r="B148" s="276"/>
      <c r="C148" s="269"/>
      <c r="D148" s="299"/>
      <c r="E148" s="320">
        <f t="shared" si="136"/>
        <v>0</v>
      </c>
      <c r="F148" s="320" t="str">
        <f t="shared" si="162"/>
        <v xml:space="preserve"> </v>
      </c>
      <c r="G148" s="298"/>
      <c r="H148" s="298"/>
      <c r="I148" s="298"/>
      <c r="J148" s="298"/>
      <c r="K148" s="298"/>
      <c r="L148" s="299"/>
      <c r="M148" s="285"/>
      <c r="N148" s="274"/>
      <c r="O148" s="274"/>
      <c r="P148" s="307" t="str">
        <f>IFERROR(VLOOKUP(O148,Références!$K$11:$N$19,2)," ")</f>
        <v xml:space="preserve"> </v>
      </c>
      <c r="Q148" s="307" t="str">
        <f>IFERROR(VLOOKUP(O148,Références!$K$11:$N$19,3)," ")</f>
        <v xml:space="preserve"> </v>
      </c>
      <c r="R148" s="307" t="str">
        <f>IFERROR(VLOOKUP(O148,Références!$K$11:$N$19,4)," ")</f>
        <v xml:space="preserve"> </v>
      </c>
      <c r="S148" s="298"/>
      <c r="T148" s="298"/>
      <c r="U148" s="298"/>
      <c r="V148" s="298"/>
      <c r="W148" s="298"/>
      <c r="X148" s="299"/>
      <c r="Y148" s="298"/>
      <c r="Z148" s="298"/>
      <c r="AA148" s="298"/>
      <c r="AB148" s="277"/>
      <c r="AC148" s="277"/>
      <c r="AD148" s="277"/>
      <c r="AE148" s="277"/>
      <c r="AF148" s="277"/>
      <c r="AG148" s="277"/>
      <c r="AH148" s="277"/>
      <c r="AI148" s="277">
        <f t="shared" si="165"/>
        <v>0</v>
      </c>
      <c r="AJ148" s="299"/>
      <c r="AK148" s="298">
        <f>(AJ148-L148)</f>
        <v>0</v>
      </c>
      <c r="AL148" s="299"/>
      <c r="AM148" s="308">
        <f t="shared" si="167"/>
        <v>0</v>
      </c>
      <c r="AN148" s="298"/>
      <c r="AO148" s="318"/>
      <c r="AP148" s="303" t="str">
        <f t="shared" si="163"/>
        <v xml:space="preserve"> </v>
      </c>
      <c r="AQ148" s="298"/>
      <c r="AR148" s="339"/>
      <c r="AS148" s="337"/>
      <c r="AT148" s="305"/>
      <c r="AU148" s="319"/>
      <c r="AV148" s="305"/>
      <c r="AW148" s="272"/>
      <c r="AX148" s="342"/>
      <c r="AY148" s="343"/>
      <c r="AZ148" s="272"/>
      <c r="BA148" s="342" t="s">
        <v>234</v>
      </c>
      <c r="BB148" s="337"/>
      <c r="BC148" s="270">
        <f t="shared" si="168"/>
        <v>0</v>
      </c>
      <c r="BD148" s="270">
        <f t="shared" si="169"/>
        <v>0</v>
      </c>
      <c r="BE148" s="270">
        <f t="shared" si="155"/>
        <v>1</v>
      </c>
      <c r="BF148" s="270" t="str">
        <f t="shared" si="164"/>
        <v>ALIVE</v>
      </c>
      <c r="BG148" s="250" t="str">
        <f t="shared" si="156"/>
        <v>Aucune</v>
      </c>
      <c r="BH148" s="250" t="str">
        <f t="shared" si="157"/>
        <v>Aucune</v>
      </c>
      <c r="BI148" s="250" t="str">
        <f t="shared" si="158"/>
        <v>Aucune</v>
      </c>
      <c r="BJ148" s="250" t="str">
        <f t="shared" si="151"/>
        <v>NON</v>
      </c>
      <c r="BK148" s="250" t="str">
        <f t="shared" si="159"/>
        <v>NON</v>
      </c>
      <c r="BL148" s="250" t="str">
        <f t="shared" si="152"/>
        <v>Inconnu</v>
      </c>
      <c r="BM148" s="250" t="str">
        <f t="shared" si="170"/>
        <v>Inconnu</v>
      </c>
      <c r="BN148" s="250" t="str">
        <f t="shared" si="171"/>
        <v>Inconnu</v>
      </c>
      <c r="BO148" s="250" t="str">
        <f t="shared" si="153"/>
        <v>Inconnu</v>
      </c>
      <c r="BP148" s="250" t="str">
        <f t="shared" si="172"/>
        <v>Inconnu</v>
      </c>
      <c r="BQ148" s="250" t="str">
        <f t="shared" si="173"/>
        <v>Inconnu</v>
      </c>
      <c r="BR148" s="250" t="str">
        <f t="shared" si="174"/>
        <v>Aucune</v>
      </c>
      <c r="BS148" s="250">
        <f t="shared" si="141"/>
        <v>0</v>
      </c>
      <c r="BT148" s="271" t="e">
        <f>VLOOKUP($I148,Lieu_Activité!$A:$B,2,FALSE)</f>
        <v>#N/A</v>
      </c>
      <c r="BU148" s="250" t="str">
        <f t="shared" si="160"/>
        <v>Aucun</v>
      </c>
      <c r="BV148" s="250" t="str">
        <f t="shared" si="161"/>
        <v>Aucun</v>
      </c>
      <c r="BW148" s="249" t="str">
        <f t="shared" si="140"/>
        <v>NON</v>
      </c>
      <c r="BX148" s="330"/>
    </row>
    <row r="149" spans="1:170" s="1" customFormat="1" ht="12.75" customHeight="1" x14ac:dyDescent="0.2">
      <c r="A149" s="273" t="s">
        <v>253</v>
      </c>
      <c r="B149" s="276"/>
      <c r="C149" s="269"/>
      <c r="D149" s="299"/>
      <c r="E149" s="320">
        <f t="shared" si="136"/>
        <v>0</v>
      </c>
      <c r="F149" s="320" t="str">
        <f t="shared" si="162"/>
        <v xml:space="preserve"> </v>
      </c>
      <c r="G149" s="298"/>
      <c r="H149" s="298"/>
      <c r="I149" s="298"/>
      <c r="J149" s="298"/>
      <c r="K149" s="298"/>
      <c r="L149" s="299"/>
      <c r="M149" s="285"/>
      <c r="N149" s="274"/>
      <c r="O149" s="307"/>
      <c r="P149" s="307" t="str">
        <f>IFERROR(VLOOKUP(O149,Références!$K$11:$N$19,2)," ")</f>
        <v xml:space="preserve"> </v>
      </c>
      <c r="Q149" s="307" t="str">
        <f>IFERROR(VLOOKUP(O149,Références!$K$11:$N$19,3)," ")</f>
        <v xml:space="preserve"> </v>
      </c>
      <c r="R149" s="307" t="str">
        <f>IFERROR(VLOOKUP(O149,Références!$K$11:$N$19,4)," ")</f>
        <v xml:space="preserve"> </v>
      </c>
      <c r="S149" s="298"/>
      <c r="T149" s="298"/>
      <c r="U149" s="298"/>
      <c r="V149" s="298"/>
      <c r="W149" s="298"/>
      <c r="X149" s="299"/>
      <c r="Y149" s="298"/>
      <c r="Z149" s="298"/>
      <c r="AA149" s="298"/>
      <c r="AB149" s="277"/>
      <c r="AC149" s="277"/>
      <c r="AD149" s="277"/>
      <c r="AE149" s="277"/>
      <c r="AF149" s="277"/>
      <c r="AG149" s="277"/>
      <c r="AH149" s="277"/>
      <c r="AI149" s="277">
        <f t="shared" ref="AI149:AI180" si="175">SUM(AF149,AH149)</f>
        <v>0</v>
      </c>
      <c r="AJ149" s="299"/>
      <c r="AK149" s="298">
        <f t="shared" ref="AK149:AK180" si="176">(AJ149-L149)</f>
        <v>0</v>
      </c>
      <c r="AL149" s="299"/>
      <c r="AM149" s="308">
        <f t="shared" ref="AM149:AM180" si="177">(AL149-L149)</f>
        <v>0</v>
      </c>
      <c r="AN149" s="298"/>
      <c r="AO149" s="318"/>
      <c r="AP149" s="303" t="str">
        <f t="shared" si="163"/>
        <v xml:space="preserve"> </v>
      </c>
      <c r="AQ149" s="298"/>
      <c r="AR149" s="338"/>
      <c r="AS149" s="337"/>
      <c r="AT149" s="305"/>
      <c r="AU149" s="319"/>
      <c r="AV149" s="305"/>
      <c r="AW149" s="272"/>
      <c r="AX149" s="342"/>
      <c r="AY149" s="343"/>
      <c r="AZ149" s="272"/>
      <c r="BA149" s="342" t="s">
        <v>234</v>
      </c>
      <c r="BB149" s="337"/>
      <c r="BC149" s="270">
        <f t="shared" ref="BC149:BC180" si="178">IF(BG149="Aucune",0,1)</f>
        <v>0</v>
      </c>
      <c r="BD149" s="270">
        <f t="shared" ref="BD149:BD180" si="179">IF(BH149="Aucune",0,1)</f>
        <v>0</v>
      </c>
      <c r="BE149" s="270">
        <f t="shared" si="155"/>
        <v>1</v>
      </c>
      <c r="BF149" s="270" t="str">
        <f t="shared" si="164"/>
        <v>ALIVE</v>
      </c>
      <c r="BG149" s="250" t="str">
        <f t="shared" si="156"/>
        <v>Aucune</v>
      </c>
      <c r="BH149" s="250" t="str">
        <f t="shared" si="157"/>
        <v>Aucune</v>
      </c>
      <c r="BI149" s="250" t="str">
        <f t="shared" si="158"/>
        <v>Aucune</v>
      </c>
      <c r="BJ149" s="250" t="str">
        <f t="shared" si="151"/>
        <v>NON</v>
      </c>
      <c r="BK149" s="250" t="str">
        <f t="shared" si="159"/>
        <v>NON</v>
      </c>
      <c r="BL149" s="250" t="str">
        <f t="shared" si="152"/>
        <v>Inconnu</v>
      </c>
      <c r="BM149" s="250" t="str">
        <f t="shared" ref="BM149:BM180" si="180">IF($O149&lt;&gt;"HTX",IF($O149&lt;&gt;"LVAD",BL149,"Inconnu"),"Inconnu")</f>
        <v>Inconnu</v>
      </c>
      <c r="BN149" s="250" t="str">
        <f t="shared" ref="BN149:BN180" si="181">IF($O149="HTX",BL149,IF($O149="LVAD",BL149,"Inconnu"))</f>
        <v>Inconnu</v>
      </c>
      <c r="BO149" s="250" t="str">
        <f t="shared" si="153"/>
        <v>Inconnu</v>
      </c>
      <c r="BP149" s="250" t="str">
        <f t="shared" ref="BP149:BP180" si="182">IF($O149&lt;&gt;"HTX",IF($O149&lt;&gt;"LVAD",BO149,"Inconnu"),"Inconnu")</f>
        <v>Inconnu</v>
      </c>
      <c r="BQ149" s="250" t="str">
        <f t="shared" ref="BQ149:BQ180" si="183">IF($O149="HTX",BO149,IF($O149="LVAD",BO149,"Inconnu"))</f>
        <v>Inconnu</v>
      </c>
      <c r="BR149" s="250" t="str">
        <f t="shared" ref="BR149:BR180" si="184">IF(BH149="Aucune",IF(BI149="Aucune","Aucune","Transfusé"),"Transfusé")</f>
        <v>Aucune</v>
      </c>
      <c r="BS149" s="250">
        <f t="shared" si="141"/>
        <v>0</v>
      </c>
      <c r="BT149" s="271" t="e">
        <f>VLOOKUP($I149,Lieu_Activité!$A:$B,2,FALSE)</f>
        <v>#N/A</v>
      </c>
      <c r="BU149" s="250" t="str">
        <f t="shared" si="160"/>
        <v>Aucun</v>
      </c>
      <c r="BV149" s="250" t="str">
        <f t="shared" si="161"/>
        <v>Aucun</v>
      </c>
      <c r="BW149" s="249" t="str">
        <f t="shared" si="140"/>
        <v>NON</v>
      </c>
      <c r="BX149" s="330"/>
      <c r="BY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</row>
    <row r="150" spans="1:170" ht="12" customHeight="1" x14ac:dyDescent="0.2">
      <c r="A150" s="273" t="s">
        <v>253</v>
      </c>
      <c r="B150" s="276"/>
      <c r="C150" s="269"/>
      <c r="D150" s="299"/>
      <c r="E150" s="320">
        <f t="shared" si="136"/>
        <v>0</v>
      </c>
      <c r="F150" s="320" t="str">
        <f t="shared" si="162"/>
        <v xml:space="preserve"> </v>
      </c>
      <c r="G150" s="298"/>
      <c r="H150" s="298"/>
      <c r="I150" s="298"/>
      <c r="J150" s="298"/>
      <c r="K150" s="298"/>
      <c r="L150" s="299"/>
      <c r="M150" s="285"/>
      <c r="N150" s="274"/>
      <c r="O150" s="274"/>
      <c r="P150" s="307" t="str">
        <f>IFERROR(VLOOKUP(O150,Références!$K$11:$N$19,2)," ")</f>
        <v xml:space="preserve"> </v>
      </c>
      <c r="Q150" s="307" t="str">
        <f>IFERROR(VLOOKUP(O150,Références!$K$11:$N$19,3)," ")</f>
        <v xml:space="preserve"> </v>
      </c>
      <c r="R150" s="307" t="str">
        <f>IFERROR(VLOOKUP(O150,Références!$K$11:$N$19,4)," ")</f>
        <v xml:space="preserve"> </v>
      </c>
      <c r="S150" s="298"/>
      <c r="T150" s="298"/>
      <c r="U150" s="298"/>
      <c r="V150" s="298"/>
      <c r="W150" s="298"/>
      <c r="X150" s="299"/>
      <c r="Y150" s="298"/>
      <c r="Z150" s="298"/>
      <c r="AA150" s="298"/>
      <c r="AB150" s="277"/>
      <c r="AC150" s="277"/>
      <c r="AD150" s="277"/>
      <c r="AE150" s="277"/>
      <c r="AF150" s="277"/>
      <c r="AG150" s="277"/>
      <c r="AH150" s="277"/>
      <c r="AI150" s="277">
        <f t="shared" si="175"/>
        <v>0</v>
      </c>
      <c r="AJ150" s="299"/>
      <c r="AK150" s="298">
        <f t="shared" si="176"/>
        <v>0</v>
      </c>
      <c r="AL150" s="299"/>
      <c r="AM150" s="308">
        <f t="shared" si="177"/>
        <v>0</v>
      </c>
      <c r="AN150" s="298"/>
      <c r="AO150" s="318"/>
      <c r="AP150" s="303" t="str">
        <f t="shared" si="163"/>
        <v xml:space="preserve"> </v>
      </c>
      <c r="AQ150" s="298"/>
      <c r="AR150" s="337"/>
      <c r="AS150" s="337"/>
      <c r="AT150" s="305"/>
      <c r="AU150" s="319"/>
      <c r="AV150" s="305"/>
      <c r="AW150" s="272"/>
      <c r="AX150" s="342"/>
      <c r="AY150" s="343"/>
      <c r="AZ150" s="272"/>
      <c r="BA150" s="342" t="s">
        <v>234</v>
      </c>
      <c r="BB150" s="337"/>
      <c r="BC150" s="270">
        <f t="shared" si="178"/>
        <v>0</v>
      </c>
      <c r="BD150" s="270">
        <f t="shared" si="179"/>
        <v>0</v>
      </c>
      <c r="BE150" s="270">
        <f t="shared" si="155"/>
        <v>1</v>
      </c>
      <c r="BF150" s="270" t="str">
        <f t="shared" si="164"/>
        <v>ALIVE</v>
      </c>
      <c r="BG150" s="250" t="str">
        <f t="shared" si="156"/>
        <v>Aucune</v>
      </c>
      <c r="BH150" s="250" t="str">
        <f t="shared" si="157"/>
        <v>Aucune</v>
      </c>
      <c r="BI150" s="250" t="str">
        <f t="shared" si="158"/>
        <v>Aucune</v>
      </c>
      <c r="BJ150" s="250" t="str">
        <f t="shared" si="151"/>
        <v>NON</v>
      </c>
      <c r="BK150" s="250" t="str">
        <f t="shared" si="159"/>
        <v>NON</v>
      </c>
      <c r="BL150" s="250" t="str">
        <f t="shared" si="152"/>
        <v>Inconnu</v>
      </c>
      <c r="BM150" s="250" t="str">
        <f t="shared" si="180"/>
        <v>Inconnu</v>
      </c>
      <c r="BN150" s="250" t="str">
        <f t="shared" si="181"/>
        <v>Inconnu</v>
      </c>
      <c r="BO150" s="250" t="str">
        <f t="shared" si="153"/>
        <v>Inconnu</v>
      </c>
      <c r="BP150" s="250" t="str">
        <f t="shared" si="182"/>
        <v>Inconnu</v>
      </c>
      <c r="BQ150" s="250" t="str">
        <f t="shared" si="183"/>
        <v>Inconnu</v>
      </c>
      <c r="BR150" s="250" t="str">
        <f t="shared" si="184"/>
        <v>Aucune</v>
      </c>
      <c r="BS150" s="250">
        <f t="shared" si="141"/>
        <v>0</v>
      </c>
      <c r="BT150" s="271" t="e">
        <f>VLOOKUP($I150,Lieu_Activité!$A:$B,2,FALSE)</f>
        <v>#N/A</v>
      </c>
      <c r="BU150" s="250" t="str">
        <f t="shared" si="160"/>
        <v>Aucun</v>
      </c>
      <c r="BV150" s="250" t="str">
        <f t="shared" si="161"/>
        <v>Aucun</v>
      </c>
      <c r="BW150" s="249" t="str">
        <f t="shared" si="140"/>
        <v>NON</v>
      </c>
      <c r="BX150" s="330"/>
    </row>
    <row r="151" spans="1:170" ht="12" customHeight="1" x14ac:dyDescent="0.2">
      <c r="A151" s="273" t="s">
        <v>253</v>
      </c>
      <c r="B151" s="309"/>
      <c r="C151" s="269"/>
      <c r="D151" s="299"/>
      <c r="E151" s="320">
        <f t="shared" si="136"/>
        <v>0</v>
      </c>
      <c r="F151" s="320" t="str">
        <f t="shared" si="162"/>
        <v xml:space="preserve"> </v>
      </c>
      <c r="G151" s="298"/>
      <c r="H151" s="298"/>
      <c r="I151" s="298"/>
      <c r="J151" s="298"/>
      <c r="K151" s="298"/>
      <c r="L151" s="299"/>
      <c r="M151" s="285"/>
      <c r="N151" s="274"/>
      <c r="O151" s="274"/>
      <c r="P151" s="307" t="str">
        <f>IFERROR(VLOOKUP(O151,Références!$K$11:$N$19,2)," ")</f>
        <v xml:space="preserve"> </v>
      </c>
      <c r="Q151" s="307" t="str">
        <f>IFERROR(VLOOKUP(O151,Références!$K$11:$N$19,3)," ")</f>
        <v xml:space="preserve"> </v>
      </c>
      <c r="R151" s="307" t="str">
        <f>IFERROR(VLOOKUP(O151,Références!$K$11:$N$19,4)," ")</f>
        <v xml:space="preserve"> </v>
      </c>
      <c r="S151" s="298"/>
      <c r="T151" s="298"/>
      <c r="U151" s="298"/>
      <c r="V151" s="298"/>
      <c r="W151" s="298"/>
      <c r="X151" s="299"/>
      <c r="Y151" s="298"/>
      <c r="Z151" s="298"/>
      <c r="AA151" s="298"/>
      <c r="AB151" s="277"/>
      <c r="AC151" s="277"/>
      <c r="AD151" s="277"/>
      <c r="AE151" s="277"/>
      <c r="AF151" s="277"/>
      <c r="AG151" s="277"/>
      <c r="AH151" s="277"/>
      <c r="AI151" s="277">
        <f t="shared" si="175"/>
        <v>0</v>
      </c>
      <c r="AJ151" s="299"/>
      <c r="AK151" s="298">
        <f t="shared" si="176"/>
        <v>0</v>
      </c>
      <c r="AL151" s="299"/>
      <c r="AM151" s="308">
        <f t="shared" si="177"/>
        <v>0</v>
      </c>
      <c r="AN151" s="298"/>
      <c r="AO151" s="318"/>
      <c r="AP151" s="303" t="str">
        <f t="shared" si="163"/>
        <v xml:space="preserve"> </v>
      </c>
      <c r="AQ151" s="298"/>
      <c r="AR151" s="337"/>
      <c r="AS151" s="337"/>
      <c r="AT151" s="305"/>
      <c r="AU151" s="319"/>
      <c r="AV151" s="305"/>
      <c r="AW151" s="272"/>
      <c r="AX151" s="342"/>
      <c r="AY151" s="343"/>
      <c r="AZ151" s="272"/>
      <c r="BA151" s="342"/>
      <c r="BB151" s="343"/>
      <c r="BC151" s="270">
        <f t="shared" si="178"/>
        <v>0</v>
      </c>
      <c r="BD151" s="270">
        <f t="shared" si="179"/>
        <v>0</v>
      </c>
      <c r="BE151" s="270">
        <f t="shared" si="155"/>
        <v>1</v>
      </c>
      <c r="BF151" s="270" t="str">
        <f t="shared" si="164"/>
        <v>ALIVE</v>
      </c>
      <c r="BG151" s="250" t="str">
        <f t="shared" si="156"/>
        <v>Aucune</v>
      </c>
      <c r="BH151" s="250" t="str">
        <f t="shared" si="157"/>
        <v>Aucune</v>
      </c>
      <c r="BI151" s="250" t="str">
        <f t="shared" si="158"/>
        <v>Aucune</v>
      </c>
      <c r="BJ151" s="250" t="str">
        <f t="shared" si="151"/>
        <v>NON</v>
      </c>
      <c r="BK151" s="250" t="str">
        <f t="shared" si="159"/>
        <v>NON</v>
      </c>
      <c r="BL151" s="250" t="str">
        <f t="shared" si="152"/>
        <v>Inconnu</v>
      </c>
      <c r="BM151" s="250" t="str">
        <f t="shared" si="180"/>
        <v>Inconnu</v>
      </c>
      <c r="BN151" s="250" t="str">
        <f t="shared" si="181"/>
        <v>Inconnu</v>
      </c>
      <c r="BO151" s="250" t="str">
        <f t="shared" si="153"/>
        <v>Inconnu</v>
      </c>
      <c r="BP151" s="250" t="str">
        <f t="shared" si="182"/>
        <v>Inconnu</v>
      </c>
      <c r="BQ151" s="250" t="str">
        <f t="shared" si="183"/>
        <v>Inconnu</v>
      </c>
      <c r="BR151" s="250" t="str">
        <f t="shared" si="184"/>
        <v>Aucune</v>
      </c>
      <c r="BS151" s="250">
        <f t="shared" si="141"/>
        <v>0</v>
      </c>
      <c r="BT151" s="271" t="e">
        <f>VLOOKUP($I151,Lieu_Activité!$A:$B,2,FALSE)</f>
        <v>#N/A</v>
      </c>
      <c r="BU151" s="250" t="str">
        <f t="shared" si="160"/>
        <v>Aucun</v>
      </c>
      <c r="BV151" s="250" t="str">
        <f t="shared" si="161"/>
        <v>Aucun</v>
      </c>
      <c r="BW151" s="249" t="str">
        <f t="shared" si="140"/>
        <v>NON</v>
      </c>
      <c r="BX151" s="330"/>
    </row>
    <row r="152" spans="1:170" ht="12" customHeight="1" x14ac:dyDescent="0.2">
      <c r="A152" s="273" t="s">
        <v>253</v>
      </c>
      <c r="B152" s="310"/>
      <c r="C152" s="269"/>
      <c r="D152" s="299"/>
      <c r="E152" s="320">
        <f t="shared" si="136"/>
        <v>0</v>
      </c>
      <c r="F152" s="320" t="str">
        <f t="shared" si="162"/>
        <v xml:space="preserve"> </v>
      </c>
      <c r="G152" s="298"/>
      <c r="H152" s="298"/>
      <c r="I152" s="298"/>
      <c r="J152" s="298"/>
      <c r="K152" s="298"/>
      <c r="L152" s="299"/>
      <c r="M152" s="285"/>
      <c r="N152" s="274"/>
      <c r="O152" s="274"/>
      <c r="P152" s="307" t="str">
        <f>IFERROR(VLOOKUP(O152,Références!$K$11:$N$19,2)," ")</f>
        <v xml:space="preserve"> </v>
      </c>
      <c r="Q152" s="307" t="str">
        <f>IFERROR(VLOOKUP(O152,Références!$K$11:$N$19,3)," ")</f>
        <v xml:space="preserve"> </v>
      </c>
      <c r="R152" s="307" t="str">
        <f>IFERROR(VLOOKUP(O152,Références!$K$11:$N$19,4)," ")</f>
        <v xml:space="preserve"> </v>
      </c>
      <c r="S152" s="298"/>
      <c r="T152" s="298"/>
      <c r="U152" s="298"/>
      <c r="V152" s="298"/>
      <c r="W152" s="298"/>
      <c r="X152" s="299"/>
      <c r="Y152" s="298"/>
      <c r="Z152" s="298"/>
      <c r="AA152" s="298"/>
      <c r="AB152" s="277"/>
      <c r="AC152" s="277"/>
      <c r="AD152" s="277"/>
      <c r="AE152" s="277"/>
      <c r="AF152" s="277"/>
      <c r="AG152" s="277"/>
      <c r="AH152" s="277"/>
      <c r="AI152" s="277">
        <f t="shared" si="175"/>
        <v>0</v>
      </c>
      <c r="AJ152" s="299"/>
      <c r="AK152" s="298">
        <f t="shared" si="176"/>
        <v>0</v>
      </c>
      <c r="AL152" s="299"/>
      <c r="AM152" s="308">
        <f t="shared" si="177"/>
        <v>0</v>
      </c>
      <c r="AN152" s="298"/>
      <c r="AO152" s="318"/>
      <c r="AP152" s="303" t="str">
        <f t="shared" si="163"/>
        <v xml:space="preserve"> </v>
      </c>
      <c r="AQ152" s="298"/>
      <c r="AR152" s="337"/>
      <c r="AS152" s="337"/>
      <c r="AT152" s="305"/>
      <c r="AU152" s="319"/>
      <c r="AV152" s="305"/>
      <c r="AW152" s="272"/>
      <c r="AX152" s="342"/>
      <c r="AY152" s="343"/>
      <c r="AZ152" s="272"/>
      <c r="BA152" s="344" t="s">
        <v>246</v>
      </c>
      <c r="BB152" s="337"/>
      <c r="BC152" s="270">
        <f t="shared" si="178"/>
        <v>0</v>
      </c>
      <c r="BD152" s="270">
        <f t="shared" si="179"/>
        <v>0</v>
      </c>
      <c r="BE152" s="270">
        <f t="shared" si="155"/>
        <v>1</v>
      </c>
      <c r="BF152" s="270" t="str">
        <f t="shared" si="164"/>
        <v>ALIVE</v>
      </c>
      <c r="BG152" s="250" t="str">
        <f t="shared" si="156"/>
        <v>Aucune</v>
      </c>
      <c r="BH152" s="250" t="str">
        <f t="shared" si="157"/>
        <v>Aucune</v>
      </c>
      <c r="BI152" s="250" t="str">
        <f t="shared" si="158"/>
        <v>Aucune</v>
      </c>
      <c r="BJ152" s="250" t="str">
        <f t="shared" si="151"/>
        <v>NON</v>
      </c>
      <c r="BK152" s="250" t="str">
        <f t="shared" si="159"/>
        <v>NON</v>
      </c>
      <c r="BL152" s="250" t="str">
        <f t="shared" si="152"/>
        <v>Inconnu</v>
      </c>
      <c r="BM152" s="250" t="str">
        <f t="shared" si="180"/>
        <v>Inconnu</v>
      </c>
      <c r="BN152" s="250" t="str">
        <f t="shared" si="181"/>
        <v>Inconnu</v>
      </c>
      <c r="BO152" s="250" t="str">
        <f t="shared" si="153"/>
        <v>Inconnu</v>
      </c>
      <c r="BP152" s="250" t="str">
        <f t="shared" si="182"/>
        <v>Inconnu</v>
      </c>
      <c r="BQ152" s="250" t="str">
        <f t="shared" si="183"/>
        <v>Inconnu</v>
      </c>
      <c r="BR152" s="250" t="str">
        <f t="shared" si="184"/>
        <v>Aucune</v>
      </c>
      <c r="BS152" s="250">
        <f t="shared" si="141"/>
        <v>0</v>
      </c>
      <c r="BT152" s="271" t="e">
        <f>VLOOKUP($I152,Lieu_Activité!$A:$B,2,FALSE)</f>
        <v>#N/A</v>
      </c>
      <c r="BU152" s="250" t="str">
        <f t="shared" si="160"/>
        <v>Aucun</v>
      </c>
      <c r="BV152" s="250" t="str">
        <f t="shared" si="161"/>
        <v>Aucun</v>
      </c>
      <c r="BW152" s="249" t="str">
        <f t="shared" ref="BW152:BW183" si="185">IF(M152="","NON","OUI")</f>
        <v>NON</v>
      </c>
      <c r="BX152" s="330"/>
    </row>
    <row r="153" spans="1:170" s="1" customFormat="1" ht="12.75" customHeight="1" x14ac:dyDescent="0.2">
      <c r="A153" s="273" t="s">
        <v>253</v>
      </c>
      <c r="B153" s="276"/>
      <c r="C153" s="269"/>
      <c r="D153" s="299"/>
      <c r="E153" s="320">
        <f t="shared" si="136"/>
        <v>0</v>
      </c>
      <c r="F153" s="320" t="str">
        <f t="shared" si="162"/>
        <v xml:space="preserve"> </v>
      </c>
      <c r="G153" s="298"/>
      <c r="H153" s="298"/>
      <c r="I153" s="298"/>
      <c r="J153" s="298"/>
      <c r="K153" s="298"/>
      <c r="L153" s="299"/>
      <c r="M153" s="285"/>
      <c r="N153" s="274"/>
      <c r="O153" s="307"/>
      <c r="P153" s="307" t="str">
        <f>IFERROR(VLOOKUP(O153,Références!$K$11:$N$19,2)," ")</f>
        <v xml:space="preserve"> </v>
      </c>
      <c r="Q153" s="307" t="str">
        <f>IFERROR(VLOOKUP(O153,Références!$K$11:$N$19,3)," ")</f>
        <v xml:space="preserve"> </v>
      </c>
      <c r="R153" s="307" t="str">
        <f>IFERROR(VLOOKUP(O153,Références!$K$11:$N$19,4)," ")</f>
        <v xml:space="preserve"> </v>
      </c>
      <c r="S153" s="298"/>
      <c r="T153" s="298"/>
      <c r="U153" s="298"/>
      <c r="V153" s="298"/>
      <c r="W153" s="298"/>
      <c r="X153" s="299"/>
      <c r="Y153" s="298"/>
      <c r="Z153" s="298"/>
      <c r="AA153" s="298"/>
      <c r="AB153" s="277"/>
      <c r="AC153" s="277"/>
      <c r="AD153" s="277"/>
      <c r="AE153" s="277"/>
      <c r="AF153" s="277"/>
      <c r="AG153" s="277"/>
      <c r="AH153" s="277"/>
      <c r="AI153" s="277">
        <f t="shared" si="175"/>
        <v>0</v>
      </c>
      <c r="AJ153" s="299"/>
      <c r="AK153" s="298">
        <f t="shared" si="176"/>
        <v>0</v>
      </c>
      <c r="AL153" s="299"/>
      <c r="AM153" s="308">
        <f t="shared" si="177"/>
        <v>0</v>
      </c>
      <c r="AN153" s="298"/>
      <c r="AO153" s="318"/>
      <c r="AP153" s="303" t="str">
        <f t="shared" si="163"/>
        <v xml:space="preserve"> </v>
      </c>
      <c r="AQ153" s="298"/>
      <c r="AR153" s="337"/>
      <c r="AS153" s="337"/>
      <c r="AT153" s="305"/>
      <c r="AU153" s="319"/>
      <c r="AV153" s="305"/>
      <c r="AW153" s="272"/>
      <c r="AX153" s="342"/>
      <c r="AY153" s="343"/>
      <c r="AZ153" s="272"/>
      <c r="BA153" s="342" t="s">
        <v>234</v>
      </c>
      <c r="BB153" s="337"/>
      <c r="BC153" s="270">
        <f t="shared" si="178"/>
        <v>0</v>
      </c>
      <c r="BD153" s="270">
        <f t="shared" si="179"/>
        <v>0</v>
      </c>
      <c r="BE153" s="270">
        <f t="shared" si="155"/>
        <v>1</v>
      </c>
      <c r="BF153" s="270" t="str">
        <f t="shared" si="164"/>
        <v>ALIVE</v>
      </c>
      <c r="BG153" s="250" t="str">
        <f t="shared" si="156"/>
        <v>Aucune</v>
      </c>
      <c r="BH153" s="250" t="str">
        <f t="shared" si="157"/>
        <v>Aucune</v>
      </c>
      <c r="BI153" s="250" t="str">
        <f t="shared" si="158"/>
        <v>Aucune</v>
      </c>
      <c r="BJ153" s="250" t="str">
        <f t="shared" si="151"/>
        <v>NON</v>
      </c>
      <c r="BK153" s="250" t="str">
        <f t="shared" si="159"/>
        <v>NON</v>
      </c>
      <c r="BL153" s="250" t="str">
        <f t="shared" si="152"/>
        <v>Inconnu</v>
      </c>
      <c r="BM153" s="250" t="str">
        <f t="shared" si="180"/>
        <v>Inconnu</v>
      </c>
      <c r="BN153" s="250" t="str">
        <f t="shared" si="181"/>
        <v>Inconnu</v>
      </c>
      <c r="BO153" s="250" t="str">
        <f t="shared" si="153"/>
        <v>Inconnu</v>
      </c>
      <c r="BP153" s="250" t="str">
        <f t="shared" si="182"/>
        <v>Inconnu</v>
      </c>
      <c r="BQ153" s="250" t="str">
        <f t="shared" si="183"/>
        <v>Inconnu</v>
      </c>
      <c r="BR153" s="250" t="str">
        <f t="shared" si="184"/>
        <v>Aucune</v>
      </c>
      <c r="BS153" s="250">
        <f t="shared" si="141"/>
        <v>0</v>
      </c>
      <c r="BT153" s="271" t="e">
        <f>VLOOKUP($I153,Lieu_Activité!$A:$B,2,FALSE)</f>
        <v>#N/A</v>
      </c>
      <c r="BU153" s="250" t="str">
        <f t="shared" si="160"/>
        <v>Aucun</v>
      </c>
      <c r="BV153" s="250" t="str">
        <f t="shared" si="161"/>
        <v>Aucun</v>
      </c>
      <c r="BW153" s="249" t="str">
        <f t="shared" si="185"/>
        <v>NON</v>
      </c>
      <c r="BX153" s="330"/>
      <c r="BY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</row>
    <row r="154" spans="1:170" ht="12" customHeight="1" x14ac:dyDescent="0.2">
      <c r="A154" s="273" t="s">
        <v>253</v>
      </c>
      <c r="B154" s="276"/>
      <c r="C154" s="269"/>
      <c r="D154" s="299"/>
      <c r="E154" s="320">
        <f t="shared" si="136"/>
        <v>0</v>
      </c>
      <c r="F154" s="320" t="str">
        <f t="shared" si="162"/>
        <v xml:space="preserve"> </v>
      </c>
      <c r="G154" s="298"/>
      <c r="H154" s="298"/>
      <c r="I154" s="298"/>
      <c r="J154" s="298"/>
      <c r="K154" s="298"/>
      <c r="L154" s="299"/>
      <c r="M154" s="285"/>
      <c r="N154" s="274"/>
      <c r="O154" s="274"/>
      <c r="P154" s="307" t="str">
        <f>IFERROR(VLOOKUP(O154,Références!$K$11:$N$19,2)," ")</f>
        <v xml:space="preserve"> </v>
      </c>
      <c r="Q154" s="307" t="str">
        <f>IFERROR(VLOOKUP(O154,Références!$K$11:$N$19,3)," ")</f>
        <v xml:space="preserve"> </v>
      </c>
      <c r="R154" s="307" t="str">
        <f>IFERROR(VLOOKUP(O154,Références!$K$11:$N$19,4)," ")</f>
        <v xml:space="preserve"> </v>
      </c>
      <c r="S154" s="298"/>
      <c r="T154" s="298"/>
      <c r="U154" s="298"/>
      <c r="V154" s="298"/>
      <c r="W154" s="298"/>
      <c r="X154" s="299"/>
      <c r="Y154" s="298"/>
      <c r="Z154" s="298"/>
      <c r="AA154" s="298"/>
      <c r="AB154" s="277"/>
      <c r="AC154" s="277"/>
      <c r="AD154" s="277"/>
      <c r="AE154" s="277"/>
      <c r="AF154" s="277"/>
      <c r="AG154" s="277"/>
      <c r="AH154" s="277"/>
      <c r="AI154" s="277">
        <f t="shared" si="175"/>
        <v>0</v>
      </c>
      <c r="AJ154" s="299"/>
      <c r="AK154" s="298">
        <f t="shared" si="176"/>
        <v>0</v>
      </c>
      <c r="AL154" s="299"/>
      <c r="AM154" s="308">
        <f t="shared" si="177"/>
        <v>0</v>
      </c>
      <c r="AN154" s="298"/>
      <c r="AO154" s="318"/>
      <c r="AP154" s="303" t="str">
        <f t="shared" si="163"/>
        <v xml:space="preserve"> </v>
      </c>
      <c r="AQ154" s="298"/>
      <c r="AR154" s="337"/>
      <c r="AS154" s="337"/>
      <c r="AT154" s="305"/>
      <c r="AU154" s="319"/>
      <c r="AV154" s="305"/>
      <c r="AW154" s="272"/>
      <c r="AX154" s="342"/>
      <c r="AY154" s="343"/>
      <c r="AZ154" s="272"/>
      <c r="BA154" s="342" t="s">
        <v>234</v>
      </c>
      <c r="BB154" s="337"/>
      <c r="BC154" s="270">
        <f t="shared" si="178"/>
        <v>0</v>
      </c>
      <c r="BD154" s="270">
        <f t="shared" si="179"/>
        <v>0</v>
      </c>
      <c r="BE154" s="270">
        <f t="shared" si="155"/>
        <v>1</v>
      </c>
      <c r="BF154" s="270" t="str">
        <f t="shared" si="164"/>
        <v>ALIVE</v>
      </c>
      <c r="BG154" s="250" t="str">
        <f t="shared" si="156"/>
        <v>Aucune</v>
      </c>
      <c r="BH154" s="250" t="str">
        <f t="shared" si="157"/>
        <v>Aucune</v>
      </c>
      <c r="BI154" s="250" t="str">
        <f t="shared" si="158"/>
        <v>Aucune</v>
      </c>
      <c r="BJ154" s="250" t="str">
        <f t="shared" si="151"/>
        <v>NON</v>
      </c>
      <c r="BK154" s="250" t="str">
        <f t="shared" si="159"/>
        <v>NON</v>
      </c>
      <c r="BL154" s="250" t="str">
        <f t="shared" si="152"/>
        <v>Inconnu</v>
      </c>
      <c r="BM154" s="250" t="str">
        <f t="shared" si="180"/>
        <v>Inconnu</v>
      </c>
      <c r="BN154" s="250" t="str">
        <f t="shared" si="181"/>
        <v>Inconnu</v>
      </c>
      <c r="BO154" s="250" t="str">
        <f t="shared" si="153"/>
        <v>Inconnu</v>
      </c>
      <c r="BP154" s="250" t="str">
        <f t="shared" si="182"/>
        <v>Inconnu</v>
      </c>
      <c r="BQ154" s="250" t="str">
        <f t="shared" si="183"/>
        <v>Inconnu</v>
      </c>
      <c r="BR154" s="250" t="str">
        <f t="shared" si="184"/>
        <v>Aucune</v>
      </c>
      <c r="BS154" s="250">
        <f t="shared" si="141"/>
        <v>0</v>
      </c>
      <c r="BT154" s="271" t="e">
        <f>VLOOKUP($I154,Lieu_Activité!$A:$B,2,FALSE)</f>
        <v>#N/A</v>
      </c>
      <c r="BU154" s="250" t="str">
        <f t="shared" si="160"/>
        <v>Aucun</v>
      </c>
      <c r="BV154" s="250" t="str">
        <f t="shared" si="161"/>
        <v>Aucun</v>
      </c>
      <c r="BW154" s="249" t="str">
        <f t="shared" si="185"/>
        <v>NON</v>
      </c>
      <c r="BX154" s="330"/>
    </row>
    <row r="155" spans="1:170" ht="12" customHeight="1" x14ac:dyDescent="0.2">
      <c r="A155" s="273" t="s">
        <v>253</v>
      </c>
      <c r="B155" s="276"/>
      <c r="C155" s="269"/>
      <c r="D155" s="299"/>
      <c r="E155" s="320">
        <f t="shared" si="136"/>
        <v>0</v>
      </c>
      <c r="F155" s="320" t="str">
        <f t="shared" si="162"/>
        <v xml:space="preserve"> </v>
      </c>
      <c r="G155" s="298"/>
      <c r="H155" s="298"/>
      <c r="I155" s="298"/>
      <c r="J155" s="298"/>
      <c r="K155" s="298"/>
      <c r="L155" s="299"/>
      <c r="M155" s="285"/>
      <c r="N155" s="274"/>
      <c r="O155" s="274"/>
      <c r="P155" s="307" t="str">
        <f>IFERROR(VLOOKUP(O155,Références!$K$11:$N$19,2)," ")</f>
        <v xml:space="preserve"> </v>
      </c>
      <c r="Q155" s="307" t="str">
        <f>IFERROR(VLOOKUP(O155,Références!$K$11:$N$19,3)," ")</f>
        <v xml:space="preserve"> </v>
      </c>
      <c r="R155" s="307" t="str">
        <f>IFERROR(VLOOKUP(O155,Références!$K$11:$N$19,4)," ")</f>
        <v xml:space="preserve"> </v>
      </c>
      <c r="S155" s="298"/>
      <c r="T155" s="298"/>
      <c r="U155" s="298"/>
      <c r="V155" s="298"/>
      <c r="W155" s="298"/>
      <c r="X155" s="299"/>
      <c r="Y155" s="298"/>
      <c r="Z155" s="298"/>
      <c r="AA155" s="298"/>
      <c r="AB155" s="277"/>
      <c r="AC155" s="277"/>
      <c r="AD155" s="277"/>
      <c r="AE155" s="277"/>
      <c r="AF155" s="277"/>
      <c r="AG155" s="277"/>
      <c r="AH155" s="277"/>
      <c r="AI155" s="277">
        <f t="shared" si="175"/>
        <v>0</v>
      </c>
      <c r="AJ155" s="299"/>
      <c r="AK155" s="298">
        <f t="shared" si="176"/>
        <v>0</v>
      </c>
      <c r="AL155" s="299"/>
      <c r="AM155" s="308">
        <f t="shared" si="177"/>
        <v>0</v>
      </c>
      <c r="AN155" s="298"/>
      <c r="AO155" s="318"/>
      <c r="AP155" s="303" t="str">
        <f t="shared" si="163"/>
        <v xml:space="preserve"> </v>
      </c>
      <c r="AQ155" s="298"/>
      <c r="AR155" s="337"/>
      <c r="AS155" s="337"/>
      <c r="AT155" s="305"/>
      <c r="AU155" s="319"/>
      <c r="AV155" s="305"/>
      <c r="AW155" s="272"/>
      <c r="AX155" s="342"/>
      <c r="AY155" s="343"/>
      <c r="AZ155" s="272"/>
      <c r="BA155" s="342" t="s">
        <v>234</v>
      </c>
      <c r="BB155" s="337"/>
      <c r="BC155" s="270">
        <f t="shared" si="178"/>
        <v>0</v>
      </c>
      <c r="BD155" s="270">
        <f t="shared" si="179"/>
        <v>0</v>
      </c>
      <c r="BE155" s="270">
        <f t="shared" si="155"/>
        <v>1</v>
      </c>
      <c r="BF155" s="270" t="str">
        <f t="shared" si="164"/>
        <v>ALIVE</v>
      </c>
      <c r="BG155" s="250" t="str">
        <f t="shared" si="156"/>
        <v>Aucune</v>
      </c>
      <c r="BH155" s="250" t="str">
        <f t="shared" si="157"/>
        <v>Aucune</v>
      </c>
      <c r="BI155" s="250" t="str">
        <f t="shared" si="158"/>
        <v>Aucune</v>
      </c>
      <c r="BJ155" s="250" t="str">
        <f t="shared" si="151"/>
        <v>NON</v>
      </c>
      <c r="BK155" s="250" t="str">
        <f t="shared" si="159"/>
        <v>NON</v>
      </c>
      <c r="BL155" s="250" t="str">
        <f t="shared" si="152"/>
        <v>Inconnu</v>
      </c>
      <c r="BM155" s="250" t="str">
        <f t="shared" si="180"/>
        <v>Inconnu</v>
      </c>
      <c r="BN155" s="250" t="str">
        <f t="shared" si="181"/>
        <v>Inconnu</v>
      </c>
      <c r="BO155" s="250" t="str">
        <f t="shared" si="153"/>
        <v>Inconnu</v>
      </c>
      <c r="BP155" s="250" t="str">
        <f t="shared" si="182"/>
        <v>Inconnu</v>
      </c>
      <c r="BQ155" s="250" t="str">
        <f t="shared" si="183"/>
        <v>Inconnu</v>
      </c>
      <c r="BR155" s="250" t="str">
        <f t="shared" si="184"/>
        <v>Aucune</v>
      </c>
      <c r="BS155" s="250">
        <f t="shared" si="141"/>
        <v>0</v>
      </c>
      <c r="BT155" s="271" t="e">
        <f>VLOOKUP($I155,Lieu_Activité!$A:$B,2,FALSE)</f>
        <v>#N/A</v>
      </c>
      <c r="BU155" s="250" t="str">
        <f t="shared" si="160"/>
        <v>Aucun</v>
      </c>
      <c r="BV155" s="250" t="str">
        <f t="shared" si="161"/>
        <v>Aucun</v>
      </c>
      <c r="BW155" s="249" t="str">
        <f t="shared" si="185"/>
        <v>NON</v>
      </c>
      <c r="BX155" s="330"/>
    </row>
    <row r="156" spans="1:170" ht="12" customHeight="1" x14ac:dyDescent="0.2">
      <c r="A156" s="273" t="s">
        <v>253</v>
      </c>
      <c r="B156" s="276"/>
      <c r="C156" s="269"/>
      <c r="D156" s="299"/>
      <c r="E156" s="320">
        <f t="shared" si="136"/>
        <v>0</v>
      </c>
      <c r="F156" s="320" t="str">
        <f t="shared" si="162"/>
        <v xml:space="preserve"> </v>
      </c>
      <c r="G156" s="298"/>
      <c r="H156" s="298"/>
      <c r="I156" s="298"/>
      <c r="J156" s="298"/>
      <c r="K156" s="298"/>
      <c r="L156" s="299"/>
      <c r="M156" s="285"/>
      <c r="N156" s="274"/>
      <c r="O156" s="274"/>
      <c r="P156" s="307" t="str">
        <f>IFERROR(VLOOKUP(O156,Références!$K$11:$N$19,2)," ")</f>
        <v xml:space="preserve"> </v>
      </c>
      <c r="Q156" s="307" t="str">
        <f>IFERROR(VLOOKUP(O156,Références!$K$11:$N$19,3)," ")</f>
        <v xml:space="preserve"> </v>
      </c>
      <c r="R156" s="307" t="str">
        <f>IFERROR(VLOOKUP(O156,Références!$K$11:$N$19,4)," ")</f>
        <v xml:space="preserve"> </v>
      </c>
      <c r="S156" s="298"/>
      <c r="T156" s="298"/>
      <c r="U156" s="298"/>
      <c r="V156" s="298"/>
      <c r="W156" s="298"/>
      <c r="X156" s="299"/>
      <c r="Y156" s="298"/>
      <c r="Z156" s="298"/>
      <c r="AA156" s="298"/>
      <c r="AB156" s="277"/>
      <c r="AC156" s="277"/>
      <c r="AD156" s="277"/>
      <c r="AE156" s="277"/>
      <c r="AF156" s="277"/>
      <c r="AG156" s="277"/>
      <c r="AH156" s="277"/>
      <c r="AI156" s="277">
        <f t="shared" si="175"/>
        <v>0</v>
      </c>
      <c r="AJ156" s="299"/>
      <c r="AK156" s="298">
        <f t="shared" si="176"/>
        <v>0</v>
      </c>
      <c r="AL156" s="299"/>
      <c r="AM156" s="308">
        <f t="shared" si="177"/>
        <v>0</v>
      </c>
      <c r="AN156" s="298"/>
      <c r="AO156" s="318"/>
      <c r="AP156" s="303" t="str">
        <f t="shared" si="163"/>
        <v xml:space="preserve"> </v>
      </c>
      <c r="AQ156" s="298"/>
      <c r="AR156" s="337"/>
      <c r="AS156" s="337"/>
      <c r="AT156" s="305"/>
      <c r="AU156" s="319"/>
      <c r="AV156" s="305"/>
      <c r="AW156" s="272"/>
      <c r="AX156" s="342"/>
      <c r="AY156" s="343"/>
      <c r="AZ156" s="272"/>
      <c r="BA156" s="342" t="s">
        <v>234</v>
      </c>
      <c r="BB156" s="337"/>
      <c r="BC156" s="270">
        <f t="shared" si="178"/>
        <v>0</v>
      </c>
      <c r="BD156" s="270">
        <f t="shared" si="179"/>
        <v>0</v>
      </c>
      <c r="BE156" s="270">
        <f t="shared" si="155"/>
        <v>1</v>
      </c>
      <c r="BF156" s="270" t="str">
        <f t="shared" si="164"/>
        <v>ALIVE</v>
      </c>
      <c r="BG156" s="250" t="str">
        <f t="shared" si="156"/>
        <v>Aucune</v>
      </c>
      <c r="BH156" s="250" t="str">
        <f t="shared" si="157"/>
        <v>Aucune</v>
      </c>
      <c r="BI156" s="250" t="str">
        <f t="shared" si="158"/>
        <v>Aucune</v>
      </c>
      <c r="BJ156" s="250" t="str">
        <f t="shared" si="151"/>
        <v>NON</v>
      </c>
      <c r="BK156" s="250" t="str">
        <f t="shared" si="159"/>
        <v>NON</v>
      </c>
      <c r="BL156" s="250" t="str">
        <f t="shared" si="152"/>
        <v>Inconnu</v>
      </c>
      <c r="BM156" s="250" t="str">
        <f t="shared" si="180"/>
        <v>Inconnu</v>
      </c>
      <c r="BN156" s="250" t="str">
        <f t="shared" si="181"/>
        <v>Inconnu</v>
      </c>
      <c r="BO156" s="250" t="str">
        <f t="shared" si="153"/>
        <v>Inconnu</v>
      </c>
      <c r="BP156" s="250" t="str">
        <f t="shared" si="182"/>
        <v>Inconnu</v>
      </c>
      <c r="BQ156" s="250" t="str">
        <f t="shared" si="183"/>
        <v>Inconnu</v>
      </c>
      <c r="BR156" s="250" t="str">
        <f t="shared" si="184"/>
        <v>Aucune</v>
      </c>
      <c r="BS156" s="250">
        <f t="shared" ref="BS156:BS187" si="186">AF156+AH156</f>
        <v>0</v>
      </c>
      <c r="BT156" s="271" t="e">
        <f>VLOOKUP($I156,Lieu_Activité!$A:$B,2,FALSE)</f>
        <v>#N/A</v>
      </c>
      <c r="BU156" s="250" t="str">
        <f t="shared" si="160"/>
        <v>Aucun</v>
      </c>
      <c r="BV156" s="250" t="str">
        <f t="shared" si="161"/>
        <v>Aucun</v>
      </c>
      <c r="BW156" s="249" t="str">
        <f t="shared" si="185"/>
        <v>NON</v>
      </c>
      <c r="BX156" s="330"/>
    </row>
    <row r="157" spans="1:170" s="1" customFormat="1" ht="12.75" customHeight="1" x14ac:dyDescent="0.2">
      <c r="A157" s="273" t="s">
        <v>253</v>
      </c>
      <c r="B157" s="276"/>
      <c r="C157" s="269"/>
      <c r="D157" s="299"/>
      <c r="E157" s="320">
        <f t="shared" ref="E157:E162" si="187">(L157-D157)/365</f>
        <v>0</v>
      </c>
      <c r="F157" s="320" t="str">
        <f t="shared" si="162"/>
        <v xml:space="preserve"> </v>
      </c>
      <c r="G157" s="298"/>
      <c r="H157" s="298"/>
      <c r="I157" s="298"/>
      <c r="J157" s="298"/>
      <c r="K157" s="298"/>
      <c r="L157" s="299"/>
      <c r="M157" s="285"/>
      <c r="N157" s="274"/>
      <c r="O157" s="307"/>
      <c r="P157" s="307" t="str">
        <f>IFERROR(VLOOKUP(O157,Références!$K$11:$N$19,2)," ")</f>
        <v xml:space="preserve"> </v>
      </c>
      <c r="Q157" s="307" t="str">
        <f>IFERROR(VLOOKUP(O157,Références!$K$11:$N$19,3)," ")</f>
        <v xml:space="preserve"> </v>
      </c>
      <c r="R157" s="307" t="str">
        <f>IFERROR(VLOOKUP(O157,Références!$K$11:$N$19,4)," ")</f>
        <v xml:space="preserve"> </v>
      </c>
      <c r="S157" s="298"/>
      <c r="T157" s="298"/>
      <c r="U157" s="298"/>
      <c r="V157" s="298"/>
      <c r="W157" s="298"/>
      <c r="X157" s="299"/>
      <c r="Y157" s="298"/>
      <c r="Z157" s="298"/>
      <c r="AA157" s="298"/>
      <c r="AB157" s="277"/>
      <c r="AC157" s="277"/>
      <c r="AD157" s="277"/>
      <c r="AE157" s="277"/>
      <c r="AF157" s="277"/>
      <c r="AG157" s="277"/>
      <c r="AH157" s="277"/>
      <c r="AI157" s="277">
        <f t="shared" si="175"/>
        <v>0</v>
      </c>
      <c r="AJ157" s="299"/>
      <c r="AK157" s="298">
        <f t="shared" si="176"/>
        <v>0</v>
      </c>
      <c r="AL157" s="299"/>
      <c r="AM157" s="308">
        <f t="shared" si="177"/>
        <v>0</v>
      </c>
      <c r="AN157" s="298"/>
      <c r="AO157" s="318"/>
      <c r="AP157" s="303" t="str">
        <f t="shared" si="163"/>
        <v xml:space="preserve"> </v>
      </c>
      <c r="AQ157" s="298"/>
      <c r="AR157" s="337"/>
      <c r="AS157" s="337"/>
      <c r="AT157" s="305"/>
      <c r="AU157" s="319"/>
      <c r="AV157" s="305"/>
      <c r="AW157" s="272"/>
      <c r="AX157" s="342"/>
      <c r="AY157" s="343"/>
      <c r="AZ157" s="272"/>
      <c r="BA157" s="342" t="s">
        <v>234</v>
      </c>
      <c r="BB157" s="337"/>
      <c r="BC157" s="270">
        <f t="shared" si="178"/>
        <v>0</v>
      </c>
      <c r="BD157" s="270">
        <f t="shared" si="179"/>
        <v>0</v>
      </c>
      <c r="BE157" s="270">
        <f t="shared" si="155"/>
        <v>1</v>
      </c>
      <c r="BF157" s="270" t="str">
        <f t="shared" si="164"/>
        <v>ALIVE</v>
      </c>
      <c r="BG157" s="250" t="str">
        <f t="shared" si="156"/>
        <v>Aucune</v>
      </c>
      <c r="BH157" s="250" t="str">
        <f t="shared" si="157"/>
        <v>Aucune</v>
      </c>
      <c r="BI157" s="250" t="str">
        <f t="shared" si="158"/>
        <v>Aucune</v>
      </c>
      <c r="BJ157" s="250" t="str">
        <f t="shared" si="151"/>
        <v>NON</v>
      </c>
      <c r="BK157" s="250" t="str">
        <f t="shared" si="159"/>
        <v>NON</v>
      </c>
      <c r="BL157" s="250" t="str">
        <f t="shared" si="152"/>
        <v>Inconnu</v>
      </c>
      <c r="BM157" s="250" t="str">
        <f t="shared" si="180"/>
        <v>Inconnu</v>
      </c>
      <c r="BN157" s="250" t="str">
        <f t="shared" si="181"/>
        <v>Inconnu</v>
      </c>
      <c r="BO157" s="250" t="str">
        <f t="shared" si="153"/>
        <v>Inconnu</v>
      </c>
      <c r="BP157" s="250" t="str">
        <f t="shared" si="182"/>
        <v>Inconnu</v>
      </c>
      <c r="BQ157" s="250" t="str">
        <f t="shared" si="183"/>
        <v>Inconnu</v>
      </c>
      <c r="BR157" s="250" t="str">
        <f t="shared" si="184"/>
        <v>Aucune</v>
      </c>
      <c r="BS157" s="250">
        <f t="shared" si="186"/>
        <v>0</v>
      </c>
      <c r="BT157" s="271" t="e">
        <f>VLOOKUP($I157,Lieu_Activité!$A:$B,2,FALSE)</f>
        <v>#N/A</v>
      </c>
      <c r="BU157" s="250" t="str">
        <f t="shared" si="160"/>
        <v>Aucun</v>
      </c>
      <c r="BV157" s="250" t="str">
        <f t="shared" si="161"/>
        <v>Aucun</v>
      </c>
      <c r="BW157" s="249" t="str">
        <f t="shared" si="185"/>
        <v>NON</v>
      </c>
      <c r="BX157" s="330"/>
      <c r="BY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</row>
    <row r="158" spans="1:170" ht="12" customHeight="1" x14ac:dyDescent="0.2">
      <c r="A158" s="273" t="s">
        <v>253</v>
      </c>
      <c r="B158" s="310"/>
      <c r="C158" s="269"/>
      <c r="D158" s="299"/>
      <c r="E158" s="320">
        <f t="shared" si="187"/>
        <v>0</v>
      </c>
      <c r="F158" s="320" t="str">
        <f t="shared" si="162"/>
        <v xml:space="preserve"> </v>
      </c>
      <c r="G158" s="298"/>
      <c r="H158" s="298"/>
      <c r="I158" s="298"/>
      <c r="J158" s="298"/>
      <c r="K158" s="298"/>
      <c r="L158" s="299"/>
      <c r="M158" s="285"/>
      <c r="N158" s="274"/>
      <c r="O158" s="274"/>
      <c r="P158" s="307" t="str">
        <f>IFERROR(VLOOKUP(O158,Références!$K$11:$N$19,2)," ")</f>
        <v xml:space="preserve"> </v>
      </c>
      <c r="Q158" s="307" t="str">
        <f>IFERROR(VLOOKUP(O158,Références!$K$11:$N$19,3)," ")</f>
        <v xml:space="preserve"> </v>
      </c>
      <c r="R158" s="307" t="str">
        <f>IFERROR(VLOOKUP(O158,Références!$K$11:$N$19,4)," ")</f>
        <v xml:space="preserve"> </v>
      </c>
      <c r="S158" s="298"/>
      <c r="T158" s="298"/>
      <c r="U158" s="298"/>
      <c r="V158" s="298"/>
      <c r="W158" s="298"/>
      <c r="X158" s="299"/>
      <c r="Y158" s="298"/>
      <c r="Z158" s="298"/>
      <c r="AA158" s="298"/>
      <c r="AB158" s="277"/>
      <c r="AC158" s="277"/>
      <c r="AD158" s="277"/>
      <c r="AE158" s="277"/>
      <c r="AF158" s="277"/>
      <c r="AG158" s="277"/>
      <c r="AH158" s="277"/>
      <c r="AI158" s="277">
        <f t="shared" si="175"/>
        <v>0</v>
      </c>
      <c r="AJ158" s="299"/>
      <c r="AK158" s="298">
        <f t="shared" si="176"/>
        <v>0</v>
      </c>
      <c r="AL158" s="299"/>
      <c r="AM158" s="308">
        <f t="shared" si="177"/>
        <v>0</v>
      </c>
      <c r="AN158" s="298"/>
      <c r="AO158" s="318"/>
      <c r="AP158" s="303" t="str">
        <f t="shared" si="163"/>
        <v xml:space="preserve"> </v>
      </c>
      <c r="AQ158" s="298"/>
      <c r="AR158" s="337"/>
      <c r="AS158" s="337"/>
      <c r="AT158" s="305"/>
      <c r="AU158" s="319"/>
      <c r="AV158" s="305"/>
      <c r="AW158" s="272"/>
      <c r="AX158" s="342"/>
      <c r="AY158" s="343"/>
      <c r="AZ158" s="272"/>
      <c r="BA158" s="344" t="s">
        <v>246</v>
      </c>
      <c r="BB158" s="343"/>
      <c r="BC158" s="270">
        <f t="shared" si="178"/>
        <v>0</v>
      </c>
      <c r="BD158" s="270">
        <f t="shared" si="179"/>
        <v>0</v>
      </c>
      <c r="BE158" s="270">
        <f t="shared" si="155"/>
        <v>1</v>
      </c>
      <c r="BF158" s="270" t="str">
        <f t="shared" si="164"/>
        <v>ALIVE</v>
      </c>
      <c r="BG158" s="250" t="str">
        <f t="shared" si="156"/>
        <v>Aucune</v>
      </c>
      <c r="BH158" s="250" t="str">
        <f t="shared" si="157"/>
        <v>Aucune</v>
      </c>
      <c r="BI158" s="250" t="str">
        <f t="shared" si="158"/>
        <v>Aucune</v>
      </c>
      <c r="BJ158" s="250" t="str">
        <f t="shared" si="151"/>
        <v>NON</v>
      </c>
      <c r="BK158" s="250" t="str">
        <f t="shared" si="159"/>
        <v>NON</v>
      </c>
      <c r="BL158" s="250" t="str">
        <f t="shared" si="152"/>
        <v>Inconnu</v>
      </c>
      <c r="BM158" s="250" t="str">
        <f t="shared" si="180"/>
        <v>Inconnu</v>
      </c>
      <c r="BN158" s="250" t="str">
        <f t="shared" si="181"/>
        <v>Inconnu</v>
      </c>
      <c r="BO158" s="250" t="str">
        <f t="shared" si="153"/>
        <v>Inconnu</v>
      </c>
      <c r="BP158" s="250" t="str">
        <f t="shared" si="182"/>
        <v>Inconnu</v>
      </c>
      <c r="BQ158" s="250" t="str">
        <f t="shared" si="183"/>
        <v>Inconnu</v>
      </c>
      <c r="BR158" s="250" t="str">
        <f t="shared" si="184"/>
        <v>Aucune</v>
      </c>
      <c r="BS158" s="250">
        <f t="shared" si="186"/>
        <v>0</v>
      </c>
      <c r="BT158" s="271" t="e">
        <f>VLOOKUP($I158,Lieu_Activité!$A:$B,2,FALSE)</f>
        <v>#N/A</v>
      </c>
      <c r="BU158" s="250" t="str">
        <f t="shared" si="160"/>
        <v>Aucun</v>
      </c>
      <c r="BV158" s="250" t="str">
        <f t="shared" si="161"/>
        <v>Aucun</v>
      </c>
      <c r="BW158" s="249" t="str">
        <f t="shared" si="185"/>
        <v>NON</v>
      </c>
      <c r="BX158" s="330"/>
    </row>
    <row r="159" spans="1:170" ht="12" customHeight="1" x14ac:dyDescent="0.2">
      <c r="A159" s="273" t="s">
        <v>253</v>
      </c>
      <c r="B159" s="276"/>
      <c r="C159" s="269"/>
      <c r="D159" s="299"/>
      <c r="E159" s="320">
        <f t="shared" si="187"/>
        <v>0</v>
      </c>
      <c r="F159" s="320" t="str">
        <f t="shared" si="162"/>
        <v xml:space="preserve"> </v>
      </c>
      <c r="G159" s="298"/>
      <c r="H159" s="298"/>
      <c r="I159" s="298"/>
      <c r="J159" s="298"/>
      <c r="K159" s="298"/>
      <c r="L159" s="299"/>
      <c r="M159" s="285"/>
      <c r="N159" s="274"/>
      <c r="O159" s="274"/>
      <c r="P159" s="307" t="str">
        <f>IFERROR(VLOOKUP(O159,Références!$K$11:$N$19,2)," ")</f>
        <v xml:space="preserve"> </v>
      </c>
      <c r="Q159" s="307" t="str">
        <f>IFERROR(VLOOKUP(O159,Références!$K$11:$N$19,3)," ")</f>
        <v xml:space="preserve"> </v>
      </c>
      <c r="R159" s="307" t="str">
        <f>IFERROR(VLOOKUP(O159,Références!$K$11:$N$19,4)," ")</f>
        <v xml:space="preserve"> </v>
      </c>
      <c r="S159" s="298"/>
      <c r="T159" s="298"/>
      <c r="U159" s="298"/>
      <c r="V159" s="298"/>
      <c r="W159" s="298"/>
      <c r="X159" s="299"/>
      <c r="Y159" s="298"/>
      <c r="Z159" s="298"/>
      <c r="AA159" s="298"/>
      <c r="AB159" s="277"/>
      <c r="AC159" s="277"/>
      <c r="AD159" s="277"/>
      <c r="AE159" s="277"/>
      <c r="AF159" s="277"/>
      <c r="AG159" s="277"/>
      <c r="AH159" s="277"/>
      <c r="AI159" s="277">
        <f t="shared" si="175"/>
        <v>0</v>
      </c>
      <c r="AJ159" s="299"/>
      <c r="AK159" s="298">
        <f t="shared" si="176"/>
        <v>0</v>
      </c>
      <c r="AL159" s="299"/>
      <c r="AM159" s="308">
        <f t="shared" si="177"/>
        <v>0</v>
      </c>
      <c r="AN159" s="298"/>
      <c r="AO159" s="318"/>
      <c r="AP159" s="303" t="str">
        <f t="shared" si="163"/>
        <v xml:space="preserve"> </v>
      </c>
      <c r="AQ159" s="298"/>
      <c r="AR159" s="337"/>
      <c r="AS159" s="337"/>
      <c r="AT159" s="305"/>
      <c r="AU159" s="319"/>
      <c r="AV159" s="305"/>
      <c r="AW159" s="272"/>
      <c r="AX159" s="342"/>
      <c r="AY159" s="343"/>
      <c r="AZ159" s="272"/>
      <c r="BA159" s="342" t="s">
        <v>234</v>
      </c>
      <c r="BB159" s="337"/>
      <c r="BC159" s="270">
        <f t="shared" si="178"/>
        <v>0</v>
      </c>
      <c r="BD159" s="270">
        <f t="shared" si="179"/>
        <v>0</v>
      </c>
      <c r="BE159" s="270">
        <f t="shared" si="155"/>
        <v>1</v>
      </c>
      <c r="BF159" s="270" t="str">
        <f t="shared" si="164"/>
        <v>ALIVE</v>
      </c>
      <c r="BG159" s="250" t="str">
        <f t="shared" si="156"/>
        <v>Aucune</v>
      </c>
      <c r="BH159" s="250" t="str">
        <f t="shared" si="157"/>
        <v>Aucune</v>
      </c>
      <c r="BI159" s="250" t="str">
        <f t="shared" si="158"/>
        <v>Aucune</v>
      </c>
      <c r="BJ159" s="250" t="str">
        <f t="shared" ref="BJ159:BJ190" si="188">IF(X159&lt;&gt;"",IF(X159-L159&lt;2,"OUI","NON"),"NON")</f>
        <v>NON</v>
      </c>
      <c r="BK159" s="250" t="str">
        <f t="shared" si="159"/>
        <v>NON</v>
      </c>
      <c r="BL159" s="250" t="str">
        <f t="shared" ref="BL159:BL190" si="189">IF(AL159-L159&gt;0,AL159-L159,"Inconnu")</f>
        <v>Inconnu</v>
      </c>
      <c r="BM159" s="250" t="str">
        <f t="shared" si="180"/>
        <v>Inconnu</v>
      </c>
      <c r="BN159" s="250" t="str">
        <f t="shared" si="181"/>
        <v>Inconnu</v>
      </c>
      <c r="BO159" s="250" t="str">
        <f t="shared" ref="BO159:BO190" si="190">IF(AJ159-L159&gt;0,AJ159-L159,"Inconnu")</f>
        <v>Inconnu</v>
      </c>
      <c r="BP159" s="250" t="str">
        <f t="shared" si="182"/>
        <v>Inconnu</v>
      </c>
      <c r="BQ159" s="250" t="str">
        <f t="shared" si="183"/>
        <v>Inconnu</v>
      </c>
      <c r="BR159" s="250" t="str">
        <f t="shared" si="184"/>
        <v>Aucune</v>
      </c>
      <c r="BS159" s="250">
        <f t="shared" si="186"/>
        <v>0</v>
      </c>
      <c r="BT159" s="271" t="e">
        <f>VLOOKUP($I159,Lieu_Activité!$A:$B,2,FALSE)</f>
        <v>#N/A</v>
      </c>
      <c r="BU159" s="250" t="str">
        <f t="shared" si="160"/>
        <v>Aucun</v>
      </c>
      <c r="BV159" s="250" t="str">
        <f t="shared" si="161"/>
        <v>Aucun</v>
      </c>
      <c r="BW159" s="249" t="str">
        <f t="shared" si="185"/>
        <v>NON</v>
      </c>
      <c r="BX159" s="330"/>
    </row>
    <row r="160" spans="1:170" ht="12" customHeight="1" x14ac:dyDescent="0.2">
      <c r="A160" s="273" t="s">
        <v>253</v>
      </c>
      <c r="B160" s="276"/>
      <c r="C160" s="269"/>
      <c r="D160" s="299"/>
      <c r="E160" s="320">
        <f t="shared" si="187"/>
        <v>0</v>
      </c>
      <c r="F160" s="320" t="str">
        <f t="shared" si="162"/>
        <v xml:space="preserve"> </v>
      </c>
      <c r="G160" s="298"/>
      <c r="H160" s="298"/>
      <c r="I160" s="298"/>
      <c r="J160" s="298"/>
      <c r="K160" s="298"/>
      <c r="L160" s="299"/>
      <c r="M160" s="285"/>
      <c r="N160" s="274"/>
      <c r="O160" s="274"/>
      <c r="P160" s="307" t="str">
        <f>IFERROR(VLOOKUP(O160,Références!$K$11:$N$19,2)," ")</f>
        <v xml:space="preserve"> </v>
      </c>
      <c r="Q160" s="307" t="str">
        <f>IFERROR(VLOOKUP(O160,Références!$K$11:$N$19,3)," ")</f>
        <v xml:space="preserve"> </v>
      </c>
      <c r="R160" s="307" t="str">
        <f>IFERROR(VLOOKUP(O160,Références!$K$11:$N$19,4)," ")</f>
        <v xml:space="preserve"> </v>
      </c>
      <c r="S160" s="298"/>
      <c r="T160" s="298"/>
      <c r="U160" s="298"/>
      <c r="V160" s="298"/>
      <c r="W160" s="298"/>
      <c r="X160" s="299"/>
      <c r="Y160" s="298"/>
      <c r="Z160" s="298"/>
      <c r="AA160" s="298"/>
      <c r="AB160" s="277"/>
      <c r="AC160" s="277"/>
      <c r="AD160" s="277"/>
      <c r="AE160" s="277"/>
      <c r="AF160" s="277"/>
      <c r="AG160" s="277"/>
      <c r="AH160" s="277"/>
      <c r="AI160" s="277">
        <f t="shared" si="175"/>
        <v>0</v>
      </c>
      <c r="AJ160" s="299"/>
      <c r="AK160" s="298">
        <f t="shared" si="176"/>
        <v>0</v>
      </c>
      <c r="AL160" s="299"/>
      <c r="AM160" s="308">
        <f t="shared" si="177"/>
        <v>0</v>
      </c>
      <c r="AN160" s="298"/>
      <c r="AO160" s="318"/>
      <c r="AP160" s="303" t="str">
        <f t="shared" si="163"/>
        <v xml:space="preserve"> </v>
      </c>
      <c r="AQ160" s="298"/>
      <c r="AR160" s="337"/>
      <c r="AS160" s="337"/>
      <c r="AT160" s="305"/>
      <c r="AU160" s="319"/>
      <c r="AV160" s="305"/>
      <c r="AW160" s="272"/>
      <c r="AX160" s="342"/>
      <c r="AY160" s="343"/>
      <c r="AZ160" s="272"/>
      <c r="BA160" s="342" t="s">
        <v>234</v>
      </c>
      <c r="BB160" s="337"/>
      <c r="BC160" s="270">
        <f t="shared" si="178"/>
        <v>0</v>
      </c>
      <c r="BD160" s="270">
        <f t="shared" si="179"/>
        <v>0</v>
      </c>
      <c r="BE160" s="270">
        <f t="shared" si="155"/>
        <v>1</v>
      </c>
      <c r="BF160" s="270" t="str">
        <f t="shared" si="164"/>
        <v>ALIVE</v>
      </c>
      <c r="BG160" s="250" t="str">
        <f t="shared" si="156"/>
        <v>Aucune</v>
      </c>
      <c r="BH160" s="250" t="str">
        <f t="shared" si="157"/>
        <v>Aucune</v>
      </c>
      <c r="BI160" s="250" t="str">
        <f t="shared" si="158"/>
        <v>Aucune</v>
      </c>
      <c r="BJ160" s="250" t="str">
        <f t="shared" si="188"/>
        <v>NON</v>
      </c>
      <c r="BK160" s="250" t="str">
        <f t="shared" si="159"/>
        <v>NON</v>
      </c>
      <c r="BL160" s="250" t="str">
        <f t="shared" si="189"/>
        <v>Inconnu</v>
      </c>
      <c r="BM160" s="250" t="str">
        <f t="shared" si="180"/>
        <v>Inconnu</v>
      </c>
      <c r="BN160" s="250" t="str">
        <f t="shared" si="181"/>
        <v>Inconnu</v>
      </c>
      <c r="BO160" s="250" t="str">
        <f t="shared" si="190"/>
        <v>Inconnu</v>
      </c>
      <c r="BP160" s="250" t="str">
        <f t="shared" si="182"/>
        <v>Inconnu</v>
      </c>
      <c r="BQ160" s="250" t="str">
        <f t="shared" si="183"/>
        <v>Inconnu</v>
      </c>
      <c r="BR160" s="250" t="str">
        <f t="shared" si="184"/>
        <v>Aucune</v>
      </c>
      <c r="BS160" s="250">
        <f t="shared" si="186"/>
        <v>0</v>
      </c>
      <c r="BT160" s="271" t="e">
        <f>VLOOKUP($I160,Lieu_Activité!$A:$B,2,FALSE)</f>
        <v>#N/A</v>
      </c>
      <c r="BU160" s="250" t="str">
        <f t="shared" si="160"/>
        <v>Aucun</v>
      </c>
      <c r="BV160" s="250" t="str">
        <f t="shared" si="161"/>
        <v>Aucun</v>
      </c>
      <c r="BW160" s="249" t="str">
        <f t="shared" si="185"/>
        <v>NON</v>
      </c>
      <c r="BX160" s="330"/>
    </row>
    <row r="161" spans="1:170" ht="12" customHeight="1" x14ac:dyDescent="0.2">
      <c r="A161" s="273" t="s">
        <v>253</v>
      </c>
      <c r="B161" s="276"/>
      <c r="C161" s="269"/>
      <c r="D161" s="299"/>
      <c r="E161" s="320">
        <f t="shared" si="187"/>
        <v>0</v>
      </c>
      <c r="F161" s="320" t="str">
        <f t="shared" si="162"/>
        <v xml:space="preserve"> </v>
      </c>
      <c r="G161" s="298"/>
      <c r="H161" s="298"/>
      <c r="I161" s="298"/>
      <c r="J161" s="298"/>
      <c r="K161" s="298"/>
      <c r="L161" s="299"/>
      <c r="M161" s="285"/>
      <c r="N161" s="274"/>
      <c r="O161" s="274"/>
      <c r="P161" s="307" t="str">
        <f>IFERROR(VLOOKUP(O161,Références!$K$11:$N$19,2)," ")</f>
        <v xml:space="preserve"> </v>
      </c>
      <c r="Q161" s="307" t="str">
        <f>IFERROR(VLOOKUP(O161,Références!$K$11:$N$19,3)," ")</f>
        <v xml:space="preserve"> </v>
      </c>
      <c r="R161" s="307" t="str">
        <f>IFERROR(VLOOKUP(O161,Références!$K$11:$N$19,4)," ")</f>
        <v xml:space="preserve"> </v>
      </c>
      <c r="S161" s="298"/>
      <c r="T161" s="298"/>
      <c r="U161" s="298"/>
      <c r="V161" s="298"/>
      <c r="W161" s="298"/>
      <c r="X161" s="299"/>
      <c r="Y161" s="298"/>
      <c r="Z161" s="298"/>
      <c r="AA161" s="298"/>
      <c r="AB161" s="277"/>
      <c r="AC161" s="277"/>
      <c r="AD161" s="277"/>
      <c r="AE161" s="277"/>
      <c r="AF161" s="277"/>
      <c r="AG161" s="277"/>
      <c r="AH161" s="277"/>
      <c r="AI161" s="277">
        <f>SUM(AF161,AH161)</f>
        <v>0</v>
      </c>
      <c r="AJ161" s="299"/>
      <c r="AK161" s="298">
        <f>(AJ161-L161)</f>
        <v>0</v>
      </c>
      <c r="AL161" s="299"/>
      <c r="AM161" s="308">
        <f>(AL161-L161)</f>
        <v>0</v>
      </c>
      <c r="AN161" s="298"/>
      <c r="AO161" s="318"/>
      <c r="AP161" s="303" t="str">
        <f t="shared" si="163"/>
        <v xml:space="preserve"> </v>
      </c>
      <c r="AQ161" s="298"/>
      <c r="AR161" s="337"/>
      <c r="AS161" s="337"/>
      <c r="AT161" s="305"/>
      <c r="AU161" s="319"/>
      <c r="AV161" s="305"/>
      <c r="AW161" s="272"/>
      <c r="AX161" s="342"/>
      <c r="AY161" s="343"/>
      <c r="AZ161" s="272"/>
      <c r="BA161" s="342" t="s">
        <v>234</v>
      </c>
      <c r="BB161" s="337"/>
      <c r="BC161" s="270">
        <f>IF(BG161="Aucune",0,1)</f>
        <v>0</v>
      </c>
      <c r="BD161" s="270">
        <f>IF(BH161="Aucune",0,1)</f>
        <v>0</v>
      </c>
      <c r="BE161" s="270">
        <f t="shared" si="155"/>
        <v>1</v>
      </c>
      <c r="BF161" s="270" t="str">
        <f t="shared" si="164"/>
        <v>ALIVE</v>
      </c>
      <c r="BG161" s="250" t="str">
        <f t="shared" si="156"/>
        <v>Aucune</v>
      </c>
      <c r="BH161" s="250" t="str">
        <f t="shared" si="157"/>
        <v>Aucune</v>
      </c>
      <c r="BI161" s="250" t="str">
        <f t="shared" si="158"/>
        <v>Aucune</v>
      </c>
      <c r="BJ161" s="250" t="str">
        <f t="shared" si="188"/>
        <v>NON</v>
      </c>
      <c r="BK161" s="250" t="str">
        <f t="shared" si="159"/>
        <v>NON</v>
      </c>
      <c r="BL161" s="250" t="str">
        <f t="shared" si="189"/>
        <v>Inconnu</v>
      </c>
      <c r="BM161" s="250" t="str">
        <f>IF($O161&lt;&gt;"HTX",IF($O161&lt;&gt;"LVAD",BL161,"Inconnu"),"Inconnu")</f>
        <v>Inconnu</v>
      </c>
      <c r="BN161" s="250" t="str">
        <f>IF($O161="HTX",BL161,IF($O161="LVAD",BL161,"Inconnu"))</f>
        <v>Inconnu</v>
      </c>
      <c r="BO161" s="250" t="str">
        <f t="shared" si="190"/>
        <v>Inconnu</v>
      </c>
      <c r="BP161" s="250" t="str">
        <f>IF($O161&lt;&gt;"HTX",IF($O161&lt;&gt;"LVAD",BO161,"Inconnu"),"Inconnu")</f>
        <v>Inconnu</v>
      </c>
      <c r="BQ161" s="250" t="str">
        <f>IF($O161="HTX",BO161,IF($O161="LVAD",BO161,"Inconnu"))</f>
        <v>Inconnu</v>
      </c>
      <c r="BR161" s="250" t="str">
        <f>IF(BH161="Aucune",IF(BI161="Aucune","Aucune","Transfusé"),"Transfusé")</f>
        <v>Aucune</v>
      </c>
      <c r="BS161" s="250">
        <f t="shared" si="186"/>
        <v>0</v>
      </c>
      <c r="BT161" s="271" t="e">
        <f>VLOOKUP($I161,Lieu_Activité!$A:$B,2,FALSE)</f>
        <v>#N/A</v>
      </c>
      <c r="BU161" s="250" t="str">
        <f t="shared" si="160"/>
        <v>Aucun</v>
      </c>
      <c r="BV161" s="250" t="str">
        <f t="shared" si="161"/>
        <v>Aucun</v>
      </c>
      <c r="BW161" s="249" t="str">
        <f t="shared" si="185"/>
        <v>NON</v>
      </c>
      <c r="BX161" s="330"/>
    </row>
    <row r="162" spans="1:170" ht="12" customHeight="1" x14ac:dyDescent="0.2">
      <c r="A162" s="273" t="s">
        <v>253</v>
      </c>
      <c r="B162" s="276"/>
      <c r="C162" s="269"/>
      <c r="D162" s="299"/>
      <c r="E162" s="320">
        <f t="shared" si="187"/>
        <v>0</v>
      </c>
      <c r="F162" s="320" t="str">
        <f t="shared" si="162"/>
        <v xml:space="preserve"> </v>
      </c>
      <c r="G162" s="298"/>
      <c r="H162" s="298"/>
      <c r="I162" s="298"/>
      <c r="J162" s="298"/>
      <c r="K162" s="298"/>
      <c r="L162" s="299"/>
      <c r="M162" s="285"/>
      <c r="N162" s="274"/>
      <c r="O162" s="274"/>
      <c r="P162" s="307" t="str">
        <f>IFERROR(VLOOKUP(O162,Références!$K$11:$N$19,2)," ")</f>
        <v xml:space="preserve"> </v>
      </c>
      <c r="Q162" s="307" t="str">
        <f>IFERROR(VLOOKUP(O162,Références!$K$11:$N$19,3)," ")</f>
        <v xml:space="preserve"> </v>
      </c>
      <c r="R162" s="307" t="str">
        <f>IFERROR(VLOOKUP(O162,Références!$K$11:$N$19,4)," ")</f>
        <v xml:space="preserve"> </v>
      </c>
      <c r="S162" s="298"/>
      <c r="T162" s="298"/>
      <c r="U162" s="298"/>
      <c r="V162" s="298"/>
      <c r="W162" s="298"/>
      <c r="X162" s="299"/>
      <c r="Y162" s="298"/>
      <c r="Z162" s="298"/>
      <c r="AA162" s="298"/>
      <c r="AB162" s="277"/>
      <c r="AC162" s="277"/>
      <c r="AD162" s="277"/>
      <c r="AE162" s="277"/>
      <c r="AF162" s="277"/>
      <c r="AG162" s="277"/>
      <c r="AH162" s="277"/>
      <c r="AI162" s="277">
        <f>SUM(AF162,AH162)</f>
        <v>0</v>
      </c>
      <c r="AJ162" s="299"/>
      <c r="AK162" s="298">
        <f>(AJ162-L162)</f>
        <v>0</v>
      </c>
      <c r="AL162" s="299"/>
      <c r="AM162" s="308">
        <f>(AL162-L162)</f>
        <v>0</v>
      </c>
      <c r="AN162" s="298"/>
      <c r="AO162" s="318"/>
      <c r="AP162" s="303" t="str">
        <f t="shared" si="163"/>
        <v xml:space="preserve"> </v>
      </c>
      <c r="AQ162" s="298"/>
      <c r="AR162" s="337"/>
      <c r="AS162" s="337"/>
      <c r="AT162" s="305"/>
      <c r="AU162" s="319"/>
      <c r="AV162" s="305"/>
      <c r="AW162" s="272"/>
      <c r="AX162" s="342"/>
      <c r="AY162" s="343"/>
      <c r="AZ162" s="272"/>
      <c r="BA162" s="342" t="s">
        <v>234</v>
      </c>
      <c r="BB162" s="337"/>
      <c r="BC162" s="270">
        <f>IF(BG162="Aucune",0,1)</f>
        <v>0</v>
      </c>
      <c r="BD162" s="270">
        <f>IF(BH162="Aucune",0,1)</f>
        <v>0</v>
      </c>
      <c r="BE162" s="270">
        <f t="shared" si="155"/>
        <v>1</v>
      </c>
      <c r="BF162" s="270" t="str">
        <f t="shared" si="164"/>
        <v>ALIVE</v>
      </c>
      <c r="BG162" s="250" t="str">
        <f t="shared" si="156"/>
        <v>Aucune</v>
      </c>
      <c r="BH162" s="250" t="str">
        <f t="shared" si="157"/>
        <v>Aucune</v>
      </c>
      <c r="BI162" s="250" t="str">
        <f t="shared" si="158"/>
        <v>Aucune</v>
      </c>
      <c r="BJ162" s="250" t="str">
        <f t="shared" si="188"/>
        <v>NON</v>
      </c>
      <c r="BK162" s="250" t="str">
        <f t="shared" si="159"/>
        <v>NON</v>
      </c>
      <c r="BL162" s="250" t="str">
        <f t="shared" si="189"/>
        <v>Inconnu</v>
      </c>
      <c r="BM162" s="250" t="str">
        <f>IF($O162&lt;&gt;"HTX",IF($O162&lt;&gt;"LVAD",BL162,"Inconnu"),"Inconnu")</f>
        <v>Inconnu</v>
      </c>
      <c r="BN162" s="250" t="str">
        <f>IF($O162="HTX",BL162,IF($O162="LVAD",BL162,"Inconnu"))</f>
        <v>Inconnu</v>
      </c>
      <c r="BO162" s="250" t="str">
        <f t="shared" si="190"/>
        <v>Inconnu</v>
      </c>
      <c r="BP162" s="250" t="str">
        <f>IF($O162&lt;&gt;"HTX",IF($O162&lt;&gt;"LVAD",BO162,"Inconnu"),"Inconnu")</f>
        <v>Inconnu</v>
      </c>
      <c r="BQ162" s="250" t="str">
        <f>IF($O162="HTX",BO162,IF($O162="LVAD",BO162,"Inconnu"))</f>
        <v>Inconnu</v>
      </c>
      <c r="BR162" s="250" t="str">
        <f>IF(BH162="Aucune",IF(BI162="Aucune","Aucune","Transfusé"),"Transfusé")</f>
        <v>Aucune</v>
      </c>
      <c r="BS162" s="250">
        <f t="shared" si="186"/>
        <v>0</v>
      </c>
      <c r="BT162" s="271" t="e">
        <f>VLOOKUP($I162,Lieu_Activité!$A:$B,2,FALSE)</f>
        <v>#N/A</v>
      </c>
      <c r="BU162" s="250" t="str">
        <f t="shared" si="160"/>
        <v>Aucun</v>
      </c>
      <c r="BV162" s="250" t="str">
        <f t="shared" si="161"/>
        <v>Aucun</v>
      </c>
      <c r="BW162" s="249" t="str">
        <f t="shared" si="185"/>
        <v>NON</v>
      </c>
      <c r="BX162" s="330"/>
    </row>
    <row r="163" spans="1:170" ht="12" customHeight="1" x14ac:dyDescent="0.2">
      <c r="A163" s="273" t="s">
        <v>253</v>
      </c>
      <c r="B163" s="276"/>
      <c r="C163" s="269"/>
      <c r="D163" s="299"/>
      <c r="E163" s="320">
        <f t="shared" ref="E163:E168" si="191">(L163-D163)/365</f>
        <v>0</v>
      </c>
      <c r="F163" s="320" t="str">
        <f t="shared" si="162"/>
        <v xml:space="preserve"> </v>
      </c>
      <c r="G163" s="298"/>
      <c r="H163" s="298"/>
      <c r="I163" s="298"/>
      <c r="J163" s="298"/>
      <c r="K163" s="298"/>
      <c r="L163" s="299"/>
      <c r="M163" s="285"/>
      <c r="N163" s="274"/>
      <c r="O163" s="274"/>
      <c r="P163" s="307" t="str">
        <f>IFERROR(VLOOKUP(O163,Références!$K$11:$N$19,2)," ")</f>
        <v xml:space="preserve"> </v>
      </c>
      <c r="Q163" s="307" t="str">
        <f>IFERROR(VLOOKUP(O163,Références!$K$11:$N$19,3)," ")</f>
        <v xml:space="preserve"> </v>
      </c>
      <c r="R163" s="307" t="str">
        <f>IFERROR(VLOOKUP(O163,Références!$K$11:$N$19,4)," ")</f>
        <v xml:space="preserve"> </v>
      </c>
      <c r="S163" s="298"/>
      <c r="T163" s="298"/>
      <c r="U163" s="298"/>
      <c r="V163" s="298"/>
      <c r="W163" s="298"/>
      <c r="X163" s="299"/>
      <c r="Y163" s="298"/>
      <c r="Z163" s="298"/>
      <c r="AA163" s="298"/>
      <c r="AB163" s="277"/>
      <c r="AC163" s="277"/>
      <c r="AD163" s="277"/>
      <c r="AE163" s="277"/>
      <c r="AF163" s="277"/>
      <c r="AG163" s="277"/>
      <c r="AH163" s="277"/>
      <c r="AI163" s="277">
        <f t="shared" ref="AI163:AI168" si="192">SUM(AF163,AH163)</f>
        <v>0</v>
      </c>
      <c r="AJ163" s="299"/>
      <c r="AK163" s="298">
        <f t="shared" ref="AK163:AK168" si="193">(AJ163-L163)</f>
        <v>0</v>
      </c>
      <c r="AL163" s="299"/>
      <c r="AM163" s="308">
        <f t="shared" ref="AM163:AM168" si="194">(AL163-L163)</f>
        <v>0</v>
      </c>
      <c r="AN163" s="298"/>
      <c r="AO163" s="318"/>
      <c r="AP163" s="303" t="str">
        <f t="shared" si="163"/>
        <v xml:space="preserve"> </v>
      </c>
      <c r="AQ163" s="298"/>
      <c r="AR163" s="337"/>
      <c r="AS163" s="337"/>
      <c r="AT163" s="305"/>
      <c r="AU163" s="319"/>
      <c r="AV163" s="305"/>
      <c r="AW163" s="272"/>
      <c r="AX163" s="342"/>
      <c r="AY163" s="343"/>
      <c r="AZ163" s="272"/>
      <c r="BA163" s="342" t="s">
        <v>234</v>
      </c>
      <c r="BB163" s="337"/>
      <c r="BC163" s="270">
        <f t="shared" ref="BC163:BC168" si="195">IF(BG163="Aucune",0,1)</f>
        <v>0</v>
      </c>
      <c r="BD163" s="270">
        <f t="shared" ref="BD163:BD168" si="196">IF(BH163="Aucune",0,1)</f>
        <v>0</v>
      </c>
      <c r="BE163" s="270">
        <f t="shared" si="155"/>
        <v>1</v>
      </c>
      <c r="BF163" s="270" t="str">
        <f t="shared" si="164"/>
        <v>ALIVE</v>
      </c>
      <c r="BG163" s="250" t="str">
        <f t="shared" si="156"/>
        <v>Aucune</v>
      </c>
      <c r="BH163" s="250" t="str">
        <f t="shared" si="157"/>
        <v>Aucune</v>
      </c>
      <c r="BI163" s="250" t="str">
        <f t="shared" si="158"/>
        <v>Aucune</v>
      </c>
      <c r="BJ163" s="250" t="str">
        <f t="shared" si="188"/>
        <v>NON</v>
      </c>
      <c r="BK163" s="250" t="str">
        <f t="shared" si="159"/>
        <v>NON</v>
      </c>
      <c r="BL163" s="250" t="str">
        <f t="shared" si="189"/>
        <v>Inconnu</v>
      </c>
      <c r="BM163" s="250" t="str">
        <f t="shared" ref="BM163:BM168" si="197">IF($O163&lt;&gt;"HTX",IF($O163&lt;&gt;"LVAD",BL163,"Inconnu"),"Inconnu")</f>
        <v>Inconnu</v>
      </c>
      <c r="BN163" s="250" t="str">
        <f t="shared" ref="BN163:BN168" si="198">IF($O163="HTX",BL163,IF($O163="LVAD",BL163,"Inconnu"))</f>
        <v>Inconnu</v>
      </c>
      <c r="BO163" s="250" t="str">
        <f t="shared" si="190"/>
        <v>Inconnu</v>
      </c>
      <c r="BP163" s="250" t="str">
        <f t="shared" ref="BP163:BP168" si="199">IF($O163&lt;&gt;"HTX",IF($O163&lt;&gt;"LVAD",BO163,"Inconnu"),"Inconnu")</f>
        <v>Inconnu</v>
      </c>
      <c r="BQ163" s="250" t="str">
        <f t="shared" ref="BQ163:BQ168" si="200">IF($O163="HTX",BO163,IF($O163="LVAD",BO163,"Inconnu"))</f>
        <v>Inconnu</v>
      </c>
      <c r="BR163" s="250" t="str">
        <f t="shared" ref="BR163:BR168" si="201">IF(BH163="Aucune",IF(BI163="Aucune","Aucune","Transfusé"),"Transfusé")</f>
        <v>Aucune</v>
      </c>
      <c r="BS163" s="250">
        <f t="shared" si="186"/>
        <v>0</v>
      </c>
      <c r="BT163" s="271" t="e">
        <f>VLOOKUP($I163,Lieu_Activité!$A:$B,2,FALSE)</f>
        <v>#N/A</v>
      </c>
      <c r="BU163" s="250" t="str">
        <f t="shared" si="160"/>
        <v>Aucun</v>
      </c>
      <c r="BV163" s="250" t="str">
        <f t="shared" si="161"/>
        <v>Aucun</v>
      </c>
      <c r="BW163" s="249" t="str">
        <f t="shared" si="185"/>
        <v>NON</v>
      </c>
      <c r="BX163" s="330"/>
    </row>
    <row r="164" spans="1:170" ht="12" customHeight="1" x14ac:dyDescent="0.2">
      <c r="A164" s="273" t="s">
        <v>253</v>
      </c>
      <c r="B164" s="276"/>
      <c r="C164" s="269"/>
      <c r="D164" s="299"/>
      <c r="E164" s="320">
        <f t="shared" si="191"/>
        <v>0</v>
      </c>
      <c r="F164" s="320" t="str">
        <f t="shared" si="162"/>
        <v xml:space="preserve"> </v>
      </c>
      <c r="G164" s="298"/>
      <c r="H164" s="298"/>
      <c r="I164" s="298"/>
      <c r="J164" s="298"/>
      <c r="K164" s="298"/>
      <c r="L164" s="299"/>
      <c r="M164" s="285"/>
      <c r="N164" s="274"/>
      <c r="O164" s="274"/>
      <c r="P164" s="307" t="str">
        <f>IFERROR(VLOOKUP(O164,Références!$K$11:$N$19,2)," ")</f>
        <v xml:space="preserve"> </v>
      </c>
      <c r="Q164" s="307" t="str">
        <f>IFERROR(VLOOKUP(O164,Références!$K$11:$N$19,3)," ")</f>
        <v xml:space="preserve"> </v>
      </c>
      <c r="R164" s="307" t="str">
        <f>IFERROR(VLOOKUP(O164,Références!$K$11:$N$19,4)," ")</f>
        <v xml:space="preserve"> </v>
      </c>
      <c r="S164" s="298"/>
      <c r="T164" s="298"/>
      <c r="U164" s="298"/>
      <c r="V164" s="298"/>
      <c r="W164" s="298"/>
      <c r="X164" s="299"/>
      <c r="Y164" s="298"/>
      <c r="Z164" s="298"/>
      <c r="AA164" s="298"/>
      <c r="AB164" s="277"/>
      <c r="AC164" s="277"/>
      <c r="AD164" s="277"/>
      <c r="AE164" s="277"/>
      <c r="AF164" s="277"/>
      <c r="AG164" s="277"/>
      <c r="AH164" s="277"/>
      <c r="AI164" s="277">
        <f t="shared" si="192"/>
        <v>0</v>
      </c>
      <c r="AJ164" s="299"/>
      <c r="AK164" s="298">
        <f t="shared" si="193"/>
        <v>0</v>
      </c>
      <c r="AL164" s="299"/>
      <c r="AM164" s="308">
        <f t="shared" si="194"/>
        <v>0</v>
      </c>
      <c r="AN164" s="298"/>
      <c r="AO164" s="318"/>
      <c r="AP164" s="303" t="str">
        <f t="shared" si="163"/>
        <v xml:space="preserve"> </v>
      </c>
      <c r="AQ164" s="298"/>
      <c r="AR164" s="337"/>
      <c r="AS164" s="337"/>
      <c r="AT164" s="305"/>
      <c r="AU164" s="319"/>
      <c r="AV164" s="305"/>
      <c r="AW164" s="272"/>
      <c r="AX164" s="342"/>
      <c r="AY164" s="343"/>
      <c r="AZ164" s="272"/>
      <c r="BA164" s="342" t="s">
        <v>234</v>
      </c>
      <c r="BB164" s="337"/>
      <c r="BC164" s="270">
        <f t="shared" si="195"/>
        <v>0</v>
      </c>
      <c r="BD164" s="270">
        <f t="shared" si="196"/>
        <v>0</v>
      </c>
      <c r="BE164" s="270">
        <f t="shared" si="155"/>
        <v>1</v>
      </c>
      <c r="BF164" s="270" t="str">
        <f t="shared" si="164"/>
        <v>ALIVE</v>
      </c>
      <c r="BG164" s="250" t="str">
        <f t="shared" si="156"/>
        <v>Aucune</v>
      </c>
      <c r="BH164" s="250" t="str">
        <f t="shared" si="157"/>
        <v>Aucune</v>
      </c>
      <c r="BI164" s="250" t="str">
        <f t="shared" si="158"/>
        <v>Aucune</v>
      </c>
      <c r="BJ164" s="250" t="str">
        <f t="shared" si="188"/>
        <v>NON</v>
      </c>
      <c r="BK164" s="250" t="str">
        <f t="shared" si="159"/>
        <v>NON</v>
      </c>
      <c r="BL164" s="250" t="str">
        <f t="shared" si="189"/>
        <v>Inconnu</v>
      </c>
      <c r="BM164" s="250" t="str">
        <f t="shared" si="197"/>
        <v>Inconnu</v>
      </c>
      <c r="BN164" s="250" t="str">
        <f t="shared" si="198"/>
        <v>Inconnu</v>
      </c>
      <c r="BO164" s="250" t="str">
        <f t="shared" si="190"/>
        <v>Inconnu</v>
      </c>
      <c r="BP164" s="250" t="str">
        <f t="shared" si="199"/>
        <v>Inconnu</v>
      </c>
      <c r="BQ164" s="250" t="str">
        <f t="shared" si="200"/>
        <v>Inconnu</v>
      </c>
      <c r="BR164" s="250" t="str">
        <f t="shared" si="201"/>
        <v>Aucune</v>
      </c>
      <c r="BS164" s="250">
        <f t="shared" si="186"/>
        <v>0</v>
      </c>
      <c r="BT164" s="271" t="e">
        <f>VLOOKUP($I164,Lieu_Activité!$A:$B,2,FALSE)</f>
        <v>#N/A</v>
      </c>
      <c r="BU164" s="250" t="str">
        <f t="shared" si="160"/>
        <v>Aucun</v>
      </c>
      <c r="BV164" s="250" t="str">
        <f t="shared" si="161"/>
        <v>Aucun</v>
      </c>
      <c r="BW164" s="249" t="str">
        <f t="shared" si="185"/>
        <v>NON</v>
      </c>
      <c r="BX164" s="330"/>
    </row>
    <row r="165" spans="1:170" ht="12" customHeight="1" x14ac:dyDescent="0.2">
      <c r="A165" s="273" t="s">
        <v>253</v>
      </c>
      <c r="B165" s="276"/>
      <c r="C165" s="269"/>
      <c r="D165" s="299"/>
      <c r="E165" s="320">
        <f t="shared" si="191"/>
        <v>0</v>
      </c>
      <c r="F165" s="320" t="str">
        <f t="shared" si="162"/>
        <v xml:space="preserve"> </v>
      </c>
      <c r="G165" s="298"/>
      <c r="H165" s="298"/>
      <c r="I165" s="298"/>
      <c r="J165" s="298"/>
      <c r="K165" s="298"/>
      <c r="L165" s="299"/>
      <c r="M165" s="285"/>
      <c r="N165" s="274"/>
      <c r="O165" s="274"/>
      <c r="P165" s="307" t="str">
        <f>IFERROR(VLOOKUP(O165,Références!$K$11:$N$19,2)," ")</f>
        <v xml:space="preserve"> </v>
      </c>
      <c r="Q165" s="307" t="str">
        <f>IFERROR(VLOOKUP(O165,Références!$K$11:$N$19,3)," ")</f>
        <v xml:space="preserve"> </v>
      </c>
      <c r="R165" s="307" t="str">
        <f>IFERROR(VLOOKUP(O165,Références!$K$11:$N$19,4)," ")</f>
        <v xml:space="preserve"> </v>
      </c>
      <c r="S165" s="298"/>
      <c r="T165" s="298"/>
      <c r="U165" s="298"/>
      <c r="V165" s="298"/>
      <c r="W165" s="298"/>
      <c r="X165" s="299"/>
      <c r="Y165" s="298"/>
      <c r="Z165" s="298"/>
      <c r="AA165" s="298"/>
      <c r="AB165" s="277"/>
      <c r="AC165" s="277"/>
      <c r="AD165" s="277"/>
      <c r="AE165" s="277"/>
      <c r="AF165" s="277"/>
      <c r="AG165" s="277"/>
      <c r="AH165" s="277"/>
      <c r="AI165" s="277">
        <f t="shared" si="192"/>
        <v>0</v>
      </c>
      <c r="AJ165" s="299"/>
      <c r="AK165" s="298">
        <f t="shared" si="193"/>
        <v>0</v>
      </c>
      <c r="AL165" s="299"/>
      <c r="AM165" s="308">
        <f t="shared" si="194"/>
        <v>0</v>
      </c>
      <c r="AN165" s="298"/>
      <c r="AO165" s="318"/>
      <c r="AP165" s="303" t="str">
        <f t="shared" si="163"/>
        <v xml:space="preserve"> </v>
      </c>
      <c r="AQ165" s="298"/>
      <c r="AR165" s="337"/>
      <c r="AS165" s="337"/>
      <c r="AT165" s="305"/>
      <c r="AU165" s="319"/>
      <c r="AV165" s="305"/>
      <c r="AW165" s="272"/>
      <c r="AX165" s="342"/>
      <c r="AY165" s="343"/>
      <c r="AZ165" s="272"/>
      <c r="BA165" s="342" t="s">
        <v>234</v>
      </c>
      <c r="BB165" s="337"/>
      <c r="BC165" s="270">
        <f t="shared" si="195"/>
        <v>0</v>
      </c>
      <c r="BD165" s="270">
        <f t="shared" si="196"/>
        <v>0</v>
      </c>
      <c r="BE165" s="270">
        <f t="shared" si="155"/>
        <v>1</v>
      </c>
      <c r="BF165" s="270" t="str">
        <f t="shared" si="164"/>
        <v>ALIVE</v>
      </c>
      <c r="BG165" s="250" t="str">
        <f t="shared" si="156"/>
        <v>Aucune</v>
      </c>
      <c r="BH165" s="250" t="str">
        <f t="shared" si="157"/>
        <v>Aucune</v>
      </c>
      <c r="BI165" s="250" t="str">
        <f t="shared" si="158"/>
        <v>Aucune</v>
      </c>
      <c r="BJ165" s="250" t="str">
        <f t="shared" si="188"/>
        <v>NON</v>
      </c>
      <c r="BK165" s="250" t="str">
        <f t="shared" si="159"/>
        <v>NON</v>
      </c>
      <c r="BL165" s="250" t="str">
        <f t="shared" si="189"/>
        <v>Inconnu</v>
      </c>
      <c r="BM165" s="250" t="str">
        <f t="shared" si="197"/>
        <v>Inconnu</v>
      </c>
      <c r="BN165" s="250" t="str">
        <f t="shared" si="198"/>
        <v>Inconnu</v>
      </c>
      <c r="BO165" s="250" t="str">
        <f t="shared" si="190"/>
        <v>Inconnu</v>
      </c>
      <c r="BP165" s="250" t="str">
        <f t="shared" si="199"/>
        <v>Inconnu</v>
      </c>
      <c r="BQ165" s="250" t="str">
        <f t="shared" si="200"/>
        <v>Inconnu</v>
      </c>
      <c r="BR165" s="250" t="str">
        <f t="shared" si="201"/>
        <v>Aucune</v>
      </c>
      <c r="BS165" s="250">
        <f t="shared" si="186"/>
        <v>0</v>
      </c>
      <c r="BT165" s="271" t="e">
        <f>VLOOKUP($I165,Lieu_Activité!$A:$B,2,FALSE)</f>
        <v>#N/A</v>
      </c>
      <c r="BU165" s="250" t="str">
        <f t="shared" si="160"/>
        <v>Aucun</v>
      </c>
      <c r="BV165" s="250" t="str">
        <f t="shared" si="161"/>
        <v>Aucun</v>
      </c>
      <c r="BW165" s="249" t="str">
        <f t="shared" si="185"/>
        <v>NON</v>
      </c>
      <c r="BX165" s="330"/>
    </row>
    <row r="166" spans="1:170" ht="12" customHeight="1" x14ac:dyDescent="0.2">
      <c r="A166" s="273" t="s">
        <v>253</v>
      </c>
      <c r="B166" s="276"/>
      <c r="C166" s="269"/>
      <c r="D166" s="299"/>
      <c r="E166" s="320">
        <f t="shared" si="191"/>
        <v>0</v>
      </c>
      <c r="F166" s="320" t="str">
        <f t="shared" si="162"/>
        <v xml:space="preserve"> </v>
      </c>
      <c r="G166" s="298"/>
      <c r="H166" s="298"/>
      <c r="I166" s="298"/>
      <c r="J166" s="298"/>
      <c r="K166" s="298"/>
      <c r="L166" s="299"/>
      <c r="M166" s="285"/>
      <c r="N166" s="274"/>
      <c r="O166" s="274"/>
      <c r="P166" s="307" t="str">
        <f>IFERROR(VLOOKUP(O166,Références!$K$11:$N$19,2)," ")</f>
        <v xml:space="preserve"> </v>
      </c>
      <c r="Q166" s="307" t="str">
        <f>IFERROR(VLOOKUP(O166,Références!$K$11:$N$19,3)," ")</f>
        <v xml:space="preserve"> </v>
      </c>
      <c r="R166" s="307" t="str">
        <f>IFERROR(VLOOKUP(O166,Références!$K$11:$N$19,4)," ")</f>
        <v xml:space="preserve"> </v>
      </c>
      <c r="S166" s="298"/>
      <c r="T166" s="298"/>
      <c r="U166" s="298"/>
      <c r="V166" s="298"/>
      <c r="W166" s="298"/>
      <c r="X166" s="299"/>
      <c r="Y166" s="298"/>
      <c r="Z166" s="298"/>
      <c r="AA166" s="298"/>
      <c r="AB166" s="277"/>
      <c r="AC166" s="277"/>
      <c r="AD166" s="277"/>
      <c r="AE166" s="277"/>
      <c r="AF166" s="277"/>
      <c r="AG166" s="277"/>
      <c r="AH166" s="277"/>
      <c r="AI166" s="277">
        <f t="shared" si="192"/>
        <v>0</v>
      </c>
      <c r="AJ166" s="299"/>
      <c r="AK166" s="298">
        <f t="shared" si="193"/>
        <v>0</v>
      </c>
      <c r="AL166" s="299"/>
      <c r="AM166" s="308">
        <f t="shared" si="194"/>
        <v>0</v>
      </c>
      <c r="AN166" s="298"/>
      <c r="AO166" s="318"/>
      <c r="AP166" s="303" t="str">
        <f t="shared" si="163"/>
        <v xml:space="preserve"> </v>
      </c>
      <c r="AQ166" s="298"/>
      <c r="AR166" s="337"/>
      <c r="AS166" s="337"/>
      <c r="AT166" s="305"/>
      <c r="AU166" s="319"/>
      <c r="AV166" s="305"/>
      <c r="AW166" s="272"/>
      <c r="AX166" s="342"/>
      <c r="AY166" s="343"/>
      <c r="AZ166" s="272"/>
      <c r="BA166" s="342" t="s">
        <v>234</v>
      </c>
      <c r="BB166" s="337"/>
      <c r="BC166" s="270">
        <f t="shared" si="195"/>
        <v>0</v>
      </c>
      <c r="BD166" s="270">
        <f t="shared" si="196"/>
        <v>0</v>
      </c>
      <c r="BE166" s="270">
        <f t="shared" si="155"/>
        <v>1</v>
      </c>
      <c r="BF166" s="270" t="str">
        <f t="shared" si="164"/>
        <v>ALIVE</v>
      </c>
      <c r="BG166" s="250" t="str">
        <f t="shared" si="156"/>
        <v>Aucune</v>
      </c>
      <c r="BH166" s="250" t="str">
        <f t="shared" si="157"/>
        <v>Aucune</v>
      </c>
      <c r="BI166" s="250" t="str">
        <f t="shared" si="158"/>
        <v>Aucune</v>
      </c>
      <c r="BJ166" s="250" t="str">
        <f t="shared" si="188"/>
        <v>NON</v>
      </c>
      <c r="BK166" s="250" t="str">
        <f t="shared" si="159"/>
        <v>NON</v>
      </c>
      <c r="BL166" s="250" t="str">
        <f t="shared" si="189"/>
        <v>Inconnu</v>
      </c>
      <c r="BM166" s="250" t="str">
        <f t="shared" si="197"/>
        <v>Inconnu</v>
      </c>
      <c r="BN166" s="250" t="str">
        <f t="shared" si="198"/>
        <v>Inconnu</v>
      </c>
      <c r="BO166" s="250" t="str">
        <f t="shared" si="190"/>
        <v>Inconnu</v>
      </c>
      <c r="BP166" s="250" t="str">
        <f t="shared" si="199"/>
        <v>Inconnu</v>
      </c>
      <c r="BQ166" s="250" t="str">
        <f t="shared" si="200"/>
        <v>Inconnu</v>
      </c>
      <c r="BR166" s="250" t="str">
        <f t="shared" si="201"/>
        <v>Aucune</v>
      </c>
      <c r="BS166" s="250">
        <f t="shared" si="186"/>
        <v>0</v>
      </c>
      <c r="BT166" s="271" t="e">
        <f>VLOOKUP($I166,Lieu_Activité!$A:$B,2,FALSE)</f>
        <v>#N/A</v>
      </c>
      <c r="BU166" s="250" t="str">
        <f t="shared" si="160"/>
        <v>Aucun</v>
      </c>
      <c r="BV166" s="250" t="str">
        <f t="shared" si="161"/>
        <v>Aucun</v>
      </c>
      <c r="BW166" s="249" t="str">
        <f t="shared" si="185"/>
        <v>NON</v>
      </c>
      <c r="BX166" s="330"/>
    </row>
    <row r="167" spans="1:170" ht="12" customHeight="1" x14ac:dyDescent="0.2">
      <c r="A167" s="273" t="s">
        <v>253</v>
      </c>
      <c r="B167" s="276"/>
      <c r="C167" s="269"/>
      <c r="D167" s="299"/>
      <c r="E167" s="320">
        <f t="shared" si="191"/>
        <v>0</v>
      </c>
      <c r="F167" s="320" t="str">
        <f t="shared" si="162"/>
        <v xml:space="preserve"> </v>
      </c>
      <c r="G167" s="298"/>
      <c r="H167" s="298"/>
      <c r="I167" s="298"/>
      <c r="J167" s="298"/>
      <c r="K167" s="298"/>
      <c r="L167" s="299"/>
      <c r="M167" s="285"/>
      <c r="N167" s="274"/>
      <c r="O167" s="274"/>
      <c r="P167" s="307" t="str">
        <f>IFERROR(VLOOKUP(O167,Références!$K$11:$N$19,2)," ")</f>
        <v xml:space="preserve"> </v>
      </c>
      <c r="Q167" s="307" t="str">
        <f>IFERROR(VLOOKUP(O167,Références!$K$11:$N$19,3)," ")</f>
        <v xml:space="preserve"> </v>
      </c>
      <c r="R167" s="307" t="str">
        <f>IFERROR(VLOOKUP(O167,Références!$K$11:$N$19,4)," ")</f>
        <v xml:space="preserve"> </v>
      </c>
      <c r="S167" s="298"/>
      <c r="T167" s="298"/>
      <c r="U167" s="298"/>
      <c r="V167" s="298"/>
      <c r="W167" s="298"/>
      <c r="X167" s="299"/>
      <c r="Y167" s="298"/>
      <c r="Z167" s="298"/>
      <c r="AA167" s="298"/>
      <c r="AB167" s="277"/>
      <c r="AC167" s="277"/>
      <c r="AD167" s="277"/>
      <c r="AE167" s="277"/>
      <c r="AF167" s="277"/>
      <c r="AG167" s="277"/>
      <c r="AH167" s="277"/>
      <c r="AI167" s="277">
        <f t="shared" si="192"/>
        <v>0</v>
      </c>
      <c r="AJ167" s="299"/>
      <c r="AK167" s="298">
        <f t="shared" si="193"/>
        <v>0</v>
      </c>
      <c r="AL167" s="299"/>
      <c r="AM167" s="308">
        <f t="shared" si="194"/>
        <v>0</v>
      </c>
      <c r="AN167" s="298"/>
      <c r="AO167" s="318"/>
      <c r="AP167" s="303" t="str">
        <f t="shared" si="163"/>
        <v xml:space="preserve"> </v>
      </c>
      <c r="AQ167" s="298"/>
      <c r="AR167" s="337"/>
      <c r="AS167" s="337"/>
      <c r="AT167" s="305"/>
      <c r="AU167" s="319"/>
      <c r="AV167" s="305"/>
      <c r="AW167" s="272"/>
      <c r="AX167" s="342"/>
      <c r="AY167" s="343"/>
      <c r="AZ167" s="272"/>
      <c r="BA167" s="342" t="s">
        <v>234</v>
      </c>
      <c r="BB167" s="337"/>
      <c r="BC167" s="270">
        <f t="shared" si="195"/>
        <v>0</v>
      </c>
      <c r="BD167" s="270">
        <f t="shared" si="196"/>
        <v>0</v>
      </c>
      <c r="BE167" s="270">
        <f t="shared" si="155"/>
        <v>1</v>
      </c>
      <c r="BF167" s="270" t="str">
        <f t="shared" si="164"/>
        <v>ALIVE</v>
      </c>
      <c r="BG167" s="250" t="str">
        <f t="shared" si="156"/>
        <v>Aucune</v>
      </c>
      <c r="BH167" s="250" t="str">
        <f t="shared" si="157"/>
        <v>Aucune</v>
      </c>
      <c r="BI167" s="250" t="str">
        <f t="shared" si="158"/>
        <v>Aucune</v>
      </c>
      <c r="BJ167" s="250" t="str">
        <f t="shared" si="188"/>
        <v>NON</v>
      </c>
      <c r="BK167" s="250" t="str">
        <f t="shared" si="159"/>
        <v>NON</v>
      </c>
      <c r="BL167" s="250" t="str">
        <f t="shared" si="189"/>
        <v>Inconnu</v>
      </c>
      <c r="BM167" s="250" t="str">
        <f t="shared" si="197"/>
        <v>Inconnu</v>
      </c>
      <c r="BN167" s="250" t="str">
        <f t="shared" si="198"/>
        <v>Inconnu</v>
      </c>
      <c r="BO167" s="250" t="str">
        <f t="shared" si="190"/>
        <v>Inconnu</v>
      </c>
      <c r="BP167" s="250" t="str">
        <f t="shared" si="199"/>
        <v>Inconnu</v>
      </c>
      <c r="BQ167" s="250" t="str">
        <f t="shared" si="200"/>
        <v>Inconnu</v>
      </c>
      <c r="BR167" s="250" t="str">
        <f t="shared" si="201"/>
        <v>Aucune</v>
      </c>
      <c r="BS167" s="250">
        <f t="shared" si="186"/>
        <v>0</v>
      </c>
      <c r="BT167" s="271" t="e">
        <f>VLOOKUP($I167,Lieu_Activité!$A:$B,2,FALSE)</f>
        <v>#N/A</v>
      </c>
      <c r="BU167" s="250" t="str">
        <f t="shared" si="160"/>
        <v>Aucun</v>
      </c>
      <c r="BV167" s="250" t="str">
        <f t="shared" si="161"/>
        <v>Aucun</v>
      </c>
      <c r="BW167" s="249" t="str">
        <f t="shared" si="185"/>
        <v>NON</v>
      </c>
      <c r="BX167" s="330"/>
    </row>
    <row r="168" spans="1:170" ht="12" customHeight="1" x14ac:dyDescent="0.2">
      <c r="A168" s="273" t="s">
        <v>253</v>
      </c>
      <c r="B168" s="309"/>
      <c r="C168" s="269"/>
      <c r="D168" s="299"/>
      <c r="E168" s="320">
        <f t="shared" si="191"/>
        <v>0</v>
      </c>
      <c r="F168" s="320" t="str">
        <f t="shared" si="162"/>
        <v xml:space="preserve"> </v>
      </c>
      <c r="G168" s="298"/>
      <c r="H168" s="298"/>
      <c r="I168" s="298"/>
      <c r="J168" s="298"/>
      <c r="K168" s="298"/>
      <c r="L168" s="299"/>
      <c r="M168" s="285"/>
      <c r="N168" s="274"/>
      <c r="O168" s="274"/>
      <c r="P168" s="307" t="str">
        <f>IFERROR(VLOOKUP(O168,Références!$K$11:$N$19,2)," ")</f>
        <v xml:space="preserve"> </v>
      </c>
      <c r="Q168" s="307" t="str">
        <f>IFERROR(VLOOKUP(O168,Références!$K$11:$N$19,3)," ")</f>
        <v xml:space="preserve"> </v>
      </c>
      <c r="R168" s="307" t="str">
        <f>IFERROR(VLOOKUP(O168,Références!$K$11:$N$19,4)," ")</f>
        <v xml:space="preserve"> </v>
      </c>
      <c r="S168" s="298"/>
      <c r="T168" s="298"/>
      <c r="U168" s="298"/>
      <c r="V168" s="298"/>
      <c r="W168" s="298"/>
      <c r="X168" s="299"/>
      <c r="Y168" s="298"/>
      <c r="Z168" s="298"/>
      <c r="AA168" s="298"/>
      <c r="AB168" s="277"/>
      <c r="AC168" s="277"/>
      <c r="AD168" s="277"/>
      <c r="AE168" s="277"/>
      <c r="AF168" s="277"/>
      <c r="AG168" s="277"/>
      <c r="AH168" s="277"/>
      <c r="AI168" s="277">
        <f t="shared" si="192"/>
        <v>0</v>
      </c>
      <c r="AJ168" s="299"/>
      <c r="AK168" s="298">
        <f t="shared" si="193"/>
        <v>0</v>
      </c>
      <c r="AL168" s="299"/>
      <c r="AM168" s="308">
        <f t="shared" si="194"/>
        <v>0</v>
      </c>
      <c r="AN168" s="298"/>
      <c r="AO168" s="318"/>
      <c r="AP168" s="303" t="str">
        <f t="shared" si="163"/>
        <v xml:space="preserve"> </v>
      </c>
      <c r="AQ168" s="298"/>
      <c r="AR168" s="337"/>
      <c r="AS168" s="337"/>
      <c r="AT168" s="305"/>
      <c r="AU168" s="319"/>
      <c r="AV168" s="305"/>
      <c r="AW168" s="272"/>
      <c r="AX168" s="342"/>
      <c r="AY168" s="343"/>
      <c r="AZ168" s="272"/>
      <c r="BA168" s="342"/>
      <c r="BB168" s="337"/>
      <c r="BC168" s="270">
        <f t="shared" si="195"/>
        <v>0</v>
      </c>
      <c r="BD168" s="270">
        <f t="shared" si="196"/>
        <v>0</v>
      </c>
      <c r="BE168" s="270">
        <f t="shared" si="155"/>
        <v>1</v>
      </c>
      <c r="BF168" s="270" t="str">
        <f t="shared" si="164"/>
        <v>ALIVE</v>
      </c>
      <c r="BG168" s="250" t="str">
        <f t="shared" si="156"/>
        <v>Aucune</v>
      </c>
      <c r="BH168" s="250" t="str">
        <f t="shared" si="157"/>
        <v>Aucune</v>
      </c>
      <c r="BI168" s="250" t="str">
        <f t="shared" si="158"/>
        <v>Aucune</v>
      </c>
      <c r="BJ168" s="250" t="str">
        <f t="shared" si="188"/>
        <v>NON</v>
      </c>
      <c r="BK168" s="250" t="str">
        <f t="shared" si="159"/>
        <v>NON</v>
      </c>
      <c r="BL168" s="250" t="str">
        <f t="shared" si="189"/>
        <v>Inconnu</v>
      </c>
      <c r="BM168" s="250" t="str">
        <f t="shared" si="197"/>
        <v>Inconnu</v>
      </c>
      <c r="BN168" s="250" t="str">
        <f t="shared" si="198"/>
        <v>Inconnu</v>
      </c>
      <c r="BO168" s="250" t="str">
        <f t="shared" si="190"/>
        <v>Inconnu</v>
      </c>
      <c r="BP168" s="250" t="str">
        <f t="shared" si="199"/>
        <v>Inconnu</v>
      </c>
      <c r="BQ168" s="250" t="str">
        <f t="shared" si="200"/>
        <v>Inconnu</v>
      </c>
      <c r="BR168" s="250" t="str">
        <f t="shared" si="201"/>
        <v>Aucune</v>
      </c>
      <c r="BS168" s="250">
        <f t="shared" si="186"/>
        <v>0</v>
      </c>
      <c r="BT168" s="271" t="e">
        <f>VLOOKUP($I168,Lieu_Activité!$A:$B,2,FALSE)</f>
        <v>#N/A</v>
      </c>
      <c r="BU168" s="250" t="str">
        <f t="shared" si="160"/>
        <v>Aucun</v>
      </c>
      <c r="BV168" s="250" t="str">
        <f t="shared" si="161"/>
        <v>Aucun</v>
      </c>
      <c r="BW168" s="249" t="str">
        <f t="shared" si="185"/>
        <v>NON</v>
      </c>
      <c r="BX168" s="330"/>
    </row>
    <row r="169" spans="1:170" ht="12" customHeight="1" x14ac:dyDescent="0.2">
      <c r="A169" s="273" t="s">
        <v>253</v>
      </c>
      <c r="B169" s="276"/>
      <c r="C169" s="269"/>
      <c r="D169" s="299"/>
      <c r="E169" s="320">
        <f t="shared" ref="E169:E180" si="202">(L169-D169)/365</f>
        <v>0</v>
      </c>
      <c r="F169" s="320" t="str">
        <f t="shared" si="162"/>
        <v xml:space="preserve"> </v>
      </c>
      <c r="G169" s="298"/>
      <c r="H169" s="298"/>
      <c r="I169" s="298"/>
      <c r="J169" s="298"/>
      <c r="K169" s="298"/>
      <c r="L169" s="299"/>
      <c r="M169" s="285"/>
      <c r="N169" s="274"/>
      <c r="O169" s="274"/>
      <c r="P169" s="307" t="str">
        <f>IFERROR(VLOOKUP(O169,Références!$K$11:$N$19,2)," ")</f>
        <v xml:space="preserve"> </v>
      </c>
      <c r="Q169" s="307" t="str">
        <f>IFERROR(VLOOKUP(O169,Références!$K$11:$N$19,3)," ")</f>
        <v xml:space="preserve"> </v>
      </c>
      <c r="R169" s="307" t="str">
        <f>IFERROR(VLOOKUP(O169,Références!$K$11:$N$19,4)," ")</f>
        <v xml:space="preserve"> </v>
      </c>
      <c r="S169" s="298"/>
      <c r="T169" s="298"/>
      <c r="U169" s="298"/>
      <c r="V169" s="298"/>
      <c r="W169" s="298"/>
      <c r="X169" s="299"/>
      <c r="Y169" s="298"/>
      <c r="Z169" s="298"/>
      <c r="AA169" s="298"/>
      <c r="AB169" s="277"/>
      <c r="AC169" s="277"/>
      <c r="AD169" s="277"/>
      <c r="AE169" s="277"/>
      <c r="AF169" s="277"/>
      <c r="AG169" s="277"/>
      <c r="AH169" s="277"/>
      <c r="AI169" s="277">
        <f>SUM(AF169,AH169)</f>
        <v>0</v>
      </c>
      <c r="AJ169" s="299"/>
      <c r="AK169" s="298">
        <f>(AJ169-L169)</f>
        <v>0</v>
      </c>
      <c r="AL169" s="299"/>
      <c r="AM169" s="308">
        <f>(AL169-L169)</f>
        <v>0</v>
      </c>
      <c r="AN169" s="298"/>
      <c r="AO169" s="318"/>
      <c r="AP169" s="303" t="str">
        <f t="shared" si="163"/>
        <v xml:space="preserve"> </v>
      </c>
      <c r="AQ169" s="298"/>
      <c r="AR169" s="337"/>
      <c r="AS169" s="337"/>
      <c r="AT169" s="305"/>
      <c r="AU169" s="319"/>
      <c r="AV169" s="305"/>
      <c r="AW169" s="272"/>
      <c r="AX169" s="342"/>
      <c r="AY169" s="343"/>
      <c r="AZ169" s="272"/>
      <c r="BA169" s="342" t="s">
        <v>234</v>
      </c>
      <c r="BB169" s="337"/>
      <c r="BC169" s="270">
        <f>IF(BG169="Aucune",0,1)</f>
        <v>0</v>
      </c>
      <c r="BD169" s="270">
        <f>IF(BH169="Aucune",0,1)</f>
        <v>0</v>
      </c>
      <c r="BE169" s="270">
        <f t="shared" si="155"/>
        <v>1</v>
      </c>
      <c r="BF169" s="270" t="str">
        <f t="shared" si="164"/>
        <v>ALIVE</v>
      </c>
      <c r="BG169" s="250" t="str">
        <f t="shared" si="156"/>
        <v>Aucune</v>
      </c>
      <c r="BH169" s="250" t="str">
        <f t="shared" si="157"/>
        <v>Aucune</v>
      </c>
      <c r="BI169" s="250" t="str">
        <f t="shared" si="158"/>
        <v>Aucune</v>
      </c>
      <c r="BJ169" s="250" t="str">
        <f t="shared" si="188"/>
        <v>NON</v>
      </c>
      <c r="BK169" s="250" t="str">
        <f t="shared" si="159"/>
        <v>NON</v>
      </c>
      <c r="BL169" s="250" t="str">
        <f t="shared" si="189"/>
        <v>Inconnu</v>
      </c>
      <c r="BM169" s="250" t="str">
        <f>IF($O169&lt;&gt;"HTX",IF($O169&lt;&gt;"LVAD",BL169,"Inconnu"),"Inconnu")</f>
        <v>Inconnu</v>
      </c>
      <c r="BN169" s="250" t="str">
        <f>IF($O169="HTX",BL169,IF($O169="LVAD",BL169,"Inconnu"))</f>
        <v>Inconnu</v>
      </c>
      <c r="BO169" s="250" t="str">
        <f t="shared" si="190"/>
        <v>Inconnu</v>
      </c>
      <c r="BP169" s="250" t="str">
        <f>IF($O169&lt;&gt;"HTX",IF($O169&lt;&gt;"LVAD",BO169,"Inconnu"),"Inconnu")</f>
        <v>Inconnu</v>
      </c>
      <c r="BQ169" s="250" t="str">
        <f>IF($O169="HTX",BO169,IF($O169="LVAD",BO169,"Inconnu"))</f>
        <v>Inconnu</v>
      </c>
      <c r="BR169" s="250" t="str">
        <f>IF(BH169="Aucune",IF(BI169="Aucune","Aucune","Transfusé"),"Transfusé")</f>
        <v>Aucune</v>
      </c>
      <c r="BS169" s="250">
        <f t="shared" si="186"/>
        <v>0</v>
      </c>
      <c r="BT169" s="271" t="e">
        <f>VLOOKUP($I169,Lieu_Activité!$A:$B,2,FALSE)</f>
        <v>#N/A</v>
      </c>
      <c r="BU169" s="250" t="str">
        <f t="shared" si="160"/>
        <v>Aucun</v>
      </c>
      <c r="BV169" s="250" t="str">
        <f t="shared" si="161"/>
        <v>Aucun</v>
      </c>
      <c r="BW169" s="249" t="str">
        <f t="shared" si="185"/>
        <v>NON</v>
      </c>
      <c r="BX169" s="330"/>
    </row>
    <row r="170" spans="1:170" ht="12" customHeight="1" x14ac:dyDescent="0.2">
      <c r="A170" s="268" t="s">
        <v>254</v>
      </c>
      <c r="B170" s="276"/>
      <c r="C170" s="269"/>
      <c r="D170" s="299"/>
      <c r="E170" s="320">
        <f t="shared" si="202"/>
        <v>0</v>
      </c>
      <c r="F170" s="320" t="str">
        <f t="shared" si="162"/>
        <v xml:space="preserve"> </v>
      </c>
      <c r="G170" s="298"/>
      <c r="H170" s="298"/>
      <c r="I170" s="298"/>
      <c r="J170" s="298"/>
      <c r="K170" s="298"/>
      <c r="L170" s="299"/>
      <c r="M170" s="285"/>
      <c r="N170" s="274"/>
      <c r="O170" s="274"/>
      <c r="P170" s="307" t="str">
        <f>IFERROR(VLOOKUP(O170,Références!$K$11:$N$19,2)," ")</f>
        <v xml:space="preserve"> </v>
      </c>
      <c r="Q170" s="307" t="str">
        <f>IFERROR(VLOOKUP(O170,Références!$K$11:$N$19,3)," ")</f>
        <v xml:space="preserve"> </v>
      </c>
      <c r="R170" s="307" t="str">
        <f>IFERROR(VLOOKUP(O170,Références!$K$11:$N$19,4)," ")</f>
        <v xml:space="preserve"> </v>
      </c>
      <c r="S170" s="298"/>
      <c r="T170" s="298"/>
      <c r="U170" s="298"/>
      <c r="V170" s="298"/>
      <c r="W170" s="298"/>
      <c r="X170" s="299"/>
      <c r="Y170" s="298"/>
      <c r="Z170" s="298"/>
      <c r="AA170" s="298"/>
      <c r="AB170" s="277"/>
      <c r="AC170" s="277"/>
      <c r="AD170" s="277"/>
      <c r="AE170" s="277"/>
      <c r="AF170" s="277"/>
      <c r="AG170" s="277"/>
      <c r="AH170" s="277"/>
      <c r="AI170" s="277">
        <f>SUM(AF170,AH170)</f>
        <v>0</v>
      </c>
      <c r="AJ170" s="299"/>
      <c r="AK170" s="298">
        <f>(AJ170-L170)</f>
        <v>0</v>
      </c>
      <c r="AL170" s="299"/>
      <c r="AM170" s="308">
        <f>(AL170-L170)</f>
        <v>0</v>
      </c>
      <c r="AN170" s="298"/>
      <c r="AO170" s="318"/>
      <c r="AP170" s="303" t="str">
        <f t="shared" si="163"/>
        <v xml:space="preserve"> </v>
      </c>
      <c r="AQ170" s="298"/>
      <c r="AR170" s="337"/>
      <c r="AS170" s="337"/>
      <c r="AT170" s="305"/>
      <c r="AU170" s="319"/>
      <c r="AV170" s="305"/>
      <c r="AW170" s="272"/>
      <c r="AX170" s="342"/>
      <c r="AY170" s="343"/>
      <c r="AZ170" s="272"/>
      <c r="BA170" s="342" t="s">
        <v>234</v>
      </c>
      <c r="BB170" s="337"/>
      <c r="BC170" s="270">
        <f>IF(BG170="Aucune",0,1)</f>
        <v>0</v>
      </c>
      <c r="BD170" s="270">
        <f>IF(BH170="Aucune",0,1)</f>
        <v>0</v>
      </c>
      <c r="BE170" s="270">
        <f t="shared" si="155"/>
        <v>1</v>
      </c>
      <c r="BF170" s="270" t="str">
        <f t="shared" si="164"/>
        <v>ALIVE</v>
      </c>
      <c r="BG170" s="250" t="str">
        <f t="shared" si="156"/>
        <v>Aucune</v>
      </c>
      <c r="BH170" s="250" t="str">
        <f t="shared" si="157"/>
        <v>Aucune</v>
      </c>
      <c r="BI170" s="250" t="str">
        <f t="shared" si="158"/>
        <v>Aucune</v>
      </c>
      <c r="BJ170" s="250" t="str">
        <f t="shared" si="188"/>
        <v>NON</v>
      </c>
      <c r="BK170" s="250" t="str">
        <f t="shared" si="159"/>
        <v>NON</v>
      </c>
      <c r="BL170" s="250" t="str">
        <f t="shared" si="189"/>
        <v>Inconnu</v>
      </c>
      <c r="BM170" s="250" t="str">
        <f>IF($O170&lt;&gt;"HTX",IF($O170&lt;&gt;"LVAD",BL170,"Inconnu"),"Inconnu")</f>
        <v>Inconnu</v>
      </c>
      <c r="BN170" s="250" t="str">
        <f>IF($O170="HTX",BL170,IF($O170="LVAD",BL170,"Inconnu"))</f>
        <v>Inconnu</v>
      </c>
      <c r="BO170" s="250" t="str">
        <f t="shared" si="190"/>
        <v>Inconnu</v>
      </c>
      <c r="BP170" s="250" t="str">
        <f>IF($O170&lt;&gt;"HTX",IF($O170&lt;&gt;"LVAD",BO170,"Inconnu"),"Inconnu")</f>
        <v>Inconnu</v>
      </c>
      <c r="BQ170" s="250" t="str">
        <f>IF($O170="HTX",BO170,IF($O170="LVAD",BO170,"Inconnu"))</f>
        <v>Inconnu</v>
      </c>
      <c r="BR170" s="250" t="str">
        <f>IF(BH170="Aucune",IF(BI170="Aucune","Aucune","Transfusé"),"Transfusé")</f>
        <v>Aucune</v>
      </c>
      <c r="BS170" s="250">
        <f t="shared" si="186"/>
        <v>0</v>
      </c>
      <c r="BT170" s="271" t="e">
        <f>VLOOKUP($I170,Lieu_Activité!$A:$B,2,FALSE)</f>
        <v>#N/A</v>
      </c>
      <c r="BU170" s="250" t="str">
        <f t="shared" si="160"/>
        <v>Aucun</v>
      </c>
      <c r="BV170" s="250" t="str">
        <f t="shared" si="161"/>
        <v>Aucun</v>
      </c>
      <c r="BW170" s="249" t="str">
        <f t="shared" si="185"/>
        <v>NON</v>
      </c>
      <c r="BX170" s="330"/>
    </row>
    <row r="171" spans="1:170" ht="12" customHeight="1" x14ac:dyDescent="0.2">
      <c r="A171" s="268" t="s">
        <v>254</v>
      </c>
      <c r="B171" s="276"/>
      <c r="C171" s="269"/>
      <c r="D171" s="299"/>
      <c r="E171" s="320">
        <f t="shared" si="202"/>
        <v>0</v>
      </c>
      <c r="F171" s="320" t="str">
        <f t="shared" si="162"/>
        <v xml:space="preserve"> </v>
      </c>
      <c r="G171" s="298"/>
      <c r="H171" s="298"/>
      <c r="I171" s="298"/>
      <c r="J171" s="298"/>
      <c r="K171" s="298"/>
      <c r="L171" s="299"/>
      <c r="M171" s="285"/>
      <c r="N171" s="274"/>
      <c r="O171" s="274"/>
      <c r="P171" s="307" t="str">
        <f>IFERROR(VLOOKUP(O171,Références!$K$11:$N$19,2)," ")</f>
        <v xml:space="preserve"> </v>
      </c>
      <c r="Q171" s="307" t="str">
        <f>IFERROR(VLOOKUP(O171,Références!$K$11:$N$19,3)," ")</f>
        <v xml:space="preserve"> </v>
      </c>
      <c r="R171" s="307" t="str">
        <f>IFERROR(VLOOKUP(O171,Références!$K$11:$N$19,4)," ")</f>
        <v xml:space="preserve"> </v>
      </c>
      <c r="S171" s="298"/>
      <c r="T171" s="298"/>
      <c r="U171" s="298"/>
      <c r="V171" s="298"/>
      <c r="W171" s="298"/>
      <c r="X171" s="299"/>
      <c r="Y171" s="298"/>
      <c r="Z171" s="298"/>
      <c r="AA171" s="298"/>
      <c r="AB171" s="277"/>
      <c r="AC171" s="277"/>
      <c r="AD171" s="277"/>
      <c r="AE171" s="277"/>
      <c r="AF171" s="277"/>
      <c r="AG171" s="277"/>
      <c r="AH171" s="277"/>
      <c r="AI171" s="277">
        <f t="shared" si="175"/>
        <v>0</v>
      </c>
      <c r="AJ171" s="299"/>
      <c r="AK171" s="298">
        <f t="shared" si="176"/>
        <v>0</v>
      </c>
      <c r="AL171" s="299"/>
      <c r="AM171" s="308">
        <f t="shared" si="177"/>
        <v>0</v>
      </c>
      <c r="AN171" s="298"/>
      <c r="AO171" s="318"/>
      <c r="AP171" s="303" t="str">
        <f t="shared" si="163"/>
        <v xml:space="preserve"> </v>
      </c>
      <c r="AQ171" s="298"/>
      <c r="AR171" s="337"/>
      <c r="AS171" s="337"/>
      <c r="AT171" s="305"/>
      <c r="AU171" s="319"/>
      <c r="AV171" s="305"/>
      <c r="AW171" s="272"/>
      <c r="AX171" s="342"/>
      <c r="AY171" s="343"/>
      <c r="AZ171" s="272"/>
      <c r="BA171" s="342" t="s">
        <v>234</v>
      </c>
      <c r="BB171" s="343"/>
      <c r="BC171" s="270">
        <f t="shared" si="178"/>
        <v>0</v>
      </c>
      <c r="BD171" s="270">
        <f t="shared" si="179"/>
        <v>0</v>
      </c>
      <c r="BE171" s="270">
        <f t="shared" si="155"/>
        <v>1</v>
      </c>
      <c r="BF171" s="270" t="str">
        <f t="shared" si="164"/>
        <v>ALIVE</v>
      </c>
      <c r="BG171" s="250" t="str">
        <f t="shared" si="156"/>
        <v>Aucune</v>
      </c>
      <c r="BH171" s="250" t="str">
        <f t="shared" si="157"/>
        <v>Aucune</v>
      </c>
      <c r="BI171" s="250" t="str">
        <f t="shared" si="158"/>
        <v>Aucune</v>
      </c>
      <c r="BJ171" s="250" t="str">
        <f t="shared" si="188"/>
        <v>NON</v>
      </c>
      <c r="BK171" s="250" t="str">
        <f t="shared" si="159"/>
        <v>NON</v>
      </c>
      <c r="BL171" s="250" t="str">
        <f t="shared" si="189"/>
        <v>Inconnu</v>
      </c>
      <c r="BM171" s="250" t="str">
        <f t="shared" si="180"/>
        <v>Inconnu</v>
      </c>
      <c r="BN171" s="250" t="str">
        <f t="shared" si="181"/>
        <v>Inconnu</v>
      </c>
      <c r="BO171" s="250" t="str">
        <f t="shared" si="190"/>
        <v>Inconnu</v>
      </c>
      <c r="BP171" s="250" t="str">
        <f t="shared" si="182"/>
        <v>Inconnu</v>
      </c>
      <c r="BQ171" s="250" t="str">
        <f t="shared" si="183"/>
        <v>Inconnu</v>
      </c>
      <c r="BR171" s="250" t="str">
        <f t="shared" si="184"/>
        <v>Aucune</v>
      </c>
      <c r="BS171" s="250">
        <f t="shared" si="186"/>
        <v>0</v>
      </c>
      <c r="BT171" s="271" t="e">
        <f>VLOOKUP($I171,Lieu_Activité!$A:$B,2,FALSE)</f>
        <v>#N/A</v>
      </c>
      <c r="BU171" s="250" t="str">
        <f t="shared" si="160"/>
        <v>Aucun</v>
      </c>
      <c r="BV171" s="250" t="str">
        <f t="shared" si="161"/>
        <v>Aucun</v>
      </c>
      <c r="BW171" s="249" t="str">
        <f t="shared" si="185"/>
        <v>NON</v>
      </c>
      <c r="BX171" s="330"/>
    </row>
    <row r="172" spans="1:170" ht="12" customHeight="1" x14ac:dyDescent="0.2">
      <c r="A172" s="268" t="s">
        <v>254</v>
      </c>
      <c r="B172" s="276"/>
      <c r="C172" s="269"/>
      <c r="D172" s="299"/>
      <c r="E172" s="320">
        <f t="shared" si="202"/>
        <v>0</v>
      </c>
      <c r="F172" s="320" t="str">
        <f t="shared" si="162"/>
        <v xml:space="preserve"> </v>
      </c>
      <c r="G172" s="298"/>
      <c r="H172" s="298"/>
      <c r="I172" s="298"/>
      <c r="J172" s="298"/>
      <c r="K172" s="298"/>
      <c r="L172" s="299"/>
      <c r="M172" s="285"/>
      <c r="N172" s="274"/>
      <c r="O172" s="274"/>
      <c r="P172" s="307" t="str">
        <f>IFERROR(VLOOKUP(O172,Références!$K$11:$N$19,2)," ")</f>
        <v xml:space="preserve"> </v>
      </c>
      <c r="Q172" s="307" t="str">
        <f>IFERROR(VLOOKUP(O172,Références!$K$11:$N$19,3)," ")</f>
        <v xml:space="preserve"> </v>
      </c>
      <c r="R172" s="307" t="str">
        <f>IFERROR(VLOOKUP(O172,Références!$K$11:$N$19,4)," ")</f>
        <v xml:space="preserve"> </v>
      </c>
      <c r="S172" s="298"/>
      <c r="T172" s="298"/>
      <c r="U172" s="298"/>
      <c r="V172" s="298"/>
      <c r="W172" s="298"/>
      <c r="X172" s="299"/>
      <c r="Y172" s="298"/>
      <c r="Z172" s="298"/>
      <c r="AA172" s="298"/>
      <c r="AB172" s="277"/>
      <c r="AC172" s="277"/>
      <c r="AD172" s="277"/>
      <c r="AE172" s="277"/>
      <c r="AF172" s="277"/>
      <c r="AG172" s="277"/>
      <c r="AH172" s="277"/>
      <c r="AI172" s="277">
        <f t="shared" si="175"/>
        <v>0</v>
      </c>
      <c r="AJ172" s="299"/>
      <c r="AK172" s="298">
        <f t="shared" si="176"/>
        <v>0</v>
      </c>
      <c r="AL172" s="299"/>
      <c r="AM172" s="308">
        <f t="shared" si="177"/>
        <v>0</v>
      </c>
      <c r="AN172" s="298"/>
      <c r="AO172" s="318"/>
      <c r="AP172" s="303" t="str">
        <f t="shared" si="163"/>
        <v xml:space="preserve"> </v>
      </c>
      <c r="AQ172" s="298"/>
      <c r="AR172" s="339"/>
      <c r="AS172" s="337"/>
      <c r="AT172" s="305"/>
      <c r="AU172" s="319"/>
      <c r="AV172" s="305"/>
      <c r="AW172" s="272"/>
      <c r="AX172" s="342"/>
      <c r="AY172" s="343"/>
      <c r="AZ172" s="272"/>
      <c r="BA172" s="342" t="s">
        <v>234</v>
      </c>
      <c r="BB172" s="337"/>
      <c r="BC172" s="270">
        <f t="shared" si="178"/>
        <v>0</v>
      </c>
      <c r="BD172" s="270">
        <f t="shared" si="179"/>
        <v>0</v>
      </c>
      <c r="BE172" s="270">
        <f t="shared" si="155"/>
        <v>1</v>
      </c>
      <c r="BF172" s="270" t="str">
        <f t="shared" si="164"/>
        <v>ALIVE</v>
      </c>
      <c r="BG172" s="250" t="str">
        <f t="shared" si="156"/>
        <v>Aucune</v>
      </c>
      <c r="BH172" s="250" t="str">
        <f t="shared" si="157"/>
        <v>Aucune</v>
      </c>
      <c r="BI172" s="250" t="str">
        <f t="shared" si="158"/>
        <v>Aucune</v>
      </c>
      <c r="BJ172" s="250" t="str">
        <f t="shared" si="188"/>
        <v>NON</v>
      </c>
      <c r="BK172" s="250" t="str">
        <f t="shared" si="159"/>
        <v>NON</v>
      </c>
      <c r="BL172" s="250" t="str">
        <f t="shared" si="189"/>
        <v>Inconnu</v>
      </c>
      <c r="BM172" s="250" t="str">
        <f t="shared" si="180"/>
        <v>Inconnu</v>
      </c>
      <c r="BN172" s="250" t="str">
        <f t="shared" si="181"/>
        <v>Inconnu</v>
      </c>
      <c r="BO172" s="250" t="str">
        <f t="shared" si="190"/>
        <v>Inconnu</v>
      </c>
      <c r="BP172" s="250" t="str">
        <f t="shared" si="182"/>
        <v>Inconnu</v>
      </c>
      <c r="BQ172" s="250" t="str">
        <f t="shared" si="183"/>
        <v>Inconnu</v>
      </c>
      <c r="BR172" s="250" t="str">
        <f t="shared" si="184"/>
        <v>Aucune</v>
      </c>
      <c r="BS172" s="250">
        <f t="shared" si="186"/>
        <v>0</v>
      </c>
      <c r="BT172" s="271" t="e">
        <f>VLOOKUP($I172,Lieu_Activité!$A:$B,2,FALSE)</f>
        <v>#N/A</v>
      </c>
      <c r="BU172" s="250" t="str">
        <f t="shared" si="160"/>
        <v>Aucun</v>
      </c>
      <c r="BV172" s="250" t="str">
        <f t="shared" si="161"/>
        <v>Aucun</v>
      </c>
      <c r="BW172" s="249" t="str">
        <f t="shared" si="185"/>
        <v>NON</v>
      </c>
      <c r="BX172" s="330"/>
    </row>
    <row r="173" spans="1:170" ht="12" customHeight="1" x14ac:dyDescent="0.2">
      <c r="A173" s="268" t="s">
        <v>254</v>
      </c>
      <c r="B173" s="276"/>
      <c r="C173" s="269"/>
      <c r="D173" s="299"/>
      <c r="E173" s="320">
        <f t="shared" si="202"/>
        <v>0</v>
      </c>
      <c r="F173" s="320" t="str">
        <f t="shared" si="162"/>
        <v xml:space="preserve"> </v>
      </c>
      <c r="G173" s="298"/>
      <c r="H173" s="298"/>
      <c r="I173" s="298"/>
      <c r="J173" s="298"/>
      <c r="K173" s="298"/>
      <c r="L173" s="299"/>
      <c r="M173" s="285"/>
      <c r="N173" s="274"/>
      <c r="O173" s="274"/>
      <c r="P173" s="307" t="str">
        <f>IFERROR(VLOOKUP(O173,Références!$K$11:$N$19,2)," ")</f>
        <v xml:space="preserve"> </v>
      </c>
      <c r="Q173" s="307" t="str">
        <f>IFERROR(VLOOKUP(O173,Références!$K$11:$N$19,3)," ")</f>
        <v xml:space="preserve"> </v>
      </c>
      <c r="R173" s="307" t="str">
        <f>IFERROR(VLOOKUP(O173,Références!$K$11:$N$19,4)," ")</f>
        <v xml:space="preserve"> </v>
      </c>
      <c r="S173" s="298"/>
      <c r="T173" s="298"/>
      <c r="U173" s="298"/>
      <c r="V173" s="298"/>
      <c r="W173" s="298"/>
      <c r="X173" s="299"/>
      <c r="Y173" s="298"/>
      <c r="Z173" s="298"/>
      <c r="AA173" s="298"/>
      <c r="AB173" s="277"/>
      <c r="AC173" s="277"/>
      <c r="AD173" s="277"/>
      <c r="AE173" s="277"/>
      <c r="AF173" s="277"/>
      <c r="AG173" s="277"/>
      <c r="AH173" s="277"/>
      <c r="AI173" s="277">
        <f t="shared" si="175"/>
        <v>0</v>
      </c>
      <c r="AJ173" s="299"/>
      <c r="AK173" s="298">
        <f t="shared" si="176"/>
        <v>0</v>
      </c>
      <c r="AL173" s="299"/>
      <c r="AM173" s="308">
        <f t="shared" si="177"/>
        <v>0</v>
      </c>
      <c r="AN173" s="298"/>
      <c r="AO173" s="318"/>
      <c r="AP173" s="303" t="str">
        <f t="shared" si="163"/>
        <v xml:space="preserve"> </v>
      </c>
      <c r="AQ173" s="298"/>
      <c r="AR173" s="337"/>
      <c r="AS173" s="337"/>
      <c r="AT173" s="305"/>
      <c r="AU173" s="319"/>
      <c r="AV173" s="305"/>
      <c r="AW173" s="272"/>
      <c r="AX173" s="342"/>
      <c r="AY173" s="343"/>
      <c r="AZ173" s="272"/>
      <c r="BA173" s="342" t="s">
        <v>234</v>
      </c>
      <c r="BB173" s="337"/>
      <c r="BC173" s="270">
        <f t="shared" si="178"/>
        <v>0</v>
      </c>
      <c r="BD173" s="270">
        <f t="shared" si="179"/>
        <v>0</v>
      </c>
      <c r="BE173" s="270">
        <f t="shared" si="155"/>
        <v>1</v>
      </c>
      <c r="BF173" s="270" t="str">
        <f t="shared" si="164"/>
        <v>ALIVE</v>
      </c>
      <c r="BG173" s="250" t="str">
        <f t="shared" si="156"/>
        <v>Aucune</v>
      </c>
      <c r="BH173" s="250" t="str">
        <f t="shared" si="157"/>
        <v>Aucune</v>
      </c>
      <c r="BI173" s="250" t="str">
        <f t="shared" si="158"/>
        <v>Aucune</v>
      </c>
      <c r="BJ173" s="250" t="str">
        <f t="shared" si="188"/>
        <v>NON</v>
      </c>
      <c r="BK173" s="250" t="str">
        <f t="shared" si="159"/>
        <v>NON</v>
      </c>
      <c r="BL173" s="250" t="str">
        <f t="shared" si="189"/>
        <v>Inconnu</v>
      </c>
      <c r="BM173" s="250" t="str">
        <f t="shared" si="180"/>
        <v>Inconnu</v>
      </c>
      <c r="BN173" s="250" t="str">
        <f t="shared" si="181"/>
        <v>Inconnu</v>
      </c>
      <c r="BO173" s="250" t="str">
        <f t="shared" si="190"/>
        <v>Inconnu</v>
      </c>
      <c r="BP173" s="250" t="str">
        <f t="shared" si="182"/>
        <v>Inconnu</v>
      </c>
      <c r="BQ173" s="250" t="str">
        <f t="shared" si="183"/>
        <v>Inconnu</v>
      </c>
      <c r="BR173" s="250" t="str">
        <f t="shared" si="184"/>
        <v>Aucune</v>
      </c>
      <c r="BS173" s="250">
        <f t="shared" si="186"/>
        <v>0</v>
      </c>
      <c r="BT173" s="271" t="e">
        <f>VLOOKUP($I173,Lieu_Activité!$A:$B,2,FALSE)</f>
        <v>#N/A</v>
      </c>
      <c r="BU173" s="250" t="str">
        <f t="shared" si="160"/>
        <v>Aucun</v>
      </c>
      <c r="BV173" s="250" t="str">
        <f t="shared" si="161"/>
        <v>Aucun</v>
      </c>
      <c r="BW173" s="249" t="str">
        <f t="shared" si="185"/>
        <v>NON</v>
      </c>
      <c r="BX173" s="330"/>
    </row>
    <row r="174" spans="1:170" s="1" customFormat="1" ht="12.75" customHeight="1" x14ac:dyDescent="0.2">
      <c r="A174" s="268" t="s">
        <v>254</v>
      </c>
      <c r="B174" s="276"/>
      <c r="C174" s="269"/>
      <c r="D174" s="299"/>
      <c r="E174" s="320">
        <f t="shared" si="202"/>
        <v>0</v>
      </c>
      <c r="F174" s="320" t="str">
        <f t="shared" si="162"/>
        <v xml:space="preserve"> </v>
      </c>
      <c r="G174" s="298"/>
      <c r="H174" s="298"/>
      <c r="I174" s="298"/>
      <c r="J174" s="298"/>
      <c r="K174" s="298"/>
      <c r="L174" s="299"/>
      <c r="M174" s="285"/>
      <c r="N174" s="274"/>
      <c r="O174" s="274"/>
      <c r="P174" s="307" t="str">
        <f>IFERROR(VLOOKUP(O174,Références!$K$11:$N$19,2)," ")</f>
        <v xml:space="preserve"> </v>
      </c>
      <c r="Q174" s="307" t="str">
        <f>IFERROR(VLOOKUP(O174,Références!$K$11:$N$19,3)," ")</f>
        <v xml:space="preserve"> </v>
      </c>
      <c r="R174" s="307" t="str">
        <f>IFERROR(VLOOKUP(O174,Références!$K$11:$N$19,4)," ")</f>
        <v xml:space="preserve"> </v>
      </c>
      <c r="S174" s="298"/>
      <c r="T174" s="298"/>
      <c r="U174" s="298"/>
      <c r="V174" s="298"/>
      <c r="W174" s="298"/>
      <c r="X174" s="299"/>
      <c r="Y174" s="298"/>
      <c r="Z174" s="298"/>
      <c r="AA174" s="298"/>
      <c r="AB174" s="277"/>
      <c r="AC174" s="277"/>
      <c r="AD174" s="277"/>
      <c r="AE174" s="277"/>
      <c r="AF174" s="277"/>
      <c r="AG174" s="277"/>
      <c r="AH174" s="277"/>
      <c r="AI174" s="277">
        <f t="shared" si="175"/>
        <v>0</v>
      </c>
      <c r="AJ174" s="299"/>
      <c r="AK174" s="298">
        <f t="shared" si="176"/>
        <v>0</v>
      </c>
      <c r="AL174" s="299"/>
      <c r="AM174" s="308">
        <f t="shared" si="177"/>
        <v>0</v>
      </c>
      <c r="AN174" s="298"/>
      <c r="AO174" s="318"/>
      <c r="AP174" s="303" t="str">
        <f t="shared" si="163"/>
        <v xml:space="preserve"> </v>
      </c>
      <c r="AQ174" s="298"/>
      <c r="AR174" s="337"/>
      <c r="AS174" s="337"/>
      <c r="AT174" s="305"/>
      <c r="AU174" s="319"/>
      <c r="AV174" s="305"/>
      <c r="AW174" s="272"/>
      <c r="AX174" s="342"/>
      <c r="AY174" s="343"/>
      <c r="AZ174" s="272"/>
      <c r="BA174" s="342" t="s">
        <v>234</v>
      </c>
      <c r="BB174" s="337"/>
      <c r="BC174" s="270">
        <f t="shared" si="178"/>
        <v>0</v>
      </c>
      <c r="BD174" s="270">
        <f t="shared" si="179"/>
        <v>0</v>
      </c>
      <c r="BE174" s="270">
        <f t="shared" si="155"/>
        <v>1</v>
      </c>
      <c r="BF174" s="270" t="str">
        <f t="shared" si="164"/>
        <v>ALIVE</v>
      </c>
      <c r="BG174" s="250" t="str">
        <f t="shared" si="156"/>
        <v>Aucune</v>
      </c>
      <c r="BH174" s="250" t="str">
        <f t="shared" si="157"/>
        <v>Aucune</v>
      </c>
      <c r="BI174" s="250" t="str">
        <f t="shared" si="158"/>
        <v>Aucune</v>
      </c>
      <c r="BJ174" s="250" t="str">
        <f t="shared" si="188"/>
        <v>NON</v>
      </c>
      <c r="BK174" s="250" t="str">
        <f t="shared" si="159"/>
        <v>NON</v>
      </c>
      <c r="BL174" s="250" t="str">
        <f t="shared" si="189"/>
        <v>Inconnu</v>
      </c>
      <c r="BM174" s="250" t="str">
        <f t="shared" si="180"/>
        <v>Inconnu</v>
      </c>
      <c r="BN174" s="250" t="str">
        <f t="shared" si="181"/>
        <v>Inconnu</v>
      </c>
      <c r="BO174" s="250" t="str">
        <f t="shared" si="190"/>
        <v>Inconnu</v>
      </c>
      <c r="BP174" s="250" t="str">
        <f t="shared" si="182"/>
        <v>Inconnu</v>
      </c>
      <c r="BQ174" s="250" t="str">
        <f t="shared" si="183"/>
        <v>Inconnu</v>
      </c>
      <c r="BR174" s="250" t="str">
        <f t="shared" si="184"/>
        <v>Aucune</v>
      </c>
      <c r="BS174" s="250">
        <f t="shared" si="186"/>
        <v>0</v>
      </c>
      <c r="BT174" s="271" t="e">
        <f>VLOOKUP($I174,Lieu_Activité!$A:$B,2,FALSE)</f>
        <v>#N/A</v>
      </c>
      <c r="BU174" s="250" t="str">
        <f t="shared" si="160"/>
        <v>Aucun</v>
      </c>
      <c r="BV174" s="250" t="str">
        <f t="shared" si="161"/>
        <v>Aucun</v>
      </c>
      <c r="BW174" s="249" t="str">
        <f t="shared" si="185"/>
        <v>NON</v>
      </c>
      <c r="BX174" s="330"/>
      <c r="BY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</row>
    <row r="175" spans="1:170" ht="12" customHeight="1" x14ac:dyDescent="0.2">
      <c r="A175" s="268" t="s">
        <v>254</v>
      </c>
      <c r="B175" s="276"/>
      <c r="C175" s="269"/>
      <c r="D175" s="299"/>
      <c r="E175" s="320">
        <f t="shared" si="202"/>
        <v>0</v>
      </c>
      <c r="F175" s="320" t="str">
        <f t="shared" si="162"/>
        <v xml:space="preserve"> </v>
      </c>
      <c r="G175" s="298"/>
      <c r="H175" s="298"/>
      <c r="I175" s="298"/>
      <c r="J175" s="298"/>
      <c r="K175" s="298"/>
      <c r="L175" s="299"/>
      <c r="M175" s="285"/>
      <c r="N175" s="274"/>
      <c r="O175" s="274"/>
      <c r="P175" s="307" t="str">
        <f>IFERROR(VLOOKUP(O175,Références!$K$11:$N$19,2)," ")</f>
        <v xml:space="preserve"> </v>
      </c>
      <c r="Q175" s="307" t="str">
        <f>IFERROR(VLOOKUP(O175,Références!$K$11:$N$19,3)," ")</f>
        <v xml:space="preserve"> </v>
      </c>
      <c r="R175" s="307" t="str">
        <f>IFERROR(VLOOKUP(O175,Références!$K$11:$N$19,4)," ")</f>
        <v xml:space="preserve"> </v>
      </c>
      <c r="S175" s="298"/>
      <c r="T175" s="298"/>
      <c r="U175" s="298"/>
      <c r="V175" s="298"/>
      <c r="W175" s="298"/>
      <c r="X175" s="299"/>
      <c r="Y175" s="298"/>
      <c r="Z175" s="298"/>
      <c r="AA175" s="298"/>
      <c r="AB175" s="277"/>
      <c r="AC175" s="277"/>
      <c r="AD175" s="277"/>
      <c r="AE175" s="277"/>
      <c r="AF175" s="277"/>
      <c r="AG175" s="277"/>
      <c r="AH175" s="277"/>
      <c r="AI175" s="277">
        <f t="shared" si="175"/>
        <v>0</v>
      </c>
      <c r="AJ175" s="299"/>
      <c r="AK175" s="298">
        <f t="shared" si="176"/>
        <v>0</v>
      </c>
      <c r="AL175" s="299"/>
      <c r="AM175" s="308">
        <f t="shared" si="177"/>
        <v>0</v>
      </c>
      <c r="AN175" s="298"/>
      <c r="AO175" s="318"/>
      <c r="AP175" s="303" t="str">
        <f t="shared" si="163"/>
        <v xml:space="preserve"> </v>
      </c>
      <c r="AQ175" s="298"/>
      <c r="AR175" s="337"/>
      <c r="AS175" s="337"/>
      <c r="AT175" s="305"/>
      <c r="AU175" s="319"/>
      <c r="AV175" s="305"/>
      <c r="AW175" s="272"/>
      <c r="AX175" s="342"/>
      <c r="AY175" s="343"/>
      <c r="AZ175" s="272"/>
      <c r="BA175" s="342"/>
      <c r="BB175" s="337"/>
      <c r="BC175" s="270">
        <f t="shared" si="178"/>
        <v>0</v>
      </c>
      <c r="BD175" s="270">
        <f t="shared" si="179"/>
        <v>0</v>
      </c>
      <c r="BE175" s="270">
        <f t="shared" si="155"/>
        <v>1</v>
      </c>
      <c r="BF175" s="270" t="str">
        <f t="shared" si="164"/>
        <v>ALIVE</v>
      </c>
      <c r="BG175" s="250" t="str">
        <f t="shared" si="156"/>
        <v>Aucune</v>
      </c>
      <c r="BH175" s="250" t="str">
        <f t="shared" si="157"/>
        <v>Aucune</v>
      </c>
      <c r="BI175" s="250" t="str">
        <f t="shared" si="158"/>
        <v>Aucune</v>
      </c>
      <c r="BJ175" s="250" t="str">
        <f t="shared" si="188"/>
        <v>NON</v>
      </c>
      <c r="BK175" s="250" t="str">
        <f t="shared" si="159"/>
        <v>NON</v>
      </c>
      <c r="BL175" s="250" t="str">
        <f t="shared" si="189"/>
        <v>Inconnu</v>
      </c>
      <c r="BM175" s="250" t="str">
        <f t="shared" si="180"/>
        <v>Inconnu</v>
      </c>
      <c r="BN175" s="250" t="str">
        <f t="shared" si="181"/>
        <v>Inconnu</v>
      </c>
      <c r="BO175" s="250" t="str">
        <f t="shared" si="190"/>
        <v>Inconnu</v>
      </c>
      <c r="BP175" s="250" t="str">
        <f t="shared" si="182"/>
        <v>Inconnu</v>
      </c>
      <c r="BQ175" s="250" t="str">
        <f t="shared" si="183"/>
        <v>Inconnu</v>
      </c>
      <c r="BR175" s="250" t="str">
        <f t="shared" si="184"/>
        <v>Aucune</v>
      </c>
      <c r="BS175" s="250">
        <f t="shared" si="186"/>
        <v>0</v>
      </c>
      <c r="BT175" s="271" t="e">
        <f>VLOOKUP($I175,Lieu_Activité!$A:$B,2,FALSE)</f>
        <v>#N/A</v>
      </c>
      <c r="BU175" s="250" t="str">
        <f t="shared" si="160"/>
        <v>Aucun</v>
      </c>
      <c r="BV175" s="250" t="str">
        <f t="shared" si="161"/>
        <v>Aucun</v>
      </c>
      <c r="BW175" s="249" t="str">
        <f t="shared" si="185"/>
        <v>NON</v>
      </c>
      <c r="BX175" s="330"/>
    </row>
    <row r="176" spans="1:170" ht="12" customHeight="1" x14ac:dyDescent="0.2">
      <c r="A176" s="268" t="s">
        <v>254</v>
      </c>
      <c r="B176" s="276"/>
      <c r="C176" s="269"/>
      <c r="D176" s="299"/>
      <c r="E176" s="320">
        <f t="shared" si="202"/>
        <v>0</v>
      </c>
      <c r="F176" s="320" t="str">
        <f t="shared" si="162"/>
        <v xml:space="preserve"> </v>
      </c>
      <c r="G176" s="298"/>
      <c r="H176" s="298"/>
      <c r="I176" s="298"/>
      <c r="J176" s="298"/>
      <c r="K176" s="298"/>
      <c r="L176" s="299"/>
      <c r="M176" s="285"/>
      <c r="N176" s="274"/>
      <c r="O176" s="274"/>
      <c r="P176" s="307" t="str">
        <f>IFERROR(VLOOKUP(O176,Références!$K$11:$N$19,2)," ")</f>
        <v xml:space="preserve"> </v>
      </c>
      <c r="Q176" s="307" t="str">
        <f>IFERROR(VLOOKUP(O176,Références!$K$11:$N$19,3)," ")</f>
        <v xml:space="preserve"> </v>
      </c>
      <c r="R176" s="307" t="str">
        <f>IFERROR(VLOOKUP(O176,Références!$K$11:$N$19,4)," ")</f>
        <v xml:space="preserve"> </v>
      </c>
      <c r="S176" s="298"/>
      <c r="T176" s="298"/>
      <c r="U176" s="298"/>
      <c r="V176" s="298"/>
      <c r="W176" s="298"/>
      <c r="X176" s="299"/>
      <c r="Y176" s="298"/>
      <c r="Z176" s="298"/>
      <c r="AA176" s="298"/>
      <c r="AB176" s="277"/>
      <c r="AC176" s="277"/>
      <c r="AD176" s="277"/>
      <c r="AE176" s="277"/>
      <c r="AF176" s="277"/>
      <c r="AG176" s="277"/>
      <c r="AH176" s="277"/>
      <c r="AI176" s="277">
        <f t="shared" si="175"/>
        <v>0</v>
      </c>
      <c r="AJ176" s="299"/>
      <c r="AK176" s="298">
        <f t="shared" si="176"/>
        <v>0</v>
      </c>
      <c r="AL176" s="299"/>
      <c r="AM176" s="308">
        <f t="shared" si="177"/>
        <v>0</v>
      </c>
      <c r="AN176" s="298"/>
      <c r="AO176" s="318"/>
      <c r="AP176" s="303" t="str">
        <f t="shared" si="163"/>
        <v xml:space="preserve"> </v>
      </c>
      <c r="AQ176" s="298"/>
      <c r="AR176" s="337"/>
      <c r="AS176" s="337"/>
      <c r="AT176" s="305"/>
      <c r="AU176" s="319"/>
      <c r="AV176" s="305"/>
      <c r="AW176" s="272"/>
      <c r="AX176" s="342"/>
      <c r="AY176" s="343"/>
      <c r="AZ176" s="272"/>
      <c r="BA176" s="342" t="s">
        <v>234</v>
      </c>
      <c r="BB176" s="337"/>
      <c r="BC176" s="270">
        <f t="shared" si="178"/>
        <v>0</v>
      </c>
      <c r="BD176" s="270">
        <f t="shared" si="179"/>
        <v>0</v>
      </c>
      <c r="BE176" s="270">
        <f t="shared" si="155"/>
        <v>1</v>
      </c>
      <c r="BF176" s="270" t="str">
        <f t="shared" si="164"/>
        <v>ALIVE</v>
      </c>
      <c r="BG176" s="250" t="str">
        <f t="shared" si="156"/>
        <v>Aucune</v>
      </c>
      <c r="BH176" s="250" t="str">
        <f t="shared" si="157"/>
        <v>Aucune</v>
      </c>
      <c r="BI176" s="250" t="str">
        <f t="shared" si="158"/>
        <v>Aucune</v>
      </c>
      <c r="BJ176" s="250" t="str">
        <f t="shared" si="188"/>
        <v>NON</v>
      </c>
      <c r="BK176" s="250" t="str">
        <f t="shared" si="159"/>
        <v>NON</v>
      </c>
      <c r="BL176" s="250" t="str">
        <f t="shared" si="189"/>
        <v>Inconnu</v>
      </c>
      <c r="BM176" s="250" t="str">
        <f t="shared" si="180"/>
        <v>Inconnu</v>
      </c>
      <c r="BN176" s="250" t="str">
        <f t="shared" si="181"/>
        <v>Inconnu</v>
      </c>
      <c r="BO176" s="250" t="str">
        <f t="shared" si="190"/>
        <v>Inconnu</v>
      </c>
      <c r="BP176" s="250" t="str">
        <f t="shared" si="182"/>
        <v>Inconnu</v>
      </c>
      <c r="BQ176" s="250" t="str">
        <f t="shared" si="183"/>
        <v>Inconnu</v>
      </c>
      <c r="BR176" s="250" t="str">
        <f t="shared" si="184"/>
        <v>Aucune</v>
      </c>
      <c r="BS176" s="250">
        <f t="shared" si="186"/>
        <v>0</v>
      </c>
      <c r="BT176" s="271" t="e">
        <f>VLOOKUP($I176,Lieu_Activité!$A:$B,2,FALSE)</f>
        <v>#N/A</v>
      </c>
      <c r="BU176" s="250" t="str">
        <f t="shared" si="160"/>
        <v>Aucun</v>
      </c>
      <c r="BV176" s="250" t="str">
        <f t="shared" si="161"/>
        <v>Aucun</v>
      </c>
      <c r="BW176" s="249" t="str">
        <f t="shared" si="185"/>
        <v>NON</v>
      </c>
      <c r="BX176" s="330"/>
    </row>
    <row r="177" spans="1:170" ht="12" customHeight="1" x14ac:dyDescent="0.2">
      <c r="A177" s="268" t="s">
        <v>254</v>
      </c>
      <c r="B177" s="276"/>
      <c r="C177" s="269"/>
      <c r="D177" s="299"/>
      <c r="E177" s="320">
        <f t="shared" si="202"/>
        <v>0</v>
      </c>
      <c r="F177" s="320" t="str">
        <f t="shared" si="162"/>
        <v xml:space="preserve"> </v>
      </c>
      <c r="G177" s="298"/>
      <c r="H177" s="298"/>
      <c r="I177" s="298"/>
      <c r="J177" s="298"/>
      <c r="K177" s="298"/>
      <c r="L177" s="299"/>
      <c r="M177" s="285"/>
      <c r="N177" s="274"/>
      <c r="O177" s="274"/>
      <c r="P177" s="307" t="str">
        <f>IFERROR(VLOOKUP(O177,Références!$K$11:$N$19,2)," ")</f>
        <v xml:space="preserve"> </v>
      </c>
      <c r="Q177" s="307" t="str">
        <f>IFERROR(VLOOKUP(O177,Références!$K$11:$N$19,3)," ")</f>
        <v xml:space="preserve"> </v>
      </c>
      <c r="R177" s="307" t="str">
        <f>IFERROR(VLOOKUP(O177,Références!$K$11:$N$19,4)," ")</f>
        <v xml:space="preserve"> </v>
      </c>
      <c r="S177" s="298"/>
      <c r="T177" s="298"/>
      <c r="U177" s="298"/>
      <c r="V177" s="298"/>
      <c r="W177" s="298"/>
      <c r="X177" s="299"/>
      <c r="Y177" s="298"/>
      <c r="Z177" s="298"/>
      <c r="AA177" s="298"/>
      <c r="AB177" s="277"/>
      <c r="AC177" s="277"/>
      <c r="AD177" s="277"/>
      <c r="AE177" s="277"/>
      <c r="AF177" s="277"/>
      <c r="AG177" s="277"/>
      <c r="AH177" s="277"/>
      <c r="AI177" s="277">
        <f t="shared" si="175"/>
        <v>0</v>
      </c>
      <c r="AJ177" s="299"/>
      <c r="AK177" s="298">
        <f t="shared" si="176"/>
        <v>0</v>
      </c>
      <c r="AL177" s="299"/>
      <c r="AM177" s="308">
        <f t="shared" si="177"/>
        <v>0</v>
      </c>
      <c r="AN177" s="298"/>
      <c r="AO177" s="318"/>
      <c r="AP177" s="303" t="str">
        <f t="shared" si="163"/>
        <v xml:space="preserve"> </v>
      </c>
      <c r="AQ177" s="298"/>
      <c r="AR177" s="337"/>
      <c r="AS177" s="337"/>
      <c r="AT177" s="305"/>
      <c r="AU177" s="319"/>
      <c r="AV177" s="305"/>
      <c r="AW177" s="272"/>
      <c r="AX177" s="342"/>
      <c r="AY177" s="343"/>
      <c r="AZ177" s="272"/>
      <c r="BA177" s="342" t="s">
        <v>234</v>
      </c>
      <c r="BB177" s="337"/>
      <c r="BC177" s="270">
        <f t="shared" si="178"/>
        <v>0</v>
      </c>
      <c r="BD177" s="270">
        <f t="shared" si="179"/>
        <v>0</v>
      </c>
      <c r="BE177" s="270">
        <f t="shared" si="155"/>
        <v>1</v>
      </c>
      <c r="BF177" s="270" t="str">
        <f t="shared" si="164"/>
        <v>ALIVE</v>
      </c>
      <c r="BG177" s="250" t="str">
        <f t="shared" si="156"/>
        <v>Aucune</v>
      </c>
      <c r="BH177" s="250" t="str">
        <f t="shared" si="157"/>
        <v>Aucune</v>
      </c>
      <c r="BI177" s="250" t="str">
        <f t="shared" si="158"/>
        <v>Aucune</v>
      </c>
      <c r="BJ177" s="250" t="str">
        <f t="shared" si="188"/>
        <v>NON</v>
      </c>
      <c r="BK177" s="250" t="str">
        <f t="shared" si="159"/>
        <v>NON</v>
      </c>
      <c r="BL177" s="250" t="str">
        <f t="shared" si="189"/>
        <v>Inconnu</v>
      </c>
      <c r="BM177" s="250" t="str">
        <f t="shared" si="180"/>
        <v>Inconnu</v>
      </c>
      <c r="BN177" s="250" t="str">
        <f t="shared" si="181"/>
        <v>Inconnu</v>
      </c>
      <c r="BO177" s="250" t="str">
        <f t="shared" si="190"/>
        <v>Inconnu</v>
      </c>
      <c r="BP177" s="250" t="str">
        <f t="shared" si="182"/>
        <v>Inconnu</v>
      </c>
      <c r="BQ177" s="250" t="str">
        <f t="shared" si="183"/>
        <v>Inconnu</v>
      </c>
      <c r="BR177" s="250" t="str">
        <f t="shared" si="184"/>
        <v>Aucune</v>
      </c>
      <c r="BS177" s="250">
        <f t="shared" si="186"/>
        <v>0</v>
      </c>
      <c r="BT177" s="271" t="e">
        <f>VLOOKUP($I177,Lieu_Activité!$A:$B,2,FALSE)</f>
        <v>#N/A</v>
      </c>
      <c r="BU177" s="250" t="str">
        <f t="shared" si="160"/>
        <v>Aucun</v>
      </c>
      <c r="BV177" s="250" t="str">
        <f t="shared" si="161"/>
        <v>Aucun</v>
      </c>
      <c r="BW177" s="249" t="str">
        <f t="shared" si="185"/>
        <v>NON</v>
      </c>
      <c r="BX177" s="330"/>
    </row>
    <row r="178" spans="1:170" s="1" customFormat="1" ht="12.75" customHeight="1" x14ac:dyDescent="0.2">
      <c r="A178" s="268" t="s">
        <v>254</v>
      </c>
      <c r="B178" s="310"/>
      <c r="C178" s="269"/>
      <c r="D178" s="299"/>
      <c r="E178" s="320">
        <f t="shared" si="202"/>
        <v>0</v>
      </c>
      <c r="F178" s="320" t="str">
        <f t="shared" si="162"/>
        <v xml:space="preserve"> </v>
      </c>
      <c r="G178" s="298"/>
      <c r="H178" s="298"/>
      <c r="I178" s="298"/>
      <c r="J178" s="298"/>
      <c r="K178" s="298"/>
      <c r="L178" s="299"/>
      <c r="M178" s="285"/>
      <c r="N178" s="274"/>
      <c r="O178" s="307"/>
      <c r="P178" s="307" t="str">
        <f>IFERROR(VLOOKUP(O178,Références!$K$11:$N$19,2)," ")</f>
        <v xml:space="preserve"> </v>
      </c>
      <c r="Q178" s="307" t="str">
        <f>IFERROR(VLOOKUP(O178,Références!$K$11:$N$19,3)," ")</f>
        <v xml:space="preserve"> </v>
      </c>
      <c r="R178" s="307" t="str">
        <f>IFERROR(VLOOKUP(O178,Références!$K$11:$N$19,4)," ")</f>
        <v xml:space="preserve"> </v>
      </c>
      <c r="S178" s="298"/>
      <c r="T178" s="298"/>
      <c r="U178" s="298"/>
      <c r="V178" s="298"/>
      <c r="W178" s="298"/>
      <c r="X178" s="299"/>
      <c r="Y178" s="298"/>
      <c r="Z178" s="298"/>
      <c r="AA178" s="298"/>
      <c r="AB178" s="277"/>
      <c r="AC178" s="277"/>
      <c r="AD178" s="277"/>
      <c r="AE178" s="277"/>
      <c r="AF178" s="277"/>
      <c r="AG178" s="277"/>
      <c r="AH178" s="277"/>
      <c r="AI178" s="277">
        <f t="shared" si="175"/>
        <v>0</v>
      </c>
      <c r="AJ178" s="299"/>
      <c r="AK178" s="298">
        <f t="shared" si="176"/>
        <v>0</v>
      </c>
      <c r="AL178" s="299"/>
      <c r="AM178" s="308">
        <f t="shared" si="177"/>
        <v>0</v>
      </c>
      <c r="AN178" s="298"/>
      <c r="AO178" s="318"/>
      <c r="AP178" s="303" t="str">
        <f t="shared" si="163"/>
        <v xml:space="preserve"> </v>
      </c>
      <c r="AQ178" s="298"/>
      <c r="AR178" s="337"/>
      <c r="AS178" s="337"/>
      <c r="AT178" s="305"/>
      <c r="AU178" s="319"/>
      <c r="AV178" s="305"/>
      <c r="AW178" s="272"/>
      <c r="AX178" s="342"/>
      <c r="AY178" s="343"/>
      <c r="AZ178" s="272"/>
      <c r="BA178" s="344" t="s">
        <v>246</v>
      </c>
      <c r="BB178" s="337"/>
      <c r="BC178" s="270">
        <f t="shared" si="178"/>
        <v>0</v>
      </c>
      <c r="BD178" s="270">
        <f t="shared" si="179"/>
        <v>0</v>
      </c>
      <c r="BE178" s="270">
        <f t="shared" si="155"/>
        <v>1</v>
      </c>
      <c r="BF178" s="270" t="str">
        <f t="shared" si="164"/>
        <v>ALIVE</v>
      </c>
      <c r="BG178" s="250" t="str">
        <f t="shared" si="156"/>
        <v>Aucune</v>
      </c>
      <c r="BH178" s="250" t="str">
        <f t="shared" si="157"/>
        <v>Aucune</v>
      </c>
      <c r="BI178" s="250" t="str">
        <f t="shared" si="158"/>
        <v>Aucune</v>
      </c>
      <c r="BJ178" s="250" t="str">
        <f t="shared" si="188"/>
        <v>NON</v>
      </c>
      <c r="BK178" s="250" t="str">
        <f t="shared" si="159"/>
        <v>NON</v>
      </c>
      <c r="BL178" s="250" t="str">
        <f t="shared" si="189"/>
        <v>Inconnu</v>
      </c>
      <c r="BM178" s="250" t="str">
        <f t="shared" si="180"/>
        <v>Inconnu</v>
      </c>
      <c r="BN178" s="250" t="str">
        <f t="shared" si="181"/>
        <v>Inconnu</v>
      </c>
      <c r="BO178" s="250" t="str">
        <f t="shared" si="190"/>
        <v>Inconnu</v>
      </c>
      <c r="BP178" s="250" t="str">
        <f t="shared" si="182"/>
        <v>Inconnu</v>
      </c>
      <c r="BQ178" s="250" t="str">
        <f t="shared" si="183"/>
        <v>Inconnu</v>
      </c>
      <c r="BR178" s="250" t="str">
        <f t="shared" si="184"/>
        <v>Aucune</v>
      </c>
      <c r="BS178" s="250">
        <f t="shared" si="186"/>
        <v>0</v>
      </c>
      <c r="BT178" s="271" t="e">
        <f>VLOOKUP($I178,Lieu_Activité!$A:$B,2,FALSE)</f>
        <v>#N/A</v>
      </c>
      <c r="BU178" s="250" t="str">
        <f t="shared" si="160"/>
        <v>Aucun</v>
      </c>
      <c r="BV178" s="250" t="str">
        <f t="shared" si="161"/>
        <v>Aucun</v>
      </c>
      <c r="BW178" s="249" t="str">
        <f t="shared" si="185"/>
        <v>NON</v>
      </c>
      <c r="BX178" s="330"/>
      <c r="BY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</row>
    <row r="179" spans="1:170" ht="12" customHeight="1" x14ac:dyDescent="0.2">
      <c r="A179" s="268" t="s">
        <v>254</v>
      </c>
      <c r="B179" s="276"/>
      <c r="C179" s="269"/>
      <c r="D179" s="299"/>
      <c r="E179" s="320">
        <f t="shared" si="202"/>
        <v>0</v>
      </c>
      <c r="F179" s="320" t="str">
        <f t="shared" si="162"/>
        <v xml:space="preserve"> </v>
      </c>
      <c r="G179" s="298"/>
      <c r="H179" s="298"/>
      <c r="I179" s="298"/>
      <c r="J179" s="298"/>
      <c r="K179" s="298"/>
      <c r="L179" s="299"/>
      <c r="M179" s="285"/>
      <c r="N179" s="274"/>
      <c r="O179" s="274"/>
      <c r="P179" s="307" t="str">
        <f>IFERROR(VLOOKUP(O179,Références!$K$11:$N$19,2)," ")</f>
        <v xml:space="preserve"> </v>
      </c>
      <c r="Q179" s="307" t="str">
        <f>IFERROR(VLOOKUP(O179,Références!$K$11:$N$19,3)," ")</f>
        <v xml:space="preserve"> </v>
      </c>
      <c r="R179" s="307" t="str">
        <f>IFERROR(VLOOKUP(O179,Références!$K$11:$N$19,4)," ")</f>
        <v xml:space="preserve"> </v>
      </c>
      <c r="S179" s="298"/>
      <c r="T179" s="298"/>
      <c r="U179" s="298"/>
      <c r="V179" s="298"/>
      <c r="W179" s="298"/>
      <c r="X179" s="299"/>
      <c r="Y179" s="298"/>
      <c r="Z179" s="298"/>
      <c r="AA179" s="298"/>
      <c r="AB179" s="277"/>
      <c r="AC179" s="277"/>
      <c r="AD179" s="277"/>
      <c r="AE179" s="277"/>
      <c r="AF179" s="277"/>
      <c r="AG179" s="277"/>
      <c r="AH179" s="277"/>
      <c r="AI179" s="277">
        <f t="shared" si="175"/>
        <v>0</v>
      </c>
      <c r="AJ179" s="299"/>
      <c r="AK179" s="298">
        <f t="shared" si="176"/>
        <v>0</v>
      </c>
      <c r="AL179" s="299"/>
      <c r="AM179" s="308">
        <f t="shared" si="177"/>
        <v>0</v>
      </c>
      <c r="AN179" s="298"/>
      <c r="AO179" s="318"/>
      <c r="AP179" s="303" t="str">
        <f t="shared" si="163"/>
        <v xml:space="preserve"> </v>
      </c>
      <c r="AQ179" s="298"/>
      <c r="AR179" s="337"/>
      <c r="AS179" s="337"/>
      <c r="AT179" s="305"/>
      <c r="AU179" s="319"/>
      <c r="AV179" s="305"/>
      <c r="AW179" s="272"/>
      <c r="AX179" s="342"/>
      <c r="AY179" s="343"/>
      <c r="AZ179" s="272"/>
      <c r="BA179" s="342" t="s">
        <v>234</v>
      </c>
      <c r="BB179" s="337"/>
      <c r="BC179" s="270">
        <f t="shared" si="178"/>
        <v>0</v>
      </c>
      <c r="BD179" s="270">
        <f t="shared" si="179"/>
        <v>0</v>
      </c>
      <c r="BE179" s="270">
        <f t="shared" si="155"/>
        <v>1</v>
      </c>
      <c r="BF179" s="270" t="str">
        <f t="shared" si="164"/>
        <v>ALIVE</v>
      </c>
      <c r="BG179" s="250" t="str">
        <f t="shared" si="156"/>
        <v>Aucune</v>
      </c>
      <c r="BH179" s="250" t="str">
        <f t="shared" si="157"/>
        <v>Aucune</v>
      </c>
      <c r="BI179" s="250" t="str">
        <f t="shared" si="158"/>
        <v>Aucune</v>
      </c>
      <c r="BJ179" s="250" t="str">
        <f t="shared" si="188"/>
        <v>NON</v>
      </c>
      <c r="BK179" s="250" t="str">
        <f t="shared" si="159"/>
        <v>NON</v>
      </c>
      <c r="BL179" s="250" t="str">
        <f t="shared" si="189"/>
        <v>Inconnu</v>
      </c>
      <c r="BM179" s="250" t="str">
        <f t="shared" si="180"/>
        <v>Inconnu</v>
      </c>
      <c r="BN179" s="250" t="str">
        <f t="shared" si="181"/>
        <v>Inconnu</v>
      </c>
      <c r="BO179" s="250" t="str">
        <f t="shared" si="190"/>
        <v>Inconnu</v>
      </c>
      <c r="BP179" s="250" t="str">
        <f t="shared" si="182"/>
        <v>Inconnu</v>
      </c>
      <c r="BQ179" s="250" t="str">
        <f t="shared" si="183"/>
        <v>Inconnu</v>
      </c>
      <c r="BR179" s="250" t="str">
        <f t="shared" si="184"/>
        <v>Aucune</v>
      </c>
      <c r="BS179" s="250">
        <f t="shared" si="186"/>
        <v>0</v>
      </c>
      <c r="BT179" s="271" t="e">
        <f>VLOOKUP($I179,Lieu_Activité!$A:$B,2,FALSE)</f>
        <v>#N/A</v>
      </c>
      <c r="BU179" s="250" t="str">
        <f t="shared" si="160"/>
        <v>Aucun</v>
      </c>
      <c r="BV179" s="250" t="str">
        <f t="shared" si="161"/>
        <v>Aucun</v>
      </c>
      <c r="BW179" s="249" t="str">
        <f t="shared" si="185"/>
        <v>NON</v>
      </c>
      <c r="BX179" s="330"/>
    </row>
    <row r="180" spans="1:170" ht="12" customHeight="1" x14ac:dyDescent="0.2">
      <c r="A180" s="268" t="s">
        <v>254</v>
      </c>
      <c r="B180" s="276"/>
      <c r="C180" s="269"/>
      <c r="D180" s="299"/>
      <c r="E180" s="320">
        <f t="shared" si="202"/>
        <v>0</v>
      </c>
      <c r="F180" s="320" t="str">
        <f t="shared" si="162"/>
        <v xml:space="preserve"> </v>
      </c>
      <c r="G180" s="298"/>
      <c r="H180" s="298"/>
      <c r="I180" s="298"/>
      <c r="J180" s="298"/>
      <c r="K180" s="298"/>
      <c r="L180" s="299"/>
      <c r="M180" s="285"/>
      <c r="N180" s="274"/>
      <c r="O180" s="274"/>
      <c r="P180" s="307" t="str">
        <f>IFERROR(VLOOKUP(O180,Références!$K$11:$N$19,2)," ")</f>
        <v xml:space="preserve"> </v>
      </c>
      <c r="Q180" s="307" t="str">
        <f>IFERROR(VLOOKUP(O180,Références!$K$11:$N$19,3)," ")</f>
        <v xml:space="preserve"> </v>
      </c>
      <c r="R180" s="307" t="str">
        <f>IFERROR(VLOOKUP(O180,Références!$K$11:$N$19,4)," ")</f>
        <v xml:space="preserve"> </v>
      </c>
      <c r="S180" s="298"/>
      <c r="T180" s="298"/>
      <c r="U180" s="298"/>
      <c r="V180" s="298"/>
      <c r="W180" s="298"/>
      <c r="X180" s="299"/>
      <c r="Y180" s="298"/>
      <c r="Z180" s="298"/>
      <c r="AA180" s="298"/>
      <c r="AB180" s="277"/>
      <c r="AC180" s="277"/>
      <c r="AD180" s="277"/>
      <c r="AE180" s="277"/>
      <c r="AF180" s="277"/>
      <c r="AG180" s="277"/>
      <c r="AH180" s="277"/>
      <c r="AI180" s="277">
        <f t="shared" si="175"/>
        <v>0</v>
      </c>
      <c r="AJ180" s="299"/>
      <c r="AK180" s="298">
        <f t="shared" si="176"/>
        <v>0</v>
      </c>
      <c r="AL180" s="299"/>
      <c r="AM180" s="308">
        <f t="shared" si="177"/>
        <v>0</v>
      </c>
      <c r="AN180" s="298"/>
      <c r="AO180" s="318"/>
      <c r="AP180" s="303" t="str">
        <f t="shared" si="163"/>
        <v xml:space="preserve"> </v>
      </c>
      <c r="AQ180" s="298"/>
      <c r="AR180" s="337"/>
      <c r="AS180" s="337"/>
      <c r="AT180" s="305"/>
      <c r="AU180" s="319"/>
      <c r="AV180" s="305"/>
      <c r="AW180" s="272"/>
      <c r="AX180" s="342"/>
      <c r="AY180" s="343"/>
      <c r="AZ180" s="272"/>
      <c r="BA180" s="342" t="s">
        <v>234</v>
      </c>
      <c r="BB180" s="337"/>
      <c r="BC180" s="270">
        <f t="shared" si="178"/>
        <v>0</v>
      </c>
      <c r="BD180" s="270">
        <f t="shared" si="179"/>
        <v>0</v>
      </c>
      <c r="BE180" s="270">
        <f t="shared" si="155"/>
        <v>1</v>
      </c>
      <c r="BF180" s="270" t="str">
        <f t="shared" si="164"/>
        <v>ALIVE</v>
      </c>
      <c r="BG180" s="250" t="str">
        <f t="shared" si="156"/>
        <v>Aucune</v>
      </c>
      <c r="BH180" s="250" t="str">
        <f t="shared" si="157"/>
        <v>Aucune</v>
      </c>
      <c r="BI180" s="250" t="str">
        <f t="shared" si="158"/>
        <v>Aucune</v>
      </c>
      <c r="BJ180" s="250" t="str">
        <f t="shared" si="188"/>
        <v>NON</v>
      </c>
      <c r="BK180" s="250" t="str">
        <f t="shared" si="159"/>
        <v>NON</v>
      </c>
      <c r="BL180" s="250" t="str">
        <f t="shared" si="189"/>
        <v>Inconnu</v>
      </c>
      <c r="BM180" s="250" t="str">
        <f t="shared" si="180"/>
        <v>Inconnu</v>
      </c>
      <c r="BN180" s="250" t="str">
        <f t="shared" si="181"/>
        <v>Inconnu</v>
      </c>
      <c r="BO180" s="250" t="str">
        <f t="shared" si="190"/>
        <v>Inconnu</v>
      </c>
      <c r="BP180" s="250" t="str">
        <f t="shared" si="182"/>
        <v>Inconnu</v>
      </c>
      <c r="BQ180" s="250" t="str">
        <f t="shared" si="183"/>
        <v>Inconnu</v>
      </c>
      <c r="BR180" s="250" t="str">
        <f t="shared" si="184"/>
        <v>Aucune</v>
      </c>
      <c r="BS180" s="250">
        <f t="shared" si="186"/>
        <v>0</v>
      </c>
      <c r="BT180" s="271" t="e">
        <f>VLOOKUP($I180,Lieu_Activité!$A:$B,2,FALSE)</f>
        <v>#N/A</v>
      </c>
      <c r="BU180" s="250" t="str">
        <f t="shared" si="160"/>
        <v>Aucun</v>
      </c>
      <c r="BV180" s="250" t="str">
        <f t="shared" si="161"/>
        <v>Aucun</v>
      </c>
      <c r="BW180" s="249" t="str">
        <f t="shared" si="185"/>
        <v>NON</v>
      </c>
      <c r="BX180" s="330"/>
    </row>
    <row r="181" spans="1:170" ht="12" customHeight="1" x14ac:dyDescent="0.2">
      <c r="A181" s="268" t="s">
        <v>254</v>
      </c>
      <c r="B181" s="276"/>
      <c r="C181" s="269"/>
      <c r="D181" s="299"/>
      <c r="E181" s="320">
        <f>(L181-D181)/365</f>
        <v>0</v>
      </c>
      <c r="F181" s="320" t="str">
        <f t="shared" si="162"/>
        <v xml:space="preserve"> </v>
      </c>
      <c r="G181" s="298"/>
      <c r="H181" s="298"/>
      <c r="I181" s="298"/>
      <c r="J181" s="298"/>
      <c r="K181" s="298"/>
      <c r="L181" s="299"/>
      <c r="M181" s="285"/>
      <c r="N181" s="274"/>
      <c r="O181" s="274"/>
      <c r="P181" s="307" t="str">
        <f>IFERROR(VLOOKUP(O181,Références!$K$11:$N$19,2)," ")</f>
        <v xml:space="preserve"> </v>
      </c>
      <c r="Q181" s="307" t="str">
        <f>IFERROR(VLOOKUP(O181,Références!$K$11:$N$19,3)," ")</f>
        <v xml:space="preserve"> </v>
      </c>
      <c r="R181" s="307" t="str">
        <f>IFERROR(VLOOKUP(O181,Références!$K$11:$N$19,4)," ")</f>
        <v xml:space="preserve"> </v>
      </c>
      <c r="S181" s="298"/>
      <c r="T181" s="298"/>
      <c r="U181" s="298"/>
      <c r="V181" s="298"/>
      <c r="W181" s="298"/>
      <c r="X181" s="299"/>
      <c r="Y181" s="298"/>
      <c r="Z181" s="298"/>
      <c r="AA181" s="298"/>
      <c r="AB181" s="277"/>
      <c r="AC181" s="277"/>
      <c r="AD181" s="277"/>
      <c r="AE181" s="277"/>
      <c r="AF181" s="277"/>
      <c r="AG181" s="277"/>
      <c r="AH181" s="277"/>
      <c r="AI181" s="277">
        <f>SUM(AF181,AH181)</f>
        <v>0</v>
      </c>
      <c r="AJ181" s="299"/>
      <c r="AK181" s="298">
        <f>(AJ181-L181)</f>
        <v>0</v>
      </c>
      <c r="AL181" s="299"/>
      <c r="AM181" s="308">
        <f>(AL181-L181)</f>
        <v>0</v>
      </c>
      <c r="AN181" s="298"/>
      <c r="AO181" s="318"/>
      <c r="AP181" s="303" t="str">
        <f t="shared" si="163"/>
        <v xml:space="preserve"> </v>
      </c>
      <c r="AQ181" s="298"/>
      <c r="AR181" s="337"/>
      <c r="AS181" s="337"/>
      <c r="AT181" s="305"/>
      <c r="AU181" s="319"/>
      <c r="AV181" s="305"/>
      <c r="AW181" s="272"/>
      <c r="AX181" s="342"/>
      <c r="AY181" s="343"/>
      <c r="AZ181" s="272"/>
      <c r="BA181" s="342" t="s">
        <v>234</v>
      </c>
      <c r="BB181" s="337"/>
      <c r="BC181" s="270">
        <f>IF(BG181="Aucune",0,1)</f>
        <v>0</v>
      </c>
      <c r="BD181" s="270">
        <f>IF(BH181="Aucune",0,1)</f>
        <v>0</v>
      </c>
      <c r="BE181" s="270">
        <f t="shared" si="155"/>
        <v>1</v>
      </c>
      <c r="BF181" s="270" t="str">
        <f t="shared" si="164"/>
        <v>ALIVE</v>
      </c>
      <c r="BG181" s="250" t="str">
        <f t="shared" si="156"/>
        <v>Aucune</v>
      </c>
      <c r="BH181" s="250" t="str">
        <f t="shared" si="157"/>
        <v>Aucune</v>
      </c>
      <c r="BI181" s="250" t="str">
        <f t="shared" si="158"/>
        <v>Aucune</v>
      </c>
      <c r="BJ181" s="250" t="str">
        <f t="shared" si="188"/>
        <v>NON</v>
      </c>
      <c r="BK181" s="250" t="str">
        <f t="shared" si="159"/>
        <v>NON</v>
      </c>
      <c r="BL181" s="250" t="str">
        <f t="shared" si="189"/>
        <v>Inconnu</v>
      </c>
      <c r="BM181" s="250" t="str">
        <f>IF($O181&lt;&gt;"HTX",IF($O181&lt;&gt;"LVAD",BL181,"Inconnu"),"Inconnu")</f>
        <v>Inconnu</v>
      </c>
      <c r="BN181" s="250" t="str">
        <f>IF($O181="HTX",BL181,IF($O181="LVAD",BL181,"Inconnu"))</f>
        <v>Inconnu</v>
      </c>
      <c r="BO181" s="250" t="str">
        <f t="shared" si="190"/>
        <v>Inconnu</v>
      </c>
      <c r="BP181" s="250" t="str">
        <f>IF($O181&lt;&gt;"HTX",IF($O181&lt;&gt;"LVAD",BO181,"Inconnu"),"Inconnu")</f>
        <v>Inconnu</v>
      </c>
      <c r="BQ181" s="250" t="str">
        <f>IF($O181="HTX",BO181,IF($O181="LVAD",BO181,"Inconnu"))</f>
        <v>Inconnu</v>
      </c>
      <c r="BR181" s="250" t="str">
        <f>IF(BH181="Aucune",IF(BI181="Aucune","Aucune","Transfusé"),"Transfusé")</f>
        <v>Aucune</v>
      </c>
      <c r="BS181" s="250">
        <f t="shared" si="186"/>
        <v>0</v>
      </c>
      <c r="BT181" s="271" t="e">
        <f>VLOOKUP($I181,Lieu_Activité!$A:$B,2,FALSE)</f>
        <v>#N/A</v>
      </c>
      <c r="BU181" s="250" t="str">
        <f t="shared" si="160"/>
        <v>Aucun</v>
      </c>
      <c r="BV181" s="250" t="str">
        <f t="shared" si="161"/>
        <v>Aucun</v>
      </c>
      <c r="BW181" s="249" t="str">
        <f t="shared" si="185"/>
        <v>NON</v>
      </c>
      <c r="BX181" s="330"/>
    </row>
    <row r="182" spans="1:170" s="1" customFormat="1" ht="12.75" customHeight="1" x14ac:dyDescent="0.2">
      <c r="A182" s="268" t="s">
        <v>254</v>
      </c>
      <c r="B182" s="276"/>
      <c r="C182" s="269"/>
      <c r="D182" s="299"/>
      <c r="E182" s="320">
        <f>(L182-D182)/365</f>
        <v>0</v>
      </c>
      <c r="F182" s="320" t="str">
        <f t="shared" si="162"/>
        <v xml:space="preserve"> </v>
      </c>
      <c r="G182" s="298"/>
      <c r="H182" s="298"/>
      <c r="I182" s="298"/>
      <c r="J182" s="298"/>
      <c r="K182" s="298"/>
      <c r="L182" s="299"/>
      <c r="M182" s="285"/>
      <c r="N182" s="274"/>
      <c r="O182" s="274"/>
      <c r="P182" s="307" t="str">
        <f>IFERROR(VLOOKUP(O182,Références!$K$11:$N$19,2)," ")</f>
        <v xml:space="preserve"> </v>
      </c>
      <c r="Q182" s="307" t="str">
        <f>IFERROR(VLOOKUP(O182,Références!$K$11:$N$19,3)," ")</f>
        <v xml:space="preserve"> </v>
      </c>
      <c r="R182" s="307" t="str">
        <f>IFERROR(VLOOKUP(O182,Références!$K$11:$N$19,4)," ")</f>
        <v xml:space="preserve"> </v>
      </c>
      <c r="S182" s="298"/>
      <c r="T182" s="298"/>
      <c r="U182" s="298"/>
      <c r="V182" s="298"/>
      <c r="W182" s="298"/>
      <c r="X182" s="299"/>
      <c r="Y182" s="298"/>
      <c r="Z182" s="298"/>
      <c r="AA182" s="298"/>
      <c r="AB182" s="277"/>
      <c r="AC182" s="277"/>
      <c r="AD182" s="277"/>
      <c r="AE182" s="277"/>
      <c r="AF182" s="277"/>
      <c r="AG182" s="277"/>
      <c r="AH182" s="277"/>
      <c r="AI182" s="277">
        <f>SUM(AF182,AH182)</f>
        <v>0</v>
      </c>
      <c r="AJ182" s="299"/>
      <c r="AK182" s="298">
        <f>(AJ182-L182)</f>
        <v>0</v>
      </c>
      <c r="AL182" s="299"/>
      <c r="AM182" s="308">
        <f>(AL182-L182)</f>
        <v>0</v>
      </c>
      <c r="AN182" s="298"/>
      <c r="AO182" s="318"/>
      <c r="AP182" s="303" t="str">
        <f t="shared" si="163"/>
        <v xml:space="preserve"> </v>
      </c>
      <c r="AQ182" s="298"/>
      <c r="AR182" s="337"/>
      <c r="AS182" s="337"/>
      <c r="AT182" s="305"/>
      <c r="AU182" s="319"/>
      <c r="AV182" s="305"/>
      <c r="AW182" s="272"/>
      <c r="AX182" s="342"/>
      <c r="AY182" s="343"/>
      <c r="AZ182" s="272"/>
      <c r="BA182" s="342" t="s">
        <v>234</v>
      </c>
      <c r="BB182" s="337"/>
      <c r="BC182" s="270">
        <f>IF(BG182="Aucune",0,1)</f>
        <v>0</v>
      </c>
      <c r="BD182" s="270">
        <f>IF(BH182="Aucune",0,1)</f>
        <v>0</v>
      </c>
      <c r="BE182" s="270">
        <f t="shared" si="155"/>
        <v>1</v>
      </c>
      <c r="BF182" s="270" t="str">
        <f t="shared" si="164"/>
        <v>ALIVE</v>
      </c>
      <c r="BG182" s="250" t="str">
        <f t="shared" si="156"/>
        <v>Aucune</v>
      </c>
      <c r="BH182" s="250" t="str">
        <f t="shared" si="157"/>
        <v>Aucune</v>
      </c>
      <c r="BI182" s="250" t="str">
        <f t="shared" si="158"/>
        <v>Aucune</v>
      </c>
      <c r="BJ182" s="250" t="str">
        <f t="shared" si="188"/>
        <v>NON</v>
      </c>
      <c r="BK182" s="250" t="str">
        <f t="shared" si="159"/>
        <v>NON</v>
      </c>
      <c r="BL182" s="250" t="str">
        <f t="shared" si="189"/>
        <v>Inconnu</v>
      </c>
      <c r="BM182" s="250" t="str">
        <f>IF($O182&lt;&gt;"HTX",IF($O182&lt;&gt;"LVAD",BL182,"Inconnu"),"Inconnu")</f>
        <v>Inconnu</v>
      </c>
      <c r="BN182" s="250" t="str">
        <f>IF($O182="HTX",BL182,IF($O182="LVAD",BL182,"Inconnu"))</f>
        <v>Inconnu</v>
      </c>
      <c r="BO182" s="250" t="str">
        <f t="shared" si="190"/>
        <v>Inconnu</v>
      </c>
      <c r="BP182" s="250" t="str">
        <f>IF($O182&lt;&gt;"HTX",IF($O182&lt;&gt;"LVAD",BO182,"Inconnu"),"Inconnu")</f>
        <v>Inconnu</v>
      </c>
      <c r="BQ182" s="250" t="str">
        <f>IF($O182="HTX",BO182,IF($O182="LVAD",BO182,"Inconnu"))</f>
        <v>Inconnu</v>
      </c>
      <c r="BR182" s="250" t="str">
        <f>IF(BH182="Aucune",IF(BI182="Aucune","Aucune","Transfusé"),"Transfusé")</f>
        <v>Aucune</v>
      </c>
      <c r="BS182" s="250">
        <f t="shared" si="186"/>
        <v>0</v>
      </c>
      <c r="BT182" s="271" t="e">
        <f>VLOOKUP($I182,Lieu_Activité!$A:$B,2,FALSE)</f>
        <v>#N/A</v>
      </c>
      <c r="BU182" s="250" t="str">
        <f t="shared" si="160"/>
        <v>Aucun</v>
      </c>
      <c r="BV182" s="250" t="str">
        <f t="shared" si="161"/>
        <v>Aucun</v>
      </c>
      <c r="BW182" s="249" t="str">
        <f t="shared" si="185"/>
        <v>NON</v>
      </c>
      <c r="BX182" s="330"/>
      <c r="BY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</row>
    <row r="183" spans="1:170" ht="12" customHeight="1" x14ac:dyDescent="0.2">
      <c r="A183" s="273" t="s">
        <v>282</v>
      </c>
      <c r="B183" s="276"/>
      <c r="C183" s="269"/>
      <c r="D183" s="299"/>
      <c r="E183" s="320">
        <f t="shared" ref="E183:E201" si="203">(L183-D183)/365</f>
        <v>0</v>
      </c>
      <c r="F183" s="320" t="str">
        <f t="shared" si="162"/>
        <v xml:space="preserve"> </v>
      </c>
      <c r="G183" s="298"/>
      <c r="H183" s="298"/>
      <c r="I183" s="298"/>
      <c r="J183" s="298"/>
      <c r="K183" s="298"/>
      <c r="L183" s="299"/>
      <c r="M183" s="285"/>
      <c r="N183" s="274"/>
      <c r="O183" s="274"/>
      <c r="P183" s="307" t="str">
        <f>IFERROR(VLOOKUP(O183,Références!$K$11:$N$19,2)," ")</f>
        <v xml:space="preserve"> </v>
      </c>
      <c r="Q183" s="307" t="str">
        <f>IFERROR(VLOOKUP(O183,Références!$K$11:$N$19,3)," ")</f>
        <v xml:space="preserve"> </v>
      </c>
      <c r="R183" s="307" t="str">
        <f>IFERROR(VLOOKUP(O183,Références!$K$11:$N$19,4)," ")</f>
        <v xml:space="preserve"> </v>
      </c>
      <c r="S183" s="298"/>
      <c r="T183" s="298"/>
      <c r="U183" s="298"/>
      <c r="V183" s="298"/>
      <c r="W183" s="298"/>
      <c r="X183" s="299"/>
      <c r="Y183" s="298"/>
      <c r="Z183" s="298"/>
      <c r="AA183" s="298"/>
      <c r="AB183" s="277"/>
      <c r="AC183" s="277"/>
      <c r="AD183" s="316"/>
      <c r="AE183" s="277"/>
      <c r="AF183" s="277"/>
      <c r="AG183" s="277"/>
      <c r="AH183" s="277"/>
      <c r="AI183" s="277">
        <f t="shared" ref="AI183:AI201" si="204">SUM(AF183,AH183)</f>
        <v>0</v>
      </c>
      <c r="AJ183" s="299"/>
      <c r="AK183" s="298">
        <f t="shared" ref="AK183:AK201" si="205">(AJ183-L183)</f>
        <v>0</v>
      </c>
      <c r="AL183" s="299"/>
      <c r="AM183" s="308">
        <f t="shared" ref="AM183:AM201" si="206">(AL183-L183)</f>
        <v>0</v>
      </c>
      <c r="AN183" s="298"/>
      <c r="AO183" s="318"/>
      <c r="AP183" s="303" t="str">
        <f t="shared" si="163"/>
        <v xml:space="preserve"> </v>
      </c>
      <c r="AQ183" s="298"/>
      <c r="AR183" s="337"/>
      <c r="AS183" s="337"/>
      <c r="AT183" s="305"/>
      <c r="AU183" s="319"/>
      <c r="AV183" s="305"/>
      <c r="AW183" s="272"/>
      <c r="AX183" s="342"/>
      <c r="AY183" s="343"/>
      <c r="AZ183" s="272"/>
      <c r="BA183" s="342" t="s">
        <v>234</v>
      </c>
      <c r="BB183" s="337"/>
      <c r="BC183" s="270">
        <f t="shared" ref="BC183:BC201" si="207">IF(BG183="Aucune",0,1)</f>
        <v>0</v>
      </c>
      <c r="BD183" s="270">
        <f t="shared" ref="BD183:BD201" si="208">IF(BH183="Aucune",0,1)</f>
        <v>0</v>
      </c>
      <c r="BE183" s="270">
        <f t="shared" si="155"/>
        <v>1</v>
      </c>
      <c r="BF183" s="270" t="str">
        <f t="shared" si="164"/>
        <v>ALIVE</v>
      </c>
      <c r="BG183" s="250" t="str">
        <f t="shared" si="156"/>
        <v>Aucune</v>
      </c>
      <c r="BH183" s="250" t="str">
        <f t="shared" si="157"/>
        <v>Aucune</v>
      </c>
      <c r="BI183" s="250" t="str">
        <f t="shared" si="158"/>
        <v>Aucune</v>
      </c>
      <c r="BJ183" s="250" t="str">
        <f t="shared" si="188"/>
        <v>NON</v>
      </c>
      <c r="BK183" s="250" t="str">
        <f t="shared" si="159"/>
        <v>NON</v>
      </c>
      <c r="BL183" s="250" t="str">
        <f t="shared" si="189"/>
        <v>Inconnu</v>
      </c>
      <c r="BM183" s="250" t="str">
        <f t="shared" ref="BM183:BM201" si="209">IF($O183&lt;&gt;"HTX",IF($O183&lt;&gt;"LVAD",BL183,"Inconnu"),"Inconnu")</f>
        <v>Inconnu</v>
      </c>
      <c r="BN183" s="250" t="str">
        <f t="shared" ref="BN183:BN201" si="210">IF($O183="HTX",BL183,IF($O183="LVAD",BL183,"Inconnu"))</f>
        <v>Inconnu</v>
      </c>
      <c r="BO183" s="250" t="str">
        <f t="shared" si="190"/>
        <v>Inconnu</v>
      </c>
      <c r="BP183" s="250" t="str">
        <f t="shared" ref="BP183:BP201" si="211">IF($O183&lt;&gt;"HTX",IF($O183&lt;&gt;"LVAD",BO183,"Inconnu"),"Inconnu")</f>
        <v>Inconnu</v>
      </c>
      <c r="BQ183" s="250" t="str">
        <f t="shared" ref="BQ183:BQ201" si="212">IF($O183="HTX",BO183,IF($O183="LVAD",BO183,"Inconnu"))</f>
        <v>Inconnu</v>
      </c>
      <c r="BR183" s="250" t="str">
        <f t="shared" ref="BR183:BR201" si="213">IF(BH183="Aucune",IF(BI183="Aucune","Aucune","Transfusé"),"Transfusé")</f>
        <v>Aucune</v>
      </c>
      <c r="BS183" s="250">
        <f t="shared" si="186"/>
        <v>0</v>
      </c>
      <c r="BT183" s="271" t="e">
        <f>VLOOKUP($I183,Lieu_Activité!$A:$B,2,FALSE)</f>
        <v>#N/A</v>
      </c>
      <c r="BU183" s="250" t="str">
        <f t="shared" si="160"/>
        <v>Aucun</v>
      </c>
      <c r="BV183" s="250" t="str">
        <f t="shared" si="161"/>
        <v>Aucun</v>
      </c>
      <c r="BW183" s="249" t="str">
        <f t="shared" si="185"/>
        <v>NON</v>
      </c>
      <c r="BX183" s="330"/>
    </row>
    <row r="184" spans="1:170" ht="12" customHeight="1" x14ac:dyDescent="0.2">
      <c r="A184" s="273" t="s">
        <v>282</v>
      </c>
      <c r="B184" s="276"/>
      <c r="C184" s="269"/>
      <c r="D184" s="299"/>
      <c r="E184" s="320">
        <f t="shared" si="203"/>
        <v>0</v>
      </c>
      <c r="F184" s="320" t="str">
        <f t="shared" si="162"/>
        <v xml:space="preserve"> </v>
      </c>
      <c r="G184" s="298"/>
      <c r="H184" s="298"/>
      <c r="I184" s="298"/>
      <c r="J184" s="298"/>
      <c r="K184" s="298"/>
      <c r="L184" s="299"/>
      <c r="M184" s="285"/>
      <c r="N184" s="274"/>
      <c r="O184" s="274"/>
      <c r="P184" s="307" t="str">
        <f>IFERROR(VLOOKUP(O184,Références!$K$11:$N$19,2)," ")</f>
        <v xml:space="preserve"> </v>
      </c>
      <c r="Q184" s="307" t="str">
        <f>IFERROR(VLOOKUP(O184,Références!$K$11:$N$19,3)," ")</f>
        <v xml:space="preserve"> </v>
      </c>
      <c r="R184" s="307" t="str">
        <f>IFERROR(VLOOKUP(O184,Références!$K$11:$N$19,4)," ")</f>
        <v xml:space="preserve"> </v>
      </c>
      <c r="S184" s="298"/>
      <c r="T184" s="298"/>
      <c r="U184" s="298"/>
      <c r="V184" s="298"/>
      <c r="W184" s="298"/>
      <c r="X184" s="299"/>
      <c r="Y184" s="298"/>
      <c r="Z184" s="298"/>
      <c r="AA184" s="298"/>
      <c r="AB184" s="277"/>
      <c r="AC184" s="277"/>
      <c r="AD184" s="277"/>
      <c r="AE184" s="277"/>
      <c r="AF184" s="277"/>
      <c r="AG184" s="277"/>
      <c r="AH184" s="277"/>
      <c r="AI184" s="277">
        <f t="shared" si="204"/>
        <v>0</v>
      </c>
      <c r="AJ184" s="299"/>
      <c r="AK184" s="298">
        <f t="shared" si="205"/>
        <v>0</v>
      </c>
      <c r="AL184" s="299"/>
      <c r="AM184" s="308">
        <f t="shared" si="206"/>
        <v>0</v>
      </c>
      <c r="AN184" s="298"/>
      <c r="AO184" s="318"/>
      <c r="AP184" s="303" t="str">
        <f t="shared" si="163"/>
        <v xml:space="preserve"> </v>
      </c>
      <c r="AQ184" s="298"/>
      <c r="AR184" s="337"/>
      <c r="AS184" s="337"/>
      <c r="AT184" s="305"/>
      <c r="AU184" s="319"/>
      <c r="AV184" s="305"/>
      <c r="AW184" s="272"/>
      <c r="AX184" s="342"/>
      <c r="AY184" s="343"/>
      <c r="AZ184" s="272"/>
      <c r="BA184" s="342"/>
      <c r="BB184" s="337"/>
      <c r="BC184" s="270">
        <f t="shared" si="207"/>
        <v>0</v>
      </c>
      <c r="BD184" s="270">
        <f t="shared" si="208"/>
        <v>0</v>
      </c>
      <c r="BE184" s="270">
        <f t="shared" si="155"/>
        <v>1</v>
      </c>
      <c r="BF184" s="270" t="str">
        <f t="shared" si="164"/>
        <v>ALIVE</v>
      </c>
      <c r="BG184" s="250" t="str">
        <f t="shared" si="156"/>
        <v>Aucune</v>
      </c>
      <c r="BH184" s="250" t="str">
        <f t="shared" si="157"/>
        <v>Aucune</v>
      </c>
      <c r="BI184" s="250" t="str">
        <f t="shared" si="158"/>
        <v>Aucune</v>
      </c>
      <c r="BJ184" s="250" t="str">
        <f t="shared" si="188"/>
        <v>NON</v>
      </c>
      <c r="BK184" s="250" t="str">
        <f t="shared" si="159"/>
        <v>NON</v>
      </c>
      <c r="BL184" s="250" t="str">
        <f t="shared" si="189"/>
        <v>Inconnu</v>
      </c>
      <c r="BM184" s="250" t="str">
        <f t="shared" si="209"/>
        <v>Inconnu</v>
      </c>
      <c r="BN184" s="250" t="str">
        <f t="shared" si="210"/>
        <v>Inconnu</v>
      </c>
      <c r="BO184" s="250" t="str">
        <f t="shared" si="190"/>
        <v>Inconnu</v>
      </c>
      <c r="BP184" s="250" t="str">
        <f t="shared" si="211"/>
        <v>Inconnu</v>
      </c>
      <c r="BQ184" s="250" t="str">
        <f t="shared" si="212"/>
        <v>Inconnu</v>
      </c>
      <c r="BR184" s="250" t="str">
        <f t="shared" si="213"/>
        <v>Aucune</v>
      </c>
      <c r="BS184" s="250">
        <f t="shared" si="186"/>
        <v>0</v>
      </c>
      <c r="BT184" s="271" t="e">
        <f>VLOOKUP($I184,Lieu_Activité!$A:$B,2,FALSE)</f>
        <v>#N/A</v>
      </c>
      <c r="BU184" s="250" t="str">
        <f t="shared" si="160"/>
        <v>Aucun</v>
      </c>
      <c r="BV184" s="250" t="str">
        <f t="shared" si="161"/>
        <v>Aucun</v>
      </c>
      <c r="BW184" s="249" t="str">
        <f t="shared" ref="BW184:BW214" si="214">IF(M184="","NON","OUI")</f>
        <v>NON</v>
      </c>
      <c r="BX184" s="330"/>
    </row>
    <row r="185" spans="1:170" s="1" customFormat="1" ht="12.75" customHeight="1" x14ac:dyDescent="0.2">
      <c r="A185" s="273" t="s">
        <v>282</v>
      </c>
      <c r="B185" s="276"/>
      <c r="C185" s="269"/>
      <c r="D185" s="299"/>
      <c r="E185" s="320">
        <f t="shared" si="203"/>
        <v>0</v>
      </c>
      <c r="F185" s="320" t="str">
        <f t="shared" si="162"/>
        <v xml:space="preserve"> </v>
      </c>
      <c r="G185" s="298"/>
      <c r="H185" s="298"/>
      <c r="I185" s="298"/>
      <c r="J185" s="298"/>
      <c r="K185" s="298"/>
      <c r="L185" s="299"/>
      <c r="M185" s="285"/>
      <c r="N185" s="274"/>
      <c r="O185" s="307"/>
      <c r="P185" s="307" t="str">
        <f>IFERROR(VLOOKUP(O185,Références!$K$11:$N$19,2)," ")</f>
        <v xml:space="preserve"> </v>
      </c>
      <c r="Q185" s="307" t="str">
        <f>IFERROR(VLOOKUP(O185,Références!$K$11:$N$19,3)," ")</f>
        <v xml:space="preserve"> </v>
      </c>
      <c r="R185" s="307" t="str">
        <f>IFERROR(VLOOKUP(O185,Références!$K$11:$N$19,4)," ")</f>
        <v xml:space="preserve"> </v>
      </c>
      <c r="S185" s="298"/>
      <c r="T185" s="298"/>
      <c r="U185" s="298"/>
      <c r="V185" s="298"/>
      <c r="W185" s="298"/>
      <c r="X185" s="299"/>
      <c r="Y185" s="298"/>
      <c r="Z185" s="298"/>
      <c r="AA185" s="298"/>
      <c r="AB185" s="277"/>
      <c r="AC185" s="277"/>
      <c r="AD185" s="277"/>
      <c r="AE185" s="277"/>
      <c r="AF185" s="277"/>
      <c r="AG185" s="277"/>
      <c r="AH185" s="277"/>
      <c r="AI185" s="277">
        <f t="shared" si="204"/>
        <v>0</v>
      </c>
      <c r="AJ185" s="299"/>
      <c r="AK185" s="298">
        <f t="shared" si="205"/>
        <v>0</v>
      </c>
      <c r="AL185" s="299"/>
      <c r="AM185" s="308">
        <f t="shared" si="206"/>
        <v>0</v>
      </c>
      <c r="AN185" s="298"/>
      <c r="AO185" s="318"/>
      <c r="AP185" s="303" t="str">
        <f t="shared" si="163"/>
        <v xml:space="preserve"> </v>
      </c>
      <c r="AQ185" s="298"/>
      <c r="AR185" s="339"/>
      <c r="AS185" s="337"/>
      <c r="AT185" s="305"/>
      <c r="AU185" s="319"/>
      <c r="AV185" s="305"/>
      <c r="AW185" s="272"/>
      <c r="AX185" s="342"/>
      <c r="AY185" s="343"/>
      <c r="AZ185" s="272"/>
      <c r="BA185" s="342" t="s">
        <v>234</v>
      </c>
      <c r="BB185" s="337"/>
      <c r="BC185" s="270">
        <f t="shared" si="207"/>
        <v>0</v>
      </c>
      <c r="BD185" s="270">
        <f t="shared" si="208"/>
        <v>0</v>
      </c>
      <c r="BE185" s="270">
        <f t="shared" si="155"/>
        <v>1</v>
      </c>
      <c r="BF185" s="270" t="str">
        <f t="shared" si="164"/>
        <v>ALIVE</v>
      </c>
      <c r="BG185" s="250" t="str">
        <f t="shared" si="156"/>
        <v>Aucune</v>
      </c>
      <c r="BH185" s="250" t="str">
        <f t="shared" si="157"/>
        <v>Aucune</v>
      </c>
      <c r="BI185" s="250" t="str">
        <f t="shared" si="158"/>
        <v>Aucune</v>
      </c>
      <c r="BJ185" s="250" t="str">
        <f t="shared" si="188"/>
        <v>NON</v>
      </c>
      <c r="BK185" s="250" t="str">
        <f t="shared" si="159"/>
        <v>NON</v>
      </c>
      <c r="BL185" s="250" t="str">
        <f t="shared" si="189"/>
        <v>Inconnu</v>
      </c>
      <c r="BM185" s="250" t="str">
        <f t="shared" si="209"/>
        <v>Inconnu</v>
      </c>
      <c r="BN185" s="250" t="str">
        <f t="shared" si="210"/>
        <v>Inconnu</v>
      </c>
      <c r="BO185" s="250" t="str">
        <f t="shared" si="190"/>
        <v>Inconnu</v>
      </c>
      <c r="BP185" s="250" t="str">
        <f t="shared" si="211"/>
        <v>Inconnu</v>
      </c>
      <c r="BQ185" s="250" t="str">
        <f t="shared" si="212"/>
        <v>Inconnu</v>
      </c>
      <c r="BR185" s="250" t="str">
        <f t="shared" si="213"/>
        <v>Aucune</v>
      </c>
      <c r="BS185" s="250">
        <f t="shared" si="186"/>
        <v>0</v>
      </c>
      <c r="BT185" s="271" t="e">
        <f>VLOOKUP($I185,Lieu_Activité!$A:$B,2,FALSE)</f>
        <v>#N/A</v>
      </c>
      <c r="BU185" s="250" t="str">
        <f t="shared" si="160"/>
        <v>Aucun</v>
      </c>
      <c r="BV185" s="250" t="str">
        <f t="shared" si="161"/>
        <v>Aucun</v>
      </c>
      <c r="BW185" s="249" t="str">
        <f t="shared" si="214"/>
        <v>NON</v>
      </c>
      <c r="BX185" s="330"/>
      <c r="BY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</row>
    <row r="186" spans="1:170" ht="12" customHeight="1" x14ac:dyDescent="0.2">
      <c r="A186" s="273" t="s">
        <v>282</v>
      </c>
      <c r="B186" s="309"/>
      <c r="C186" s="269"/>
      <c r="D186" s="299"/>
      <c r="E186" s="320">
        <f t="shared" si="203"/>
        <v>0</v>
      </c>
      <c r="F186" s="320" t="str">
        <f t="shared" si="162"/>
        <v xml:space="preserve"> </v>
      </c>
      <c r="G186" s="298"/>
      <c r="H186" s="298"/>
      <c r="I186" s="298"/>
      <c r="J186" s="298"/>
      <c r="K186" s="298"/>
      <c r="L186" s="299"/>
      <c r="M186" s="285"/>
      <c r="N186" s="274"/>
      <c r="O186" s="274"/>
      <c r="P186" s="307" t="str">
        <f>IFERROR(VLOOKUP(O186,Références!$K$11:$N$19,2)," ")</f>
        <v xml:space="preserve"> </v>
      </c>
      <c r="Q186" s="307" t="str">
        <f>IFERROR(VLOOKUP(O186,Références!$K$11:$N$19,3)," ")</f>
        <v xml:space="preserve"> </v>
      </c>
      <c r="R186" s="307" t="str">
        <f>IFERROR(VLOOKUP(O186,Références!$K$11:$N$19,4)," ")</f>
        <v xml:space="preserve"> </v>
      </c>
      <c r="S186" s="298"/>
      <c r="T186" s="298"/>
      <c r="U186" s="298"/>
      <c r="V186" s="298"/>
      <c r="W186" s="298"/>
      <c r="X186" s="299"/>
      <c r="Y186" s="298"/>
      <c r="Z186" s="298"/>
      <c r="AA186" s="298"/>
      <c r="AB186" s="277"/>
      <c r="AC186" s="277"/>
      <c r="AD186" s="277"/>
      <c r="AE186" s="277"/>
      <c r="AF186" s="277"/>
      <c r="AG186" s="277"/>
      <c r="AH186" s="277"/>
      <c r="AI186" s="277">
        <f t="shared" si="204"/>
        <v>0</v>
      </c>
      <c r="AJ186" s="299"/>
      <c r="AK186" s="298">
        <f t="shared" si="205"/>
        <v>0</v>
      </c>
      <c r="AL186" s="299"/>
      <c r="AM186" s="308">
        <f t="shared" si="206"/>
        <v>0</v>
      </c>
      <c r="AN186" s="298"/>
      <c r="AO186" s="318"/>
      <c r="AP186" s="303" t="str">
        <f t="shared" si="163"/>
        <v xml:space="preserve"> </v>
      </c>
      <c r="AQ186" s="298"/>
      <c r="AR186" s="337"/>
      <c r="AS186" s="337"/>
      <c r="AT186" s="305"/>
      <c r="AU186" s="319"/>
      <c r="AV186" s="305"/>
      <c r="AW186" s="272"/>
      <c r="AX186" s="342"/>
      <c r="AY186" s="343"/>
      <c r="AZ186" s="272"/>
      <c r="BA186" s="342"/>
      <c r="BB186" s="337"/>
      <c r="BC186" s="270">
        <f t="shared" si="207"/>
        <v>0</v>
      </c>
      <c r="BD186" s="270">
        <f t="shared" si="208"/>
        <v>0</v>
      </c>
      <c r="BE186" s="270">
        <f t="shared" si="155"/>
        <v>1</v>
      </c>
      <c r="BF186" s="270" t="str">
        <f t="shared" si="164"/>
        <v>ALIVE</v>
      </c>
      <c r="BG186" s="250" t="str">
        <f t="shared" si="156"/>
        <v>Aucune</v>
      </c>
      <c r="BH186" s="250" t="str">
        <f t="shared" si="157"/>
        <v>Aucune</v>
      </c>
      <c r="BI186" s="250" t="str">
        <f t="shared" si="158"/>
        <v>Aucune</v>
      </c>
      <c r="BJ186" s="250" t="str">
        <f t="shared" si="188"/>
        <v>NON</v>
      </c>
      <c r="BK186" s="250" t="str">
        <f t="shared" si="159"/>
        <v>NON</v>
      </c>
      <c r="BL186" s="250" t="str">
        <f t="shared" si="189"/>
        <v>Inconnu</v>
      </c>
      <c r="BM186" s="250" t="str">
        <f t="shared" si="209"/>
        <v>Inconnu</v>
      </c>
      <c r="BN186" s="250" t="str">
        <f t="shared" si="210"/>
        <v>Inconnu</v>
      </c>
      <c r="BO186" s="250" t="str">
        <f t="shared" si="190"/>
        <v>Inconnu</v>
      </c>
      <c r="BP186" s="250" t="str">
        <f t="shared" si="211"/>
        <v>Inconnu</v>
      </c>
      <c r="BQ186" s="250" t="str">
        <f t="shared" si="212"/>
        <v>Inconnu</v>
      </c>
      <c r="BR186" s="250" t="str">
        <f t="shared" si="213"/>
        <v>Aucune</v>
      </c>
      <c r="BS186" s="250">
        <f t="shared" si="186"/>
        <v>0</v>
      </c>
      <c r="BT186" s="271" t="e">
        <f>VLOOKUP($I186,Lieu_Activité!$A:$B,2,FALSE)</f>
        <v>#N/A</v>
      </c>
      <c r="BU186" s="250" t="str">
        <f t="shared" si="160"/>
        <v>Aucun</v>
      </c>
      <c r="BV186" s="250" t="str">
        <f t="shared" si="161"/>
        <v>Aucun</v>
      </c>
      <c r="BW186" s="249" t="str">
        <f t="shared" si="214"/>
        <v>NON</v>
      </c>
      <c r="BX186" s="330"/>
    </row>
    <row r="187" spans="1:170" ht="12" customHeight="1" x14ac:dyDescent="0.2">
      <c r="A187" s="273" t="s">
        <v>282</v>
      </c>
      <c r="B187" s="276"/>
      <c r="C187" s="269"/>
      <c r="D187" s="299"/>
      <c r="E187" s="320">
        <f t="shared" si="203"/>
        <v>0</v>
      </c>
      <c r="F187" s="320" t="str">
        <f t="shared" si="162"/>
        <v xml:space="preserve"> </v>
      </c>
      <c r="G187" s="298"/>
      <c r="H187" s="298"/>
      <c r="I187" s="298"/>
      <c r="J187" s="298"/>
      <c r="K187" s="298"/>
      <c r="L187" s="299"/>
      <c r="M187" s="285"/>
      <c r="N187" s="274"/>
      <c r="O187" s="274"/>
      <c r="P187" s="307" t="str">
        <f>IFERROR(VLOOKUP(O187,Références!$K$11:$N$19,2)," ")</f>
        <v xml:space="preserve"> </v>
      </c>
      <c r="Q187" s="307" t="str">
        <f>IFERROR(VLOOKUP(O187,Références!$K$11:$N$19,3)," ")</f>
        <v xml:space="preserve"> </v>
      </c>
      <c r="R187" s="307" t="str">
        <f>IFERROR(VLOOKUP(O187,Références!$K$11:$N$19,4)," ")</f>
        <v xml:space="preserve"> </v>
      </c>
      <c r="S187" s="298"/>
      <c r="T187" s="298"/>
      <c r="U187" s="298"/>
      <c r="V187" s="298"/>
      <c r="W187" s="298"/>
      <c r="X187" s="299"/>
      <c r="Y187" s="298"/>
      <c r="Z187" s="298"/>
      <c r="AA187" s="298"/>
      <c r="AB187" s="277"/>
      <c r="AC187" s="277"/>
      <c r="AD187" s="277"/>
      <c r="AE187" s="277"/>
      <c r="AF187" s="277"/>
      <c r="AG187" s="277"/>
      <c r="AH187" s="277"/>
      <c r="AI187" s="277">
        <f t="shared" si="204"/>
        <v>0</v>
      </c>
      <c r="AJ187" s="299"/>
      <c r="AK187" s="298">
        <f t="shared" si="205"/>
        <v>0</v>
      </c>
      <c r="AL187" s="299"/>
      <c r="AM187" s="308">
        <f t="shared" si="206"/>
        <v>0</v>
      </c>
      <c r="AN187" s="298"/>
      <c r="AO187" s="318"/>
      <c r="AP187" s="303" t="str">
        <f t="shared" si="163"/>
        <v xml:space="preserve"> </v>
      </c>
      <c r="AQ187" s="298"/>
      <c r="AR187" s="337"/>
      <c r="AS187" s="337"/>
      <c r="AT187" s="305"/>
      <c r="AU187" s="319"/>
      <c r="AV187" s="305"/>
      <c r="AW187" s="272"/>
      <c r="AX187" s="342"/>
      <c r="AY187" s="343"/>
      <c r="AZ187" s="272"/>
      <c r="BA187" s="342" t="s">
        <v>234</v>
      </c>
      <c r="BB187" s="337"/>
      <c r="BC187" s="270">
        <f t="shared" si="207"/>
        <v>0</v>
      </c>
      <c r="BD187" s="270">
        <f t="shared" si="208"/>
        <v>0</v>
      </c>
      <c r="BE187" s="270">
        <f t="shared" si="155"/>
        <v>1</v>
      </c>
      <c r="BF187" s="270" t="str">
        <f t="shared" si="164"/>
        <v>ALIVE</v>
      </c>
      <c r="BG187" s="250" t="str">
        <f t="shared" si="156"/>
        <v>Aucune</v>
      </c>
      <c r="BH187" s="250" t="str">
        <f t="shared" si="157"/>
        <v>Aucune</v>
      </c>
      <c r="BI187" s="250" t="str">
        <f t="shared" si="158"/>
        <v>Aucune</v>
      </c>
      <c r="BJ187" s="250" t="str">
        <f t="shared" si="188"/>
        <v>NON</v>
      </c>
      <c r="BK187" s="250" t="str">
        <f t="shared" si="159"/>
        <v>NON</v>
      </c>
      <c r="BL187" s="250" t="str">
        <f t="shared" si="189"/>
        <v>Inconnu</v>
      </c>
      <c r="BM187" s="250" t="str">
        <f t="shared" si="209"/>
        <v>Inconnu</v>
      </c>
      <c r="BN187" s="250" t="str">
        <f t="shared" si="210"/>
        <v>Inconnu</v>
      </c>
      <c r="BO187" s="250" t="str">
        <f t="shared" si="190"/>
        <v>Inconnu</v>
      </c>
      <c r="BP187" s="250" t="str">
        <f t="shared" si="211"/>
        <v>Inconnu</v>
      </c>
      <c r="BQ187" s="250" t="str">
        <f t="shared" si="212"/>
        <v>Inconnu</v>
      </c>
      <c r="BR187" s="250" t="str">
        <f t="shared" si="213"/>
        <v>Aucune</v>
      </c>
      <c r="BS187" s="250">
        <f t="shared" si="186"/>
        <v>0</v>
      </c>
      <c r="BT187" s="271" t="e">
        <f>VLOOKUP($I187,Lieu_Activité!$A:$B,2,FALSE)</f>
        <v>#N/A</v>
      </c>
      <c r="BU187" s="250" t="str">
        <f t="shared" si="160"/>
        <v>Aucun</v>
      </c>
      <c r="BV187" s="250" t="str">
        <f t="shared" si="161"/>
        <v>Aucun</v>
      </c>
      <c r="BW187" s="249" t="str">
        <f t="shared" si="214"/>
        <v>NON</v>
      </c>
      <c r="BX187" s="330"/>
    </row>
    <row r="188" spans="1:170" ht="12" customHeight="1" x14ac:dyDescent="0.2">
      <c r="A188" s="273" t="s">
        <v>282</v>
      </c>
      <c r="B188" s="276"/>
      <c r="C188" s="269"/>
      <c r="D188" s="299"/>
      <c r="E188" s="320">
        <f t="shared" si="203"/>
        <v>0</v>
      </c>
      <c r="F188" s="320" t="str">
        <f t="shared" si="162"/>
        <v xml:space="preserve"> </v>
      </c>
      <c r="G188" s="298"/>
      <c r="H188" s="298"/>
      <c r="I188" s="298"/>
      <c r="J188" s="298"/>
      <c r="K188" s="298"/>
      <c r="L188" s="299"/>
      <c r="M188" s="285"/>
      <c r="N188" s="274"/>
      <c r="O188" s="274"/>
      <c r="P188" s="307" t="str">
        <f>IFERROR(VLOOKUP(O188,Références!$K$11:$N$19,2)," ")</f>
        <v xml:space="preserve"> </v>
      </c>
      <c r="Q188" s="307" t="str">
        <f>IFERROR(VLOOKUP(O188,Références!$K$11:$N$19,3)," ")</f>
        <v xml:space="preserve"> </v>
      </c>
      <c r="R188" s="307" t="str">
        <f>IFERROR(VLOOKUP(O188,Références!$K$11:$N$19,4)," ")</f>
        <v xml:space="preserve"> </v>
      </c>
      <c r="S188" s="298"/>
      <c r="T188" s="298"/>
      <c r="U188" s="298"/>
      <c r="V188" s="298"/>
      <c r="W188" s="298"/>
      <c r="X188" s="299"/>
      <c r="Y188" s="298"/>
      <c r="Z188" s="298"/>
      <c r="AA188" s="298"/>
      <c r="AB188" s="277"/>
      <c r="AC188" s="277"/>
      <c r="AD188" s="277"/>
      <c r="AE188" s="277"/>
      <c r="AF188" s="277"/>
      <c r="AG188" s="277"/>
      <c r="AH188" s="277"/>
      <c r="AI188" s="277">
        <f t="shared" si="204"/>
        <v>0</v>
      </c>
      <c r="AJ188" s="299"/>
      <c r="AK188" s="298">
        <f t="shared" si="205"/>
        <v>0</v>
      </c>
      <c r="AL188" s="299"/>
      <c r="AM188" s="308">
        <f t="shared" si="206"/>
        <v>0</v>
      </c>
      <c r="AN188" s="298"/>
      <c r="AO188" s="318"/>
      <c r="AP188" s="303" t="str">
        <f t="shared" si="163"/>
        <v xml:space="preserve"> </v>
      </c>
      <c r="AQ188" s="298"/>
      <c r="AR188" s="337"/>
      <c r="AS188" s="337"/>
      <c r="AT188" s="305"/>
      <c r="AU188" s="319"/>
      <c r="AV188" s="305"/>
      <c r="AW188" s="272"/>
      <c r="AX188" s="342"/>
      <c r="AY188" s="343"/>
      <c r="AZ188" s="272"/>
      <c r="BA188" s="342" t="s">
        <v>234</v>
      </c>
      <c r="BB188" s="337"/>
      <c r="BC188" s="270">
        <f t="shared" si="207"/>
        <v>0</v>
      </c>
      <c r="BD188" s="270">
        <f t="shared" si="208"/>
        <v>0</v>
      </c>
      <c r="BE188" s="270">
        <f t="shared" si="155"/>
        <v>1</v>
      </c>
      <c r="BF188" s="270" t="str">
        <f t="shared" si="164"/>
        <v>ALIVE</v>
      </c>
      <c r="BG188" s="250" t="str">
        <f t="shared" si="156"/>
        <v>Aucune</v>
      </c>
      <c r="BH188" s="250" t="str">
        <f t="shared" si="157"/>
        <v>Aucune</v>
      </c>
      <c r="BI188" s="250" t="str">
        <f t="shared" si="158"/>
        <v>Aucune</v>
      </c>
      <c r="BJ188" s="250" t="str">
        <f t="shared" si="188"/>
        <v>NON</v>
      </c>
      <c r="BK188" s="250" t="str">
        <f t="shared" si="159"/>
        <v>NON</v>
      </c>
      <c r="BL188" s="250" t="str">
        <f t="shared" si="189"/>
        <v>Inconnu</v>
      </c>
      <c r="BM188" s="250" t="str">
        <f t="shared" si="209"/>
        <v>Inconnu</v>
      </c>
      <c r="BN188" s="250" t="str">
        <f t="shared" si="210"/>
        <v>Inconnu</v>
      </c>
      <c r="BO188" s="250" t="str">
        <f t="shared" si="190"/>
        <v>Inconnu</v>
      </c>
      <c r="BP188" s="250" t="str">
        <f t="shared" si="211"/>
        <v>Inconnu</v>
      </c>
      <c r="BQ188" s="250" t="str">
        <f t="shared" si="212"/>
        <v>Inconnu</v>
      </c>
      <c r="BR188" s="250" t="str">
        <f t="shared" si="213"/>
        <v>Aucune</v>
      </c>
      <c r="BS188" s="250">
        <f t="shared" ref="BS188:BS301" si="215">AF188+AH188</f>
        <v>0</v>
      </c>
      <c r="BT188" s="271" t="e">
        <f>VLOOKUP($I188,Lieu_Activité!$A:$B,2,FALSE)</f>
        <v>#N/A</v>
      </c>
      <c r="BU188" s="250" t="str">
        <f t="shared" si="160"/>
        <v>Aucun</v>
      </c>
      <c r="BV188" s="250" t="str">
        <f t="shared" si="161"/>
        <v>Aucun</v>
      </c>
      <c r="BW188" s="249" t="str">
        <f t="shared" si="214"/>
        <v>NON</v>
      </c>
      <c r="BX188" s="330"/>
    </row>
    <row r="189" spans="1:170" s="1" customFormat="1" ht="12.75" customHeight="1" x14ac:dyDescent="0.2">
      <c r="A189" s="273" t="s">
        <v>282</v>
      </c>
      <c r="B189" s="276"/>
      <c r="C189" s="269"/>
      <c r="D189" s="299"/>
      <c r="E189" s="320">
        <f t="shared" si="203"/>
        <v>0</v>
      </c>
      <c r="F189" s="320" t="str">
        <f t="shared" si="162"/>
        <v xml:space="preserve"> </v>
      </c>
      <c r="G189" s="298"/>
      <c r="H189" s="298"/>
      <c r="I189" s="298"/>
      <c r="J189" s="298"/>
      <c r="K189" s="298"/>
      <c r="L189" s="299"/>
      <c r="M189" s="285"/>
      <c r="N189" s="274"/>
      <c r="O189" s="307"/>
      <c r="P189" s="307" t="str">
        <f>IFERROR(VLOOKUP(O189,Références!$K$11:$N$19,2)," ")</f>
        <v xml:space="preserve"> </v>
      </c>
      <c r="Q189" s="307" t="str">
        <f>IFERROR(VLOOKUP(O189,Références!$K$11:$N$19,3)," ")</f>
        <v xml:space="preserve"> </v>
      </c>
      <c r="R189" s="307" t="str">
        <f>IFERROR(VLOOKUP(O189,Références!$K$11:$N$19,4)," ")</f>
        <v xml:space="preserve"> </v>
      </c>
      <c r="S189" s="298"/>
      <c r="T189" s="298"/>
      <c r="U189" s="298"/>
      <c r="V189" s="298"/>
      <c r="W189" s="298"/>
      <c r="X189" s="299"/>
      <c r="Y189" s="298"/>
      <c r="Z189" s="298"/>
      <c r="AA189" s="298"/>
      <c r="AB189" s="277"/>
      <c r="AC189" s="277"/>
      <c r="AD189" s="277"/>
      <c r="AE189" s="277"/>
      <c r="AF189" s="277"/>
      <c r="AG189" s="277"/>
      <c r="AH189" s="277"/>
      <c r="AI189" s="277">
        <f t="shared" si="204"/>
        <v>0</v>
      </c>
      <c r="AJ189" s="299"/>
      <c r="AK189" s="298">
        <f t="shared" si="205"/>
        <v>0</v>
      </c>
      <c r="AL189" s="299"/>
      <c r="AM189" s="308">
        <f t="shared" si="206"/>
        <v>0</v>
      </c>
      <c r="AN189" s="298"/>
      <c r="AO189" s="318"/>
      <c r="AP189" s="303" t="str">
        <f t="shared" si="163"/>
        <v xml:space="preserve"> </v>
      </c>
      <c r="AQ189" s="298"/>
      <c r="AR189" s="337"/>
      <c r="AS189" s="337"/>
      <c r="AT189" s="305"/>
      <c r="AU189" s="319"/>
      <c r="AV189" s="305"/>
      <c r="AW189" s="272"/>
      <c r="AX189" s="342"/>
      <c r="AY189" s="343"/>
      <c r="AZ189" s="272"/>
      <c r="BA189" s="342" t="s">
        <v>234</v>
      </c>
      <c r="BB189" s="337"/>
      <c r="BC189" s="270">
        <f t="shared" si="207"/>
        <v>0</v>
      </c>
      <c r="BD189" s="270">
        <f t="shared" si="208"/>
        <v>0</v>
      </c>
      <c r="BE189" s="270">
        <f t="shared" si="155"/>
        <v>1</v>
      </c>
      <c r="BF189" s="270" t="str">
        <f t="shared" si="164"/>
        <v>ALIVE</v>
      </c>
      <c r="BG189" s="250" t="str">
        <f t="shared" si="156"/>
        <v>Aucune</v>
      </c>
      <c r="BH189" s="250" t="str">
        <f t="shared" si="157"/>
        <v>Aucune</v>
      </c>
      <c r="BI189" s="250" t="str">
        <f t="shared" si="158"/>
        <v>Aucune</v>
      </c>
      <c r="BJ189" s="250" t="str">
        <f t="shared" si="188"/>
        <v>NON</v>
      </c>
      <c r="BK189" s="250" t="str">
        <f t="shared" si="159"/>
        <v>NON</v>
      </c>
      <c r="BL189" s="250" t="str">
        <f t="shared" si="189"/>
        <v>Inconnu</v>
      </c>
      <c r="BM189" s="250" t="str">
        <f t="shared" si="209"/>
        <v>Inconnu</v>
      </c>
      <c r="BN189" s="250" t="str">
        <f t="shared" si="210"/>
        <v>Inconnu</v>
      </c>
      <c r="BO189" s="250" t="str">
        <f t="shared" si="190"/>
        <v>Inconnu</v>
      </c>
      <c r="BP189" s="250" t="str">
        <f t="shared" si="211"/>
        <v>Inconnu</v>
      </c>
      <c r="BQ189" s="250" t="str">
        <f t="shared" si="212"/>
        <v>Inconnu</v>
      </c>
      <c r="BR189" s="250" t="str">
        <f t="shared" si="213"/>
        <v>Aucune</v>
      </c>
      <c r="BS189" s="250">
        <f t="shared" si="215"/>
        <v>0</v>
      </c>
      <c r="BT189" s="271" t="e">
        <f>VLOOKUP($I189,Lieu_Activité!$A:$B,2,FALSE)</f>
        <v>#N/A</v>
      </c>
      <c r="BU189" s="250" t="str">
        <f t="shared" si="160"/>
        <v>Aucun</v>
      </c>
      <c r="BV189" s="250" t="str">
        <f t="shared" si="161"/>
        <v>Aucun</v>
      </c>
      <c r="BW189" s="249" t="str">
        <f t="shared" si="214"/>
        <v>NON</v>
      </c>
      <c r="BX189" s="330"/>
      <c r="BY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</row>
    <row r="190" spans="1:170" ht="12" customHeight="1" x14ac:dyDescent="0.2">
      <c r="A190" s="273" t="s">
        <v>282</v>
      </c>
      <c r="B190" s="276"/>
      <c r="C190" s="269"/>
      <c r="D190" s="299"/>
      <c r="E190" s="320">
        <f t="shared" si="203"/>
        <v>0</v>
      </c>
      <c r="F190" s="320" t="str">
        <f t="shared" si="162"/>
        <v xml:space="preserve"> </v>
      </c>
      <c r="G190" s="298"/>
      <c r="H190" s="298"/>
      <c r="I190" s="298"/>
      <c r="J190" s="298"/>
      <c r="K190" s="298"/>
      <c r="L190" s="299"/>
      <c r="M190" s="285"/>
      <c r="N190" s="274"/>
      <c r="O190" s="274"/>
      <c r="P190" s="307" t="str">
        <f>IFERROR(VLOOKUP(O190,Références!$K$11:$N$19,2)," ")</f>
        <v xml:space="preserve"> </v>
      </c>
      <c r="Q190" s="307" t="str">
        <f>IFERROR(VLOOKUP(O190,Références!$K$11:$N$19,3)," ")</f>
        <v xml:space="preserve"> </v>
      </c>
      <c r="R190" s="307" t="str">
        <f>IFERROR(VLOOKUP(O190,Références!$K$11:$N$19,4)," ")</f>
        <v xml:space="preserve"> </v>
      </c>
      <c r="S190" s="298"/>
      <c r="T190" s="298"/>
      <c r="U190" s="298"/>
      <c r="V190" s="298"/>
      <c r="W190" s="298"/>
      <c r="X190" s="299"/>
      <c r="Y190" s="298"/>
      <c r="Z190" s="298"/>
      <c r="AA190" s="298"/>
      <c r="AB190" s="277"/>
      <c r="AC190" s="277"/>
      <c r="AD190" s="277"/>
      <c r="AE190" s="277"/>
      <c r="AF190" s="277"/>
      <c r="AG190" s="277"/>
      <c r="AH190" s="277"/>
      <c r="AI190" s="277">
        <f t="shared" si="204"/>
        <v>0</v>
      </c>
      <c r="AJ190" s="299"/>
      <c r="AK190" s="298">
        <f t="shared" si="205"/>
        <v>0</v>
      </c>
      <c r="AL190" s="299"/>
      <c r="AM190" s="308">
        <f t="shared" si="206"/>
        <v>0</v>
      </c>
      <c r="AN190" s="298"/>
      <c r="AO190" s="318"/>
      <c r="AP190" s="303" t="str">
        <f t="shared" si="163"/>
        <v xml:space="preserve"> </v>
      </c>
      <c r="AQ190" s="298"/>
      <c r="AR190" s="337"/>
      <c r="AS190" s="337"/>
      <c r="AT190" s="305"/>
      <c r="AU190" s="319"/>
      <c r="AV190" s="305"/>
      <c r="AW190" s="272"/>
      <c r="AX190" s="342"/>
      <c r="AY190" s="343"/>
      <c r="AZ190" s="272"/>
      <c r="BA190" s="342"/>
      <c r="BB190" s="337"/>
      <c r="BC190" s="270">
        <f t="shared" si="207"/>
        <v>0</v>
      </c>
      <c r="BD190" s="270">
        <f t="shared" si="208"/>
        <v>0</v>
      </c>
      <c r="BE190" s="270">
        <f t="shared" si="155"/>
        <v>1</v>
      </c>
      <c r="BF190" s="270" t="str">
        <f t="shared" si="164"/>
        <v>ALIVE</v>
      </c>
      <c r="BG190" s="250" t="str">
        <f t="shared" si="156"/>
        <v>Aucune</v>
      </c>
      <c r="BH190" s="250" t="str">
        <f t="shared" si="157"/>
        <v>Aucune</v>
      </c>
      <c r="BI190" s="250" t="str">
        <f t="shared" si="158"/>
        <v>Aucune</v>
      </c>
      <c r="BJ190" s="250" t="str">
        <f t="shared" si="188"/>
        <v>NON</v>
      </c>
      <c r="BK190" s="250" t="str">
        <f t="shared" si="159"/>
        <v>NON</v>
      </c>
      <c r="BL190" s="250" t="str">
        <f t="shared" si="189"/>
        <v>Inconnu</v>
      </c>
      <c r="BM190" s="250" t="str">
        <f t="shared" si="209"/>
        <v>Inconnu</v>
      </c>
      <c r="BN190" s="250" t="str">
        <f t="shared" si="210"/>
        <v>Inconnu</v>
      </c>
      <c r="BO190" s="250" t="str">
        <f t="shared" si="190"/>
        <v>Inconnu</v>
      </c>
      <c r="BP190" s="250" t="str">
        <f t="shared" si="211"/>
        <v>Inconnu</v>
      </c>
      <c r="BQ190" s="250" t="str">
        <f t="shared" si="212"/>
        <v>Inconnu</v>
      </c>
      <c r="BR190" s="250" t="str">
        <f t="shared" si="213"/>
        <v>Aucune</v>
      </c>
      <c r="BS190" s="250">
        <f t="shared" si="215"/>
        <v>0</v>
      </c>
      <c r="BT190" s="271" t="e">
        <f>VLOOKUP($I190,Lieu_Activité!$A:$B,2,FALSE)</f>
        <v>#N/A</v>
      </c>
      <c r="BU190" s="250" t="str">
        <f t="shared" si="160"/>
        <v>Aucun</v>
      </c>
      <c r="BV190" s="250" t="str">
        <f t="shared" si="161"/>
        <v>Aucun</v>
      </c>
      <c r="BW190" s="249" t="str">
        <f t="shared" si="214"/>
        <v>NON</v>
      </c>
      <c r="BX190" s="330"/>
    </row>
    <row r="191" spans="1:170" ht="12" customHeight="1" x14ac:dyDescent="0.2">
      <c r="A191" s="273" t="s">
        <v>282</v>
      </c>
      <c r="B191" s="276"/>
      <c r="C191" s="269"/>
      <c r="D191" s="299"/>
      <c r="E191" s="320">
        <f t="shared" si="203"/>
        <v>0</v>
      </c>
      <c r="F191" s="320" t="str">
        <f t="shared" si="162"/>
        <v xml:space="preserve"> </v>
      </c>
      <c r="G191" s="298"/>
      <c r="H191" s="298"/>
      <c r="I191" s="298"/>
      <c r="J191" s="298"/>
      <c r="K191" s="298"/>
      <c r="L191" s="299"/>
      <c r="M191" s="285"/>
      <c r="N191" s="274"/>
      <c r="O191" s="274"/>
      <c r="P191" s="307" t="str">
        <f>IFERROR(VLOOKUP(O191,Références!$K$11:$N$19,2)," ")</f>
        <v xml:space="preserve"> </v>
      </c>
      <c r="Q191" s="307" t="str">
        <f>IFERROR(VLOOKUP(O191,Références!$K$11:$N$19,3)," ")</f>
        <v xml:space="preserve"> </v>
      </c>
      <c r="R191" s="307" t="str">
        <f>IFERROR(VLOOKUP(O191,Références!$K$11:$N$19,4)," ")</f>
        <v xml:space="preserve"> </v>
      </c>
      <c r="S191" s="298"/>
      <c r="T191" s="298"/>
      <c r="U191" s="298"/>
      <c r="V191" s="298"/>
      <c r="W191" s="298"/>
      <c r="X191" s="299"/>
      <c r="Y191" s="298"/>
      <c r="Z191" s="298"/>
      <c r="AA191" s="298"/>
      <c r="AB191" s="277"/>
      <c r="AC191" s="277"/>
      <c r="AD191" s="277"/>
      <c r="AE191" s="277"/>
      <c r="AF191" s="277"/>
      <c r="AG191" s="277"/>
      <c r="AH191" s="277"/>
      <c r="AI191" s="277">
        <f t="shared" si="204"/>
        <v>0</v>
      </c>
      <c r="AJ191" s="299"/>
      <c r="AK191" s="298">
        <f t="shared" si="205"/>
        <v>0</v>
      </c>
      <c r="AL191" s="299"/>
      <c r="AM191" s="308">
        <f t="shared" si="206"/>
        <v>0</v>
      </c>
      <c r="AN191" s="298"/>
      <c r="AO191" s="318"/>
      <c r="AP191" s="303" t="str">
        <f t="shared" si="163"/>
        <v xml:space="preserve"> </v>
      </c>
      <c r="AQ191" s="298"/>
      <c r="AR191" s="337"/>
      <c r="AS191" s="337"/>
      <c r="AT191" s="305"/>
      <c r="AU191" s="319"/>
      <c r="AV191" s="305"/>
      <c r="AW191" s="272"/>
      <c r="AX191" s="342"/>
      <c r="AY191" s="343"/>
      <c r="AZ191" s="342"/>
      <c r="BA191" s="342"/>
      <c r="BB191" s="337"/>
      <c r="BC191" s="270">
        <f t="shared" si="207"/>
        <v>0</v>
      </c>
      <c r="BD191" s="270">
        <f t="shared" si="208"/>
        <v>0</v>
      </c>
      <c r="BE191" s="270">
        <f t="shared" si="155"/>
        <v>1</v>
      </c>
      <c r="BF191" s="270" t="str">
        <f t="shared" si="164"/>
        <v>ALIVE</v>
      </c>
      <c r="BG191" s="250" t="str">
        <f t="shared" si="156"/>
        <v>Aucune</v>
      </c>
      <c r="BH191" s="250" t="str">
        <f t="shared" si="157"/>
        <v>Aucune</v>
      </c>
      <c r="BI191" s="250" t="str">
        <f t="shared" si="158"/>
        <v>Aucune</v>
      </c>
      <c r="BJ191" s="250" t="str">
        <f t="shared" ref="BJ191:BJ300" si="216">IF(X191&lt;&gt;"",IF(X191-L191&lt;2,"OUI","NON"),"NON")</f>
        <v>NON</v>
      </c>
      <c r="BK191" s="250" t="str">
        <f t="shared" si="159"/>
        <v>NON</v>
      </c>
      <c r="BL191" s="250" t="str">
        <f t="shared" ref="BL191:BL300" si="217">IF(AL191-L191&gt;0,AL191-L191,"Inconnu")</f>
        <v>Inconnu</v>
      </c>
      <c r="BM191" s="250" t="str">
        <f t="shared" si="209"/>
        <v>Inconnu</v>
      </c>
      <c r="BN191" s="250" t="str">
        <f t="shared" si="210"/>
        <v>Inconnu</v>
      </c>
      <c r="BO191" s="250" t="str">
        <f t="shared" ref="BO191:BO300" si="218">IF(AJ191-L191&gt;0,AJ191-L191,"Inconnu")</f>
        <v>Inconnu</v>
      </c>
      <c r="BP191" s="250" t="str">
        <f t="shared" si="211"/>
        <v>Inconnu</v>
      </c>
      <c r="BQ191" s="250" t="str">
        <f t="shared" si="212"/>
        <v>Inconnu</v>
      </c>
      <c r="BR191" s="250" t="str">
        <f t="shared" si="213"/>
        <v>Aucune</v>
      </c>
      <c r="BS191" s="250">
        <f t="shared" si="215"/>
        <v>0</v>
      </c>
      <c r="BT191" s="271" t="e">
        <f>VLOOKUP($I191,Lieu_Activité!$A:$B,2,FALSE)</f>
        <v>#N/A</v>
      </c>
      <c r="BU191" s="250" t="str">
        <f t="shared" si="160"/>
        <v>Aucun</v>
      </c>
      <c r="BV191" s="250" t="str">
        <f t="shared" si="161"/>
        <v>Aucun</v>
      </c>
      <c r="BW191" s="249" t="str">
        <f t="shared" si="214"/>
        <v>NON</v>
      </c>
      <c r="BX191" s="330"/>
    </row>
    <row r="192" spans="1:170" ht="12" customHeight="1" x14ac:dyDescent="0.2">
      <c r="A192" s="273" t="s">
        <v>282</v>
      </c>
      <c r="B192" s="276"/>
      <c r="C192" s="269"/>
      <c r="D192" s="299"/>
      <c r="E192" s="320">
        <f t="shared" si="203"/>
        <v>0</v>
      </c>
      <c r="F192" s="320" t="str">
        <f t="shared" si="162"/>
        <v xml:space="preserve"> </v>
      </c>
      <c r="G192" s="298"/>
      <c r="H192" s="298"/>
      <c r="I192" s="298"/>
      <c r="J192" s="298"/>
      <c r="K192" s="298"/>
      <c r="L192" s="299"/>
      <c r="M192" s="285"/>
      <c r="N192" s="274"/>
      <c r="O192" s="274"/>
      <c r="P192" s="307" t="str">
        <f>IFERROR(VLOOKUP(O192,Références!$K$11:$N$19,2)," ")</f>
        <v xml:space="preserve"> </v>
      </c>
      <c r="Q192" s="307" t="str">
        <f>IFERROR(VLOOKUP(O192,Références!$K$11:$N$19,3)," ")</f>
        <v xml:space="preserve"> </v>
      </c>
      <c r="R192" s="307" t="str">
        <f>IFERROR(VLOOKUP(O192,Références!$K$11:$N$19,4)," ")</f>
        <v xml:space="preserve"> </v>
      </c>
      <c r="S192" s="298"/>
      <c r="T192" s="298"/>
      <c r="U192" s="298"/>
      <c r="V192" s="298"/>
      <c r="W192" s="298"/>
      <c r="X192" s="299"/>
      <c r="Y192" s="298"/>
      <c r="Z192" s="298"/>
      <c r="AA192" s="298"/>
      <c r="AB192" s="277"/>
      <c r="AC192" s="277"/>
      <c r="AD192" s="316"/>
      <c r="AE192" s="277"/>
      <c r="AF192" s="277"/>
      <c r="AG192" s="277"/>
      <c r="AH192" s="277"/>
      <c r="AI192" s="277">
        <f t="shared" si="204"/>
        <v>0</v>
      </c>
      <c r="AJ192" s="299"/>
      <c r="AK192" s="298">
        <f t="shared" si="205"/>
        <v>0</v>
      </c>
      <c r="AL192" s="299"/>
      <c r="AM192" s="308">
        <f t="shared" si="206"/>
        <v>0</v>
      </c>
      <c r="AN192" s="298"/>
      <c r="AO192" s="318"/>
      <c r="AP192" s="303" t="str">
        <f t="shared" si="163"/>
        <v xml:space="preserve"> </v>
      </c>
      <c r="AQ192" s="298"/>
      <c r="AR192" s="337"/>
      <c r="AS192" s="337"/>
      <c r="AT192" s="305"/>
      <c r="AU192" s="319"/>
      <c r="AV192" s="305"/>
      <c r="AW192" s="272"/>
      <c r="AX192" s="342"/>
      <c r="AY192" s="343"/>
      <c r="AZ192" s="272"/>
      <c r="BA192" s="342" t="s">
        <v>234</v>
      </c>
      <c r="BB192" s="337"/>
      <c r="BC192" s="270">
        <f t="shared" si="207"/>
        <v>0</v>
      </c>
      <c r="BD192" s="270">
        <f t="shared" si="208"/>
        <v>0</v>
      </c>
      <c r="BE192" s="270">
        <f t="shared" si="155"/>
        <v>1</v>
      </c>
      <c r="BF192" s="270" t="str">
        <f t="shared" si="164"/>
        <v>ALIVE</v>
      </c>
      <c r="BG192" s="250" t="str">
        <f t="shared" si="156"/>
        <v>Aucune</v>
      </c>
      <c r="BH192" s="250" t="str">
        <f t="shared" si="157"/>
        <v>Aucune</v>
      </c>
      <c r="BI192" s="250" t="str">
        <f t="shared" si="158"/>
        <v>Aucune</v>
      </c>
      <c r="BJ192" s="250" t="str">
        <f t="shared" si="216"/>
        <v>NON</v>
      </c>
      <c r="BK192" s="250" t="str">
        <f t="shared" si="159"/>
        <v>NON</v>
      </c>
      <c r="BL192" s="250" t="str">
        <f t="shared" si="217"/>
        <v>Inconnu</v>
      </c>
      <c r="BM192" s="250" t="str">
        <f t="shared" si="209"/>
        <v>Inconnu</v>
      </c>
      <c r="BN192" s="250" t="str">
        <f t="shared" si="210"/>
        <v>Inconnu</v>
      </c>
      <c r="BO192" s="250" t="str">
        <f t="shared" si="218"/>
        <v>Inconnu</v>
      </c>
      <c r="BP192" s="250" t="str">
        <f t="shared" si="211"/>
        <v>Inconnu</v>
      </c>
      <c r="BQ192" s="250" t="str">
        <f t="shared" si="212"/>
        <v>Inconnu</v>
      </c>
      <c r="BR192" s="250" t="str">
        <f t="shared" si="213"/>
        <v>Aucune</v>
      </c>
      <c r="BS192" s="250">
        <f t="shared" si="215"/>
        <v>0</v>
      </c>
      <c r="BT192" s="271" t="e">
        <f>VLOOKUP($I192,Lieu_Activité!$A:$B,2,FALSE)</f>
        <v>#N/A</v>
      </c>
      <c r="BU192" s="250" t="str">
        <f t="shared" si="160"/>
        <v>Aucun</v>
      </c>
      <c r="BV192" s="250" t="str">
        <f t="shared" si="161"/>
        <v>Aucun</v>
      </c>
      <c r="BW192" s="249" t="str">
        <f t="shared" si="214"/>
        <v>NON</v>
      </c>
      <c r="BX192" s="330"/>
    </row>
    <row r="193" spans="1:170" s="1" customFormat="1" ht="12.75" customHeight="1" x14ac:dyDescent="0.2">
      <c r="A193" s="273" t="s">
        <v>282</v>
      </c>
      <c r="B193" s="276"/>
      <c r="C193" s="269"/>
      <c r="D193" s="299"/>
      <c r="E193" s="320">
        <f t="shared" si="203"/>
        <v>0</v>
      </c>
      <c r="F193" s="320" t="str">
        <f t="shared" si="162"/>
        <v xml:space="preserve"> </v>
      </c>
      <c r="G193" s="298"/>
      <c r="H193" s="298"/>
      <c r="I193" s="298"/>
      <c r="J193" s="298"/>
      <c r="K193" s="298"/>
      <c r="L193" s="299"/>
      <c r="M193" s="285"/>
      <c r="N193" s="274"/>
      <c r="O193" s="307"/>
      <c r="P193" s="307" t="str">
        <f>IFERROR(VLOOKUP(O193,Références!$K$11:$N$19,2)," ")</f>
        <v xml:space="preserve"> </v>
      </c>
      <c r="Q193" s="307" t="str">
        <f>IFERROR(VLOOKUP(O193,Références!$K$11:$N$19,3)," ")</f>
        <v xml:space="preserve"> </v>
      </c>
      <c r="R193" s="307" t="str">
        <f>IFERROR(VLOOKUP(O193,Références!$K$11:$N$19,4)," ")</f>
        <v xml:space="preserve"> </v>
      </c>
      <c r="S193" s="298"/>
      <c r="T193" s="298"/>
      <c r="U193" s="298"/>
      <c r="V193" s="298"/>
      <c r="W193" s="298"/>
      <c r="X193" s="299"/>
      <c r="Y193" s="298"/>
      <c r="Z193" s="298"/>
      <c r="AA193" s="298"/>
      <c r="AB193" s="277"/>
      <c r="AC193" s="277"/>
      <c r="AD193" s="277"/>
      <c r="AE193" s="277"/>
      <c r="AF193" s="277"/>
      <c r="AG193" s="277"/>
      <c r="AH193" s="277"/>
      <c r="AI193" s="277">
        <f t="shared" si="204"/>
        <v>0</v>
      </c>
      <c r="AJ193" s="299"/>
      <c r="AK193" s="298">
        <f t="shared" si="205"/>
        <v>0</v>
      </c>
      <c r="AL193" s="299"/>
      <c r="AM193" s="308">
        <f t="shared" si="206"/>
        <v>0</v>
      </c>
      <c r="AN193" s="298"/>
      <c r="AO193" s="318"/>
      <c r="AP193" s="303" t="str">
        <f t="shared" si="163"/>
        <v xml:space="preserve"> </v>
      </c>
      <c r="AQ193" s="298"/>
      <c r="AR193" s="337"/>
      <c r="AS193" s="337"/>
      <c r="AT193" s="305"/>
      <c r="AU193" s="319"/>
      <c r="AV193" s="305"/>
      <c r="AW193" s="272"/>
      <c r="AX193" s="342"/>
      <c r="AY193" s="343"/>
      <c r="AZ193" s="272"/>
      <c r="BA193" s="342"/>
      <c r="BB193" s="337"/>
      <c r="BC193" s="270">
        <f t="shared" si="207"/>
        <v>0</v>
      </c>
      <c r="BD193" s="270">
        <f t="shared" si="208"/>
        <v>0</v>
      </c>
      <c r="BE193" s="270">
        <f t="shared" si="155"/>
        <v>1</v>
      </c>
      <c r="BF193" s="270" t="str">
        <f t="shared" si="164"/>
        <v>ALIVE</v>
      </c>
      <c r="BG193" s="250" t="str">
        <f t="shared" si="156"/>
        <v>Aucune</v>
      </c>
      <c r="BH193" s="250" t="str">
        <f t="shared" si="157"/>
        <v>Aucune</v>
      </c>
      <c r="BI193" s="250" t="str">
        <f t="shared" si="158"/>
        <v>Aucune</v>
      </c>
      <c r="BJ193" s="250" t="str">
        <f t="shared" si="216"/>
        <v>NON</v>
      </c>
      <c r="BK193" s="250" t="str">
        <f t="shared" si="159"/>
        <v>NON</v>
      </c>
      <c r="BL193" s="250" t="str">
        <f t="shared" si="217"/>
        <v>Inconnu</v>
      </c>
      <c r="BM193" s="250" t="str">
        <f t="shared" si="209"/>
        <v>Inconnu</v>
      </c>
      <c r="BN193" s="250" t="str">
        <f t="shared" si="210"/>
        <v>Inconnu</v>
      </c>
      <c r="BO193" s="250" t="str">
        <f t="shared" si="218"/>
        <v>Inconnu</v>
      </c>
      <c r="BP193" s="250" t="str">
        <f t="shared" si="211"/>
        <v>Inconnu</v>
      </c>
      <c r="BQ193" s="250" t="str">
        <f t="shared" si="212"/>
        <v>Inconnu</v>
      </c>
      <c r="BR193" s="250" t="str">
        <f t="shared" si="213"/>
        <v>Aucune</v>
      </c>
      <c r="BS193" s="250">
        <f t="shared" si="215"/>
        <v>0</v>
      </c>
      <c r="BT193" s="271" t="e">
        <f>VLOOKUP($I193,Lieu_Activité!$A:$B,2,FALSE)</f>
        <v>#N/A</v>
      </c>
      <c r="BU193" s="250" t="str">
        <f t="shared" si="160"/>
        <v>Aucun</v>
      </c>
      <c r="BV193" s="250" t="str">
        <f t="shared" si="161"/>
        <v>Aucun</v>
      </c>
      <c r="BW193" s="249" t="str">
        <f t="shared" si="214"/>
        <v>NON</v>
      </c>
      <c r="BX193" s="330"/>
      <c r="BY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</row>
    <row r="194" spans="1:170" ht="12" customHeight="1" x14ac:dyDescent="0.2">
      <c r="A194" s="273" t="s">
        <v>282</v>
      </c>
      <c r="B194" s="309"/>
      <c r="C194" s="269"/>
      <c r="D194" s="299"/>
      <c r="E194" s="320">
        <f t="shared" si="203"/>
        <v>0</v>
      </c>
      <c r="F194" s="320" t="str">
        <f t="shared" si="162"/>
        <v xml:space="preserve"> </v>
      </c>
      <c r="G194" s="298"/>
      <c r="H194" s="298"/>
      <c r="I194" s="298"/>
      <c r="J194" s="298"/>
      <c r="K194" s="298"/>
      <c r="L194" s="299"/>
      <c r="M194" s="285"/>
      <c r="N194" s="274"/>
      <c r="O194" s="274"/>
      <c r="P194" s="307" t="str">
        <f>IFERROR(VLOOKUP(O194,Références!$K$11:$N$19,2)," ")</f>
        <v xml:space="preserve"> </v>
      </c>
      <c r="Q194" s="307" t="str">
        <f>IFERROR(VLOOKUP(O194,Références!$K$11:$N$19,3)," ")</f>
        <v xml:space="preserve"> </v>
      </c>
      <c r="R194" s="307" t="str">
        <f>IFERROR(VLOOKUP(O194,Références!$K$11:$N$19,4)," ")</f>
        <v xml:space="preserve"> </v>
      </c>
      <c r="S194" s="298"/>
      <c r="T194" s="298"/>
      <c r="U194" s="298"/>
      <c r="V194" s="298"/>
      <c r="W194" s="298"/>
      <c r="X194" s="299"/>
      <c r="Y194" s="298"/>
      <c r="Z194" s="298"/>
      <c r="AA194" s="298"/>
      <c r="AB194" s="277"/>
      <c r="AC194" s="277"/>
      <c r="AD194" s="277"/>
      <c r="AE194" s="277"/>
      <c r="AF194" s="277"/>
      <c r="AG194" s="277"/>
      <c r="AH194" s="277"/>
      <c r="AI194" s="277">
        <f t="shared" si="204"/>
        <v>0</v>
      </c>
      <c r="AJ194" s="299"/>
      <c r="AK194" s="298">
        <f t="shared" si="205"/>
        <v>0</v>
      </c>
      <c r="AL194" s="299"/>
      <c r="AM194" s="308">
        <f t="shared" si="206"/>
        <v>0</v>
      </c>
      <c r="AN194" s="298"/>
      <c r="AO194" s="318"/>
      <c r="AP194" s="303" t="str">
        <f t="shared" si="163"/>
        <v xml:space="preserve"> </v>
      </c>
      <c r="AQ194" s="298"/>
      <c r="AR194" s="337"/>
      <c r="AS194" s="337"/>
      <c r="AT194" s="305"/>
      <c r="AU194" s="319"/>
      <c r="AV194" s="305"/>
      <c r="AW194" s="272"/>
      <c r="AX194" s="342"/>
      <c r="AY194" s="343"/>
      <c r="AZ194" s="272"/>
      <c r="BA194" s="342"/>
      <c r="BB194" s="337"/>
      <c r="BC194" s="270">
        <f t="shared" si="207"/>
        <v>0</v>
      </c>
      <c r="BD194" s="270">
        <f t="shared" si="208"/>
        <v>0</v>
      </c>
      <c r="BE194" s="270">
        <f t="shared" ref="BE194:BE308" si="219">IF(AG194="Aucune",0,1)</f>
        <v>1</v>
      </c>
      <c r="BF194" s="270" t="str">
        <f t="shared" si="164"/>
        <v>ALIVE</v>
      </c>
      <c r="BG194" s="250" t="str">
        <f t="shared" ref="BG194:BG308" si="220">IF(AD194="","Aucune","Infection")</f>
        <v>Aucune</v>
      </c>
      <c r="BH194" s="250" t="str">
        <f t="shared" ref="BH194:BH308" si="221">IF(AI194&gt;0,"Transfusion","Aucune")</f>
        <v>Aucune</v>
      </c>
      <c r="BI194" s="250" t="str">
        <f t="shared" ref="BI194:BI308" si="222">IF(AG194="","Aucune","Transfusé")</f>
        <v>Aucune</v>
      </c>
      <c r="BJ194" s="250" t="str">
        <f t="shared" si="216"/>
        <v>NON</v>
      </c>
      <c r="BK194" s="250" t="str">
        <f t="shared" ref="BK194:BK308" si="223">IF(AS194="","NON","OUI")</f>
        <v>NON</v>
      </c>
      <c r="BL194" s="250" t="str">
        <f t="shared" si="217"/>
        <v>Inconnu</v>
      </c>
      <c r="BM194" s="250" t="str">
        <f t="shared" si="209"/>
        <v>Inconnu</v>
      </c>
      <c r="BN194" s="250" t="str">
        <f t="shared" si="210"/>
        <v>Inconnu</v>
      </c>
      <c r="BO194" s="250" t="str">
        <f t="shared" si="218"/>
        <v>Inconnu</v>
      </c>
      <c r="BP194" s="250" t="str">
        <f t="shared" si="211"/>
        <v>Inconnu</v>
      </c>
      <c r="BQ194" s="250" t="str">
        <f t="shared" si="212"/>
        <v>Inconnu</v>
      </c>
      <c r="BR194" s="250" t="str">
        <f t="shared" si="213"/>
        <v>Aucune</v>
      </c>
      <c r="BS194" s="250">
        <f t="shared" si="215"/>
        <v>0</v>
      </c>
      <c r="BT194" s="271" t="e">
        <f>VLOOKUP($I194,Lieu_Activité!$A:$B,2,FALSE)</f>
        <v>#N/A</v>
      </c>
      <c r="BU194" s="250" t="str">
        <f t="shared" ref="BU194:BU301" si="224">IF(AB194="","Aucun","AVC")</f>
        <v>Aucun</v>
      </c>
      <c r="BV194" s="250" t="str">
        <f t="shared" ref="BV194:BV308" si="225">IF(AC194="","Aucun","IM")</f>
        <v>Aucun</v>
      </c>
      <c r="BW194" s="249" t="str">
        <f t="shared" si="214"/>
        <v>NON</v>
      </c>
      <c r="BX194" s="330"/>
    </row>
    <row r="195" spans="1:170" ht="12" customHeight="1" x14ac:dyDescent="0.2">
      <c r="A195" s="273" t="s">
        <v>282</v>
      </c>
      <c r="B195" s="276"/>
      <c r="C195" s="269"/>
      <c r="D195" s="299"/>
      <c r="E195" s="320">
        <f t="shared" si="203"/>
        <v>0</v>
      </c>
      <c r="F195" s="320" t="str">
        <f t="shared" ref="F195:F307" si="226">IF(E195&lt;80," ","1")</f>
        <v xml:space="preserve"> </v>
      </c>
      <c r="G195" s="298"/>
      <c r="H195" s="298"/>
      <c r="I195" s="298"/>
      <c r="J195" s="298"/>
      <c r="K195" s="298"/>
      <c r="L195" s="299"/>
      <c r="M195" s="285"/>
      <c r="N195" s="274"/>
      <c r="O195" s="274"/>
      <c r="P195" s="307" t="str">
        <f>IFERROR(VLOOKUP(O195,Références!$K$11:$N$19,2)," ")</f>
        <v xml:space="preserve"> </v>
      </c>
      <c r="Q195" s="307" t="str">
        <f>IFERROR(VLOOKUP(O195,Références!$K$11:$N$19,3)," ")</f>
        <v xml:space="preserve"> </v>
      </c>
      <c r="R195" s="307" t="str">
        <f>IFERROR(VLOOKUP(O195,Références!$K$11:$N$19,4)," ")</f>
        <v xml:space="preserve"> </v>
      </c>
      <c r="S195" s="298"/>
      <c r="T195" s="298"/>
      <c r="U195" s="298"/>
      <c r="V195" s="298"/>
      <c r="W195" s="298"/>
      <c r="X195" s="299"/>
      <c r="Y195" s="298"/>
      <c r="Z195" s="298"/>
      <c r="AA195" s="298"/>
      <c r="AB195" s="277"/>
      <c r="AC195" s="277"/>
      <c r="AD195" s="277"/>
      <c r="AE195" s="277"/>
      <c r="AF195" s="277"/>
      <c r="AG195" s="277"/>
      <c r="AH195" s="277"/>
      <c r="AI195" s="277">
        <f t="shared" si="204"/>
        <v>0</v>
      </c>
      <c r="AJ195" s="299"/>
      <c r="AK195" s="298">
        <f t="shared" si="205"/>
        <v>0</v>
      </c>
      <c r="AL195" s="299"/>
      <c r="AM195" s="308">
        <f t="shared" si="206"/>
        <v>0</v>
      </c>
      <c r="AN195" s="298"/>
      <c r="AO195" s="318"/>
      <c r="AP195" s="303" t="str">
        <f t="shared" ref="AP195:AP270" si="227">IF(AO195=1,"ELECTIVE",IF(AO195=2,"URGENCY",IF(AO195=3,"EMERGENCY",IF(AO195=4,"SALVAGE"," "))))</f>
        <v xml:space="preserve"> </v>
      </c>
      <c r="AQ195" s="298"/>
      <c r="AR195" s="337"/>
      <c r="AS195" s="337"/>
      <c r="AT195" s="305"/>
      <c r="AU195" s="319"/>
      <c r="AV195" s="305"/>
      <c r="AW195" s="272"/>
      <c r="AX195" s="342"/>
      <c r="AY195" s="343"/>
      <c r="AZ195" s="342"/>
      <c r="BA195" s="342"/>
      <c r="BB195" s="337"/>
      <c r="BC195" s="270">
        <f t="shared" si="207"/>
        <v>0</v>
      </c>
      <c r="BD195" s="270">
        <f t="shared" si="208"/>
        <v>0</v>
      </c>
      <c r="BE195" s="270">
        <f t="shared" si="219"/>
        <v>1</v>
      </c>
      <c r="BF195" s="270" t="str">
        <f t="shared" ref="BF195:BF308" si="228">IF(AO195=1,"ELECTIVE",IF(AO195=2,"URGENCY",IF(AO195=3,"EMERGENCY",IF(AO195=4,"SALVAGE","ALIVE"))))</f>
        <v>ALIVE</v>
      </c>
      <c r="BG195" s="250" t="str">
        <f t="shared" si="220"/>
        <v>Aucune</v>
      </c>
      <c r="BH195" s="250" t="str">
        <f t="shared" si="221"/>
        <v>Aucune</v>
      </c>
      <c r="BI195" s="250" t="str">
        <f t="shared" si="222"/>
        <v>Aucune</v>
      </c>
      <c r="BJ195" s="250" t="str">
        <f t="shared" si="216"/>
        <v>NON</v>
      </c>
      <c r="BK195" s="250" t="str">
        <f t="shared" si="223"/>
        <v>NON</v>
      </c>
      <c r="BL195" s="250" t="str">
        <f t="shared" si="217"/>
        <v>Inconnu</v>
      </c>
      <c r="BM195" s="250" t="str">
        <f t="shared" si="209"/>
        <v>Inconnu</v>
      </c>
      <c r="BN195" s="250" t="str">
        <f t="shared" si="210"/>
        <v>Inconnu</v>
      </c>
      <c r="BO195" s="250" t="str">
        <f t="shared" si="218"/>
        <v>Inconnu</v>
      </c>
      <c r="BP195" s="250" t="str">
        <f t="shared" si="211"/>
        <v>Inconnu</v>
      </c>
      <c r="BQ195" s="250" t="str">
        <f t="shared" si="212"/>
        <v>Inconnu</v>
      </c>
      <c r="BR195" s="250" t="str">
        <f t="shared" si="213"/>
        <v>Aucune</v>
      </c>
      <c r="BS195" s="250">
        <f t="shared" si="215"/>
        <v>0</v>
      </c>
      <c r="BT195" s="271" t="e">
        <f>VLOOKUP($I195,Lieu_Activité!$A:$B,2,FALSE)</f>
        <v>#N/A</v>
      </c>
      <c r="BU195" s="250" t="str">
        <f t="shared" si="224"/>
        <v>Aucun</v>
      </c>
      <c r="BV195" s="250" t="str">
        <f t="shared" si="225"/>
        <v>Aucun</v>
      </c>
      <c r="BW195" s="249" t="str">
        <f t="shared" si="214"/>
        <v>NON</v>
      </c>
      <c r="BX195" s="330"/>
    </row>
    <row r="196" spans="1:170" ht="12" customHeight="1" x14ac:dyDescent="0.2">
      <c r="A196" s="273" t="s">
        <v>282</v>
      </c>
      <c r="B196" s="276"/>
      <c r="C196" s="269"/>
      <c r="D196" s="299"/>
      <c r="E196" s="320">
        <f t="shared" si="203"/>
        <v>0</v>
      </c>
      <c r="F196" s="320" t="str">
        <f t="shared" si="226"/>
        <v xml:space="preserve"> </v>
      </c>
      <c r="G196" s="298"/>
      <c r="H196" s="298"/>
      <c r="I196" s="298"/>
      <c r="J196" s="298"/>
      <c r="K196" s="298"/>
      <c r="L196" s="299"/>
      <c r="M196" s="285"/>
      <c r="N196" s="274"/>
      <c r="O196" s="274"/>
      <c r="P196" s="307" t="str">
        <f>IFERROR(VLOOKUP(O196,Références!$K$11:$N$19,2)," ")</f>
        <v xml:space="preserve"> </v>
      </c>
      <c r="Q196" s="307" t="str">
        <f>IFERROR(VLOOKUP(O196,Références!$K$11:$N$19,3)," ")</f>
        <v xml:space="preserve"> </v>
      </c>
      <c r="R196" s="307" t="str">
        <f>IFERROR(VLOOKUP(O196,Références!$K$11:$N$19,4)," ")</f>
        <v xml:space="preserve"> </v>
      </c>
      <c r="S196" s="298"/>
      <c r="T196" s="298"/>
      <c r="U196" s="298"/>
      <c r="V196" s="298"/>
      <c r="W196" s="298"/>
      <c r="X196" s="299"/>
      <c r="Y196" s="298"/>
      <c r="Z196" s="298"/>
      <c r="AA196" s="298"/>
      <c r="AB196" s="277"/>
      <c r="AC196" s="277"/>
      <c r="AD196" s="277"/>
      <c r="AE196" s="277"/>
      <c r="AF196" s="277"/>
      <c r="AG196" s="277"/>
      <c r="AH196" s="277"/>
      <c r="AI196" s="277">
        <f t="shared" si="204"/>
        <v>0</v>
      </c>
      <c r="AJ196" s="299"/>
      <c r="AK196" s="298">
        <f t="shared" si="205"/>
        <v>0</v>
      </c>
      <c r="AL196" s="299"/>
      <c r="AM196" s="308">
        <f t="shared" si="206"/>
        <v>0</v>
      </c>
      <c r="AN196" s="298"/>
      <c r="AO196" s="318"/>
      <c r="AP196" s="303" t="str">
        <f t="shared" si="227"/>
        <v xml:space="preserve"> </v>
      </c>
      <c r="AQ196" s="298"/>
      <c r="AR196" s="337"/>
      <c r="AS196" s="337"/>
      <c r="AT196" s="305"/>
      <c r="AU196" s="319"/>
      <c r="AV196" s="305"/>
      <c r="AW196" s="272"/>
      <c r="AX196" s="342"/>
      <c r="AY196" s="343"/>
      <c r="AZ196" s="272"/>
      <c r="BA196" s="342"/>
      <c r="BB196" s="337"/>
      <c r="BC196" s="270">
        <f t="shared" si="207"/>
        <v>0</v>
      </c>
      <c r="BD196" s="270">
        <f t="shared" si="208"/>
        <v>0</v>
      </c>
      <c r="BE196" s="270">
        <f t="shared" si="219"/>
        <v>1</v>
      </c>
      <c r="BF196" s="270" t="str">
        <f t="shared" si="228"/>
        <v>ALIVE</v>
      </c>
      <c r="BG196" s="250" t="str">
        <f t="shared" si="220"/>
        <v>Aucune</v>
      </c>
      <c r="BH196" s="250" t="str">
        <f t="shared" si="221"/>
        <v>Aucune</v>
      </c>
      <c r="BI196" s="250" t="str">
        <f t="shared" si="222"/>
        <v>Aucune</v>
      </c>
      <c r="BJ196" s="250" t="str">
        <f t="shared" si="216"/>
        <v>NON</v>
      </c>
      <c r="BK196" s="250" t="str">
        <f t="shared" si="223"/>
        <v>NON</v>
      </c>
      <c r="BL196" s="250" t="str">
        <f t="shared" si="217"/>
        <v>Inconnu</v>
      </c>
      <c r="BM196" s="250" t="str">
        <f t="shared" si="209"/>
        <v>Inconnu</v>
      </c>
      <c r="BN196" s="250" t="str">
        <f t="shared" si="210"/>
        <v>Inconnu</v>
      </c>
      <c r="BO196" s="250" t="str">
        <f t="shared" si="218"/>
        <v>Inconnu</v>
      </c>
      <c r="BP196" s="250" t="str">
        <f t="shared" si="211"/>
        <v>Inconnu</v>
      </c>
      <c r="BQ196" s="250" t="str">
        <f t="shared" si="212"/>
        <v>Inconnu</v>
      </c>
      <c r="BR196" s="250" t="str">
        <f t="shared" si="213"/>
        <v>Aucune</v>
      </c>
      <c r="BS196" s="250">
        <f t="shared" si="215"/>
        <v>0</v>
      </c>
      <c r="BT196" s="271" t="e">
        <f>VLOOKUP($I196,Lieu_Activité!$A:$B,2,FALSE)</f>
        <v>#N/A</v>
      </c>
      <c r="BU196" s="250" t="str">
        <f t="shared" si="224"/>
        <v>Aucun</v>
      </c>
      <c r="BV196" s="250" t="str">
        <f t="shared" si="225"/>
        <v>Aucun</v>
      </c>
      <c r="BW196" s="249" t="str">
        <f t="shared" si="214"/>
        <v>NON</v>
      </c>
      <c r="BX196" s="330"/>
    </row>
    <row r="197" spans="1:170" s="1" customFormat="1" ht="12.75" customHeight="1" x14ac:dyDescent="0.2">
      <c r="A197" s="273" t="s">
        <v>282</v>
      </c>
      <c r="B197" s="310"/>
      <c r="C197" s="269"/>
      <c r="D197" s="299"/>
      <c r="E197" s="320">
        <f t="shared" si="203"/>
        <v>0</v>
      </c>
      <c r="F197" s="320" t="str">
        <f t="shared" si="226"/>
        <v xml:space="preserve"> </v>
      </c>
      <c r="G197" s="298"/>
      <c r="H197" s="298"/>
      <c r="I197" s="298"/>
      <c r="J197" s="298"/>
      <c r="K197" s="298"/>
      <c r="L197" s="299"/>
      <c r="M197" s="285"/>
      <c r="N197" s="274"/>
      <c r="O197" s="307"/>
      <c r="P197" s="307" t="str">
        <f>IFERROR(VLOOKUP(O197,Références!$K$11:$N$19,2)," ")</f>
        <v xml:space="preserve"> </v>
      </c>
      <c r="Q197" s="307" t="str">
        <f>IFERROR(VLOOKUP(O197,Références!$K$11:$N$19,3)," ")</f>
        <v xml:space="preserve"> </v>
      </c>
      <c r="R197" s="307" t="str">
        <f>IFERROR(VLOOKUP(O197,Références!$K$11:$N$19,4)," ")</f>
        <v xml:space="preserve"> </v>
      </c>
      <c r="S197" s="298"/>
      <c r="T197" s="298"/>
      <c r="U197" s="298"/>
      <c r="V197" s="298"/>
      <c r="W197" s="298"/>
      <c r="X197" s="299"/>
      <c r="Y197" s="298"/>
      <c r="Z197" s="298"/>
      <c r="AA197" s="298"/>
      <c r="AB197" s="277"/>
      <c r="AC197" s="277"/>
      <c r="AD197" s="277"/>
      <c r="AE197" s="277"/>
      <c r="AF197" s="277"/>
      <c r="AG197" s="277"/>
      <c r="AH197" s="277"/>
      <c r="AI197" s="277">
        <f t="shared" si="204"/>
        <v>0</v>
      </c>
      <c r="AJ197" s="299"/>
      <c r="AK197" s="298">
        <f t="shared" si="205"/>
        <v>0</v>
      </c>
      <c r="AL197" s="299"/>
      <c r="AM197" s="308">
        <f t="shared" si="206"/>
        <v>0</v>
      </c>
      <c r="AN197" s="298"/>
      <c r="AO197" s="318"/>
      <c r="AP197" s="303" t="str">
        <f t="shared" si="227"/>
        <v xml:space="preserve"> </v>
      </c>
      <c r="AQ197" s="298"/>
      <c r="AR197" s="337"/>
      <c r="AS197" s="337"/>
      <c r="AT197" s="305"/>
      <c r="AU197" s="319"/>
      <c r="AV197" s="305"/>
      <c r="AW197" s="272"/>
      <c r="AX197" s="342"/>
      <c r="AY197" s="343"/>
      <c r="AZ197" s="272"/>
      <c r="BA197" s="344" t="s">
        <v>246</v>
      </c>
      <c r="BB197" s="337"/>
      <c r="BC197" s="270">
        <f t="shared" si="207"/>
        <v>0</v>
      </c>
      <c r="BD197" s="270">
        <f t="shared" si="208"/>
        <v>0</v>
      </c>
      <c r="BE197" s="270">
        <f t="shared" si="219"/>
        <v>1</v>
      </c>
      <c r="BF197" s="270" t="str">
        <f t="shared" si="228"/>
        <v>ALIVE</v>
      </c>
      <c r="BG197" s="250" t="str">
        <f t="shared" si="220"/>
        <v>Aucune</v>
      </c>
      <c r="BH197" s="250" t="str">
        <f t="shared" si="221"/>
        <v>Aucune</v>
      </c>
      <c r="BI197" s="250" t="str">
        <f t="shared" si="222"/>
        <v>Aucune</v>
      </c>
      <c r="BJ197" s="250" t="str">
        <f t="shared" si="216"/>
        <v>NON</v>
      </c>
      <c r="BK197" s="250" t="str">
        <f t="shared" si="223"/>
        <v>NON</v>
      </c>
      <c r="BL197" s="250" t="str">
        <f t="shared" si="217"/>
        <v>Inconnu</v>
      </c>
      <c r="BM197" s="250" t="str">
        <f t="shared" si="209"/>
        <v>Inconnu</v>
      </c>
      <c r="BN197" s="250" t="str">
        <f t="shared" si="210"/>
        <v>Inconnu</v>
      </c>
      <c r="BO197" s="250" t="str">
        <f t="shared" si="218"/>
        <v>Inconnu</v>
      </c>
      <c r="BP197" s="250" t="str">
        <f t="shared" si="211"/>
        <v>Inconnu</v>
      </c>
      <c r="BQ197" s="250" t="str">
        <f t="shared" si="212"/>
        <v>Inconnu</v>
      </c>
      <c r="BR197" s="250" t="str">
        <f t="shared" si="213"/>
        <v>Aucune</v>
      </c>
      <c r="BS197" s="250">
        <f t="shared" si="215"/>
        <v>0</v>
      </c>
      <c r="BT197" s="271" t="e">
        <f>VLOOKUP($I197,Lieu_Activité!$A:$B,2,FALSE)</f>
        <v>#N/A</v>
      </c>
      <c r="BU197" s="250" t="str">
        <f t="shared" si="224"/>
        <v>Aucun</v>
      </c>
      <c r="BV197" s="250" t="str">
        <f t="shared" si="225"/>
        <v>Aucun</v>
      </c>
      <c r="BW197" s="249" t="str">
        <f t="shared" si="214"/>
        <v>NON</v>
      </c>
      <c r="BX197" s="330"/>
      <c r="BY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</row>
    <row r="198" spans="1:170" ht="12" customHeight="1" x14ac:dyDescent="0.2">
      <c r="A198" s="273" t="s">
        <v>282</v>
      </c>
      <c r="B198" s="276"/>
      <c r="C198" s="269"/>
      <c r="D198" s="299"/>
      <c r="E198" s="320">
        <f t="shared" si="203"/>
        <v>0</v>
      </c>
      <c r="F198" s="320" t="str">
        <f t="shared" si="226"/>
        <v xml:space="preserve"> </v>
      </c>
      <c r="G198" s="298"/>
      <c r="H198" s="298"/>
      <c r="I198" s="298"/>
      <c r="J198" s="298"/>
      <c r="K198" s="298"/>
      <c r="L198" s="299"/>
      <c r="M198" s="285"/>
      <c r="N198" s="274"/>
      <c r="O198" s="274"/>
      <c r="P198" s="307" t="str">
        <f>IFERROR(VLOOKUP(O198,Références!$K$11:$N$19,2)," ")</f>
        <v xml:space="preserve"> </v>
      </c>
      <c r="Q198" s="307" t="str">
        <f>IFERROR(VLOOKUP(O198,Références!$K$11:$N$19,3)," ")</f>
        <v xml:space="preserve"> </v>
      </c>
      <c r="R198" s="307" t="str">
        <f>IFERROR(VLOOKUP(O198,Références!$K$11:$N$19,4)," ")</f>
        <v xml:space="preserve"> </v>
      </c>
      <c r="S198" s="298"/>
      <c r="T198" s="298"/>
      <c r="U198" s="298"/>
      <c r="V198" s="298"/>
      <c r="W198" s="298"/>
      <c r="X198" s="299"/>
      <c r="Y198" s="298"/>
      <c r="Z198" s="298"/>
      <c r="AA198" s="298"/>
      <c r="AB198" s="277"/>
      <c r="AC198" s="277"/>
      <c r="AD198" s="277"/>
      <c r="AE198" s="277"/>
      <c r="AF198" s="277"/>
      <c r="AG198" s="277"/>
      <c r="AH198" s="277"/>
      <c r="AI198" s="277">
        <f t="shared" si="204"/>
        <v>0</v>
      </c>
      <c r="AJ198" s="299"/>
      <c r="AK198" s="298">
        <f t="shared" si="205"/>
        <v>0</v>
      </c>
      <c r="AL198" s="299"/>
      <c r="AM198" s="308">
        <f t="shared" si="206"/>
        <v>0</v>
      </c>
      <c r="AN198" s="298"/>
      <c r="AO198" s="318"/>
      <c r="AP198" s="303" t="str">
        <f t="shared" si="227"/>
        <v xml:space="preserve"> </v>
      </c>
      <c r="AQ198" s="298"/>
      <c r="AR198" s="337"/>
      <c r="AS198" s="337"/>
      <c r="AT198" s="305"/>
      <c r="AU198" s="319"/>
      <c r="AV198" s="305"/>
      <c r="AW198" s="272"/>
      <c r="AX198" s="342"/>
      <c r="AY198" s="343"/>
      <c r="AZ198" s="272"/>
      <c r="BA198" s="342"/>
      <c r="BB198" s="337"/>
      <c r="BC198" s="270">
        <f t="shared" si="207"/>
        <v>0</v>
      </c>
      <c r="BD198" s="270">
        <f t="shared" si="208"/>
        <v>0</v>
      </c>
      <c r="BE198" s="270">
        <f t="shared" si="219"/>
        <v>1</v>
      </c>
      <c r="BF198" s="270" t="str">
        <f t="shared" si="228"/>
        <v>ALIVE</v>
      </c>
      <c r="BG198" s="250" t="str">
        <f t="shared" si="220"/>
        <v>Aucune</v>
      </c>
      <c r="BH198" s="250" t="str">
        <f t="shared" si="221"/>
        <v>Aucune</v>
      </c>
      <c r="BI198" s="250" t="str">
        <f t="shared" si="222"/>
        <v>Aucune</v>
      </c>
      <c r="BJ198" s="250" t="str">
        <f t="shared" si="216"/>
        <v>NON</v>
      </c>
      <c r="BK198" s="250" t="str">
        <f t="shared" si="223"/>
        <v>NON</v>
      </c>
      <c r="BL198" s="250" t="str">
        <f t="shared" si="217"/>
        <v>Inconnu</v>
      </c>
      <c r="BM198" s="250" t="str">
        <f t="shared" si="209"/>
        <v>Inconnu</v>
      </c>
      <c r="BN198" s="250" t="str">
        <f t="shared" si="210"/>
        <v>Inconnu</v>
      </c>
      <c r="BO198" s="250" t="str">
        <f t="shared" si="218"/>
        <v>Inconnu</v>
      </c>
      <c r="BP198" s="250" t="str">
        <f t="shared" si="211"/>
        <v>Inconnu</v>
      </c>
      <c r="BQ198" s="250" t="str">
        <f t="shared" si="212"/>
        <v>Inconnu</v>
      </c>
      <c r="BR198" s="250" t="str">
        <f t="shared" si="213"/>
        <v>Aucune</v>
      </c>
      <c r="BS198" s="250">
        <f t="shared" si="215"/>
        <v>0</v>
      </c>
      <c r="BT198" s="271" t="e">
        <f>VLOOKUP($I198,Lieu_Activité!$A:$B,2,FALSE)</f>
        <v>#N/A</v>
      </c>
      <c r="BU198" s="250" t="str">
        <f t="shared" si="224"/>
        <v>Aucun</v>
      </c>
      <c r="BV198" s="250" t="str">
        <f t="shared" si="225"/>
        <v>Aucun</v>
      </c>
      <c r="BW198" s="249" t="str">
        <f t="shared" si="214"/>
        <v>NON</v>
      </c>
      <c r="BX198" s="330"/>
    </row>
    <row r="199" spans="1:170" ht="12" customHeight="1" x14ac:dyDescent="0.2">
      <c r="A199" s="273" t="s">
        <v>282</v>
      </c>
      <c r="B199" s="276"/>
      <c r="C199" s="269"/>
      <c r="D199" s="299"/>
      <c r="E199" s="320">
        <f t="shared" si="203"/>
        <v>0</v>
      </c>
      <c r="F199" s="320" t="str">
        <f t="shared" si="226"/>
        <v xml:space="preserve"> </v>
      </c>
      <c r="G199" s="298"/>
      <c r="H199" s="298"/>
      <c r="I199" s="298"/>
      <c r="J199" s="298"/>
      <c r="K199" s="298"/>
      <c r="L199" s="299"/>
      <c r="M199" s="285"/>
      <c r="N199" s="274"/>
      <c r="O199" s="274"/>
      <c r="P199" s="307" t="str">
        <f>IFERROR(VLOOKUP(O199,Références!$K$11:$N$19,2)," ")</f>
        <v xml:space="preserve"> </v>
      </c>
      <c r="Q199" s="307" t="str">
        <f>IFERROR(VLOOKUP(O199,Références!$K$11:$N$19,3)," ")</f>
        <v xml:space="preserve"> </v>
      </c>
      <c r="R199" s="307" t="str">
        <f>IFERROR(VLOOKUP(O199,Références!$K$11:$N$19,4)," ")</f>
        <v xml:space="preserve"> </v>
      </c>
      <c r="S199" s="298"/>
      <c r="T199" s="298"/>
      <c r="U199" s="298"/>
      <c r="V199" s="298"/>
      <c r="W199" s="298"/>
      <c r="X199" s="299"/>
      <c r="Y199" s="298"/>
      <c r="Z199" s="298"/>
      <c r="AA199" s="298"/>
      <c r="AB199" s="277"/>
      <c r="AC199" s="277"/>
      <c r="AD199" s="277"/>
      <c r="AE199" s="277"/>
      <c r="AF199" s="277"/>
      <c r="AG199" s="277"/>
      <c r="AH199" s="277"/>
      <c r="AI199" s="277">
        <f t="shared" si="204"/>
        <v>0</v>
      </c>
      <c r="AJ199" s="299"/>
      <c r="AK199" s="298">
        <f t="shared" si="205"/>
        <v>0</v>
      </c>
      <c r="AL199" s="299"/>
      <c r="AM199" s="308">
        <f t="shared" si="206"/>
        <v>0</v>
      </c>
      <c r="AN199" s="298"/>
      <c r="AO199" s="318"/>
      <c r="AP199" s="303" t="str">
        <f t="shared" si="227"/>
        <v xml:space="preserve"> </v>
      </c>
      <c r="AQ199" s="298"/>
      <c r="AR199" s="337"/>
      <c r="AS199" s="337"/>
      <c r="AT199" s="305"/>
      <c r="AU199" s="319"/>
      <c r="AV199" s="305"/>
      <c r="AW199" s="272"/>
      <c r="AX199" s="342"/>
      <c r="AY199" s="343"/>
      <c r="AZ199" s="342"/>
      <c r="BA199" s="342"/>
      <c r="BB199" s="337"/>
      <c r="BC199" s="270">
        <f t="shared" si="207"/>
        <v>0</v>
      </c>
      <c r="BD199" s="270">
        <f t="shared" si="208"/>
        <v>0</v>
      </c>
      <c r="BE199" s="270">
        <f t="shared" si="219"/>
        <v>1</v>
      </c>
      <c r="BF199" s="270" t="str">
        <f t="shared" si="228"/>
        <v>ALIVE</v>
      </c>
      <c r="BG199" s="250" t="str">
        <f t="shared" si="220"/>
        <v>Aucune</v>
      </c>
      <c r="BH199" s="250" t="str">
        <f t="shared" si="221"/>
        <v>Aucune</v>
      </c>
      <c r="BI199" s="250" t="str">
        <f t="shared" si="222"/>
        <v>Aucune</v>
      </c>
      <c r="BJ199" s="250" t="str">
        <f t="shared" si="216"/>
        <v>NON</v>
      </c>
      <c r="BK199" s="250" t="str">
        <f t="shared" si="223"/>
        <v>NON</v>
      </c>
      <c r="BL199" s="250" t="str">
        <f t="shared" si="217"/>
        <v>Inconnu</v>
      </c>
      <c r="BM199" s="250" t="str">
        <f t="shared" si="209"/>
        <v>Inconnu</v>
      </c>
      <c r="BN199" s="250" t="str">
        <f t="shared" si="210"/>
        <v>Inconnu</v>
      </c>
      <c r="BO199" s="250" t="str">
        <f t="shared" si="218"/>
        <v>Inconnu</v>
      </c>
      <c r="BP199" s="250" t="str">
        <f t="shared" si="211"/>
        <v>Inconnu</v>
      </c>
      <c r="BQ199" s="250" t="str">
        <f t="shared" si="212"/>
        <v>Inconnu</v>
      </c>
      <c r="BR199" s="250" t="str">
        <f t="shared" si="213"/>
        <v>Aucune</v>
      </c>
      <c r="BS199" s="250">
        <f t="shared" si="215"/>
        <v>0</v>
      </c>
      <c r="BT199" s="271" t="e">
        <f>VLOOKUP($I199,Lieu_Activité!$A:$B,2,FALSE)</f>
        <v>#N/A</v>
      </c>
      <c r="BU199" s="250" t="str">
        <f t="shared" si="224"/>
        <v>Aucun</v>
      </c>
      <c r="BV199" s="250" t="str">
        <f t="shared" si="225"/>
        <v>Aucun</v>
      </c>
      <c r="BW199" s="249" t="str">
        <f t="shared" si="214"/>
        <v>NON</v>
      </c>
      <c r="BX199" s="330"/>
    </row>
    <row r="200" spans="1:170" ht="12.75" customHeight="1" x14ac:dyDescent="0.2">
      <c r="A200" s="273" t="s">
        <v>282</v>
      </c>
      <c r="B200" s="309"/>
      <c r="C200" s="269"/>
      <c r="D200" s="299"/>
      <c r="E200" s="320">
        <f t="shared" si="203"/>
        <v>0</v>
      </c>
      <c r="F200" s="320" t="str">
        <f t="shared" si="226"/>
        <v xml:space="preserve"> </v>
      </c>
      <c r="G200" s="298"/>
      <c r="H200" s="298"/>
      <c r="I200" s="298"/>
      <c r="J200" s="298"/>
      <c r="K200" s="298"/>
      <c r="L200" s="299"/>
      <c r="M200" s="285"/>
      <c r="N200" s="274"/>
      <c r="O200" s="274"/>
      <c r="P200" s="307" t="str">
        <f>IFERROR(VLOOKUP(O200,Références!$K$11:$N$19,2)," ")</f>
        <v xml:space="preserve"> </v>
      </c>
      <c r="Q200" s="307" t="str">
        <f>IFERROR(VLOOKUP(O200,Références!$K$11:$N$19,3)," ")</f>
        <v xml:space="preserve"> </v>
      </c>
      <c r="R200" s="307" t="str">
        <f>IFERROR(VLOOKUP(O200,Références!$K$11:$N$19,4)," ")</f>
        <v xml:space="preserve"> </v>
      </c>
      <c r="S200" s="298"/>
      <c r="T200" s="298"/>
      <c r="U200" s="298"/>
      <c r="V200" s="298"/>
      <c r="W200" s="298"/>
      <c r="X200" s="299"/>
      <c r="Y200" s="298"/>
      <c r="Z200" s="298"/>
      <c r="AA200" s="298"/>
      <c r="AB200" s="277"/>
      <c r="AC200" s="277"/>
      <c r="AD200" s="277"/>
      <c r="AE200" s="277"/>
      <c r="AF200" s="277"/>
      <c r="AG200" s="277"/>
      <c r="AH200" s="277"/>
      <c r="AI200" s="277">
        <f t="shared" si="204"/>
        <v>0</v>
      </c>
      <c r="AJ200" s="299"/>
      <c r="AK200" s="298">
        <f t="shared" si="205"/>
        <v>0</v>
      </c>
      <c r="AL200" s="299"/>
      <c r="AM200" s="308">
        <f t="shared" si="206"/>
        <v>0</v>
      </c>
      <c r="AN200" s="298"/>
      <c r="AO200" s="318"/>
      <c r="AP200" s="303" t="str">
        <f t="shared" si="227"/>
        <v xml:space="preserve"> </v>
      </c>
      <c r="AQ200" s="298"/>
      <c r="AR200" s="337"/>
      <c r="AS200" s="337"/>
      <c r="AT200" s="305"/>
      <c r="AU200" s="319"/>
      <c r="AV200" s="305"/>
      <c r="AW200" s="272"/>
      <c r="AX200" s="342"/>
      <c r="AY200" s="343"/>
      <c r="AZ200" s="272"/>
      <c r="BA200" s="342"/>
      <c r="BB200" s="337"/>
      <c r="BC200" s="270">
        <f t="shared" si="207"/>
        <v>0</v>
      </c>
      <c r="BD200" s="270">
        <f t="shared" si="208"/>
        <v>0</v>
      </c>
      <c r="BE200" s="270">
        <f t="shared" si="219"/>
        <v>1</v>
      </c>
      <c r="BF200" s="270" t="str">
        <f t="shared" si="228"/>
        <v>ALIVE</v>
      </c>
      <c r="BG200" s="250" t="str">
        <f t="shared" si="220"/>
        <v>Aucune</v>
      </c>
      <c r="BH200" s="250" t="str">
        <f t="shared" si="221"/>
        <v>Aucune</v>
      </c>
      <c r="BI200" s="250" t="str">
        <f t="shared" si="222"/>
        <v>Aucune</v>
      </c>
      <c r="BJ200" s="250" t="str">
        <f t="shared" si="216"/>
        <v>NON</v>
      </c>
      <c r="BK200" s="250" t="str">
        <f t="shared" si="223"/>
        <v>NON</v>
      </c>
      <c r="BL200" s="250" t="str">
        <f t="shared" si="217"/>
        <v>Inconnu</v>
      </c>
      <c r="BM200" s="250" t="str">
        <f t="shared" si="209"/>
        <v>Inconnu</v>
      </c>
      <c r="BN200" s="250" t="str">
        <f t="shared" si="210"/>
        <v>Inconnu</v>
      </c>
      <c r="BO200" s="250" t="str">
        <f t="shared" si="218"/>
        <v>Inconnu</v>
      </c>
      <c r="BP200" s="250" t="str">
        <f t="shared" si="211"/>
        <v>Inconnu</v>
      </c>
      <c r="BQ200" s="250" t="str">
        <f t="shared" si="212"/>
        <v>Inconnu</v>
      </c>
      <c r="BR200" s="250" t="str">
        <f t="shared" si="213"/>
        <v>Aucune</v>
      </c>
      <c r="BS200" s="250">
        <f t="shared" si="215"/>
        <v>0</v>
      </c>
      <c r="BT200" s="271" t="e">
        <f>VLOOKUP($I200,Lieu_Activité!$A:$B,2,FALSE)</f>
        <v>#N/A</v>
      </c>
      <c r="BU200" s="250" t="str">
        <f t="shared" si="224"/>
        <v>Aucun</v>
      </c>
      <c r="BV200" s="250" t="str">
        <f t="shared" si="225"/>
        <v>Aucun</v>
      </c>
      <c r="BW200" s="249" t="str">
        <f t="shared" si="214"/>
        <v>NON</v>
      </c>
      <c r="BX200" s="330"/>
    </row>
    <row r="201" spans="1:170" s="1" customFormat="1" ht="12.75" customHeight="1" x14ac:dyDescent="0.2">
      <c r="A201" s="273" t="s">
        <v>282</v>
      </c>
      <c r="B201" s="276"/>
      <c r="C201" s="269"/>
      <c r="D201" s="299"/>
      <c r="E201" s="320">
        <f t="shared" si="203"/>
        <v>0</v>
      </c>
      <c r="F201" s="320" t="str">
        <f t="shared" si="226"/>
        <v xml:space="preserve"> </v>
      </c>
      <c r="G201" s="298"/>
      <c r="H201" s="298"/>
      <c r="I201" s="298"/>
      <c r="J201" s="298"/>
      <c r="K201" s="298"/>
      <c r="L201" s="299"/>
      <c r="M201" s="285"/>
      <c r="N201" s="274"/>
      <c r="O201" s="307"/>
      <c r="P201" s="307" t="str">
        <f>IFERROR(VLOOKUP(O201,Références!$K$11:$N$19,2)," ")</f>
        <v xml:space="preserve"> </v>
      </c>
      <c r="Q201" s="307" t="str">
        <f>IFERROR(VLOOKUP(O201,Références!$K$11:$N$19,3)," ")</f>
        <v xml:space="preserve"> </v>
      </c>
      <c r="R201" s="307" t="str">
        <f>IFERROR(VLOOKUP(O201,Références!$K$11:$N$19,4)," ")</f>
        <v xml:space="preserve"> </v>
      </c>
      <c r="S201" s="298"/>
      <c r="T201" s="298"/>
      <c r="U201" s="298"/>
      <c r="V201" s="298"/>
      <c r="W201" s="298"/>
      <c r="X201" s="299"/>
      <c r="Y201" s="298"/>
      <c r="Z201" s="298"/>
      <c r="AA201" s="298"/>
      <c r="AB201" s="277"/>
      <c r="AC201" s="277"/>
      <c r="AD201" s="277"/>
      <c r="AE201" s="277"/>
      <c r="AF201" s="277"/>
      <c r="AG201" s="277"/>
      <c r="AH201" s="277"/>
      <c r="AI201" s="277">
        <f t="shared" si="204"/>
        <v>0</v>
      </c>
      <c r="AJ201" s="299"/>
      <c r="AK201" s="298">
        <f t="shared" si="205"/>
        <v>0</v>
      </c>
      <c r="AL201" s="299"/>
      <c r="AM201" s="308">
        <f t="shared" si="206"/>
        <v>0</v>
      </c>
      <c r="AN201" s="298"/>
      <c r="AO201" s="318"/>
      <c r="AP201" s="303" t="str">
        <f t="shared" si="227"/>
        <v xml:space="preserve"> </v>
      </c>
      <c r="AQ201" s="298"/>
      <c r="AR201" s="337"/>
      <c r="AS201" s="337"/>
      <c r="AT201" s="305"/>
      <c r="AU201" s="319"/>
      <c r="AV201" s="305"/>
      <c r="AW201" s="272"/>
      <c r="AX201" s="342"/>
      <c r="AY201" s="343"/>
      <c r="AZ201" s="272"/>
      <c r="BA201" s="342"/>
      <c r="BB201" s="337"/>
      <c r="BC201" s="270">
        <f t="shared" si="207"/>
        <v>0</v>
      </c>
      <c r="BD201" s="270">
        <f t="shared" si="208"/>
        <v>0</v>
      </c>
      <c r="BE201" s="270">
        <f>IF(AG201="Aucune",0,1)</f>
        <v>1</v>
      </c>
      <c r="BF201" s="270" t="str">
        <f t="shared" si="228"/>
        <v>ALIVE</v>
      </c>
      <c r="BG201" s="250" t="str">
        <f>IF(AD201="","Aucune","Infection")</f>
        <v>Aucune</v>
      </c>
      <c r="BH201" s="250" t="str">
        <f t="shared" si="221"/>
        <v>Aucune</v>
      </c>
      <c r="BI201" s="250" t="str">
        <f t="shared" si="222"/>
        <v>Aucune</v>
      </c>
      <c r="BJ201" s="250" t="str">
        <f t="shared" si="216"/>
        <v>NON</v>
      </c>
      <c r="BK201" s="250" t="str">
        <f t="shared" si="223"/>
        <v>NON</v>
      </c>
      <c r="BL201" s="250" t="str">
        <f t="shared" si="217"/>
        <v>Inconnu</v>
      </c>
      <c r="BM201" s="250" t="str">
        <f t="shared" si="209"/>
        <v>Inconnu</v>
      </c>
      <c r="BN201" s="250" t="str">
        <f t="shared" si="210"/>
        <v>Inconnu</v>
      </c>
      <c r="BO201" s="250" t="str">
        <f t="shared" si="218"/>
        <v>Inconnu</v>
      </c>
      <c r="BP201" s="250" t="str">
        <f t="shared" si="211"/>
        <v>Inconnu</v>
      </c>
      <c r="BQ201" s="250" t="str">
        <f t="shared" si="212"/>
        <v>Inconnu</v>
      </c>
      <c r="BR201" s="250" t="str">
        <f t="shared" si="213"/>
        <v>Aucune</v>
      </c>
      <c r="BS201" s="250">
        <f t="shared" si="215"/>
        <v>0</v>
      </c>
      <c r="BT201" s="271" t="e">
        <f>VLOOKUP($I201,Lieu_Activité!$A:$B,2,FALSE)</f>
        <v>#N/A</v>
      </c>
      <c r="BU201" s="250" t="str">
        <f t="shared" si="224"/>
        <v>Aucun</v>
      </c>
      <c r="BV201" s="250" t="str">
        <f t="shared" si="225"/>
        <v>Aucun</v>
      </c>
      <c r="BW201" s="249" t="str">
        <f t="shared" si="214"/>
        <v>NON</v>
      </c>
      <c r="BX201" s="330"/>
      <c r="BY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</row>
    <row r="202" spans="1:170" s="1" customFormat="1" ht="12.75" customHeight="1" x14ac:dyDescent="0.2">
      <c r="A202" s="273" t="s">
        <v>282</v>
      </c>
      <c r="B202" s="276"/>
      <c r="C202" s="269"/>
      <c r="D202" s="299"/>
      <c r="E202" s="320">
        <f>(L202-D202)/365</f>
        <v>0</v>
      </c>
      <c r="F202" s="320" t="str">
        <f t="shared" si="226"/>
        <v xml:space="preserve"> </v>
      </c>
      <c r="G202" s="298"/>
      <c r="H202" s="298"/>
      <c r="I202" s="298"/>
      <c r="J202" s="298"/>
      <c r="K202" s="298"/>
      <c r="L202" s="299"/>
      <c r="M202" s="285"/>
      <c r="N202" s="274"/>
      <c r="O202" s="274"/>
      <c r="P202" s="307" t="str">
        <f>IFERROR(VLOOKUP(O202,Références!$K$11:$N$19,2)," ")</f>
        <v xml:space="preserve"> </v>
      </c>
      <c r="Q202" s="307" t="str">
        <f>IFERROR(VLOOKUP(O202,Références!$K$11:$N$19,3)," ")</f>
        <v xml:space="preserve"> </v>
      </c>
      <c r="R202" s="307" t="str">
        <f>IFERROR(VLOOKUP(O202,Références!$K$11:$N$19,4)," ")</f>
        <v xml:space="preserve"> </v>
      </c>
      <c r="S202" s="298"/>
      <c r="T202" s="298"/>
      <c r="U202" s="298"/>
      <c r="V202" s="298"/>
      <c r="W202" s="298"/>
      <c r="X202" s="299"/>
      <c r="Y202" s="298"/>
      <c r="Z202" s="298"/>
      <c r="AA202" s="298"/>
      <c r="AB202" s="277"/>
      <c r="AC202" s="277"/>
      <c r="AD202" s="277"/>
      <c r="AE202" s="277"/>
      <c r="AF202" s="277"/>
      <c r="AG202" s="277"/>
      <c r="AH202" s="277"/>
      <c r="AI202" s="277">
        <f>SUM(AF202,AH202)</f>
        <v>0</v>
      </c>
      <c r="AJ202" s="299"/>
      <c r="AK202" s="298">
        <f>(AJ202-L202)</f>
        <v>0</v>
      </c>
      <c r="AL202" s="299"/>
      <c r="AM202" s="308">
        <f>(AL202-L202)</f>
        <v>0</v>
      </c>
      <c r="AN202" s="298"/>
      <c r="AO202" s="318"/>
      <c r="AP202" s="303" t="str">
        <f t="shared" si="227"/>
        <v xml:space="preserve"> </v>
      </c>
      <c r="AQ202" s="298"/>
      <c r="AR202" s="337"/>
      <c r="AS202" s="337"/>
      <c r="AT202" s="305"/>
      <c r="AU202" s="319"/>
      <c r="AV202" s="305"/>
      <c r="AW202" s="272"/>
      <c r="AX202" s="342"/>
      <c r="AY202" s="343"/>
      <c r="AZ202" s="272"/>
      <c r="BA202" s="342"/>
      <c r="BB202" s="337"/>
      <c r="BC202" s="270">
        <f>IF(BG202="Aucune",0,1)</f>
        <v>0</v>
      </c>
      <c r="BD202" s="270">
        <f>IF(BH202="Aucune",0,1)</f>
        <v>0</v>
      </c>
      <c r="BE202" s="270">
        <f t="shared" si="219"/>
        <v>1</v>
      </c>
      <c r="BF202" s="270" t="str">
        <f t="shared" si="228"/>
        <v>ALIVE</v>
      </c>
      <c r="BG202" s="250" t="str">
        <f t="shared" si="220"/>
        <v>Aucune</v>
      </c>
      <c r="BH202" s="250" t="str">
        <f t="shared" si="221"/>
        <v>Aucune</v>
      </c>
      <c r="BI202" s="250" t="str">
        <f t="shared" si="222"/>
        <v>Aucune</v>
      </c>
      <c r="BJ202" s="250" t="str">
        <f t="shared" si="216"/>
        <v>NON</v>
      </c>
      <c r="BK202" s="250" t="str">
        <f t="shared" si="223"/>
        <v>NON</v>
      </c>
      <c r="BL202" s="250" t="str">
        <f t="shared" si="217"/>
        <v>Inconnu</v>
      </c>
      <c r="BM202" s="250" t="str">
        <f>IF($O202&lt;&gt;"HTX",IF($O202&lt;&gt;"LVAD",BL202,"Inconnu"),"Inconnu")</f>
        <v>Inconnu</v>
      </c>
      <c r="BN202" s="250" t="str">
        <f>IF($O202="HTX",BL202,IF($O202="LVAD",BL202,"Inconnu"))</f>
        <v>Inconnu</v>
      </c>
      <c r="BO202" s="250" t="str">
        <f t="shared" si="218"/>
        <v>Inconnu</v>
      </c>
      <c r="BP202" s="250" t="str">
        <f>IF($O202&lt;&gt;"HTX",IF($O202&lt;&gt;"LVAD",BO202,"Inconnu"),"Inconnu")</f>
        <v>Inconnu</v>
      </c>
      <c r="BQ202" s="250" t="str">
        <f>IF($O202="HTX",BO202,IF($O202="LVAD",BO202,"Inconnu"))</f>
        <v>Inconnu</v>
      </c>
      <c r="BR202" s="250" t="str">
        <f>IF(BH202="Aucune",IF(BI202="Aucune","Aucune","Transfusé"),"Transfusé")</f>
        <v>Aucune</v>
      </c>
      <c r="BS202" s="250">
        <f t="shared" si="215"/>
        <v>0</v>
      </c>
      <c r="BT202" s="271" t="e">
        <f>VLOOKUP($I202,Lieu_Activité!$A:$B,2,FALSE)</f>
        <v>#N/A</v>
      </c>
      <c r="BU202" s="250" t="str">
        <f t="shared" si="224"/>
        <v>Aucun</v>
      </c>
      <c r="BV202" s="250" t="str">
        <f t="shared" si="225"/>
        <v>Aucun</v>
      </c>
      <c r="BW202" s="249" t="str">
        <f t="shared" si="214"/>
        <v>NON</v>
      </c>
      <c r="BX202" s="330"/>
      <c r="BY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</row>
    <row r="203" spans="1:170" ht="12" customHeight="1" x14ac:dyDescent="0.2">
      <c r="A203" s="268" t="s">
        <v>256</v>
      </c>
      <c r="B203" s="276"/>
      <c r="C203" s="269"/>
      <c r="D203" s="299"/>
      <c r="E203" s="320">
        <f t="shared" ref="E203:E209" si="229">(L203-D203)/365</f>
        <v>0</v>
      </c>
      <c r="F203" s="320" t="str">
        <f t="shared" si="226"/>
        <v xml:space="preserve"> </v>
      </c>
      <c r="G203" s="298"/>
      <c r="H203" s="298"/>
      <c r="I203" s="298"/>
      <c r="J203" s="298"/>
      <c r="K203" s="298"/>
      <c r="L203" s="299"/>
      <c r="M203" s="285"/>
      <c r="N203" s="274"/>
      <c r="O203" s="274"/>
      <c r="P203" s="307" t="str">
        <f>IFERROR(VLOOKUP(O203,Références!$K$11:$N$19,2)," ")</f>
        <v xml:space="preserve"> </v>
      </c>
      <c r="Q203" s="307" t="str">
        <f>IFERROR(VLOOKUP(O203,Références!$K$11:$N$19,3)," ")</f>
        <v xml:space="preserve"> </v>
      </c>
      <c r="R203" s="307" t="str">
        <f>IFERROR(VLOOKUP(O203,Références!$K$11:$N$19,4)," ")</f>
        <v xml:space="preserve"> </v>
      </c>
      <c r="S203" s="298"/>
      <c r="T203" s="298"/>
      <c r="U203" s="298"/>
      <c r="V203" s="298"/>
      <c r="W203" s="298"/>
      <c r="X203" s="299"/>
      <c r="Y203" s="298"/>
      <c r="Z203" s="298"/>
      <c r="AA203" s="298"/>
      <c r="AB203" s="277"/>
      <c r="AC203" s="277"/>
      <c r="AD203" s="277"/>
      <c r="AE203" s="277"/>
      <c r="AF203" s="277"/>
      <c r="AG203" s="277"/>
      <c r="AH203" s="277"/>
      <c r="AI203" s="277">
        <f t="shared" ref="AI203:AI209" si="230">SUM(AF203,AH203)</f>
        <v>0</v>
      </c>
      <c r="AJ203" s="299"/>
      <c r="AK203" s="298">
        <f t="shared" ref="AK203:AK209" si="231">(AJ203-L203)</f>
        <v>0</v>
      </c>
      <c r="AL203" s="299"/>
      <c r="AM203" s="308">
        <f t="shared" ref="AM203:AM209" si="232">(AL203-L203)</f>
        <v>0</v>
      </c>
      <c r="AN203" s="298"/>
      <c r="AO203" s="318"/>
      <c r="AP203" s="303" t="str">
        <f t="shared" si="227"/>
        <v xml:space="preserve"> </v>
      </c>
      <c r="AQ203" s="298"/>
      <c r="AR203" s="337"/>
      <c r="AS203" s="337"/>
      <c r="AT203" s="305"/>
      <c r="AU203" s="319"/>
      <c r="AV203" s="305"/>
      <c r="AW203" s="272"/>
      <c r="AX203" s="342"/>
      <c r="AY203" s="343"/>
      <c r="AZ203" s="272"/>
      <c r="BA203" s="342"/>
      <c r="BB203" s="337"/>
      <c r="BC203" s="270">
        <f t="shared" ref="BC203:BC209" si="233">IF(BG203="Aucune",0,1)</f>
        <v>0</v>
      </c>
      <c r="BD203" s="270">
        <f t="shared" ref="BD203:BD209" si="234">IF(BH203="Aucune",0,1)</f>
        <v>0</v>
      </c>
      <c r="BE203" s="270">
        <f t="shared" si="219"/>
        <v>1</v>
      </c>
      <c r="BF203" s="270" t="str">
        <f t="shared" si="228"/>
        <v>ALIVE</v>
      </c>
      <c r="BG203" s="250" t="str">
        <f t="shared" si="220"/>
        <v>Aucune</v>
      </c>
      <c r="BH203" s="250" t="str">
        <f t="shared" si="221"/>
        <v>Aucune</v>
      </c>
      <c r="BI203" s="250" t="str">
        <f t="shared" si="222"/>
        <v>Aucune</v>
      </c>
      <c r="BJ203" s="250" t="str">
        <f t="shared" si="216"/>
        <v>NON</v>
      </c>
      <c r="BK203" s="250" t="str">
        <f t="shared" si="223"/>
        <v>NON</v>
      </c>
      <c r="BL203" s="250" t="str">
        <f t="shared" si="217"/>
        <v>Inconnu</v>
      </c>
      <c r="BM203" s="250" t="str">
        <f t="shared" ref="BM203:BM209" si="235">IF($O203&lt;&gt;"HTX",IF($O203&lt;&gt;"LVAD",BL203,"Inconnu"),"Inconnu")</f>
        <v>Inconnu</v>
      </c>
      <c r="BN203" s="250" t="str">
        <f t="shared" ref="BN203:BN209" si="236">IF($O203="HTX",BL203,IF($O203="LVAD",BL203,"Inconnu"))</f>
        <v>Inconnu</v>
      </c>
      <c r="BO203" s="250" t="str">
        <f t="shared" si="218"/>
        <v>Inconnu</v>
      </c>
      <c r="BP203" s="250" t="str">
        <f t="shared" ref="BP203:BP209" si="237">IF($O203&lt;&gt;"HTX",IF($O203&lt;&gt;"LVAD",BO203,"Inconnu"),"Inconnu")</f>
        <v>Inconnu</v>
      </c>
      <c r="BQ203" s="250" t="str">
        <f t="shared" ref="BQ203:BQ209" si="238">IF($O203="HTX",BO203,IF($O203="LVAD",BO203,"Inconnu"))</f>
        <v>Inconnu</v>
      </c>
      <c r="BR203" s="250" t="str">
        <f t="shared" ref="BR203:BR209" si="239">IF(BH203="Aucune",IF(BI203="Aucune","Aucune","Transfusé"),"Transfusé")</f>
        <v>Aucune</v>
      </c>
      <c r="BS203" s="250">
        <f t="shared" si="215"/>
        <v>0</v>
      </c>
      <c r="BT203" s="271" t="e">
        <f>VLOOKUP($I203,Lieu_Activité!$A:$B,2,FALSE)</f>
        <v>#N/A</v>
      </c>
      <c r="BU203" s="250" t="str">
        <f t="shared" si="224"/>
        <v>Aucun</v>
      </c>
      <c r="BV203" s="250" t="str">
        <f t="shared" si="225"/>
        <v>Aucun</v>
      </c>
      <c r="BW203" s="249" t="str">
        <f t="shared" si="214"/>
        <v>NON</v>
      </c>
      <c r="BX203" s="330"/>
    </row>
    <row r="204" spans="1:170" ht="12" customHeight="1" x14ac:dyDescent="0.2">
      <c r="A204" s="268" t="s">
        <v>256</v>
      </c>
      <c r="B204" s="276"/>
      <c r="C204" s="269"/>
      <c r="D204" s="299"/>
      <c r="E204" s="320">
        <f t="shared" si="229"/>
        <v>0</v>
      </c>
      <c r="F204" s="320" t="str">
        <f t="shared" si="226"/>
        <v xml:space="preserve"> </v>
      </c>
      <c r="G204" s="298"/>
      <c r="H204" s="298"/>
      <c r="I204" s="298"/>
      <c r="J204" s="298"/>
      <c r="K204" s="298"/>
      <c r="L204" s="299"/>
      <c r="M204" s="285"/>
      <c r="N204" s="274"/>
      <c r="O204" s="274"/>
      <c r="P204" s="307" t="str">
        <f>IFERROR(VLOOKUP(O204,Références!$K$11:$N$19,2)," ")</f>
        <v xml:space="preserve"> </v>
      </c>
      <c r="Q204" s="307" t="str">
        <f>IFERROR(VLOOKUP(O204,Références!$K$11:$N$19,3)," ")</f>
        <v xml:space="preserve"> </v>
      </c>
      <c r="R204" s="307" t="str">
        <f>IFERROR(VLOOKUP(O204,Références!$K$11:$N$19,4)," ")</f>
        <v xml:space="preserve"> </v>
      </c>
      <c r="S204" s="298"/>
      <c r="T204" s="298"/>
      <c r="U204" s="298"/>
      <c r="V204" s="298"/>
      <c r="W204" s="298"/>
      <c r="X204" s="299"/>
      <c r="Y204" s="298"/>
      <c r="Z204" s="298"/>
      <c r="AA204" s="298"/>
      <c r="AB204" s="277"/>
      <c r="AC204" s="277"/>
      <c r="AD204" s="277"/>
      <c r="AE204" s="277"/>
      <c r="AF204" s="277"/>
      <c r="AG204" s="277"/>
      <c r="AH204" s="277"/>
      <c r="AI204" s="277">
        <f t="shared" si="230"/>
        <v>0</v>
      </c>
      <c r="AJ204" s="299"/>
      <c r="AK204" s="298">
        <f t="shared" si="231"/>
        <v>0</v>
      </c>
      <c r="AL204" s="299"/>
      <c r="AM204" s="308">
        <f t="shared" si="232"/>
        <v>0</v>
      </c>
      <c r="AN204" s="298"/>
      <c r="AO204" s="318"/>
      <c r="AP204" s="303" t="str">
        <f t="shared" si="227"/>
        <v xml:space="preserve"> </v>
      </c>
      <c r="AQ204" s="298"/>
      <c r="AR204" s="337"/>
      <c r="AS204" s="337"/>
      <c r="AT204" s="305"/>
      <c r="AU204" s="319"/>
      <c r="AV204" s="305"/>
      <c r="AW204" s="272"/>
      <c r="AX204" s="342"/>
      <c r="AY204" s="343"/>
      <c r="AZ204" s="342"/>
      <c r="BA204" s="342"/>
      <c r="BB204" s="337"/>
      <c r="BC204" s="270">
        <f t="shared" si="233"/>
        <v>0</v>
      </c>
      <c r="BD204" s="270">
        <f t="shared" si="234"/>
        <v>0</v>
      </c>
      <c r="BE204" s="270">
        <f t="shared" si="219"/>
        <v>1</v>
      </c>
      <c r="BF204" s="270" t="str">
        <f t="shared" si="228"/>
        <v>ALIVE</v>
      </c>
      <c r="BG204" s="250" t="str">
        <f t="shared" si="220"/>
        <v>Aucune</v>
      </c>
      <c r="BH204" s="250" t="str">
        <f t="shared" si="221"/>
        <v>Aucune</v>
      </c>
      <c r="BI204" s="250" t="str">
        <f t="shared" si="222"/>
        <v>Aucune</v>
      </c>
      <c r="BJ204" s="250" t="str">
        <f t="shared" si="216"/>
        <v>NON</v>
      </c>
      <c r="BK204" s="250" t="str">
        <f t="shared" si="223"/>
        <v>NON</v>
      </c>
      <c r="BL204" s="250" t="str">
        <f t="shared" si="217"/>
        <v>Inconnu</v>
      </c>
      <c r="BM204" s="250" t="str">
        <f t="shared" si="235"/>
        <v>Inconnu</v>
      </c>
      <c r="BN204" s="250" t="str">
        <f t="shared" si="236"/>
        <v>Inconnu</v>
      </c>
      <c r="BO204" s="250" t="str">
        <f t="shared" si="218"/>
        <v>Inconnu</v>
      </c>
      <c r="BP204" s="250" t="str">
        <f t="shared" si="237"/>
        <v>Inconnu</v>
      </c>
      <c r="BQ204" s="250" t="str">
        <f t="shared" si="238"/>
        <v>Inconnu</v>
      </c>
      <c r="BR204" s="250" t="str">
        <f t="shared" si="239"/>
        <v>Aucune</v>
      </c>
      <c r="BS204" s="250">
        <f t="shared" si="215"/>
        <v>0</v>
      </c>
      <c r="BT204" s="271" t="e">
        <f>VLOOKUP($I204,Lieu_Activité!$A:$B,2,FALSE)</f>
        <v>#N/A</v>
      </c>
      <c r="BU204" s="250" t="str">
        <f t="shared" si="224"/>
        <v>Aucun</v>
      </c>
      <c r="BV204" s="250" t="str">
        <f t="shared" si="225"/>
        <v>Aucun</v>
      </c>
      <c r="BW204" s="249" t="str">
        <f t="shared" si="214"/>
        <v>NON</v>
      </c>
      <c r="BX204" s="330"/>
    </row>
    <row r="205" spans="1:170" ht="12" customHeight="1" x14ac:dyDescent="0.2">
      <c r="A205" s="268" t="s">
        <v>256</v>
      </c>
      <c r="B205" s="310"/>
      <c r="C205" s="269"/>
      <c r="D205" s="299"/>
      <c r="E205" s="320">
        <f t="shared" si="229"/>
        <v>0</v>
      </c>
      <c r="F205" s="320" t="str">
        <f t="shared" si="226"/>
        <v xml:space="preserve"> </v>
      </c>
      <c r="G205" s="298"/>
      <c r="H205" s="298"/>
      <c r="I205" s="298"/>
      <c r="J205" s="298"/>
      <c r="K205" s="298"/>
      <c r="L205" s="299"/>
      <c r="M205" s="285"/>
      <c r="N205" s="274"/>
      <c r="O205" s="274"/>
      <c r="P205" s="307" t="str">
        <f>IFERROR(VLOOKUP(O205,Références!$K$11:$N$19,2)," ")</f>
        <v xml:space="preserve"> </v>
      </c>
      <c r="Q205" s="307" t="str">
        <f>IFERROR(VLOOKUP(O205,Références!$K$11:$N$19,3)," ")</f>
        <v xml:space="preserve"> </v>
      </c>
      <c r="R205" s="307" t="str">
        <f>IFERROR(VLOOKUP(O205,Références!$K$11:$N$19,4)," ")</f>
        <v xml:space="preserve"> </v>
      </c>
      <c r="S205" s="298"/>
      <c r="T205" s="298"/>
      <c r="U205" s="298"/>
      <c r="V205" s="298"/>
      <c r="W205" s="298"/>
      <c r="X205" s="299"/>
      <c r="Y205" s="298"/>
      <c r="Z205" s="298"/>
      <c r="AA205" s="298"/>
      <c r="AB205" s="277"/>
      <c r="AC205" s="277"/>
      <c r="AD205" s="277"/>
      <c r="AE205" s="277"/>
      <c r="AF205" s="277"/>
      <c r="AG205" s="277"/>
      <c r="AH205" s="277"/>
      <c r="AI205" s="277">
        <f t="shared" si="230"/>
        <v>0</v>
      </c>
      <c r="AJ205" s="299"/>
      <c r="AK205" s="298">
        <f t="shared" si="231"/>
        <v>0</v>
      </c>
      <c r="AL205" s="299"/>
      <c r="AM205" s="308">
        <f t="shared" si="232"/>
        <v>0</v>
      </c>
      <c r="AN205" s="298"/>
      <c r="AO205" s="318"/>
      <c r="AP205" s="303" t="str">
        <f t="shared" si="227"/>
        <v xml:space="preserve"> </v>
      </c>
      <c r="AQ205" s="298"/>
      <c r="AR205" s="337"/>
      <c r="AS205" s="337"/>
      <c r="AT205" s="305"/>
      <c r="AU205" s="319"/>
      <c r="AV205" s="305"/>
      <c r="AW205" s="272"/>
      <c r="AX205" s="342"/>
      <c r="AY205" s="343"/>
      <c r="AZ205" s="272"/>
      <c r="BA205" s="344" t="s">
        <v>246</v>
      </c>
      <c r="BB205" s="337"/>
      <c r="BC205" s="270">
        <f t="shared" si="233"/>
        <v>0</v>
      </c>
      <c r="BD205" s="270">
        <f t="shared" si="234"/>
        <v>0</v>
      </c>
      <c r="BE205" s="270">
        <f t="shared" si="219"/>
        <v>1</v>
      </c>
      <c r="BF205" s="270" t="str">
        <f t="shared" si="228"/>
        <v>ALIVE</v>
      </c>
      <c r="BG205" s="250" t="str">
        <f t="shared" si="220"/>
        <v>Aucune</v>
      </c>
      <c r="BH205" s="250" t="str">
        <f t="shared" si="221"/>
        <v>Aucune</v>
      </c>
      <c r="BI205" s="250" t="str">
        <f t="shared" si="222"/>
        <v>Aucune</v>
      </c>
      <c r="BJ205" s="250" t="str">
        <f t="shared" si="216"/>
        <v>NON</v>
      </c>
      <c r="BK205" s="250" t="str">
        <f t="shared" si="223"/>
        <v>NON</v>
      </c>
      <c r="BL205" s="250" t="str">
        <f t="shared" si="217"/>
        <v>Inconnu</v>
      </c>
      <c r="BM205" s="250" t="str">
        <f t="shared" si="235"/>
        <v>Inconnu</v>
      </c>
      <c r="BN205" s="250" t="str">
        <f t="shared" si="236"/>
        <v>Inconnu</v>
      </c>
      <c r="BO205" s="250" t="str">
        <f t="shared" si="218"/>
        <v>Inconnu</v>
      </c>
      <c r="BP205" s="250" t="str">
        <f t="shared" si="237"/>
        <v>Inconnu</v>
      </c>
      <c r="BQ205" s="250" t="str">
        <f t="shared" si="238"/>
        <v>Inconnu</v>
      </c>
      <c r="BR205" s="250" t="str">
        <f t="shared" si="239"/>
        <v>Aucune</v>
      </c>
      <c r="BS205" s="250">
        <f t="shared" si="215"/>
        <v>0</v>
      </c>
      <c r="BT205" s="271" t="e">
        <f>VLOOKUP($I205,Lieu_Activité!$A:$B,2,FALSE)</f>
        <v>#N/A</v>
      </c>
      <c r="BU205" s="250" t="str">
        <f t="shared" si="224"/>
        <v>Aucun</v>
      </c>
      <c r="BV205" s="250" t="str">
        <f t="shared" si="225"/>
        <v>Aucun</v>
      </c>
      <c r="BW205" s="249" t="str">
        <f t="shared" si="214"/>
        <v>NON</v>
      </c>
      <c r="BX205" s="330"/>
    </row>
    <row r="206" spans="1:170" s="1" customFormat="1" ht="12.75" customHeight="1" x14ac:dyDescent="0.2">
      <c r="A206" s="268" t="s">
        <v>256</v>
      </c>
      <c r="B206" s="276"/>
      <c r="C206" s="269"/>
      <c r="D206" s="299"/>
      <c r="E206" s="320">
        <f t="shared" si="229"/>
        <v>0</v>
      </c>
      <c r="F206" s="320" t="str">
        <f t="shared" si="226"/>
        <v xml:space="preserve"> </v>
      </c>
      <c r="G206" s="298"/>
      <c r="H206" s="298"/>
      <c r="I206" s="298"/>
      <c r="J206" s="298"/>
      <c r="K206" s="298"/>
      <c r="L206" s="299"/>
      <c r="M206" s="285"/>
      <c r="N206" s="274"/>
      <c r="O206" s="274"/>
      <c r="P206" s="307" t="str">
        <f>IFERROR(VLOOKUP(O206,Références!$K$11:$N$19,2)," ")</f>
        <v xml:space="preserve"> </v>
      </c>
      <c r="Q206" s="307" t="str">
        <f>IFERROR(VLOOKUP(O206,Références!$K$11:$N$19,3)," ")</f>
        <v xml:space="preserve"> </v>
      </c>
      <c r="R206" s="307" t="str">
        <f>IFERROR(VLOOKUP(O206,Références!$K$11:$N$19,4)," ")</f>
        <v xml:space="preserve"> </v>
      </c>
      <c r="S206" s="298"/>
      <c r="T206" s="298"/>
      <c r="U206" s="298"/>
      <c r="V206" s="298"/>
      <c r="W206" s="298"/>
      <c r="X206" s="299"/>
      <c r="Y206" s="298"/>
      <c r="Z206" s="298"/>
      <c r="AA206" s="298"/>
      <c r="AB206" s="277"/>
      <c r="AC206" s="277"/>
      <c r="AD206" s="277"/>
      <c r="AE206" s="277"/>
      <c r="AF206" s="277"/>
      <c r="AG206" s="277"/>
      <c r="AH206" s="277"/>
      <c r="AI206" s="277">
        <f t="shared" si="230"/>
        <v>0</v>
      </c>
      <c r="AJ206" s="299"/>
      <c r="AK206" s="298">
        <f t="shared" si="231"/>
        <v>0</v>
      </c>
      <c r="AL206" s="299"/>
      <c r="AM206" s="308">
        <f t="shared" si="232"/>
        <v>0</v>
      </c>
      <c r="AN206" s="298"/>
      <c r="AO206" s="318"/>
      <c r="AP206" s="303" t="str">
        <f t="shared" si="227"/>
        <v xml:space="preserve"> </v>
      </c>
      <c r="AQ206" s="298"/>
      <c r="AR206" s="337"/>
      <c r="AS206" s="337"/>
      <c r="AT206" s="305"/>
      <c r="AU206" s="319"/>
      <c r="AV206" s="305"/>
      <c r="AW206" s="272"/>
      <c r="AX206" s="342"/>
      <c r="AY206" s="343"/>
      <c r="AZ206" s="272"/>
      <c r="BA206" s="342"/>
      <c r="BB206" s="337"/>
      <c r="BC206" s="270">
        <f t="shared" si="233"/>
        <v>0</v>
      </c>
      <c r="BD206" s="270">
        <f t="shared" si="234"/>
        <v>0</v>
      </c>
      <c r="BE206" s="270">
        <f t="shared" si="219"/>
        <v>1</v>
      </c>
      <c r="BF206" s="270" t="str">
        <f t="shared" si="228"/>
        <v>ALIVE</v>
      </c>
      <c r="BG206" s="250" t="str">
        <f t="shared" si="220"/>
        <v>Aucune</v>
      </c>
      <c r="BH206" s="250" t="str">
        <f t="shared" si="221"/>
        <v>Aucune</v>
      </c>
      <c r="BI206" s="250" t="str">
        <f t="shared" si="222"/>
        <v>Aucune</v>
      </c>
      <c r="BJ206" s="250" t="str">
        <f t="shared" si="216"/>
        <v>NON</v>
      </c>
      <c r="BK206" s="250" t="str">
        <f t="shared" si="223"/>
        <v>NON</v>
      </c>
      <c r="BL206" s="250" t="str">
        <f t="shared" si="217"/>
        <v>Inconnu</v>
      </c>
      <c r="BM206" s="250" t="str">
        <f t="shared" si="235"/>
        <v>Inconnu</v>
      </c>
      <c r="BN206" s="250" t="str">
        <f t="shared" si="236"/>
        <v>Inconnu</v>
      </c>
      <c r="BO206" s="250" t="str">
        <f t="shared" si="218"/>
        <v>Inconnu</v>
      </c>
      <c r="BP206" s="250" t="str">
        <f t="shared" si="237"/>
        <v>Inconnu</v>
      </c>
      <c r="BQ206" s="250" t="str">
        <f t="shared" si="238"/>
        <v>Inconnu</v>
      </c>
      <c r="BR206" s="250" t="str">
        <f t="shared" si="239"/>
        <v>Aucune</v>
      </c>
      <c r="BS206" s="250">
        <f t="shared" si="215"/>
        <v>0</v>
      </c>
      <c r="BT206" s="271" t="e">
        <f>VLOOKUP($I206,Lieu_Activité!$A:$B,2,FALSE)</f>
        <v>#N/A</v>
      </c>
      <c r="BU206" s="250" t="str">
        <f t="shared" si="224"/>
        <v>Aucun</v>
      </c>
      <c r="BV206" s="250" t="str">
        <f t="shared" si="225"/>
        <v>Aucun</v>
      </c>
      <c r="BW206" s="249" t="str">
        <f t="shared" si="214"/>
        <v>NON</v>
      </c>
      <c r="BX206" s="330"/>
      <c r="BY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</row>
    <row r="207" spans="1:170" ht="12" customHeight="1" x14ac:dyDescent="0.2">
      <c r="A207" s="268" t="s">
        <v>256</v>
      </c>
      <c r="B207" s="276"/>
      <c r="C207" s="269"/>
      <c r="D207" s="299"/>
      <c r="E207" s="320">
        <f t="shared" si="229"/>
        <v>0</v>
      </c>
      <c r="F207" s="320" t="str">
        <f t="shared" si="226"/>
        <v xml:space="preserve"> </v>
      </c>
      <c r="G207" s="298"/>
      <c r="H207" s="298"/>
      <c r="I207" s="298"/>
      <c r="J207" s="298"/>
      <c r="K207" s="298"/>
      <c r="L207" s="299"/>
      <c r="M207" s="285"/>
      <c r="N207" s="274"/>
      <c r="O207" s="274"/>
      <c r="P207" s="307" t="str">
        <f>IFERROR(VLOOKUP(O207,Références!$K$11:$N$19,2)," ")</f>
        <v xml:space="preserve"> </v>
      </c>
      <c r="Q207" s="307" t="str">
        <f>IFERROR(VLOOKUP(O207,Références!$K$11:$N$19,3)," ")</f>
        <v xml:space="preserve"> </v>
      </c>
      <c r="R207" s="307" t="str">
        <f>IFERROR(VLOOKUP(O207,Références!$K$11:$N$19,4)," ")</f>
        <v xml:space="preserve"> </v>
      </c>
      <c r="S207" s="298"/>
      <c r="T207" s="298"/>
      <c r="U207" s="298"/>
      <c r="V207" s="298"/>
      <c r="W207" s="298"/>
      <c r="X207" s="299"/>
      <c r="Y207" s="298"/>
      <c r="Z207" s="298"/>
      <c r="AA207" s="298"/>
      <c r="AB207" s="277"/>
      <c r="AC207" s="277"/>
      <c r="AD207" s="316"/>
      <c r="AE207" s="277"/>
      <c r="AF207" s="277"/>
      <c r="AG207" s="277"/>
      <c r="AH207" s="277"/>
      <c r="AI207" s="277">
        <f t="shared" si="230"/>
        <v>0</v>
      </c>
      <c r="AJ207" s="299"/>
      <c r="AK207" s="298">
        <f t="shared" si="231"/>
        <v>0</v>
      </c>
      <c r="AL207" s="299"/>
      <c r="AM207" s="308">
        <f t="shared" si="232"/>
        <v>0</v>
      </c>
      <c r="AN207" s="298"/>
      <c r="AO207" s="318"/>
      <c r="AP207" s="303" t="str">
        <f t="shared" si="227"/>
        <v xml:space="preserve"> </v>
      </c>
      <c r="AQ207" s="298"/>
      <c r="AR207" s="337"/>
      <c r="AS207" s="337"/>
      <c r="AT207" s="305"/>
      <c r="AU207" s="319"/>
      <c r="AV207" s="305"/>
      <c r="AW207" s="272"/>
      <c r="AX207" s="342"/>
      <c r="AY207" s="343"/>
      <c r="AZ207" s="272"/>
      <c r="BA207" s="342"/>
      <c r="BB207" s="337"/>
      <c r="BC207" s="270">
        <f t="shared" si="233"/>
        <v>0</v>
      </c>
      <c r="BD207" s="270">
        <f t="shared" si="234"/>
        <v>0</v>
      </c>
      <c r="BE207" s="270">
        <f t="shared" si="219"/>
        <v>1</v>
      </c>
      <c r="BF207" s="270" t="str">
        <f t="shared" si="228"/>
        <v>ALIVE</v>
      </c>
      <c r="BG207" s="250" t="str">
        <f t="shared" si="220"/>
        <v>Aucune</v>
      </c>
      <c r="BH207" s="250" t="str">
        <f t="shared" si="221"/>
        <v>Aucune</v>
      </c>
      <c r="BI207" s="250" t="str">
        <f t="shared" si="222"/>
        <v>Aucune</v>
      </c>
      <c r="BJ207" s="250" t="str">
        <f t="shared" si="216"/>
        <v>NON</v>
      </c>
      <c r="BK207" s="250" t="str">
        <f t="shared" si="223"/>
        <v>NON</v>
      </c>
      <c r="BL207" s="250" t="str">
        <f t="shared" si="217"/>
        <v>Inconnu</v>
      </c>
      <c r="BM207" s="250" t="str">
        <f t="shared" si="235"/>
        <v>Inconnu</v>
      </c>
      <c r="BN207" s="250" t="str">
        <f t="shared" si="236"/>
        <v>Inconnu</v>
      </c>
      <c r="BO207" s="250" t="str">
        <f t="shared" si="218"/>
        <v>Inconnu</v>
      </c>
      <c r="BP207" s="250" t="str">
        <f t="shared" si="237"/>
        <v>Inconnu</v>
      </c>
      <c r="BQ207" s="250" t="str">
        <f t="shared" si="238"/>
        <v>Inconnu</v>
      </c>
      <c r="BR207" s="250" t="str">
        <f t="shared" si="239"/>
        <v>Aucune</v>
      </c>
      <c r="BS207" s="250">
        <f t="shared" si="215"/>
        <v>0</v>
      </c>
      <c r="BT207" s="271" t="e">
        <f>VLOOKUP($I207,Lieu_Activité!$A:$B,2,FALSE)</f>
        <v>#N/A</v>
      </c>
      <c r="BU207" s="250" t="str">
        <f t="shared" si="224"/>
        <v>Aucun</v>
      </c>
      <c r="BV207" s="250" t="str">
        <f t="shared" si="225"/>
        <v>Aucun</v>
      </c>
      <c r="BW207" s="249" t="str">
        <f t="shared" si="214"/>
        <v>NON</v>
      </c>
      <c r="BX207" s="330"/>
    </row>
    <row r="208" spans="1:170" ht="12" customHeight="1" x14ac:dyDescent="0.2">
      <c r="A208" s="268" t="s">
        <v>256</v>
      </c>
      <c r="B208" s="276"/>
      <c r="C208" s="269"/>
      <c r="D208" s="299"/>
      <c r="E208" s="320">
        <f t="shared" si="229"/>
        <v>0</v>
      </c>
      <c r="F208" s="320" t="str">
        <f t="shared" si="226"/>
        <v xml:space="preserve"> </v>
      </c>
      <c r="G208" s="298"/>
      <c r="H208" s="298"/>
      <c r="I208" s="298"/>
      <c r="J208" s="298"/>
      <c r="K208" s="298"/>
      <c r="L208" s="299"/>
      <c r="M208" s="285"/>
      <c r="N208" s="274"/>
      <c r="O208" s="274"/>
      <c r="P208" s="307" t="str">
        <f>IFERROR(VLOOKUP(O208,Références!$K$11:$N$19,2)," ")</f>
        <v xml:space="preserve"> </v>
      </c>
      <c r="Q208" s="307" t="str">
        <f>IFERROR(VLOOKUP(O208,Références!$K$11:$N$19,3)," ")</f>
        <v xml:space="preserve"> </v>
      </c>
      <c r="R208" s="307" t="str">
        <f>IFERROR(VLOOKUP(O208,Références!$K$11:$N$19,4)," ")</f>
        <v xml:space="preserve"> </v>
      </c>
      <c r="S208" s="298"/>
      <c r="T208" s="298"/>
      <c r="U208" s="298"/>
      <c r="V208" s="298"/>
      <c r="W208" s="298"/>
      <c r="X208" s="299"/>
      <c r="Y208" s="298"/>
      <c r="Z208" s="298"/>
      <c r="AA208" s="298"/>
      <c r="AB208" s="277"/>
      <c r="AC208" s="277"/>
      <c r="AD208" s="277"/>
      <c r="AE208" s="277"/>
      <c r="AF208" s="277"/>
      <c r="AG208" s="277"/>
      <c r="AH208" s="277"/>
      <c r="AI208" s="277">
        <f t="shared" si="230"/>
        <v>0</v>
      </c>
      <c r="AJ208" s="299"/>
      <c r="AK208" s="298">
        <f t="shared" si="231"/>
        <v>0</v>
      </c>
      <c r="AL208" s="299"/>
      <c r="AM208" s="308">
        <f t="shared" si="232"/>
        <v>0</v>
      </c>
      <c r="AN208" s="298"/>
      <c r="AO208" s="318"/>
      <c r="AP208" s="303" t="str">
        <f t="shared" si="227"/>
        <v xml:space="preserve"> </v>
      </c>
      <c r="AQ208" s="298"/>
      <c r="AR208" s="337"/>
      <c r="AS208" s="337"/>
      <c r="AT208" s="305"/>
      <c r="AU208" s="319"/>
      <c r="AV208" s="305"/>
      <c r="AW208" s="272"/>
      <c r="AX208" s="342"/>
      <c r="AY208" s="343"/>
      <c r="AZ208" s="342"/>
      <c r="BA208" s="342"/>
      <c r="BB208" s="337"/>
      <c r="BC208" s="270">
        <f t="shared" si="233"/>
        <v>0</v>
      </c>
      <c r="BD208" s="270">
        <f t="shared" si="234"/>
        <v>0</v>
      </c>
      <c r="BE208" s="270">
        <f t="shared" si="219"/>
        <v>1</v>
      </c>
      <c r="BF208" s="270" t="str">
        <f t="shared" si="228"/>
        <v>ALIVE</v>
      </c>
      <c r="BG208" s="250" t="str">
        <f t="shared" si="220"/>
        <v>Aucune</v>
      </c>
      <c r="BH208" s="250" t="str">
        <f t="shared" si="221"/>
        <v>Aucune</v>
      </c>
      <c r="BI208" s="250" t="str">
        <f t="shared" si="222"/>
        <v>Aucune</v>
      </c>
      <c r="BJ208" s="250" t="str">
        <f t="shared" si="216"/>
        <v>NON</v>
      </c>
      <c r="BK208" s="250" t="str">
        <f t="shared" si="223"/>
        <v>NON</v>
      </c>
      <c r="BL208" s="250" t="str">
        <f t="shared" si="217"/>
        <v>Inconnu</v>
      </c>
      <c r="BM208" s="250" t="str">
        <f t="shared" si="235"/>
        <v>Inconnu</v>
      </c>
      <c r="BN208" s="250" t="str">
        <f t="shared" si="236"/>
        <v>Inconnu</v>
      </c>
      <c r="BO208" s="250" t="str">
        <f t="shared" si="218"/>
        <v>Inconnu</v>
      </c>
      <c r="BP208" s="250" t="str">
        <f t="shared" si="237"/>
        <v>Inconnu</v>
      </c>
      <c r="BQ208" s="250" t="str">
        <f t="shared" si="238"/>
        <v>Inconnu</v>
      </c>
      <c r="BR208" s="250" t="str">
        <f t="shared" si="239"/>
        <v>Aucune</v>
      </c>
      <c r="BS208" s="250">
        <f t="shared" si="215"/>
        <v>0</v>
      </c>
      <c r="BT208" s="271" t="e">
        <f>VLOOKUP($I208,Lieu_Activité!$A:$B,2,FALSE)</f>
        <v>#N/A</v>
      </c>
      <c r="BU208" s="250" t="str">
        <f t="shared" si="224"/>
        <v>Aucun</v>
      </c>
      <c r="BV208" s="250" t="str">
        <f t="shared" si="225"/>
        <v>Aucun</v>
      </c>
      <c r="BW208" s="249" t="str">
        <f t="shared" si="214"/>
        <v>NON</v>
      </c>
      <c r="BX208" s="330"/>
    </row>
    <row r="209" spans="1:170" ht="12.75" customHeight="1" x14ac:dyDescent="0.2">
      <c r="A209" s="268" t="s">
        <v>256</v>
      </c>
      <c r="B209" s="276"/>
      <c r="C209" s="269"/>
      <c r="D209" s="299"/>
      <c r="E209" s="320">
        <f t="shared" si="229"/>
        <v>0</v>
      </c>
      <c r="F209" s="320" t="str">
        <f t="shared" si="226"/>
        <v xml:space="preserve"> </v>
      </c>
      <c r="G209" s="298"/>
      <c r="H209" s="298"/>
      <c r="I209" s="298"/>
      <c r="J209" s="298"/>
      <c r="K209" s="298"/>
      <c r="L209" s="299"/>
      <c r="M209" s="285"/>
      <c r="N209" s="274"/>
      <c r="O209" s="274"/>
      <c r="P209" s="307" t="str">
        <f>IFERROR(VLOOKUP(O209,Références!$K$11:$N$19,2)," ")</f>
        <v xml:space="preserve"> </v>
      </c>
      <c r="Q209" s="307" t="str">
        <f>IFERROR(VLOOKUP(O209,Références!$K$11:$N$19,3)," ")</f>
        <v xml:space="preserve"> </v>
      </c>
      <c r="R209" s="307" t="str">
        <f>IFERROR(VLOOKUP(O209,Références!$K$11:$N$19,4)," ")</f>
        <v xml:space="preserve"> </v>
      </c>
      <c r="S209" s="298"/>
      <c r="T209" s="298"/>
      <c r="U209" s="298"/>
      <c r="V209" s="298"/>
      <c r="W209" s="298"/>
      <c r="X209" s="299"/>
      <c r="Y209" s="298"/>
      <c r="Z209" s="298"/>
      <c r="AA209" s="298"/>
      <c r="AB209" s="277"/>
      <c r="AC209" s="277"/>
      <c r="AD209" s="277"/>
      <c r="AE209" s="277"/>
      <c r="AF209" s="277"/>
      <c r="AG209" s="277"/>
      <c r="AH209" s="277"/>
      <c r="AI209" s="277">
        <f t="shared" si="230"/>
        <v>0</v>
      </c>
      <c r="AJ209" s="299"/>
      <c r="AK209" s="298">
        <f t="shared" si="231"/>
        <v>0</v>
      </c>
      <c r="AL209" s="299"/>
      <c r="AM209" s="308">
        <f t="shared" si="232"/>
        <v>0</v>
      </c>
      <c r="AN209" s="298"/>
      <c r="AO209" s="318"/>
      <c r="AP209" s="303" t="str">
        <f t="shared" si="227"/>
        <v xml:space="preserve"> </v>
      </c>
      <c r="AQ209" s="298"/>
      <c r="AR209" s="337"/>
      <c r="AS209" s="337"/>
      <c r="AT209" s="305"/>
      <c r="AU209" s="319"/>
      <c r="AV209" s="305"/>
      <c r="AW209" s="272"/>
      <c r="AX209" s="342"/>
      <c r="AY209" s="343"/>
      <c r="AZ209" s="272"/>
      <c r="BA209" s="342"/>
      <c r="BB209" s="337"/>
      <c r="BC209" s="270">
        <f t="shared" si="233"/>
        <v>0</v>
      </c>
      <c r="BD209" s="270">
        <f t="shared" si="234"/>
        <v>0</v>
      </c>
      <c r="BE209" s="270">
        <f t="shared" si="219"/>
        <v>1</v>
      </c>
      <c r="BF209" s="270" t="str">
        <f t="shared" si="228"/>
        <v>ALIVE</v>
      </c>
      <c r="BG209" s="250" t="str">
        <f t="shared" si="220"/>
        <v>Aucune</v>
      </c>
      <c r="BH209" s="250" t="str">
        <f t="shared" si="221"/>
        <v>Aucune</v>
      </c>
      <c r="BI209" s="250" t="str">
        <f t="shared" si="222"/>
        <v>Aucune</v>
      </c>
      <c r="BJ209" s="250" t="str">
        <f t="shared" si="216"/>
        <v>NON</v>
      </c>
      <c r="BK209" s="250" t="str">
        <f t="shared" si="223"/>
        <v>NON</v>
      </c>
      <c r="BL209" s="250" t="str">
        <f t="shared" si="217"/>
        <v>Inconnu</v>
      </c>
      <c r="BM209" s="250" t="str">
        <f t="shared" si="235"/>
        <v>Inconnu</v>
      </c>
      <c r="BN209" s="250" t="str">
        <f t="shared" si="236"/>
        <v>Inconnu</v>
      </c>
      <c r="BO209" s="250" t="str">
        <f t="shared" si="218"/>
        <v>Inconnu</v>
      </c>
      <c r="BP209" s="250" t="str">
        <f t="shared" si="237"/>
        <v>Inconnu</v>
      </c>
      <c r="BQ209" s="250" t="str">
        <f t="shared" si="238"/>
        <v>Inconnu</v>
      </c>
      <c r="BR209" s="250" t="str">
        <f t="shared" si="239"/>
        <v>Aucune</v>
      </c>
      <c r="BS209" s="250">
        <f t="shared" si="215"/>
        <v>0</v>
      </c>
      <c r="BT209" s="271" t="e">
        <f>VLOOKUP($I209,Lieu_Activité!$A:$B,2,FALSE)</f>
        <v>#N/A</v>
      </c>
      <c r="BU209" s="250" t="str">
        <f t="shared" si="224"/>
        <v>Aucun</v>
      </c>
      <c r="BV209" s="250" t="str">
        <f t="shared" si="225"/>
        <v>Aucun</v>
      </c>
      <c r="BW209" s="249" t="str">
        <f t="shared" si="214"/>
        <v>NON</v>
      </c>
      <c r="BX209" s="330"/>
    </row>
    <row r="210" spans="1:170" ht="12" customHeight="1" x14ac:dyDescent="0.2">
      <c r="A210" s="268" t="s">
        <v>256</v>
      </c>
      <c r="B210" s="309"/>
      <c r="C210" s="269"/>
      <c r="D210" s="299"/>
      <c r="E210" s="320">
        <f t="shared" ref="E210:E214" si="240">(L210-D210)/365</f>
        <v>0</v>
      </c>
      <c r="F210" s="320" t="str">
        <f t="shared" si="226"/>
        <v xml:space="preserve"> </v>
      </c>
      <c r="G210" s="298"/>
      <c r="H210" s="298"/>
      <c r="I210" s="298"/>
      <c r="J210" s="298"/>
      <c r="K210" s="298"/>
      <c r="L210" s="299"/>
      <c r="M210" s="285"/>
      <c r="N210" s="274"/>
      <c r="O210" s="274"/>
      <c r="P210" s="307" t="str">
        <f>IFERROR(VLOOKUP(O210,Références!$K$11:$N$19,2)," ")</f>
        <v xml:space="preserve"> </v>
      </c>
      <c r="Q210" s="307" t="str">
        <f>IFERROR(VLOOKUP(O210,Références!$K$11:$N$19,3)," ")</f>
        <v xml:space="preserve"> </v>
      </c>
      <c r="R210" s="307" t="str">
        <f>IFERROR(VLOOKUP(O210,Références!$K$11:$N$19,4)," ")</f>
        <v xml:space="preserve"> </v>
      </c>
      <c r="S210" s="298"/>
      <c r="T210" s="298"/>
      <c r="U210" s="298"/>
      <c r="V210" s="298"/>
      <c r="W210" s="298"/>
      <c r="X210" s="299"/>
      <c r="Y210" s="298"/>
      <c r="Z210" s="298"/>
      <c r="AA210" s="298"/>
      <c r="AB210" s="277"/>
      <c r="AC210" s="277"/>
      <c r="AD210" s="277"/>
      <c r="AE210" s="277"/>
      <c r="AF210" s="277"/>
      <c r="AG210" s="277"/>
      <c r="AH210" s="277"/>
      <c r="AI210" s="277">
        <f t="shared" ref="AI210:AI214" si="241">SUM(AF210,AH210)</f>
        <v>0</v>
      </c>
      <c r="AJ210" s="299"/>
      <c r="AK210" s="298">
        <f t="shared" ref="AK210:AK214" si="242">(AJ210-L210)</f>
        <v>0</v>
      </c>
      <c r="AL210" s="299"/>
      <c r="AM210" s="308">
        <f t="shared" ref="AM210:AM214" si="243">(AL210-L210)</f>
        <v>0</v>
      </c>
      <c r="AN210" s="298"/>
      <c r="AO210" s="318"/>
      <c r="AP210" s="303" t="str">
        <f t="shared" si="227"/>
        <v xml:space="preserve"> </v>
      </c>
      <c r="AQ210" s="298"/>
      <c r="AR210" s="337"/>
      <c r="AS210" s="337"/>
      <c r="AT210" s="305"/>
      <c r="AU210" s="319"/>
      <c r="AV210" s="305"/>
      <c r="AW210" s="272"/>
      <c r="AX210" s="342"/>
      <c r="AY210" s="343"/>
      <c r="AZ210" s="272"/>
      <c r="BA210" s="342"/>
      <c r="BB210" s="337"/>
      <c r="BC210" s="270">
        <f t="shared" ref="BC210:BD214" si="244">IF(BG210="Aucune",0,1)</f>
        <v>0</v>
      </c>
      <c r="BD210" s="270">
        <f t="shared" si="244"/>
        <v>0</v>
      </c>
      <c r="BE210" s="270">
        <f t="shared" si="219"/>
        <v>1</v>
      </c>
      <c r="BF210" s="270" t="str">
        <f t="shared" si="228"/>
        <v>ALIVE</v>
      </c>
      <c r="BG210" s="250" t="str">
        <f t="shared" si="220"/>
        <v>Aucune</v>
      </c>
      <c r="BH210" s="250" t="str">
        <f t="shared" si="221"/>
        <v>Aucune</v>
      </c>
      <c r="BI210" s="250" t="str">
        <f t="shared" si="222"/>
        <v>Aucune</v>
      </c>
      <c r="BJ210" s="250" t="str">
        <f t="shared" si="216"/>
        <v>NON</v>
      </c>
      <c r="BK210" s="250" t="str">
        <f t="shared" si="223"/>
        <v>NON</v>
      </c>
      <c r="BL210" s="250" t="str">
        <f t="shared" si="217"/>
        <v>Inconnu</v>
      </c>
      <c r="BM210" s="250" t="str">
        <f t="shared" ref="BM210:BM214" si="245">IF($O210&lt;&gt;"HTX",IF($O210&lt;&gt;"LVAD",BL210,"Inconnu"),"Inconnu")</f>
        <v>Inconnu</v>
      </c>
      <c r="BN210" s="250" t="str">
        <f t="shared" ref="BN210:BN214" si="246">IF($O210="HTX",BL210,IF($O210="LVAD",BL210,"Inconnu"))</f>
        <v>Inconnu</v>
      </c>
      <c r="BO210" s="250" t="str">
        <f t="shared" si="218"/>
        <v>Inconnu</v>
      </c>
      <c r="BP210" s="250" t="str">
        <f t="shared" ref="BP210:BP214" si="247">IF($O210&lt;&gt;"HTX",IF($O210&lt;&gt;"LVAD",BO210,"Inconnu"),"Inconnu")</f>
        <v>Inconnu</v>
      </c>
      <c r="BQ210" s="250" t="str">
        <f t="shared" ref="BQ210:BQ214" si="248">IF($O210="HTX",BO210,IF($O210="LVAD",BO210,"Inconnu"))</f>
        <v>Inconnu</v>
      </c>
      <c r="BR210" s="250" t="str">
        <f t="shared" ref="BR210:BR214" si="249">IF(BH210="Aucune",IF(BI210="Aucune","Aucune","Transfusé"),"Transfusé")</f>
        <v>Aucune</v>
      </c>
      <c r="BS210" s="250">
        <f t="shared" si="215"/>
        <v>0</v>
      </c>
      <c r="BT210" s="271" t="e">
        <f>VLOOKUP($I210,Lieu_Activité!$A:$B,2,FALSE)</f>
        <v>#N/A</v>
      </c>
      <c r="BU210" s="250" t="str">
        <f t="shared" si="224"/>
        <v>Aucun</v>
      </c>
      <c r="BV210" s="250" t="str">
        <f t="shared" si="225"/>
        <v>Aucun</v>
      </c>
      <c r="BW210" s="249" t="str">
        <f t="shared" si="214"/>
        <v>NON</v>
      </c>
      <c r="BX210" s="330"/>
    </row>
    <row r="211" spans="1:170" ht="12" customHeight="1" x14ac:dyDescent="0.2">
      <c r="A211" s="268" t="s">
        <v>256</v>
      </c>
      <c r="B211" s="276"/>
      <c r="C211" s="269"/>
      <c r="D211" s="299"/>
      <c r="E211" s="320">
        <f t="shared" si="240"/>
        <v>0</v>
      </c>
      <c r="F211" s="320" t="str">
        <f t="shared" si="226"/>
        <v xml:space="preserve"> </v>
      </c>
      <c r="G211" s="298"/>
      <c r="H211" s="298"/>
      <c r="I211" s="298"/>
      <c r="J211" s="298"/>
      <c r="K211" s="298"/>
      <c r="L211" s="299"/>
      <c r="M211" s="285"/>
      <c r="N211" s="274"/>
      <c r="O211" s="307"/>
      <c r="P211" s="307" t="str">
        <f>IFERROR(VLOOKUP(O211,Références!$K$11:$N$19,2)," ")</f>
        <v xml:space="preserve"> </v>
      </c>
      <c r="Q211" s="307" t="str">
        <f>IFERROR(VLOOKUP(O211,Références!$K$11:$N$19,3)," ")</f>
        <v xml:space="preserve"> </v>
      </c>
      <c r="R211" s="307" t="str">
        <f>IFERROR(VLOOKUP(O211,Références!$K$11:$N$19,4)," ")</f>
        <v xml:space="preserve"> </v>
      </c>
      <c r="S211" s="298"/>
      <c r="T211" s="298"/>
      <c r="U211" s="298"/>
      <c r="V211" s="298"/>
      <c r="W211" s="298"/>
      <c r="X211" s="299"/>
      <c r="Y211" s="298"/>
      <c r="Z211" s="298"/>
      <c r="AA211" s="298"/>
      <c r="AB211" s="277"/>
      <c r="AC211" s="277"/>
      <c r="AD211" s="277"/>
      <c r="AE211" s="277"/>
      <c r="AF211" s="277"/>
      <c r="AG211" s="277"/>
      <c r="AH211" s="277"/>
      <c r="AI211" s="277">
        <f t="shared" si="241"/>
        <v>0</v>
      </c>
      <c r="AJ211" s="299"/>
      <c r="AK211" s="298">
        <f t="shared" si="242"/>
        <v>0</v>
      </c>
      <c r="AL211" s="299"/>
      <c r="AM211" s="308">
        <f t="shared" si="243"/>
        <v>0</v>
      </c>
      <c r="AN211" s="298"/>
      <c r="AO211" s="318"/>
      <c r="AP211" s="303" t="str">
        <f t="shared" si="227"/>
        <v xml:space="preserve"> </v>
      </c>
      <c r="AQ211" s="298"/>
      <c r="AR211" s="339"/>
      <c r="AS211" s="337"/>
      <c r="AT211" s="305"/>
      <c r="AU211" s="319"/>
      <c r="AV211" s="305"/>
      <c r="AW211" s="272"/>
      <c r="AX211" s="342"/>
      <c r="AY211" s="343"/>
      <c r="AZ211" s="342"/>
      <c r="BA211" s="342"/>
      <c r="BB211" s="337"/>
      <c r="BC211" s="270">
        <f t="shared" si="244"/>
        <v>0</v>
      </c>
      <c r="BD211" s="270">
        <f t="shared" si="244"/>
        <v>0</v>
      </c>
      <c r="BE211" s="270">
        <f t="shared" si="219"/>
        <v>1</v>
      </c>
      <c r="BF211" s="270" t="str">
        <f t="shared" si="228"/>
        <v>ALIVE</v>
      </c>
      <c r="BG211" s="250" t="str">
        <f t="shared" si="220"/>
        <v>Aucune</v>
      </c>
      <c r="BH211" s="250" t="str">
        <f t="shared" si="221"/>
        <v>Aucune</v>
      </c>
      <c r="BI211" s="250" t="str">
        <f t="shared" si="222"/>
        <v>Aucune</v>
      </c>
      <c r="BJ211" s="250" t="str">
        <f t="shared" si="216"/>
        <v>NON</v>
      </c>
      <c r="BK211" s="250" t="str">
        <f t="shared" si="223"/>
        <v>NON</v>
      </c>
      <c r="BL211" s="250" t="str">
        <f t="shared" si="217"/>
        <v>Inconnu</v>
      </c>
      <c r="BM211" s="250" t="str">
        <f t="shared" si="245"/>
        <v>Inconnu</v>
      </c>
      <c r="BN211" s="250" t="str">
        <f t="shared" si="246"/>
        <v>Inconnu</v>
      </c>
      <c r="BO211" s="250" t="str">
        <f t="shared" si="218"/>
        <v>Inconnu</v>
      </c>
      <c r="BP211" s="250" t="str">
        <f t="shared" si="247"/>
        <v>Inconnu</v>
      </c>
      <c r="BQ211" s="250" t="str">
        <f t="shared" si="248"/>
        <v>Inconnu</v>
      </c>
      <c r="BR211" s="250" t="str">
        <f t="shared" si="249"/>
        <v>Aucune</v>
      </c>
      <c r="BS211" s="250">
        <f t="shared" si="215"/>
        <v>0</v>
      </c>
      <c r="BT211" s="271" t="e">
        <f>VLOOKUP($I211,Lieu_Activité!$A:$B,2,FALSE)</f>
        <v>#N/A</v>
      </c>
      <c r="BU211" s="250" t="str">
        <f t="shared" si="224"/>
        <v>Aucun</v>
      </c>
      <c r="BV211" s="250" t="str">
        <f t="shared" si="225"/>
        <v>Aucun</v>
      </c>
      <c r="BW211" s="249" t="str">
        <f t="shared" si="214"/>
        <v>NON</v>
      </c>
      <c r="BX211" s="330"/>
    </row>
    <row r="212" spans="1:170" ht="12" customHeight="1" x14ac:dyDescent="0.2">
      <c r="A212" s="268" t="s">
        <v>256</v>
      </c>
      <c r="B212" s="276"/>
      <c r="C212" s="269"/>
      <c r="D212" s="299"/>
      <c r="E212" s="320">
        <f t="shared" si="240"/>
        <v>0</v>
      </c>
      <c r="F212" s="320" t="str">
        <f t="shared" si="226"/>
        <v xml:space="preserve"> </v>
      </c>
      <c r="G212" s="298"/>
      <c r="H212" s="298"/>
      <c r="I212" s="298"/>
      <c r="J212" s="298"/>
      <c r="K212" s="298"/>
      <c r="L212" s="299"/>
      <c r="M212" s="285"/>
      <c r="N212" s="274"/>
      <c r="O212" s="274"/>
      <c r="P212" s="307" t="str">
        <f>IFERROR(VLOOKUP(O212,Références!$K$11:$N$19,2)," ")</f>
        <v xml:space="preserve"> </v>
      </c>
      <c r="Q212" s="307" t="str">
        <f>IFERROR(VLOOKUP(O212,Références!$K$11:$N$19,3)," ")</f>
        <v xml:space="preserve"> </v>
      </c>
      <c r="R212" s="307" t="str">
        <f>IFERROR(VLOOKUP(O212,Références!$K$11:$N$19,4)," ")</f>
        <v xml:space="preserve"> </v>
      </c>
      <c r="S212" s="298"/>
      <c r="T212" s="298"/>
      <c r="U212" s="298"/>
      <c r="V212" s="298"/>
      <c r="W212" s="298"/>
      <c r="X212" s="299"/>
      <c r="Y212" s="298"/>
      <c r="Z212" s="298"/>
      <c r="AA212" s="298"/>
      <c r="AB212" s="277"/>
      <c r="AC212" s="277"/>
      <c r="AD212" s="277"/>
      <c r="AE212" s="277"/>
      <c r="AF212" s="277"/>
      <c r="AG212" s="277"/>
      <c r="AH212" s="277"/>
      <c r="AI212" s="277">
        <f t="shared" si="241"/>
        <v>0</v>
      </c>
      <c r="AJ212" s="299"/>
      <c r="AK212" s="298">
        <f t="shared" si="242"/>
        <v>0</v>
      </c>
      <c r="AL212" s="299"/>
      <c r="AM212" s="308">
        <f t="shared" si="243"/>
        <v>0</v>
      </c>
      <c r="AN212" s="298"/>
      <c r="AO212" s="318"/>
      <c r="AP212" s="303" t="str">
        <f t="shared" si="227"/>
        <v xml:space="preserve"> </v>
      </c>
      <c r="AQ212" s="298"/>
      <c r="AR212" s="337"/>
      <c r="AS212" s="337"/>
      <c r="AT212" s="305"/>
      <c r="AU212" s="319"/>
      <c r="AV212" s="305"/>
      <c r="AW212" s="272"/>
      <c r="AX212" s="342"/>
      <c r="AY212" s="343"/>
      <c r="AZ212" s="272"/>
      <c r="BA212" s="342"/>
      <c r="BB212" s="337"/>
      <c r="BC212" s="270">
        <f t="shared" si="244"/>
        <v>0</v>
      </c>
      <c r="BD212" s="270">
        <f t="shared" si="244"/>
        <v>0</v>
      </c>
      <c r="BE212" s="270">
        <f t="shared" si="219"/>
        <v>1</v>
      </c>
      <c r="BF212" s="270" t="str">
        <f t="shared" si="228"/>
        <v>ALIVE</v>
      </c>
      <c r="BG212" s="250" t="str">
        <f t="shared" si="220"/>
        <v>Aucune</v>
      </c>
      <c r="BH212" s="250" t="str">
        <f t="shared" si="221"/>
        <v>Aucune</v>
      </c>
      <c r="BI212" s="250" t="str">
        <f t="shared" si="222"/>
        <v>Aucune</v>
      </c>
      <c r="BJ212" s="250" t="str">
        <f t="shared" si="216"/>
        <v>NON</v>
      </c>
      <c r="BK212" s="250" t="str">
        <f t="shared" si="223"/>
        <v>NON</v>
      </c>
      <c r="BL212" s="250" t="str">
        <f t="shared" si="217"/>
        <v>Inconnu</v>
      </c>
      <c r="BM212" s="250" t="str">
        <f t="shared" si="245"/>
        <v>Inconnu</v>
      </c>
      <c r="BN212" s="250" t="str">
        <f t="shared" si="246"/>
        <v>Inconnu</v>
      </c>
      <c r="BO212" s="250" t="str">
        <f t="shared" si="218"/>
        <v>Inconnu</v>
      </c>
      <c r="BP212" s="250" t="str">
        <f t="shared" si="247"/>
        <v>Inconnu</v>
      </c>
      <c r="BQ212" s="250" t="str">
        <f t="shared" si="248"/>
        <v>Inconnu</v>
      </c>
      <c r="BR212" s="250" t="str">
        <f t="shared" si="249"/>
        <v>Aucune</v>
      </c>
      <c r="BS212" s="250">
        <f t="shared" si="215"/>
        <v>0</v>
      </c>
      <c r="BT212" s="271" t="e">
        <f>VLOOKUP($I212,Lieu_Activité!$A:$B,2,FALSE)</f>
        <v>#N/A</v>
      </c>
      <c r="BU212" s="250" t="str">
        <f t="shared" si="224"/>
        <v>Aucun</v>
      </c>
      <c r="BV212" s="250" t="str">
        <f t="shared" si="225"/>
        <v>Aucun</v>
      </c>
      <c r="BW212" s="249" t="str">
        <f t="shared" si="214"/>
        <v>NON</v>
      </c>
      <c r="BX212" s="330"/>
    </row>
    <row r="213" spans="1:170" s="1" customFormat="1" ht="12.75" customHeight="1" x14ac:dyDescent="0.2">
      <c r="A213" s="268" t="s">
        <v>256</v>
      </c>
      <c r="B213" s="276"/>
      <c r="C213" s="269"/>
      <c r="D213" s="299"/>
      <c r="E213" s="320">
        <f t="shared" si="240"/>
        <v>0</v>
      </c>
      <c r="F213" s="320" t="str">
        <f t="shared" si="226"/>
        <v xml:space="preserve"> </v>
      </c>
      <c r="G213" s="298"/>
      <c r="H213" s="298"/>
      <c r="I213" s="298"/>
      <c r="J213" s="298"/>
      <c r="K213" s="298"/>
      <c r="L213" s="299"/>
      <c r="M213" s="285"/>
      <c r="N213" s="274"/>
      <c r="O213" s="307"/>
      <c r="P213" s="307" t="str">
        <f>IFERROR(VLOOKUP(O213,Références!$K$11:$N$19,2)," ")</f>
        <v xml:space="preserve"> </v>
      </c>
      <c r="Q213" s="307" t="str">
        <f>IFERROR(VLOOKUP(O213,Références!$K$11:$N$19,3)," ")</f>
        <v xml:space="preserve"> </v>
      </c>
      <c r="R213" s="307" t="str">
        <f>IFERROR(VLOOKUP(O213,Références!$K$11:$N$19,4)," ")</f>
        <v xml:space="preserve"> </v>
      </c>
      <c r="S213" s="298"/>
      <c r="T213" s="298"/>
      <c r="U213" s="298"/>
      <c r="V213" s="298"/>
      <c r="W213" s="298"/>
      <c r="X213" s="299"/>
      <c r="Y213" s="298"/>
      <c r="Z213" s="298"/>
      <c r="AA213" s="298"/>
      <c r="AB213" s="277"/>
      <c r="AC213" s="277"/>
      <c r="AD213" s="277"/>
      <c r="AE213" s="277"/>
      <c r="AF213" s="277"/>
      <c r="AG213" s="277"/>
      <c r="AH213" s="277"/>
      <c r="AI213" s="277">
        <f t="shared" si="241"/>
        <v>0</v>
      </c>
      <c r="AJ213" s="299"/>
      <c r="AK213" s="298">
        <f t="shared" si="242"/>
        <v>0</v>
      </c>
      <c r="AL213" s="299"/>
      <c r="AM213" s="308">
        <f t="shared" si="243"/>
        <v>0</v>
      </c>
      <c r="AN213" s="298"/>
      <c r="AO213" s="318"/>
      <c r="AP213" s="303" t="str">
        <f t="shared" si="227"/>
        <v xml:space="preserve"> </v>
      </c>
      <c r="AQ213" s="298"/>
      <c r="AR213" s="337"/>
      <c r="AS213" s="337"/>
      <c r="AT213" s="305"/>
      <c r="AU213" s="319"/>
      <c r="AV213" s="305"/>
      <c r="AW213" s="272"/>
      <c r="AX213" s="342"/>
      <c r="AY213" s="343"/>
      <c r="AZ213" s="272"/>
      <c r="BA213" s="342"/>
      <c r="BB213" s="337"/>
      <c r="BC213" s="270">
        <f t="shared" si="244"/>
        <v>0</v>
      </c>
      <c r="BD213" s="270">
        <f t="shared" si="244"/>
        <v>0</v>
      </c>
      <c r="BE213" s="270">
        <f t="shared" si="219"/>
        <v>1</v>
      </c>
      <c r="BF213" s="270" t="str">
        <f t="shared" si="228"/>
        <v>ALIVE</v>
      </c>
      <c r="BG213" s="250" t="str">
        <f t="shared" si="220"/>
        <v>Aucune</v>
      </c>
      <c r="BH213" s="250" t="str">
        <f t="shared" si="221"/>
        <v>Aucune</v>
      </c>
      <c r="BI213" s="250" t="str">
        <f t="shared" si="222"/>
        <v>Aucune</v>
      </c>
      <c r="BJ213" s="250" t="str">
        <f t="shared" si="216"/>
        <v>NON</v>
      </c>
      <c r="BK213" s="250" t="str">
        <f t="shared" si="223"/>
        <v>NON</v>
      </c>
      <c r="BL213" s="250" t="str">
        <f t="shared" si="217"/>
        <v>Inconnu</v>
      </c>
      <c r="BM213" s="250" t="str">
        <f t="shared" si="245"/>
        <v>Inconnu</v>
      </c>
      <c r="BN213" s="250" t="str">
        <f t="shared" si="246"/>
        <v>Inconnu</v>
      </c>
      <c r="BO213" s="250" t="str">
        <f t="shared" si="218"/>
        <v>Inconnu</v>
      </c>
      <c r="BP213" s="250" t="str">
        <f t="shared" si="247"/>
        <v>Inconnu</v>
      </c>
      <c r="BQ213" s="250" t="str">
        <f t="shared" si="248"/>
        <v>Inconnu</v>
      </c>
      <c r="BR213" s="250" t="str">
        <f t="shared" si="249"/>
        <v>Aucune</v>
      </c>
      <c r="BS213" s="250">
        <f t="shared" si="215"/>
        <v>0</v>
      </c>
      <c r="BT213" s="271" t="e">
        <f>VLOOKUP($I213,Lieu_Activité!$A:$B,2,FALSE)</f>
        <v>#N/A</v>
      </c>
      <c r="BU213" s="250" t="str">
        <f t="shared" si="224"/>
        <v>Aucun</v>
      </c>
      <c r="BV213" s="250" t="str">
        <f t="shared" si="225"/>
        <v>Aucun</v>
      </c>
      <c r="BW213" s="249" t="str">
        <f t="shared" si="214"/>
        <v>NON</v>
      </c>
      <c r="BX213" s="330"/>
      <c r="BY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</row>
    <row r="214" spans="1:170" ht="12" customHeight="1" x14ac:dyDescent="0.2">
      <c r="A214" s="268" t="s">
        <v>256</v>
      </c>
      <c r="B214" s="309"/>
      <c r="C214" s="269"/>
      <c r="D214" s="299"/>
      <c r="E214" s="320">
        <f t="shared" si="240"/>
        <v>0</v>
      </c>
      <c r="F214" s="320" t="str">
        <f t="shared" si="226"/>
        <v xml:space="preserve"> </v>
      </c>
      <c r="G214" s="298"/>
      <c r="H214" s="298"/>
      <c r="I214" s="298"/>
      <c r="J214" s="298"/>
      <c r="K214" s="298"/>
      <c r="L214" s="299"/>
      <c r="M214" s="285"/>
      <c r="N214" s="274"/>
      <c r="O214" s="307"/>
      <c r="P214" s="307" t="str">
        <f>IFERROR(VLOOKUP(O214,Références!$K$11:$N$19,2)," ")</f>
        <v xml:space="preserve"> </v>
      </c>
      <c r="Q214" s="307" t="str">
        <f>IFERROR(VLOOKUP(O214,Références!$K$11:$N$19,3)," ")</f>
        <v xml:space="preserve"> </v>
      </c>
      <c r="R214" s="307" t="str">
        <f>IFERROR(VLOOKUP(O214,Références!$K$11:$N$19,4)," ")</f>
        <v xml:space="preserve"> </v>
      </c>
      <c r="S214" s="298"/>
      <c r="T214" s="298"/>
      <c r="U214" s="298"/>
      <c r="V214" s="298"/>
      <c r="W214" s="298"/>
      <c r="X214" s="299"/>
      <c r="Y214" s="298"/>
      <c r="Z214" s="298"/>
      <c r="AA214" s="298"/>
      <c r="AB214" s="277"/>
      <c r="AC214" s="277"/>
      <c r="AD214" s="277"/>
      <c r="AE214" s="277"/>
      <c r="AF214" s="277"/>
      <c r="AG214" s="277"/>
      <c r="AH214" s="277"/>
      <c r="AI214" s="277">
        <f t="shared" si="241"/>
        <v>0</v>
      </c>
      <c r="AJ214" s="299"/>
      <c r="AK214" s="298">
        <f t="shared" si="242"/>
        <v>0</v>
      </c>
      <c r="AL214" s="299"/>
      <c r="AM214" s="308">
        <f t="shared" si="243"/>
        <v>0</v>
      </c>
      <c r="AN214" s="298"/>
      <c r="AO214" s="318"/>
      <c r="AP214" s="303" t="str">
        <f t="shared" si="227"/>
        <v xml:space="preserve"> </v>
      </c>
      <c r="AQ214" s="298"/>
      <c r="AR214" s="337"/>
      <c r="AS214" s="337"/>
      <c r="AT214" s="305"/>
      <c r="AU214" s="319"/>
      <c r="AV214" s="305"/>
      <c r="AW214" s="272"/>
      <c r="AX214" s="342"/>
      <c r="AY214" s="343"/>
      <c r="AZ214" s="272"/>
      <c r="BA214" s="342"/>
      <c r="BB214" s="337"/>
      <c r="BC214" s="270">
        <f t="shared" si="244"/>
        <v>0</v>
      </c>
      <c r="BD214" s="270">
        <f t="shared" si="244"/>
        <v>0</v>
      </c>
      <c r="BE214" s="270">
        <f t="shared" si="219"/>
        <v>1</v>
      </c>
      <c r="BF214" s="270" t="str">
        <f t="shared" si="228"/>
        <v>ALIVE</v>
      </c>
      <c r="BG214" s="250" t="str">
        <f t="shared" si="220"/>
        <v>Aucune</v>
      </c>
      <c r="BH214" s="250" t="str">
        <f t="shared" si="221"/>
        <v>Aucune</v>
      </c>
      <c r="BI214" s="250" t="str">
        <f t="shared" si="222"/>
        <v>Aucune</v>
      </c>
      <c r="BJ214" s="250" t="str">
        <f t="shared" si="216"/>
        <v>NON</v>
      </c>
      <c r="BK214" s="250" t="str">
        <f t="shared" si="223"/>
        <v>NON</v>
      </c>
      <c r="BL214" s="250" t="str">
        <f t="shared" si="217"/>
        <v>Inconnu</v>
      </c>
      <c r="BM214" s="250" t="str">
        <f t="shared" si="245"/>
        <v>Inconnu</v>
      </c>
      <c r="BN214" s="250" t="str">
        <f t="shared" si="246"/>
        <v>Inconnu</v>
      </c>
      <c r="BO214" s="250" t="str">
        <f t="shared" si="218"/>
        <v>Inconnu</v>
      </c>
      <c r="BP214" s="250" t="str">
        <f t="shared" si="247"/>
        <v>Inconnu</v>
      </c>
      <c r="BQ214" s="250" t="str">
        <f t="shared" si="248"/>
        <v>Inconnu</v>
      </c>
      <c r="BR214" s="250" t="str">
        <f t="shared" si="249"/>
        <v>Aucune</v>
      </c>
      <c r="BS214" s="250">
        <f t="shared" si="215"/>
        <v>0</v>
      </c>
      <c r="BT214" s="271" t="e">
        <f>VLOOKUP($I214,Lieu_Activité!$A:$B,2,FALSE)</f>
        <v>#N/A</v>
      </c>
      <c r="BU214" s="250" t="str">
        <f t="shared" si="224"/>
        <v>Aucun</v>
      </c>
      <c r="BV214" s="250" t="str">
        <f t="shared" si="225"/>
        <v>Aucun</v>
      </c>
      <c r="BW214" s="249" t="str">
        <f t="shared" si="214"/>
        <v>NON</v>
      </c>
      <c r="BX214" s="330"/>
    </row>
    <row r="215" spans="1:170" ht="12" customHeight="1" x14ac:dyDescent="0.2">
      <c r="A215" s="268" t="s">
        <v>256</v>
      </c>
      <c r="B215" s="276"/>
      <c r="C215" s="269"/>
      <c r="D215" s="299"/>
      <c r="E215" s="320">
        <f>(L215-D215)/365</f>
        <v>0</v>
      </c>
      <c r="F215" s="320" t="str">
        <f>IF(E215&lt;80," ","1")</f>
        <v xml:space="preserve"> </v>
      </c>
      <c r="G215" s="298"/>
      <c r="H215" s="298"/>
      <c r="I215" s="298"/>
      <c r="J215" s="298"/>
      <c r="K215" s="298"/>
      <c r="L215" s="299"/>
      <c r="M215" s="285"/>
      <c r="N215" s="274"/>
      <c r="O215" s="274"/>
      <c r="P215" s="307" t="str">
        <f>IFERROR(VLOOKUP(O215,Références!$K$11:$N$19,2)," ")</f>
        <v xml:space="preserve"> </v>
      </c>
      <c r="Q215" s="307" t="str">
        <f>IFERROR(VLOOKUP(O215,Références!$K$11:$N$19,3)," ")</f>
        <v xml:space="preserve"> </v>
      </c>
      <c r="R215" s="307" t="str">
        <f>IFERROR(VLOOKUP(O215,Références!$K$11:$N$19,4)," ")</f>
        <v xml:space="preserve"> </v>
      </c>
      <c r="S215" s="298"/>
      <c r="T215" s="298"/>
      <c r="U215" s="298"/>
      <c r="V215" s="298"/>
      <c r="W215" s="298"/>
      <c r="X215" s="299"/>
      <c r="Y215" s="298"/>
      <c r="Z215" s="298"/>
      <c r="AA215" s="298"/>
      <c r="AB215" s="277"/>
      <c r="AC215" s="277"/>
      <c r="AD215" s="277"/>
      <c r="AE215" s="277"/>
      <c r="AF215" s="277"/>
      <c r="AG215" s="277"/>
      <c r="AH215" s="277"/>
      <c r="AI215" s="277">
        <f>SUM(AF215,AH215)</f>
        <v>0</v>
      </c>
      <c r="AJ215" s="299"/>
      <c r="AK215" s="298">
        <f>(AJ215-L215)</f>
        <v>0</v>
      </c>
      <c r="AL215" s="299"/>
      <c r="AM215" s="308">
        <f>(AL215-L215)</f>
        <v>0</v>
      </c>
      <c r="AN215" s="298"/>
      <c r="AO215" s="318"/>
      <c r="AP215" s="303" t="str">
        <f t="shared" si="227"/>
        <v xml:space="preserve"> </v>
      </c>
      <c r="AQ215" s="298"/>
      <c r="AR215" s="337"/>
      <c r="AS215" s="337"/>
      <c r="AT215" s="305"/>
      <c r="AU215" s="319"/>
      <c r="AV215" s="305"/>
      <c r="AW215" s="272"/>
      <c r="AX215" s="342"/>
      <c r="AY215" s="343"/>
      <c r="AZ215" s="272"/>
      <c r="BA215" s="342"/>
      <c r="BB215" s="337"/>
      <c r="BC215" s="270">
        <f t="shared" ref="BC215:BD218" si="250">IF(BG215="Aucune",0,1)</f>
        <v>0</v>
      </c>
      <c r="BD215" s="270">
        <f t="shared" si="250"/>
        <v>0</v>
      </c>
      <c r="BE215" s="270">
        <f>IF(AG215="Aucune",0,1)</f>
        <v>1</v>
      </c>
      <c r="BF215" s="270" t="str">
        <f>IF(AO215=1,"ELECTIVE",IF(AO215=2,"URGENCY",IF(AO215=3,"EMERGENCY",IF(AO215=4,"SALVAGE","ALIVE"))))</f>
        <v>ALIVE</v>
      </c>
      <c r="BG215" s="250" t="str">
        <f>IF(AD215="","Aucune","Infection")</f>
        <v>Aucune</v>
      </c>
      <c r="BH215" s="250" t="str">
        <f>IF(AI215&gt;0,"Transfusion","Aucune")</f>
        <v>Aucune</v>
      </c>
      <c r="BI215" s="250" t="str">
        <f>IF(AG215="","Aucune","Transfusé")</f>
        <v>Aucune</v>
      </c>
      <c r="BJ215" s="250" t="str">
        <f>IF(X215&lt;&gt;"",IF(X215-L215&lt;2,"OUI","NON"),"NON")</f>
        <v>NON</v>
      </c>
      <c r="BK215" s="250" t="str">
        <f>IF(AS215="","NON","OUI")</f>
        <v>NON</v>
      </c>
      <c r="BL215" s="250" t="str">
        <f>IF(AL215-L215&gt;0,AL215-L215,"Inconnu")</f>
        <v>Inconnu</v>
      </c>
      <c r="BM215" s="250" t="str">
        <f>IF($O215&lt;&gt;"HTX",IF($O215&lt;&gt;"LVAD",BL215,"Inconnu"),"Inconnu")</f>
        <v>Inconnu</v>
      </c>
      <c r="BN215" s="250" t="str">
        <f>IF($O215="HTX",BL215,IF($O215="LVAD",BL215,"Inconnu"))</f>
        <v>Inconnu</v>
      </c>
      <c r="BO215" s="250" t="str">
        <f>IF(AJ215-L215&gt;0,AJ215-L215,"Inconnu")</f>
        <v>Inconnu</v>
      </c>
      <c r="BP215" s="250" t="str">
        <f>IF($O215&lt;&gt;"HTX",IF($O215&lt;&gt;"LVAD",BO215,"Inconnu"),"Inconnu")</f>
        <v>Inconnu</v>
      </c>
      <c r="BQ215" s="250" t="str">
        <f>IF($O215="HTX",BO215,IF($O215="LVAD",BO215,"Inconnu"))</f>
        <v>Inconnu</v>
      </c>
      <c r="BR215" s="250" t="str">
        <f>IF(BH215="Aucune",IF(BI215="Aucune","Aucune","Transfusé"),"Transfusé")</f>
        <v>Aucune</v>
      </c>
      <c r="BS215" s="250">
        <f>AF215+AH215</f>
        <v>0</v>
      </c>
      <c r="BT215" s="271" t="e">
        <f>VLOOKUP($I215,Lieu_Activité!$A:$B,2,FALSE)</f>
        <v>#N/A</v>
      </c>
      <c r="BU215" s="250" t="str">
        <f>IF(AB215="","Aucun","AVC")</f>
        <v>Aucun</v>
      </c>
      <c r="BV215" s="250" t="str">
        <f>IF(AC215="","Aucun","IM")</f>
        <v>Aucun</v>
      </c>
      <c r="BW215" s="249" t="str">
        <f>IF(M215="","NON","OUI")</f>
        <v>NON</v>
      </c>
      <c r="BX215" s="330"/>
    </row>
    <row r="216" spans="1:170" ht="12" customHeight="1" x14ac:dyDescent="0.2">
      <c r="A216" s="268" t="s">
        <v>256</v>
      </c>
      <c r="B216" s="276"/>
      <c r="C216" s="269"/>
      <c r="D216" s="299"/>
      <c r="E216" s="320">
        <f>(L216-D216)/365</f>
        <v>0</v>
      </c>
      <c r="F216" s="320" t="str">
        <f>IF(E216&lt;80," ","1")</f>
        <v xml:space="preserve"> </v>
      </c>
      <c r="G216" s="298"/>
      <c r="H216" s="298"/>
      <c r="I216" s="298"/>
      <c r="J216" s="298"/>
      <c r="K216" s="298"/>
      <c r="L216" s="299"/>
      <c r="M216" s="285"/>
      <c r="N216" s="274"/>
      <c r="O216" s="274"/>
      <c r="P216" s="307" t="str">
        <f>IFERROR(VLOOKUP(O216,Références!$K$11:$N$19,2)," ")</f>
        <v xml:space="preserve"> </v>
      </c>
      <c r="Q216" s="307" t="str">
        <f>IFERROR(VLOOKUP(O216,Références!$K$11:$N$19,3)," ")</f>
        <v xml:space="preserve"> </v>
      </c>
      <c r="R216" s="307" t="str">
        <f>IFERROR(VLOOKUP(O216,Références!$K$11:$N$19,4)," ")</f>
        <v xml:space="preserve"> </v>
      </c>
      <c r="S216" s="298"/>
      <c r="T216" s="298"/>
      <c r="U216" s="298"/>
      <c r="V216" s="298"/>
      <c r="W216" s="298"/>
      <c r="X216" s="299"/>
      <c r="Y216" s="298"/>
      <c r="Z216" s="298"/>
      <c r="AA216" s="298"/>
      <c r="AB216" s="277"/>
      <c r="AC216" s="277"/>
      <c r="AD216" s="277"/>
      <c r="AE216" s="277"/>
      <c r="AF216" s="277"/>
      <c r="AG216" s="277"/>
      <c r="AH216" s="277"/>
      <c r="AI216" s="277">
        <f>SUM(AF216,AH216)</f>
        <v>0</v>
      </c>
      <c r="AJ216" s="299"/>
      <c r="AK216" s="298">
        <f>(AJ216-L216)</f>
        <v>0</v>
      </c>
      <c r="AL216" s="299"/>
      <c r="AM216" s="308">
        <f>(AL216-L216)</f>
        <v>0</v>
      </c>
      <c r="AN216" s="298"/>
      <c r="AO216" s="318"/>
      <c r="AP216" s="303" t="str">
        <f t="shared" si="227"/>
        <v xml:space="preserve"> </v>
      </c>
      <c r="AQ216" s="298"/>
      <c r="AR216" s="339"/>
      <c r="AS216" s="337"/>
      <c r="AT216" s="305"/>
      <c r="AU216" s="319"/>
      <c r="AV216" s="305"/>
      <c r="AW216" s="272"/>
      <c r="AX216" s="342"/>
      <c r="AY216" s="343"/>
      <c r="AZ216" s="272"/>
      <c r="BA216" s="342"/>
      <c r="BB216" s="337"/>
      <c r="BC216" s="270">
        <f t="shared" si="250"/>
        <v>0</v>
      </c>
      <c r="BD216" s="270">
        <f t="shared" si="250"/>
        <v>0</v>
      </c>
      <c r="BE216" s="270">
        <f>IF(AG216="Aucune",0,1)</f>
        <v>1</v>
      </c>
      <c r="BF216" s="270" t="str">
        <f>IF(AO216=1,"ELECTIVE",IF(AO216=2,"URGENCY",IF(AO216=3,"EMERGENCY",IF(AO216=4,"SALVAGE","ALIVE"))))</f>
        <v>ALIVE</v>
      </c>
      <c r="BG216" s="250" t="str">
        <f>IF(AD216="","Aucune","Infection")</f>
        <v>Aucune</v>
      </c>
      <c r="BH216" s="250" t="str">
        <f>IF(AI216&gt;0,"Transfusion","Aucune")</f>
        <v>Aucune</v>
      </c>
      <c r="BI216" s="250" t="str">
        <f>IF(AG216="","Aucune","Transfusé")</f>
        <v>Aucune</v>
      </c>
      <c r="BJ216" s="250" t="str">
        <f>IF(X216&lt;&gt;"",IF(X216-L216&lt;2,"OUI","NON"),"NON")</f>
        <v>NON</v>
      </c>
      <c r="BK216" s="250" t="str">
        <f>IF(AS216="","NON","OUI")</f>
        <v>NON</v>
      </c>
      <c r="BL216" s="250" t="str">
        <f>IF(AL216-L216&gt;0,AL216-L216,"Inconnu")</f>
        <v>Inconnu</v>
      </c>
      <c r="BM216" s="250" t="str">
        <f>IF($O216&lt;&gt;"HTX",IF($O216&lt;&gt;"LVAD",BL216,"Inconnu"),"Inconnu")</f>
        <v>Inconnu</v>
      </c>
      <c r="BN216" s="250" t="str">
        <f>IF($O216="HTX",BL216,IF($O216="LVAD",BL216,"Inconnu"))</f>
        <v>Inconnu</v>
      </c>
      <c r="BO216" s="250" t="str">
        <f>IF(AJ216-L216&gt;0,AJ216-L216,"Inconnu")</f>
        <v>Inconnu</v>
      </c>
      <c r="BP216" s="250" t="str">
        <f>IF($O216&lt;&gt;"HTX",IF($O216&lt;&gt;"LVAD",BO216,"Inconnu"),"Inconnu")</f>
        <v>Inconnu</v>
      </c>
      <c r="BQ216" s="250" t="str">
        <f>IF($O216="HTX",BO216,IF($O216="LVAD",BO216,"Inconnu"))</f>
        <v>Inconnu</v>
      </c>
      <c r="BR216" s="250" t="str">
        <f>IF(BH216="Aucune",IF(BI216="Aucune","Aucune","Transfusé"),"Transfusé")</f>
        <v>Aucune</v>
      </c>
      <c r="BS216" s="250">
        <f>AF216+AH216</f>
        <v>0</v>
      </c>
      <c r="BT216" s="271" t="e">
        <f>VLOOKUP($I216,Lieu_Activité!$A:$B,2,FALSE)</f>
        <v>#N/A</v>
      </c>
      <c r="BU216" s="250" t="str">
        <f>IF(AB216="","Aucun","AVC")</f>
        <v>Aucun</v>
      </c>
      <c r="BV216" s="250" t="str">
        <f>IF(AC216="","Aucun","IM")</f>
        <v>Aucun</v>
      </c>
      <c r="BW216" s="249" t="str">
        <f>IF(M216="","NON","OUI")</f>
        <v>NON</v>
      </c>
      <c r="BX216" s="330"/>
    </row>
    <row r="217" spans="1:170" ht="12" customHeight="1" x14ac:dyDescent="0.2">
      <c r="A217" s="268" t="s">
        <v>256</v>
      </c>
      <c r="B217" s="276"/>
      <c r="C217" s="269"/>
      <c r="D217" s="299"/>
      <c r="E217" s="320">
        <f>(L217-D217)/365</f>
        <v>0</v>
      </c>
      <c r="F217" s="320" t="str">
        <f>IF(E217&lt;80," ","1")</f>
        <v xml:space="preserve"> </v>
      </c>
      <c r="G217" s="298"/>
      <c r="H217" s="298"/>
      <c r="I217" s="298"/>
      <c r="J217" s="298"/>
      <c r="K217" s="298"/>
      <c r="L217" s="299"/>
      <c r="M217" s="285"/>
      <c r="N217" s="274"/>
      <c r="O217" s="274"/>
      <c r="P217" s="307" t="str">
        <f>IFERROR(VLOOKUP(O217,Références!$K$11:$N$19,2)," ")</f>
        <v xml:space="preserve"> </v>
      </c>
      <c r="Q217" s="307" t="str">
        <f>IFERROR(VLOOKUP(O217,Références!$K$11:$N$19,3)," ")</f>
        <v xml:space="preserve"> </v>
      </c>
      <c r="R217" s="307" t="str">
        <f>IFERROR(VLOOKUP(O217,Références!$K$11:$N$19,4)," ")</f>
        <v xml:space="preserve"> </v>
      </c>
      <c r="S217" s="298"/>
      <c r="T217" s="298"/>
      <c r="U217" s="298"/>
      <c r="V217" s="298"/>
      <c r="W217" s="298"/>
      <c r="X217" s="299"/>
      <c r="Y217" s="298"/>
      <c r="Z217" s="298"/>
      <c r="AA217" s="298"/>
      <c r="AB217" s="277"/>
      <c r="AC217" s="277"/>
      <c r="AD217" s="277"/>
      <c r="AE217" s="277"/>
      <c r="AF217" s="277"/>
      <c r="AG217" s="277"/>
      <c r="AH217" s="277"/>
      <c r="AI217" s="277">
        <f>SUM(AF217,AH217)</f>
        <v>0</v>
      </c>
      <c r="AJ217" s="299"/>
      <c r="AK217" s="298">
        <f>(AJ217-L217)</f>
        <v>0</v>
      </c>
      <c r="AL217" s="299"/>
      <c r="AM217" s="308">
        <f>(AL217-L217)</f>
        <v>0</v>
      </c>
      <c r="AN217" s="298"/>
      <c r="AO217" s="318"/>
      <c r="AP217" s="303" t="str">
        <f t="shared" si="227"/>
        <v xml:space="preserve"> </v>
      </c>
      <c r="AQ217" s="298"/>
      <c r="AR217" s="337"/>
      <c r="AS217" s="337"/>
      <c r="AT217" s="305"/>
      <c r="AU217" s="319"/>
      <c r="AV217" s="305"/>
      <c r="AW217" s="272"/>
      <c r="AX217" s="342"/>
      <c r="AY217" s="343"/>
      <c r="AZ217" s="272"/>
      <c r="BA217" s="342"/>
      <c r="BB217" s="337"/>
      <c r="BC217" s="270">
        <f t="shared" si="250"/>
        <v>0</v>
      </c>
      <c r="BD217" s="270">
        <f t="shared" si="250"/>
        <v>0</v>
      </c>
      <c r="BE217" s="270">
        <f>IF(AG217="Aucune",0,1)</f>
        <v>1</v>
      </c>
      <c r="BF217" s="270" t="str">
        <f>IF(AO217=1,"ELECTIVE",IF(AO217=2,"URGENCY",IF(AO217=3,"EMERGENCY",IF(AO217=4,"SALVAGE","ALIVE"))))</f>
        <v>ALIVE</v>
      </c>
      <c r="BG217" s="250" t="str">
        <f>IF(AD217="","Aucune","Infection")</f>
        <v>Aucune</v>
      </c>
      <c r="BH217" s="250" t="str">
        <f>IF(AI217&gt;0,"Transfusion","Aucune")</f>
        <v>Aucune</v>
      </c>
      <c r="BI217" s="250" t="str">
        <f>IF(AG217="","Aucune","Transfusé")</f>
        <v>Aucune</v>
      </c>
      <c r="BJ217" s="250" t="str">
        <f>IF(X217&lt;&gt;"",IF(X217-L217&lt;2,"OUI","NON"),"NON")</f>
        <v>NON</v>
      </c>
      <c r="BK217" s="250" t="str">
        <f>IF(AS217="","NON","OUI")</f>
        <v>NON</v>
      </c>
      <c r="BL217" s="250" t="str">
        <f>IF(AL217-L217&gt;0,AL217-L217,"Inconnu")</f>
        <v>Inconnu</v>
      </c>
      <c r="BM217" s="250" t="str">
        <f>IF($O217&lt;&gt;"HTX",IF($O217&lt;&gt;"LVAD",BL217,"Inconnu"),"Inconnu")</f>
        <v>Inconnu</v>
      </c>
      <c r="BN217" s="250" t="str">
        <f>IF($O217="HTX",BL217,IF($O217="LVAD",BL217,"Inconnu"))</f>
        <v>Inconnu</v>
      </c>
      <c r="BO217" s="250" t="str">
        <f>IF(AJ217-L217&gt;0,AJ217-L217,"Inconnu")</f>
        <v>Inconnu</v>
      </c>
      <c r="BP217" s="250" t="str">
        <f>IF($O217&lt;&gt;"HTX",IF($O217&lt;&gt;"LVAD",BO217,"Inconnu"),"Inconnu")</f>
        <v>Inconnu</v>
      </c>
      <c r="BQ217" s="250" t="str">
        <f>IF($O217="HTX",BO217,IF($O217="LVAD",BO217,"Inconnu"))</f>
        <v>Inconnu</v>
      </c>
      <c r="BR217" s="250" t="str">
        <f>IF(BH217="Aucune",IF(BI217="Aucune","Aucune","Transfusé"),"Transfusé")</f>
        <v>Aucune</v>
      </c>
      <c r="BS217" s="250">
        <f>AF217+AH217</f>
        <v>0</v>
      </c>
      <c r="BT217" s="271" t="e">
        <f>VLOOKUP($I217,Lieu_Activité!$A:$B,2,FALSE)</f>
        <v>#N/A</v>
      </c>
      <c r="BU217" s="250" t="str">
        <f>IF(AB217="","Aucun","AVC")</f>
        <v>Aucun</v>
      </c>
      <c r="BV217" s="250" t="str">
        <f>IF(AC217="","Aucun","IM")</f>
        <v>Aucun</v>
      </c>
      <c r="BW217" s="249" t="str">
        <f>IF(M217="","NON","OUI")</f>
        <v>NON</v>
      </c>
      <c r="BX217" s="330"/>
    </row>
    <row r="218" spans="1:170" ht="12" customHeight="1" x14ac:dyDescent="0.2">
      <c r="A218" s="268" t="s">
        <v>256</v>
      </c>
      <c r="B218" s="309"/>
      <c r="C218" s="269"/>
      <c r="D218" s="299"/>
      <c r="E218" s="320">
        <f>(L218-D218)/365</f>
        <v>0</v>
      </c>
      <c r="F218" s="320" t="str">
        <f>IF(E218&lt;80," ","1")</f>
        <v xml:space="preserve"> </v>
      </c>
      <c r="G218" s="298"/>
      <c r="H218" s="298"/>
      <c r="I218" s="298"/>
      <c r="J218" s="298"/>
      <c r="K218" s="298"/>
      <c r="L218" s="299"/>
      <c r="M218" s="285"/>
      <c r="N218" s="274"/>
      <c r="O218" s="274"/>
      <c r="P218" s="307" t="str">
        <f>IFERROR(VLOOKUP(O218,Références!$K$11:$N$19,2)," ")</f>
        <v xml:space="preserve"> </v>
      </c>
      <c r="Q218" s="307" t="str">
        <f>IFERROR(VLOOKUP(O218,Références!$K$11:$N$19,3)," ")</f>
        <v xml:space="preserve"> </v>
      </c>
      <c r="R218" s="307" t="str">
        <f>IFERROR(VLOOKUP(O218,Références!$K$11:$N$19,4)," ")</f>
        <v xml:space="preserve"> </v>
      </c>
      <c r="S218" s="298"/>
      <c r="T218" s="298"/>
      <c r="U218" s="298"/>
      <c r="V218" s="298"/>
      <c r="W218" s="298"/>
      <c r="X218" s="299"/>
      <c r="Y218" s="298"/>
      <c r="Z218" s="298"/>
      <c r="AA218" s="298"/>
      <c r="AB218" s="277"/>
      <c r="AC218" s="277"/>
      <c r="AD218" s="277"/>
      <c r="AE218" s="277"/>
      <c r="AF218" s="277"/>
      <c r="AG218" s="277"/>
      <c r="AH218" s="277"/>
      <c r="AI218" s="277">
        <f>SUM(AF218,AH218)</f>
        <v>0</v>
      </c>
      <c r="AJ218" s="299"/>
      <c r="AK218" s="298">
        <f>(AJ218-L218)</f>
        <v>0</v>
      </c>
      <c r="AL218" s="299"/>
      <c r="AM218" s="308">
        <f>(AL218-L218)</f>
        <v>0</v>
      </c>
      <c r="AN218" s="298"/>
      <c r="AO218" s="318"/>
      <c r="AP218" s="303" t="str">
        <f t="shared" si="227"/>
        <v xml:space="preserve"> </v>
      </c>
      <c r="AQ218" s="298"/>
      <c r="AR218" s="337"/>
      <c r="AS218" s="337"/>
      <c r="AT218" s="305"/>
      <c r="AU218" s="319"/>
      <c r="AV218" s="305"/>
      <c r="AW218" s="272"/>
      <c r="AX218" s="342"/>
      <c r="AY218" s="343"/>
      <c r="AZ218" s="272"/>
      <c r="BA218" s="344" t="s">
        <v>246</v>
      </c>
      <c r="BB218" s="337"/>
      <c r="BC218" s="270">
        <f t="shared" si="250"/>
        <v>0</v>
      </c>
      <c r="BD218" s="270">
        <f t="shared" si="250"/>
        <v>0</v>
      </c>
      <c r="BE218" s="270">
        <f>IF(AG218="Aucune",0,1)</f>
        <v>1</v>
      </c>
      <c r="BF218" s="270" t="str">
        <f>IF(AO218=1,"ELECTIVE",IF(AO218=2,"URGENCY",IF(AO218=3,"EMERGENCY",IF(AO218=4,"SALVAGE","ALIVE"))))</f>
        <v>ALIVE</v>
      </c>
      <c r="BG218" s="250" t="str">
        <f>IF(AD218="","Aucune","Infection")</f>
        <v>Aucune</v>
      </c>
      <c r="BH218" s="250" t="str">
        <f>IF(AI218&gt;0,"Transfusion","Aucune")</f>
        <v>Aucune</v>
      </c>
      <c r="BI218" s="250" t="str">
        <f>IF(AG218="","Aucune","Transfusé")</f>
        <v>Aucune</v>
      </c>
      <c r="BJ218" s="250" t="str">
        <f>IF(X218&lt;&gt;"",IF(X218-L218&lt;2,"OUI","NON"),"NON")</f>
        <v>NON</v>
      </c>
      <c r="BK218" s="250" t="str">
        <f>IF(AS218="","NON","OUI")</f>
        <v>NON</v>
      </c>
      <c r="BL218" s="250" t="str">
        <f>IF(AL218-L218&gt;0,AL218-L218,"Inconnu")</f>
        <v>Inconnu</v>
      </c>
      <c r="BM218" s="250" t="str">
        <f>IF($O218&lt;&gt;"HTX",IF($O218&lt;&gt;"LVAD",BL218,"Inconnu"),"Inconnu")</f>
        <v>Inconnu</v>
      </c>
      <c r="BN218" s="250" t="str">
        <f>IF($O218="HTX",BL218,IF($O218="LVAD",BL218,"Inconnu"))</f>
        <v>Inconnu</v>
      </c>
      <c r="BO218" s="250" t="str">
        <f>IF(AJ218-L218&gt;0,AJ218-L218,"Inconnu")</f>
        <v>Inconnu</v>
      </c>
      <c r="BP218" s="250" t="str">
        <f>IF($O218&lt;&gt;"HTX",IF($O218&lt;&gt;"LVAD",BO218,"Inconnu"),"Inconnu")</f>
        <v>Inconnu</v>
      </c>
      <c r="BQ218" s="250" t="str">
        <f>IF($O218="HTX",BO218,IF($O218="LVAD",BO218,"Inconnu"))</f>
        <v>Inconnu</v>
      </c>
      <c r="BR218" s="250" t="str">
        <f>IF(BH218="Aucune",IF(BI218="Aucune","Aucune","Transfusé"),"Transfusé")</f>
        <v>Aucune</v>
      </c>
      <c r="BS218" s="250">
        <f>AF218+AH218</f>
        <v>0</v>
      </c>
      <c r="BT218" s="271" t="e">
        <f>VLOOKUP($I218,Lieu_Activité!$A:$B,2,FALSE)</f>
        <v>#N/A</v>
      </c>
      <c r="BU218" s="250" t="str">
        <f>IF(AB218="","Aucun","AVC")</f>
        <v>Aucun</v>
      </c>
      <c r="BV218" s="250" t="str">
        <f>IF(AC218="","Aucun","IM")</f>
        <v>Aucun</v>
      </c>
      <c r="BW218" s="249" t="str">
        <f>IF(M218="","NON","OUI")</f>
        <v>NON</v>
      </c>
      <c r="BX218" s="330"/>
    </row>
    <row r="219" spans="1:170" ht="12" customHeight="1" x14ac:dyDescent="0.2">
      <c r="A219" s="268" t="s">
        <v>256</v>
      </c>
      <c r="B219" s="278"/>
      <c r="C219" s="269"/>
      <c r="D219" s="321"/>
      <c r="E219" s="322">
        <f t="shared" ref="E219:E223" si="251">(L219-D219)/365</f>
        <v>0</v>
      </c>
      <c r="F219" s="322" t="str">
        <f t="shared" ref="F219:F223" si="252">IF(E219&lt;80," ","1")</f>
        <v xml:space="preserve"> </v>
      </c>
      <c r="G219" s="279"/>
      <c r="H219" s="279"/>
      <c r="I219" s="279"/>
      <c r="J219" s="279"/>
      <c r="K219" s="279"/>
      <c r="L219" s="321"/>
      <c r="M219" s="312"/>
      <c r="N219" s="274"/>
      <c r="O219" s="314"/>
      <c r="P219" s="307" t="str">
        <f>IFERROR(VLOOKUP(O219,Références!$K$11:$N$19,2)," ")</f>
        <v xml:space="preserve"> </v>
      </c>
      <c r="Q219" s="307" t="str">
        <f>IFERROR(VLOOKUP(O219,Références!$K$11:$N$19,3)," ")</f>
        <v xml:space="preserve"> </v>
      </c>
      <c r="R219" s="307" t="str">
        <f>IFERROR(VLOOKUP(O219,Références!$K$11:$N$19,4)," ")</f>
        <v xml:space="preserve"> </v>
      </c>
      <c r="S219" s="298"/>
      <c r="T219" s="298"/>
      <c r="U219" s="298"/>
      <c r="V219" s="298"/>
      <c r="W219" s="298"/>
      <c r="X219" s="299"/>
      <c r="Y219" s="298"/>
      <c r="Z219" s="298"/>
      <c r="AA219" s="298"/>
      <c r="AB219" s="280"/>
      <c r="AC219" s="280"/>
      <c r="AD219" s="280"/>
      <c r="AE219" s="280"/>
      <c r="AF219" s="280"/>
      <c r="AG219" s="277"/>
      <c r="AH219" s="280"/>
      <c r="AI219" s="280">
        <f t="shared" ref="AI219:AI223" si="253">SUM(AF219,AH219)</f>
        <v>0</v>
      </c>
      <c r="AJ219" s="299"/>
      <c r="AK219" s="279">
        <f t="shared" ref="AK219:AK223" si="254">(AJ219-L219)</f>
        <v>0</v>
      </c>
      <c r="AL219" s="299"/>
      <c r="AM219" s="335">
        <f t="shared" ref="AM219:AM223" si="255">(AL219-L219)</f>
        <v>0</v>
      </c>
      <c r="AN219" s="298"/>
      <c r="AO219" s="318"/>
      <c r="AP219" s="303" t="str">
        <f t="shared" si="227"/>
        <v xml:space="preserve"> </v>
      </c>
      <c r="AQ219" s="298"/>
      <c r="AR219" s="337"/>
      <c r="AS219" s="337"/>
      <c r="AT219" s="305"/>
      <c r="AU219" s="319"/>
      <c r="AV219" s="305"/>
      <c r="AW219" s="272"/>
      <c r="AX219" s="342"/>
      <c r="AY219" s="343"/>
      <c r="AZ219" s="272"/>
      <c r="BA219" s="345"/>
      <c r="BB219" s="346"/>
      <c r="BC219" s="281">
        <f t="shared" ref="BC219:BC223" si="256">IF(BG219="Aucune",0,1)</f>
        <v>0</v>
      </c>
      <c r="BD219" s="281">
        <f t="shared" ref="BD219:BD223" si="257">IF(BH219="Aucune",0,1)</f>
        <v>0</v>
      </c>
      <c r="BE219" s="281">
        <f t="shared" ref="BE219:BE223" si="258">IF(AG219="Aucune",0,1)</f>
        <v>1</v>
      </c>
      <c r="BF219" s="281" t="str">
        <f t="shared" ref="BF219:BF223" si="259">IF(AO219=1,"ELECTIVE",IF(AO219=2,"URGENCY",IF(AO219=3,"EMERGENCY",IF(AO219=4,"SALVAGE","ALIVE"))))</f>
        <v>ALIVE</v>
      </c>
      <c r="BG219" s="282" t="str">
        <f t="shared" ref="BG219:BG223" si="260">IF(AD219="","Aucune","Infection")</f>
        <v>Aucune</v>
      </c>
      <c r="BH219" s="282" t="str">
        <f t="shared" ref="BH219:BH223" si="261">IF(AI219&gt;0,"Transfusion","Aucune")</f>
        <v>Aucune</v>
      </c>
      <c r="BI219" s="282" t="str">
        <f t="shared" ref="BI219:BI223" si="262">IF(AG219="","Aucune","Transfusé")</f>
        <v>Aucune</v>
      </c>
      <c r="BJ219" s="282" t="str">
        <f t="shared" ref="BJ219:BJ223" si="263">IF(X219&lt;&gt;"",IF(X219-L219&lt;2,"OUI","NON"),"NON")</f>
        <v>NON</v>
      </c>
      <c r="BK219" s="282" t="str">
        <f t="shared" ref="BK219:BK223" si="264">IF(AS219="","NON","OUI")</f>
        <v>NON</v>
      </c>
      <c r="BL219" s="282" t="str">
        <f t="shared" ref="BL219:BL223" si="265">IF(AL219-L219&gt;0,AL219-L219,"Inconnu")</f>
        <v>Inconnu</v>
      </c>
      <c r="BM219" s="282" t="str">
        <f t="shared" ref="BM219:BM223" si="266">IF($O219&lt;&gt;"HTX",IF($O219&lt;&gt;"LVAD",BL219,"Inconnu"),"Inconnu")</f>
        <v>Inconnu</v>
      </c>
      <c r="BN219" s="282" t="str">
        <f t="shared" ref="BN219:BN223" si="267">IF($O219="HTX",BL219,IF($O219="LVAD",BL219,"Inconnu"))</f>
        <v>Inconnu</v>
      </c>
      <c r="BO219" s="282" t="str">
        <f t="shared" ref="BO219:BO223" si="268">IF(AJ219-L219&gt;0,AJ219-L219,"Inconnu")</f>
        <v>Inconnu</v>
      </c>
      <c r="BP219" s="282" t="str">
        <f t="shared" ref="BP219:BP223" si="269">IF($O219&lt;&gt;"HTX",IF($O219&lt;&gt;"LVAD",BO219,"Inconnu"),"Inconnu")</f>
        <v>Inconnu</v>
      </c>
      <c r="BQ219" s="282" t="str">
        <f t="shared" ref="BQ219:BQ223" si="270">IF($O219="HTX",BO219,IF($O219="LVAD",BO219,"Inconnu"))</f>
        <v>Inconnu</v>
      </c>
      <c r="BR219" s="282" t="str">
        <f t="shared" ref="BR219:BR223" si="271">IF(BH219="Aucune",IF(BI219="Aucune","Aucune","Transfusé"),"Transfusé")</f>
        <v>Aucune</v>
      </c>
      <c r="BS219" s="282">
        <f t="shared" ref="BS219:BS223" si="272">AF219+AH219</f>
        <v>0</v>
      </c>
      <c r="BT219" s="283" t="e">
        <f>VLOOKUP($I219,Lieu_Activité!$A:$B,2,FALSE)</f>
        <v>#N/A</v>
      </c>
      <c r="BU219" s="282" t="str">
        <f t="shared" ref="BU219:BU223" si="273">IF(AB219="","Aucun","AVC")</f>
        <v>Aucun</v>
      </c>
      <c r="BV219" s="282" t="str">
        <f t="shared" ref="BV219:BV223" si="274">IF(AC219="","Aucun","IM")</f>
        <v>Aucun</v>
      </c>
      <c r="BW219" s="284" t="str">
        <f t="shared" ref="BW219:BW223" si="275">IF(M219="","NON","OUI")</f>
        <v>NON</v>
      </c>
      <c r="BX219" s="330"/>
    </row>
    <row r="220" spans="1:170" ht="12" customHeight="1" x14ac:dyDescent="0.2">
      <c r="A220" s="268" t="s">
        <v>256</v>
      </c>
      <c r="B220" s="278"/>
      <c r="C220" s="269"/>
      <c r="D220" s="321"/>
      <c r="E220" s="322">
        <f t="shared" si="251"/>
        <v>0</v>
      </c>
      <c r="F220" s="322" t="str">
        <f t="shared" si="252"/>
        <v xml:space="preserve"> </v>
      </c>
      <c r="G220" s="279"/>
      <c r="H220" s="279"/>
      <c r="I220" s="279"/>
      <c r="J220" s="279"/>
      <c r="K220" s="279"/>
      <c r="L220" s="321"/>
      <c r="M220" s="312"/>
      <c r="N220" s="274"/>
      <c r="O220" s="307"/>
      <c r="P220" s="307" t="str">
        <f>IFERROR(VLOOKUP(O220,Références!$K$11:$N$19,2)," ")</f>
        <v xml:space="preserve"> </v>
      </c>
      <c r="Q220" s="307" t="str">
        <f>IFERROR(VLOOKUP(O220,Références!$K$11:$N$19,3)," ")</f>
        <v xml:space="preserve"> </v>
      </c>
      <c r="R220" s="307" t="str">
        <f>IFERROR(VLOOKUP(O220,Références!$K$11:$N$19,4)," ")</f>
        <v xml:space="preserve"> </v>
      </c>
      <c r="S220" s="298"/>
      <c r="T220" s="298"/>
      <c r="U220" s="298"/>
      <c r="V220" s="298"/>
      <c r="W220" s="298"/>
      <c r="X220" s="299"/>
      <c r="Y220" s="298"/>
      <c r="Z220" s="298"/>
      <c r="AA220" s="298"/>
      <c r="AB220" s="280"/>
      <c r="AC220" s="280"/>
      <c r="AD220" s="280"/>
      <c r="AE220" s="280"/>
      <c r="AF220" s="280"/>
      <c r="AG220" s="277"/>
      <c r="AH220" s="280"/>
      <c r="AI220" s="280">
        <f t="shared" si="253"/>
        <v>0</v>
      </c>
      <c r="AJ220" s="299"/>
      <c r="AK220" s="279">
        <f t="shared" si="254"/>
        <v>0</v>
      </c>
      <c r="AL220" s="299"/>
      <c r="AM220" s="335">
        <f t="shared" si="255"/>
        <v>0</v>
      </c>
      <c r="AN220" s="298"/>
      <c r="AO220" s="318"/>
      <c r="AP220" s="303" t="str">
        <f t="shared" si="227"/>
        <v xml:space="preserve"> </v>
      </c>
      <c r="AQ220" s="298"/>
      <c r="AR220" s="337"/>
      <c r="AS220" s="337"/>
      <c r="AT220" s="305"/>
      <c r="AU220" s="319"/>
      <c r="AV220" s="305"/>
      <c r="AW220" s="272"/>
      <c r="AX220" s="342"/>
      <c r="AY220" s="343"/>
      <c r="AZ220" s="272"/>
      <c r="BA220" s="345"/>
      <c r="BB220" s="346"/>
      <c r="BC220" s="281">
        <f t="shared" si="256"/>
        <v>0</v>
      </c>
      <c r="BD220" s="281">
        <f t="shared" si="257"/>
        <v>0</v>
      </c>
      <c r="BE220" s="281">
        <f t="shared" si="258"/>
        <v>1</v>
      </c>
      <c r="BF220" s="281" t="str">
        <f t="shared" si="259"/>
        <v>ALIVE</v>
      </c>
      <c r="BG220" s="282" t="str">
        <f t="shared" si="260"/>
        <v>Aucune</v>
      </c>
      <c r="BH220" s="282" t="str">
        <f t="shared" si="261"/>
        <v>Aucune</v>
      </c>
      <c r="BI220" s="282" t="str">
        <f t="shared" si="262"/>
        <v>Aucune</v>
      </c>
      <c r="BJ220" s="282" t="str">
        <f t="shared" si="263"/>
        <v>NON</v>
      </c>
      <c r="BK220" s="282" t="str">
        <f t="shared" si="264"/>
        <v>NON</v>
      </c>
      <c r="BL220" s="282" t="str">
        <f t="shared" si="265"/>
        <v>Inconnu</v>
      </c>
      <c r="BM220" s="282" t="str">
        <f t="shared" si="266"/>
        <v>Inconnu</v>
      </c>
      <c r="BN220" s="282" t="str">
        <f t="shared" si="267"/>
        <v>Inconnu</v>
      </c>
      <c r="BO220" s="282" t="str">
        <f t="shared" si="268"/>
        <v>Inconnu</v>
      </c>
      <c r="BP220" s="282" t="str">
        <f t="shared" si="269"/>
        <v>Inconnu</v>
      </c>
      <c r="BQ220" s="282" t="str">
        <f t="shared" si="270"/>
        <v>Inconnu</v>
      </c>
      <c r="BR220" s="282" t="str">
        <f t="shared" si="271"/>
        <v>Aucune</v>
      </c>
      <c r="BS220" s="282">
        <f t="shared" si="272"/>
        <v>0</v>
      </c>
      <c r="BT220" s="283" t="e">
        <f>VLOOKUP($I220,Lieu_Activité!$A:$B,2,FALSE)</f>
        <v>#N/A</v>
      </c>
      <c r="BU220" s="282" t="str">
        <f t="shared" si="273"/>
        <v>Aucun</v>
      </c>
      <c r="BV220" s="282" t="str">
        <f t="shared" si="274"/>
        <v>Aucun</v>
      </c>
      <c r="BW220" s="284" t="str">
        <f t="shared" si="275"/>
        <v>NON</v>
      </c>
      <c r="BX220" s="330"/>
    </row>
    <row r="221" spans="1:170" ht="11.25" customHeight="1" x14ac:dyDescent="0.2">
      <c r="A221" s="268" t="s">
        <v>256</v>
      </c>
      <c r="B221" s="278"/>
      <c r="C221" s="323"/>
      <c r="D221" s="321"/>
      <c r="E221" s="322">
        <f t="shared" si="251"/>
        <v>0</v>
      </c>
      <c r="F221" s="322" t="str">
        <f t="shared" si="252"/>
        <v xml:space="preserve"> </v>
      </c>
      <c r="G221" s="279"/>
      <c r="H221" s="279"/>
      <c r="I221" s="279"/>
      <c r="J221" s="279"/>
      <c r="K221" s="279"/>
      <c r="L221" s="321"/>
      <c r="M221" s="312"/>
      <c r="N221" s="274"/>
      <c r="O221" s="314"/>
      <c r="P221" s="307" t="str">
        <f>IFERROR(VLOOKUP(O221,Références!$K$11:$N$19,2)," ")</f>
        <v xml:space="preserve"> </v>
      </c>
      <c r="Q221" s="307" t="str">
        <f>IFERROR(VLOOKUP(O221,Références!$K$11:$N$19,3)," ")</f>
        <v xml:space="preserve"> </v>
      </c>
      <c r="R221" s="307" t="str">
        <f>IFERROR(VLOOKUP(O221,Références!$K$11:$N$19,4)," ")</f>
        <v xml:space="preserve"> </v>
      </c>
      <c r="S221" s="298"/>
      <c r="T221" s="298"/>
      <c r="U221" s="298"/>
      <c r="V221" s="298"/>
      <c r="W221" s="298"/>
      <c r="X221" s="299"/>
      <c r="Y221" s="298"/>
      <c r="Z221" s="298"/>
      <c r="AA221" s="298"/>
      <c r="AB221" s="280"/>
      <c r="AC221" s="280"/>
      <c r="AD221" s="316"/>
      <c r="AE221" s="280"/>
      <c r="AF221" s="280"/>
      <c r="AG221" s="280"/>
      <c r="AH221" s="280"/>
      <c r="AI221" s="280">
        <f t="shared" si="253"/>
        <v>0</v>
      </c>
      <c r="AJ221" s="299"/>
      <c r="AK221" s="279">
        <f t="shared" si="254"/>
        <v>0</v>
      </c>
      <c r="AL221" s="299"/>
      <c r="AM221" s="335">
        <f t="shared" si="255"/>
        <v>0</v>
      </c>
      <c r="AN221" s="298"/>
      <c r="AO221" s="318"/>
      <c r="AP221" s="303" t="str">
        <f t="shared" si="227"/>
        <v xml:space="preserve"> </v>
      </c>
      <c r="AQ221" s="298"/>
      <c r="AR221" s="337"/>
      <c r="AS221" s="337"/>
      <c r="AT221" s="305"/>
      <c r="AU221" s="319"/>
      <c r="AV221" s="305"/>
      <c r="AW221" s="272"/>
      <c r="AX221" s="342"/>
      <c r="AY221" s="343"/>
      <c r="AZ221" s="272"/>
      <c r="BA221" s="345"/>
      <c r="BB221" s="346"/>
      <c r="BC221" s="281">
        <f t="shared" si="256"/>
        <v>0</v>
      </c>
      <c r="BD221" s="281">
        <f t="shared" si="257"/>
        <v>0</v>
      </c>
      <c r="BE221" s="281">
        <f t="shared" si="258"/>
        <v>1</v>
      </c>
      <c r="BF221" s="281" t="str">
        <f t="shared" si="259"/>
        <v>ALIVE</v>
      </c>
      <c r="BG221" s="282" t="str">
        <f t="shared" si="260"/>
        <v>Aucune</v>
      </c>
      <c r="BH221" s="282" t="str">
        <f t="shared" si="261"/>
        <v>Aucune</v>
      </c>
      <c r="BI221" s="282" t="str">
        <f t="shared" si="262"/>
        <v>Aucune</v>
      </c>
      <c r="BJ221" s="282" t="str">
        <f t="shared" si="263"/>
        <v>NON</v>
      </c>
      <c r="BK221" s="282" t="str">
        <f t="shared" si="264"/>
        <v>NON</v>
      </c>
      <c r="BL221" s="282" t="str">
        <f t="shared" si="265"/>
        <v>Inconnu</v>
      </c>
      <c r="BM221" s="282" t="str">
        <f t="shared" si="266"/>
        <v>Inconnu</v>
      </c>
      <c r="BN221" s="282" t="str">
        <f t="shared" si="267"/>
        <v>Inconnu</v>
      </c>
      <c r="BO221" s="282" t="str">
        <f t="shared" si="268"/>
        <v>Inconnu</v>
      </c>
      <c r="BP221" s="282" t="str">
        <f t="shared" si="269"/>
        <v>Inconnu</v>
      </c>
      <c r="BQ221" s="282" t="str">
        <f t="shared" si="270"/>
        <v>Inconnu</v>
      </c>
      <c r="BR221" s="282" t="str">
        <f t="shared" si="271"/>
        <v>Aucune</v>
      </c>
      <c r="BS221" s="282">
        <f t="shared" si="272"/>
        <v>0</v>
      </c>
      <c r="BT221" s="283" t="e">
        <f>VLOOKUP($I221,Lieu_Activité!$A:$B,2,FALSE)</f>
        <v>#N/A</v>
      </c>
      <c r="BU221" s="282" t="str">
        <f t="shared" si="273"/>
        <v>Aucun</v>
      </c>
      <c r="BV221" s="282" t="str">
        <f t="shared" si="274"/>
        <v>Aucun</v>
      </c>
      <c r="BW221" s="284" t="str">
        <f t="shared" si="275"/>
        <v>NON</v>
      </c>
      <c r="BX221" s="330"/>
    </row>
    <row r="222" spans="1:170" ht="13.5" customHeight="1" x14ac:dyDescent="0.2">
      <c r="A222" s="268" t="s">
        <v>256</v>
      </c>
      <c r="B222" s="278"/>
      <c r="C222" s="269"/>
      <c r="D222" s="321"/>
      <c r="E222" s="322">
        <f t="shared" si="251"/>
        <v>0</v>
      </c>
      <c r="F222" s="322" t="str">
        <f t="shared" si="252"/>
        <v xml:space="preserve"> </v>
      </c>
      <c r="G222" s="279"/>
      <c r="H222" s="279"/>
      <c r="I222" s="279"/>
      <c r="J222" s="279"/>
      <c r="K222" s="279"/>
      <c r="L222" s="321"/>
      <c r="M222" s="312"/>
      <c r="N222" s="274"/>
      <c r="O222" s="314"/>
      <c r="P222" s="307" t="str">
        <f>IFERROR(VLOOKUP(O222,Références!$K$11:$N$19,2)," ")</f>
        <v xml:space="preserve"> </v>
      </c>
      <c r="Q222" s="307" t="str">
        <f>IFERROR(VLOOKUP(O222,Références!$K$11:$N$19,3)," ")</f>
        <v xml:space="preserve"> </v>
      </c>
      <c r="R222" s="307" t="str">
        <f>IFERROR(VLOOKUP(O222,Références!$K$11:$N$19,4)," ")</f>
        <v xml:space="preserve"> </v>
      </c>
      <c r="S222" s="298"/>
      <c r="T222" s="298"/>
      <c r="U222" s="298"/>
      <c r="V222" s="298"/>
      <c r="W222" s="298"/>
      <c r="X222" s="299"/>
      <c r="Y222" s="298"/>
      <c r="Z222" s="298"/>
      <c r="AA222" s="298"/>
      <c r="AB222" s="280"/>
      <c r="AC222" s="280"/>
      <c r="AD222" s="280"/>
      <c r="AE222" s="277"/>
      <c r="AF222" s="280"/>
      <c r="AG222" s="277"/>
      <c r="AH222" s="280"/>
      <c r="AI222" s="280">
        <f t="shared" si="253"/>
        <v>0</v>
      </c>
      <c r="AJ222" s="299"/>
      <c r="AK222" s="279">
        <f t="shared" si="254"/>
        <v>0</v>
      </c>
      <c r="AL222" s="299"/>
      <c r="AM222" s="335">
        <f t="shared" si="255"/>
        <v>0</v>
      </c>
      <c r="AN222" s="298"/>
      <c r="AO222" s="318"/>
      <c r="AP222" s="303" t="str">
        <f t="shared" si="227"/>
        <v xml:space="preserve"> </v>
      </c>
      <c r="AQ222" s="298"/>
      <c r="AR222" s="337"/>
      <c r="AS222" s="337"/>
      <c r="AT222" s="305"/>
      <c r="AU222" s="319"/>
      <c r="AV222" s="305"/>
      <c r="AW222" s="272"/>
      <c r="AX222" s="342"/>
      <c r="AY222" s="343"/>
      <c r="AZ222" s="272"/>
      <c r="BA222" s="342" t="s">
        <v>234</v>
      </c>
      <c r="BB222" s="337"/>
      <c r="BC222" s="281">
        <f t="shared" si="256"/>
        <v>0</v>
      </c>
      <c r="BD222" s="281">
        <f t="shared" si="257"/>
        <v>0</v>
      </c>
      <c r="BE222" s="281">
        <f t="shared" si="258"/>
        <v>1</v>
      </c>
      <c r="BF222" s="281" t="str">
        <f t="shared" si="259"/>
        <v>ALIVE</v>
      </c>
      <c r="BG222" s="282" t="str">
        <f t="shared" si="260"/>
        <v>Aucune</v>
      </c>
      <c r="BH222" s="282" t="str">
        <f t="shared" si="261"/>
        <v>Aucune</v>
      </c>
      <c r="BI222" s="282" t="str">
        <f t="shared" si="262"/>
        <v>Aucune</v>
      </c>
      <c r="BJ222" s="282" t="str">
        <f t="shared" si="263"/>
        <v>NON</v>
      </c>
      <c r="BK222" s="282" t="str">
        <f t="shared" si="264"/>
        <v>NON</v>
      </c>
      <c r="BL222" s="282" t="str">
        <f t="shared" si="265"/>
        <v>Inconnu</v>
      </c>
      <c r="BM222" s="282" t="str">
        <f t="shared" si="266"/>
        <v>Inconnu</v>
      </c>
      <c r="BN222" s="282" t="str">
        <f t="shared" si="267"/>
        <v>Inconnu</v>
      </c>
      <c r="BO222" s="282" t="str">
        <f t="shared" si="268"/>
        <v>Inconnu</v>
      </c>
      <c r="BP222" s="282" t="str">
        <f t="shared" si="269"/>
        <v>Inconnu</v>
      </c>
      <c r="BQ222" s="282" t="str">
        <f t="shared" si="270"/>
        <v>Inconnu</v>
      </c>
      <c r="BR222" s="282" t="str">
        <f t="shared" si="271"/>
        <v>Aucune</v>
      </c>
      <c r="BS222" s="282">
        <f t="shared" si="272"/>
        <v>0</v>
      </c>
      <c r="BT222" s="283" t="e">
        <f>VLOOKUP($I222,Lieu_Activité!$A:$B,2,FALSE)</f>
        <v>#N/A</v>
      </c>
      <c r="BU222" s="282" t="str">
        <f t="shared" si="273"/>
        <v>Aucun</v>
      </c>
      <c r="BV222" s="282" t="str">
        <f t="shared" si="274"/>
        <v>Aucun</v>
      </c>
      <c r="BW222" s="284" t="str">
        <f t="shared" si="275"/>
        <v>NON</v>
      </c>
      <c r="BX222" s="330"/>
    </row>
    <row r="223" spans="1:170" ht="12" customHeight="1" x14ac:dyDescent="0.2">
      <c r="A223" s="268" t="s">
        <v>256</v>
      </c>
      <c r="B223" s="278"/>
      <c r="C223" s="269"/>
      <c r="D223" s="321"/>
      <c r="E223" s="322">
        <f t="shared" si="251"/>
        <v>0</v>
      </c>
      <c r="F223" s="322" t="str">
        <f t="shared" si="252"/>
        <v xml:space="preserve"> </v>
      </c>
      <c r="G223" s="279"/>
      <c r="H223" s="279"/>
      <c r="I223" s="279"/>
      <c r="J223" s="279"/>
      <c r="K223" s="279"/>
      <c r="L223" s="321"/>
      <c r="M223" s="312"/>
      <c r="N223" s="274"/>
      <c r="O223" s="314"/>
      <c r="P223" s="307" t="str">
        <f>IFERROR(VLOOKUP(O223,Références!$K$11:$N$19,2)," ")</f>
        <v xml:space="preserve"> </v>
      </c>
      <c r="Q223" s="307" t="str">
        <f>IFERROR(VLOOKUP(O223,Références!$K$11:$N$19,3)," ")</f>
        <v xml:space="preserve"> </v>
      </c>
      <c r="R223" s="307" t="str">
        <f>IFERROR(VLOOKUP(O223,Références!$K$11:$N$19,4)," ")</f>
        <v xml:space="preserve"> </v>
      </c>
      <c r="S223" s="298"/>
      <c r="T223" s="298"/>
      <c r="U223" s="298"/>
      <c r="V223" s="298"/>
      <c r="W223" s="298"/>
      <c r="X223" s="299"/>
      <c r="Y223" s="298"/>
      <c r="Z223" s="298"/>
      <c r="AA223" s="298"/>
      <c r="AB223" s="280"/>
      <c r="AC223" s="280"/>
      <c r="AD223" s="316"/>
      <c r="AE223" s="280"/>
      <c r="AF223" s="280"/>
      <c r="AG223" s="280"/>
      <c r="AH223" s="280"/>
      <c r="AI223" s="280">
        <f t="shared" si="253"/>
        <v>0</v>
      </c>
      <c r="AJ223" s="299"/>
      <c r="AK223" s="279">
        <f t="shared" si="254"/>
        <v>0</v>
      </c>
      <c r="AL223" s="299"/>
      <c r="AM223" s="335">
        <f t="shared" si="255"/>
        <v>0</v>
      </c>
      <c r="AN223" s="298"/>
      <c r="AO223" s="318"/>
      <c r="AP223" s="303" t="str">
        <f>IF(AO223=1,"ELECTIVE",IF(AO223=2,"URGENCY",IF(AO223=3,"EMERGENCY",IF(AO223=4,"SALVAGE"," "))))</f>
        <v xml:space="preserve"> </v>
      </c>
      <c r="AQ223" s="298"/>
      <c r="AR223" s="337"/>
      <c r="AS223" s="337"/>
      <c r="AT223" s="305"/>
      <c r="AU223" s="319"/>
      <c r="AV223" s="305"/>
      <c r="AW223" s="272"/>
      <c r="AX223" s="342"/>
      <c r="AY223" s="343"/>
      <c r="AZ223" s="272"/>
      <c r="BA223" s="345"/>
      <c r="BB223" s="346"/>
      <c r="BC223" s="281">
        <f t="shared" si="256"/>
        <v>0</v>
      </c>
      <c r="BD223" s="281">
        <f t="shared" si="257"/>
        <v>0</v>
      </c>
      <c r="BE223" s="281">
        <f t="shared" si="258"/>
        <v>1</v>
      </c>
      <c r="BF223" s="281" t="str">
        <f t="shared" si="259"/>
        <v>ALIVE</v>
      </c>
      <c r="BG223" s="282" t="str">
        <f t="shared" si="260"/>
        <v>Aucune</v>
      </c>
      <c r="BH223" s="282" t="str">
        <f t="shared" si="261"/>
        <v>Aucune</v>
      </c>
      <c r="BI223" s="282" t="str">
        <f t="shared" si="262"/>
        <v>Aucune</v>
      </c>
      <c r="BJ223" s="282" t="str">
        <f t="shared" si="263"/>
        <v>NON</v>
      </c>
      <c r="BK223" s="282" t="str">
        <f t="shared" si="264"/>
        <v>NON</v>
      </c>
      <c r="BL223" s="282" t="str">
        <f t="shared" si="265"/>
        <v>Inconnu</v>
      </c>
      <c r="BM223" s="282" t="str">
        <f t="shared" si="266"/>
        <v>Inconnu</v>
      </c>
      <c r="BN223" s="282" t="str">
        <f t="shared" si="267"/>
        <v>Inconnu</v>
      </c>
      <c r="BO223" s="282" t="str">
        <f t="shared" si="268"/>
        <v>Inconnu</v>
      </c>
      <c r="BP223" s="282" t="str">
        <f t="shared" si="269"/>
        <v>Inconnu</v>
      </c>
      <c r="BQ223" s="282" t="str">
        <f t="shared" si="270"/>
        <v>Inconnu</v>
      </c>
      <c r="BR223" s="282" t="str">
        <f t="shared" si="271"/>
        <v>Aucune</v>
      </c>
      <c r="BS223" s="282">
        <f t="shared" si="272"/>
        <v>0</v>
      </c>
      <c r="BT223" s="283" t="e">
        <f>VLOOKUP($I223,Lieu_Activité!$A:$B,2,FALSE)</f>
        <v>#N/A</v>
      </c>
      <c r="BU223" s="282" t="str">
        <f t="shared" si="273"/>
        <v>Aucun</v>
      </c>
      <c r="BV223" s="282" t="str">
        <f t="shared" si="274"/>
        <v>Aucun</v>
      </c>
      <c r="BW223" s="284" t="str">
        <f t="shared" si="275"/>
        <v>NON</v>
      </c>
      <c r="BX223" s="330"/>
    </row>
    <row r="224" spans="1:170" ht="12" customHeight="1" x14ac:dyDescent="0.2">
      <c r="A224" s="268" t="s">
        <v>256</v>
      </c>
      <c r="B224" s="278"/>
      <c r="C224" s="269"/>
      <c r="D224" s="321"/>
      <c r="E224" s="322">
        <f t="shared" ref="E224:E225" si="276">(L224-D224)/365</f>
        <v>0</v>
      </c>
      <c r="F224" s="322" t="str">
        <f t="shared" ref="F224:F225" si="277">IF(E224&lt;80," ","1")</f>
        <v xml:space="preserve"> </v>
      </c>
      <c r="G224" s="298"/>
      <c r="H224" s="298"/>
      <c r="I224" s="298"/>
      <c r="J224" s="298"/>
      <c r="K224" s="298"/>
      <c r="L224" s="321"/>
      <c r="M224" s="312"/>
      <c r="N224" s="274"/>
      <c r="O224" s="315"/>
      <c r="P224" s="307" t="str">
        <f>IFERROR(VLOOKUP(O224,Références!$K$11:$N$19,2)," ")</f>
        <v xml:space="preserve"> </v>
      </c>
      <c r="Q224" s="307" t="str">
        <f>IFERROR(VLOOKUP(O224,Références!$K$11:$N$19,3)," ")</f>
        <v xml:space="preserve"> </v>
      </c>
      <c r="R224" s="307" t="str">
        <f>IFERROR(VLOOKUP(O224,Références!$K$11:$N$19,4)," ")</f>
        <v xml:space="preserve"> </v>
      </c>
      <c r="S224" s="298"/>
      <c r="T224" s="298"/>
      <c r="U224" s="298"/>
      <c r="V224" s="298"/>
      <c r="W224" s="298"/>
      <c r="X224" s="299"/>
      <c r="Y224" s="298"/>
      <c r="Z224" s="298"/>
      <c r="AA224" s="298"/>
      <c r="AB224" s="280"/>
      <c r="AC224" s="280"/>
      <c r="AD224" s="280"/>
      <c r="AE224" s="280"/>
      <c r="AF224" s="280"/>
      <c r="AG224" s="280"/>
      <c r="AH224" s="280"/>
      <c r="AI224" s="280">
        <f t="shared" ref="AI224:AI225" si="278">SUM(AF224,AH224)</f>
        <v>0</v>
      </c>
      <c r="AJ224" s="299"/>
      <c r="AK224" s="279">
        <f t="shared" ref="AK224:AK225" si="279">(AJ224-L224)</f>
        <v>0</v>
      </c>
      <c r="AL224" s="299"/>
      <c r="AM224" s="335">
        <f t="shared" ref="AM224:AM225" si="280">(AL224-L224)</f>
        <v>0</v>
      </c>
      <c r="AN224" s="298"/>
      <c r="AO224" s="318"/>
      <c r="AP224" s="303" t="str">
        <f t="shared" si="227"/>
        <v xml:space="preserve"> </v>
      </c>
      <c r="AQ224" s="298"/>
      <c r="AR224" s="337"/>
      <c r="AS224" s="337"/>
      <c r="AT224" s="305"/>
      <c r="AU224" s="319"/>
      <c r="AV224" s="305"/>
      <c r="AW224" s="272"/>
      <c r="AX224" s="342"/>
      <c r="AY224" s="343"/>
      <c r="AZ224" s="272"/>
      <c r="BA224" s="345"/>
      <c r="BB224" s="346"/>
      <c r="BC224" s="281">
        <f t="shared" ref="BC224:BC225" si="281">IF(BG224="Aucune",0,1)</f>
        <v>0</v>
      </c>
      <c r="BD224" s="281">
        <f t="shared" ref="BD224:BD225" si="282">IF(BH224="Aucune",0,1)</f>
        <v>0</v>
      </c>
      <c r="BE224" s="281">
        <f t="shared" ref="BE224:BE225" si="283">IF(AG224="Aucune",0,1)</f>
        <v>1</v>
      </c>
      <c r="BF224" s="281" t="str">
        <f t="shared" ref="BF224:BF225" si="284">IF(AO224=1,"ELECTIVE",IF(AO224=2,"URGENCY",IF(AO224=3,"EMERGENCY",IF(AO224=4,"SALVAGE","ALIVE"))))</f>
        <v>ALIVE</v>
      </c>
      <c r="BG224" s="282" t="str">
        <f t="shared" ref="BG224:BG225" si="285">IF(AD224="","Aucune","Infection")</f>
        <v>Aucune</v>
      </c>
      <c r="BH224" s="282" t="str">
        <f t="shared" ref="BH224:BH225" si="286">IF(AI224&gt;0,"Transfusion","Aucune")</f>
        <v>Aucune</v>
      </c>
      <c r="BI224" s="282" t="str">
        <f t="shared" ref="BI224:BI225" si="287">IF(AG224="","Aucune","Transfusé")</f>
        <v>Aucune</v>
      </c>
      <c r="BJ224" s="282" t="str">
        <f t="shared" ref="BJ224:BJ225" si="288">IF(X224&lt;&gt;"",IF(X224-L224&lt;2,"OUI","NON"),"NON")</f>
        <v>NON</v>
      </c>
      <c r="BK224" s="282" t="str">
        <f t="shared" ref="BK224:BK225" si="289">IF(AS224="","NON","OUI")</f>
        <v>NON</v>
      </c>
      <c r="BL224" s="282" t="str">
        <f t="shared" ref="BL224:BL225" si="290">IF(AL224-L224&gt;0,AL224-L224,"Inconnu")</f>
        <v>Inconnu</v>
      </c>
      <c r="BM224" s="282" t="str">
        <f t="shared" ref="BM224:BM225" si="291">IF($O224&lt;&gt;"HTX",IF($O224&lt;&gt;"LVAD",BL224,"Inconnu"),"Inconnu")</f>
        <v>Inconnu</v>
      </c>
      <c r="BN224" s="282" t="str">
        <f t="shared" ref="BN224:BN225" si="292">IF($O224="HTX",BL224,IF($O224="LVAD",BL224,"Inconnu"))</f>
        <v>Inconnu</v>
      </c>
      <c r="BO224" s="282" t="str">
        <f t="shared" ref="BO224:BO225" si="293">IF(AJ224-L224&gt;0,AJ224-L224,"Inconnu")</f>
        <v>Inconnu</v>
      </c>
      <c r="BP224" s="282" t="str">
        <f t="shared" ref="BP224:BP225" si="294">IF($O224&lt;&gt;"HTX",IF($O224&lt;&gt;"LVAD",BO224,"Inconnu"),"Inconnu")</f>
        <v>Inconnu</v>
      </c>
      <c r="BQ224" s="282" t="str">
        <f t="shared" ref="BQ224:BQ225" si="295">IF($O224="HTX",BO224,IF($O224="LVAD",BO224,"Inconnu"))</f>
        <v>Inconnu</v>
      </c>
      <c r="BR224" s="282" t="str">
        <f t="shared" ref="BR224:BR225" si="296">IF(BH224="Aucune",IF(BI224="Aucune","Aucune","Transfusé"),"Transfusé")</f>
        <v>Aucune</v>
      </c>
      <c r="BS224" s="282">
        <f t="shared" ref="BS224:BS225" si="297">AF224+AH224</f>
        <v>0</v>
      </c>
      <c r="BT224" s="283" t="e">
        <f>VLOOKUP($I224,Lieu_Activité!$A:$B,2,FALSE)</f>
        <v>#N/A</v>
      </c>
      <c r="BU224" s="282" t="str">
        <f t="shared" ref="BU224:BU225" si="298">IF(AB224="","Aucun","AVC")</f>
        <v>Aucun</v>
      </c>
      <c r="BV224" s="282" t="str">
        <f t="shared" ref="BV224:BV225" si="299">IF(AC224="","Aucun","IM")</f>
        <v>Aucun</v>
      </c>
      <c r="BW224" s="284" t="str">
        <f t="shared" ref="BW224:BW225" si="300">IF(M224="","NON","OUI")</f>
        <v>NON</v>
      </c>
      <c r="BX224" s="330"/>
    </row>
    <row r="225" spans="1:170" ht="12" customHeight="1" x14ac:dyDescent="0.2">
      <c r="A225" s="268" t="s">
        <v>256</v>
      </c>
      <c r="B225" s="278"/>
      <c r="C225" s="269"/>
      <c r="D225" s="321"/>
      <c r="E225" s="322">
        <f t="shared" si="276"/>
        <v>0</v>
      </c>
      <c r="F225" s="322" t="str">
        <f t="shared" si="277"/>
        <v xml:space="preserve"> </v>
      </c>
      <c r="G225" s="298"/>
      <c r="H225" s="298"/>
      <c r="I225" s="298"/>
      <c r="J225" s="298"/>
      <c r="K225" s="298"/>
      <c r="L225" s="321"/>
      <c r="M225" s="312"/>
      <c r="N225" s="274"/>
      <c r="O225" s="315"/>
      <c r="P225" s="307" t="str">
        <f>IFERROR(VLOOKUP(O225,Références!$K$11:$N$19,2)," ")</f>
        <v xml:space="preserve"> </v>
      </c>
      <c r="Q225" s="307" t="str">
        <f>IFERROR(VLOOKUP(O225,Références!$K$11:$N$19,3)," ")</f>
        <v xml:space="preserve"> </v>
      </c>
      <c r="R225" s="307" t="str">
        <f>IFERROR(VLOOKUP(O225,Références!$K$11:$N$19,4)," ")</f>
        <v xml:space="preserve"> </v>
      </c>
      <c r="S225" s="298"/>
      <c r="T225" s="298"/>
      <c r="U225" s="298"/>
      <c r="V225" s="298"/>
      <c r="W225" s="298"/>
      <c r="X225" s="299"/>
      <c r="Y225" s="298"/>
      <c r="Z225" s="298"/>
      <c r="AA225" s="298"/>
      <c r="AB225" s="280"/>
      <c r="AC225" s="280"/>
      <c r="AD225" s="280"/>
      <c r="AE225" s="277"/>
      <c r="AF225" s="280"/>
      <c r="AG225" s="280"/>
      <c r="AH225" s="280"/>
      <c r="AI225" s="280">
        <f t="shared" si="278"/>
        <v>0</v>
      </c>
      <c r="AJ225" s="299"/>
      <c r="AK225" s="279">
        <f t="shared" si="279"/>
        <v>0</v>
      </c>
      <c r="AL225" s="299"/>
      <c r="AM225" s="335">
        <f t="shared" si="280"/>
        <v>0</v>
      </c>
      <c r="AN225" s="298"/>
      <c r="AO225" s="318"/>
      <c r="AP225" s="303" t="str">
        <f t="shared" si="227"/>
        <v xml:space="preserve"> </v>
      </c>
      <c r="AQ225" s="298"/>
      <c r="AR225" s="337"/>
      <c r="AS225" s="337"/>
      <c r="AT225" s="305"/>
      <c r="AU225" s="319"/>
      <c r="AV225" s="305"/>
      <c r="AW225" s="272"/>
      <c r="AX225" s="342"/>
      <c r="AY225" s="343"/>
      <c r="AZ225" s="272"/>
      <c r="BA225" s="345"/>
      <c r="BB225" s="346"/>
      <c r="BC225" s="281">
        <f t="shared" si="281"/>
        <v>0</v>
      </c>
      <c r="BD225" s="281">
        <f t="shared" si="282"/>
        <v>0</v>
      </c>
      <c r="BE225" s="281">
        <f t="shared" si="283"/>
        <v>1</v>
      </c>
      <c r="BF225" s="281" t="str">
        <f t="shared" si="284"/>
        <v>ALIVE</v>
      </c>
      <c r="BG225" s="282" t="str">
        <f t="shared" si="285"/>
        <v>Aucune</v>
      </c>
      <c r="BH225" s="282" t="str">
        <f t="shared" si="286"/>
        <v>Aucune</v>
      </c>
      <c r="BI225" s="282" t="str">
        <f t="shared" si="287"/>
        <v>Aucune</v>
      </c>
      <c r="BJ225" s="282" t="str">
        <f t="shared" si="288"/>
        <v>NON</v>
      </c>
      <c r="BK225" s="282" t="str">
        <f t="shared" si="289"/>
        <v>NON</v>
      </c>
      <c r="BL225" s="282" t="str">
        <f t="shared" si="290"/>
        <v>Inconnu</v>
      </c>
      <c r="BM225" s="282" t="str">
        <f t="shared" si="291"/>
        <v>Inconnu</v>
      </c>
      <c r="BN225" s="282" t="str">
        <f t="shared" si="292"/>
        <v>Inconnu</v>
      </c>
      <c r="BO225" s="282" t="str">
        <f t="shared" si="293"/>
        <v>Inconnu</v>
      </c>
      <c r="BP225" s="282" t="str">
        <f t="shared" si="294"/>
        <v>Inconnu</v>
      </c>
      <c r="BQ225" s="282" t="str">
        <f t="shared" si="295"/>
        <v>Inconnu</v>
      </c>
      <c r="BR225" s="282" t="str">
        <f t="shared" si="296"/>
        <v>Aucune</v>
      </c>
      <c r="BS225" s="282">
        <f t="shared" si="297"/>
        <v>0</v>
      </c>
      <c r="BT225" s="283" t="e">
        <f>VLOOKUP($I225,Lieu_Activité!$A:$B,2,FALSE)</f>
        <v>#N/A</v>
      </c>
      <c r="BU225" s="282" t="str">
        <f t="shared" si="298"/>
        <v>Aucun</v>
      </c>
      <c r="BV225" s="282" t="str">
        <f t="shared" si="299"/>
        <v>Aucun</v>
      </c>
      <c r="BW225" s="284" t="str">
        <f t="shared" si="300"/>
        <v>NON</v>
      </c>
      <c r="BX225" s="330"/>
    </row>
    <row r="226" spans="1:170" ht="12" customHeight="1" x14ac:dyDescent="0.2">
      <c r="A226" s="268" t="s">
        <v>256</v>
      </c>
      <c r="B226" s="278"/>
      <c r="C226" s="269"/>
      <c r="D226" s="321"/>
      <c r="E226" s="322">
        <f t="shared" ref="E226:E227" si="301">(L226-D226)/365</f>
        <v>0</v>
      </c>
      <c r="F226" s="322" t="str">
        <f t="shared" ref="F226:F227" si="302">IF(E226&lt;80," ","1")</f>
        <v xml:space="preserve"> </v>
      </c>
      <c r="G226" s="298"/>
      <c r="H226" s="298"/>
      <c r="I226" s="298"/>
      <c r="J226" s="298"/>
      <c r="K226" s="298"/>
      <c r="L226" s="321"/>
      <c r="M226" s="312"/>
      <c r="N226" s="274"/>
      <c r="O226" s="307"/>
      <c r="P226" s="307" t="str">
        <f>IFERROR(VLOOKUP(O226,Références!$K$11:$N$19,2)," ")</f>
        <v xml:space="preserve"> </v>
      </c>
      <c r="Q226" s="307" t="str">
        <f>IFERROR(VLOOKUP(O226,Références!$K$11:$N$19,3)," ")</f>
        <v xml:space="preserve"> </v>
      </c>
      <c r="R226" s="307" t="str">
        <f>IFERROR(VLOOKUP(O226,Références!$K$11:$N$19,4)," ")</f>
        <v xml:space="preserve"> </v>
      </c>
      <c r="S226" s="298"/>
      <c r="T226" s="298"/>
      <c r="U226" s="298"/>
      <c r="V226" s="298"/>
      <c r="W226" s="298"/>
      <c r="X226" s="299"/>
      <c r="Y226" s="298"/>
      <c r="Z226" s="298"/>
      <c r="AA226" s="298"/>
      <c r="AB226" s="280"/>
      <c r="AC226" s="280"/>
      <c r="AD226" s="280"/>
      <c r="AE226" s="280"/>
      <c r="AF226" s="280"/>
      <c r="AG226" s="280"/>
      <c r="AH226" s="280"/>
      <c r="AI226" s="280">
        <f t="shared" ref="AI226:AI227" si="303">SUM(AF226,AH226)</f>
        <v>0</v>
      </c>
      <c r="AJ226" s="299"/>
      <c r="AK226" s="279">
        <f t="shared" ref="AK226:AK227" si="304">(AJ226-L226)</f>
        <v>0</v>
      </c>
      <c r="AL226" s="299"/>
      <c r="AM226" s="335">
        <f t="shared" ref="AM226:AM227" si="305">(AL226-L226)</f>
        <v>0</v>
      </c>
      <c r="AN226" s="298"/>
      <c r="AO226" s="318"/>
      <c r="AP226" s="303" t="str">
        <f t="shared" si="227"/>
        <v xml:space="preserve"> </v>
      </c>
      <c r="AQ226" s="298"/>
      <c r="AR226" s="337"/>
      <c r="AS226" s="337"/>
      <c r="AT226" s="305"/>
      <c r="AU226" s="319"/>
      <c r="AV226" s="305"/>
      <c r="AW226" s="272"/>
      <c r="AX226" s="342"/>
      <c r="AY226" s="343"/>
      <c r="AZ226" s="272"/>
      <c r="BA226" s="345"/>
      <c r="BB226" s="346"/>
      <c r="BC226" s="281">
        <f t="shared" ref="BC226:BC227" si="306">IF(BG226="Aucune",0,1)</f>
        <v>0</v>
      </c>
      <c r="BD226" s="281">
        <f t="shared" ref="BD226:BD227" si="307">IF(BH226="Aucune",0,1)</f>
        <v>0</v>
      </c>
      <c r="BE226" s="281">
        <f t="shared" ref="BE226:BE227" si="308">IF(AG226="Aucune",0,1)</f>
        <v>1</v>
      </c>
      <c r="BF226" s="281" t="str">
        <f t="shared" ref="BF226:BF227" si="309">IF(AO226=1,"ELECTIVE",IF(AO226=2,"URGENCY",IF(AO226=3,"EMERGENCY",IF(AO226=4,"SALVAGE","ALIVE"))))</f>
        <v>ALIVE</v>
      </c>
      <c r="BG226" s="282" t="str">
        <f t="shared" ref="BG226:BG227" si="310">IF(AD226="","Aucune","Infection")</f>
        <v>Aucune</v>
      </c>
      <c r="BH226" s="282" t="str">
        <f t="shared" ref="BH226:BH227" si="311">IF(AI226&gt;0,"Transfusion","Aucune")</f>
        <v>Aucune</v>
      </c>
      <c r="BI226" s="282" t="str">
        <f t="shared" ref="BI226:BI227" si="312">IF(AG226="","Aucune","Transfusé")</f>
        <v>Aucune</v>
      </c>
      <c r="BJ226" s="282" t="str">
        <f t="shared" ref="BJ226:BJ227" si="313">IF(X226&lt;&gt;"",IF(X226-L226&lt;2,"OUI","NON"),"NON")</f>
        <v>NON</v>
      </c>
      <c r="BK226" s="282" t="str">
        <f t="shared" ref="BK226:BK227" si="314">IF(AS226="","NON","OUI")</f>
        <v>NON</v>
      </c>
      <c r="BL226" s="282" t="str">
        <f t="shared" ref="BL226:BL227" si="315">IF(AL226-L226&gt;0,AL226-L226,"Inconnu")</f>
        <v>Inconnu</v>
      </c>
      <c r="BM226" s="282" t="str">
        <f t="shared" ref="BM226:BM227" si="316">IF($O226&lt;&gt;"HTX",IF($O226&lt;&gt;"LVAD",BL226,"Inconnu"),"Inconnu")</f>
        <v>Inconnu</v>
      </c>
      <c r="BN226" s="282" t="str">
        <f t="shared" ref="BN226:BN227" si="317">IF($O226="HTX",BL226,IF($O226="LVAD",BL226,"Inconnu"))</f>
        <v>Inconnu</v>
      </c>
      <c r="BO226" s="282" t="str">
        <f t="shared" ref="BO226:BO227" si="318">IF(AJ226-L226&gt;0,AJ226-L226,"Inconnu")</f>
        <v>Inconnu</v>
      </c>
      <c r="BP226" s="282" t="str">
        <f t="shared" ref="BP226:BP227" si="319">IF($O226&lt;&gt;"HTX",IF($O226&lt;&gt;"LVAD",BO226,"Inconnu"),"Inconnu")</f>
        <v>Inconnu</v>
      </c>
      <c r="BQ226" s="282" t="str">
        <f t="shared" ref="BQ226:BQ227" si="320">IF($O226="HTX",BO226,IF($O226="LVAD",BO226,"Inconnu"))</f>
        <v>Inconnu</v>
      </c>
      <c r="BR226" s="282" t="str">
        <f t="shared" ref="BR226:BR227" si="321">IF(BH226="Aucune",IF(BI226="Aucune","Aucune","Transfusé"),"Transfusé")</f>
        <v>Aucune</v>
      </c>
      <c r="BS226" s="282">
        <f t="shared" ref="BS226:BS227" si="322">AF226+AH226</f>
        <v>0</v>
      </c>
      <c r="BT226" s="283" t="e">
        <f>VLOOKUP($I226,Lieu_Activité!$A:$B,2,FALSE)</f>
        <v>#N/A</v>
      </c>
      <c r="BU226" s="282" t="str">
        <f t="shared" ref="BU226:BU227" si="323">IF(AB226="","Aucun","AVC")</f>
        <v>Aucun</v>
      </c>
      <c r="BV226" s="282" t="str">
        <f t="shared" ref="BV226:BV227" si="324">IF(AC226="","Aucun","IM")</f>
        <v>Aucun</v>
      </c>
      <c r="BW226" s="284" t="str">
        <f t="shared" ref="BW226:BW227" si="325">IF(M226="","NON","OUI")</f>
        <v>NON</v>
      </c>
      <c r="BX226" s="330"/>
    </row>
    <row r="227" spans="1:170" ht="12" customHeight="1" x14ac:dyDescent="0.2">
      <c r="A227" s="268" t="s">
        <v>256</v>
      </c>
      <c r="B227" s="278"/>
      <c r="C227" s="269"/>
      <c r="D227" s="321"/>
      <c r="E227" s="322">
        <f t="shared" si="301"/>
        <v>0</v>
      </c>
      <c r="F227" s="322" t="str">
        <f t="shared" si="302"/>
        <v xml:space="preserve"> </v>
      </c>
      <c r="G227" s="298"/>
      <c r="H227" s="298"/>
      <c r="I227" s="298"/>
      <c r="J227" s="298"/>
      <c r="K227" s="298"/>
      <c r="L227" s="321"/>
      <c r="M227" s="312"/>
      <c r="N227" s="274"/>
      <c r="O227" s="315"/>
      <c r="P227" s="307" t="str">
        <f>IFERROR(VLOOKUP(O227,Références!$K$11:$N$19,2)," ")</f>
        <v xml:space="preserve"> </v>
      </c>
      <c r="Q227" s="307" t="str">
        <f>IFERROR(VLOOKUP(O227,Références!$K$11:$N$19,3)," ")</f>
        <v xml:space="preserve"> </v>
      </c>
      <c r="R227" s="307" t="str">
        <f>IFERROR(VLOOKUP(O227,Références!$K$11:$N$19,4)," ")</f>
        <v xml:space="preserve"> </v>
      </c>
      <c r="S227" s="298"/>
      <c r="T227" s="298"/>
      <c r="U227" s="298"/>
      <c r="V227" s="298"/>
      <c r="W227" s="298"/>
      <c r="X227" s="299"/>
      <c r="Y227" s="298"/>
      <c r="Z227" s="298"/>
      <c r="AA227" s="298"/>
      <c r="AB227" s="280"/>
      <c r="AC227" s="280"/>
      <c r="AD227" s="280"/>
      <c r="AE227" s="277"/>
      <c r="AF227" s="280"/>
      <c r="AG227" s="277"/>
      <c r="AH227" s="280"/>
      <c r="AI227" s="280">
        <f t="shared" si="303"/>
        <v>0</v>
      </c>
      <c r="AJ227" s="299"/>
      <c r="AK227" s="279">
        <f t="shared" si="304"/>
        <v>0</v>
      </c>
      <c r="AL227" s="299"/>
      <c r="AM227" s="335">
        <f t="shared" si="305"/>
        <v>0</v>
      </c>
      <c r="AN227" s="298"/>
      <c r="AO227" s="318"/>
      <c r="AP227" s="303" t="str">
        <f t="shared" si="227"/>
        <v xml:space="preserve"> </v>
      </c>
      <c r="AQ227" s="298"/>
      <c r="AR227" s="337"/>
      <c r="AS227" s="337"/>
      <c r="AT227" s="305"/>
      <c r="AU227" s="319"/>
      <c r="AV227" s="305"/>
      <c r="AW227" s="272"/>
      <c r="AX227" s="342"/>
      <c r="AY227" s="343"/>
      <c r="AZ227" s="272"/>
      <c r="BA227" s="345"/>
      <c r="BB227" s="346"/>
      <c r="BC227" s="281">
        <f t="shared" si="306"/>
        <v>0</v>
      </c>
      <c r="BD227" s="281">
        <f t="shared" si="307"/>
        <v>0</v>
      </c>
      <c r="BE227" s="281">
        <f t="shared" si="308"/>
        <v>1</v>
      </c>
      <c r="BF227" s="281" t="str">
        <f t="shared" si="309"/>
        <v>ALIVE</v>
      </c>
      <c r="BG227" s="282" t="str">
        <f t="shared" si="310"/>
        <v>Aucune</v>
      </c>
      <c r="BH227" s="282" t="str">
        <f t="shared" si="311"/>
        <v>Aucune</v>
      </c>
      <c r="BI227" s="282" t="str">
        <f t="shared" si="312"/>
        <v>Aucune</v>
      </c>
      <c r="BJ227" s="282" t="str">
        <f t="shared" si="313"/>
        <v>NON</v>
      </c>
      <c r="BK227" s="282" t="str">
        <f t="shared" si="314"/>
        <v>NON</v>
      </c>
      <c r="BL227" s="282" t="str">
        <f t="shared" si="315"/>
        <v>Inconnu</v>
      </c>
      <c r="BM227" s="282" t="str">
        <f t="shared" si="316"/>
        <v>Inconnu</v>
      </c>
      <c r="BN227" s="282" t="str">
        <f t="shared" si="317"/>
        <v>Inconnu</v>
      </c>
      <c r="BO227" s="282" t="str">
        <f t="shared" si="318"/>
        <v>Inconnu</v>
      </c>
      <c r="BP227" s="282" t="str">
        <f t="shared" si="319"/>
        <v>Inconnu</v>
      </c>
      <c r="BQ227" s="282" t="str">
        <f t="shared" si="320"/>
        <v>Inconnu</v>
      </c>
      <c r="BR227" s="282" t="str">
        <f t="shared" si="321"/>
        <v>Aucune</v>
      </c>
      <c r="BS227" s="282">
        <f t="shared" si="322"/>
        <v>0</v>
      </c>
      <c r="BT227" s="283" t="e">
        <f>VLOOKUP($I227,Lieu_Activité!$A:$B,2,FALSE)</f>
        <v>#N/A</v>
      </c>
      <c r="BU227" s="282" t="str">
        <f t="shared" si="323"/>
        <v>Aucun</v>
      </c>
      <c r="BV227" s="282" t="str">
        <f t="shared" si="324"/>
        <v>Aucun</v>
      </c>
      <c r="BW227" s="284" t="str">
        <f t="shared" si="325"/>
        <v>NON</v>
      </c>
      <c r="BX227" s="330"/>
    </row>
    <row r="228" spans="1:170" ht="12" customHeight="1" x14ac:dyDescent="0.2">
      <c r="A228" s="273" t="s">
        <v>257</v>
      </c>
      <c r="B228" s="276"/>
      <c r="C228" s="269"/>
      <c r="D228" s="299"/>
      <c r="E228" s="320">
        <f t="shared" ref="E228:E289" si="326">(L228-D228)/365</f>
        <v>0</v>
      </c>
      <c r="F228" s="320" t="str">
        <f t="shared" si="226"/>
        <v xml:space="preserve"> </v>
      </c>
      <c r="G228" s="298"/>
      <c r="H228" s="298"/>
      <c r="I228" s="298"/>
      <c r="J228" s="298"/>
      <c r="K228" s="298"/>
      <c r="L228" s="299"/>
      <c r="M228" s="285"/>
      <c r="N228" s="274"/>
      <c r="O228" s="274"/>
      <c r="P228" s="307" t="str">
        <f>IFERROR(VLOOKUP(O228,Références!$K$11:$N$19,2)," ")</f>
        <v xml:space="preserve"> </v>
      </c>
      <c r="Q228" s="307" t="str">
        <f>IFERROR(VLOOKUP(O228,Références!$K$11:$N$19,3)," ")</f>
        <v xml:space="preserve"> </v>
      </c>
      <c r="R228" s="307" t="str">
        <f>IFERROR(VLOOKUP(O228,Références!$K$11:$N$19,4)," ")</f>
        <v xml:space="preserve"> </v>
      </c>
      <c r="S228" s="298"/>
      <c r="T228" s="298"/>
      <c r="U228" s="298"/>
      <c r="V228" s="298"/>
      <c r="W228" s="298"/>
      <c r="X228" s="299"/>
      <c r="Y228" s="298"/>
      <c r="Z228" s="298"/>
      <c r="AA228" s="298"/>
      <c r="AB228" s="277"/>
      <c r="AC228" s="277"/>
      <c r="AD228" s="277"/>
      <c r="AE228" s="277"/>
      <c r="AF228" s="277"/>
      <c r="AG228" s="277"/>
      <c r="AH228" s="277"/>
      <c r="AI228" s="277">
        <f t="shared" ref="AI228:AI289" si="327">SUM(AF228,AH228)</f>
        <v>0</v>
      </c>
      <c r="AJ228" s="299"/>
      <c r="AK228" s="298">
        <f t="shared" ref="AK228:AK289" si="328">(AJ228-L228)</f>
        <v>0</v>
      </c>
      <c r="AL228" s="299"/>
      <c r="AM228" s="308">
        <f t="shared" ref="AM228:AM289" si="329">(AL228-L228)</f>
        <v>0</v>
      </c>
      <c r="AN228" s="298"/>
      <c r="AO228" s="318"/>
      <c r="AP228" s="303" t="str">
        <f t="shared" si="227"/>
        <v xml:space="preserve"> </v>
      </c>
      <c r="AQ228" s="298"/>
      <c r="AR228" s="337"/>
      <c r="AS228" s="337"/>
      <c r="AT228" s="305"/>
      <c r="AU228" s="319"/>
      <c r="AV228" s="305"/>
      <c r="AW228" s="272"/>
      <c r="AX228" s="342"/>
      <c r="AY228" s="343"/>
      <c r="AZ228" s="272"/>
      <c r="BA228" s="342"/>
      <c r="BB228" s="337"/>
      <c r="BC228" s="270">
        <f t="shared" ref="BC228:BC289" si="330">IF(BG228="Aucune",0,1)</f>
        <v>0</v>
      </c>
      <c r="BD228" s="270">
        <f t="shared" ref="BD228:BD289" si="331">IF(BH228="Aucune",0,1)</f>
        <v>0</v>
      </c>
      <c r="BE228" s="270">
        <f t="shared" ref="BE228:BE289" si="332">IF(AG228="Aucune",0,1)</f>
        <v>1</v>
      </c>
      <c r="BF228" s="270" t="str">
        <f t="shared" ref="BF228:BF289" si="333">IF(AO228=1,"ELECTIVE",IF(AO228=2,"URGENCY",IF(AO228=3,"EMERGENCY",IF(AO228=4,"SALVAGE","ALIVE"))))</f>
        <v>ALIVE</v>
      </c>
      <c r="BG228" s="250" t="str">
        <f t="shared" ref="BG228:BG289" si="334">IF(AD228="","Aucune","Infection")</f>
        <v>Aucune</v>
      </c>
      <c r="BH228" s="250" t="str">
        <f t="shared" ref="BH228:BH289" si="335">IF(AI228&gt;0,"Transfusion","Aucune")</f>
        <v>Aucune</v>
      </c>
      <c r="BI228" s="250" t="str">
        <f t="shared" ref="BI228:BI289" si="336">IF(AG228="","Aucune","Transfusé")</f>
        <v>Aucune</v>
      </c>
      <c r="BJ228" s="250" t="str">
        <f t="shared" ref="BJ228:BJ289" si="337">IF(X228&lt;&gt;"",IF(X228-L228&lt;2,"OUI","NON"),"NON")</f>
        <v>NON</v>
      </c>
      <c r="BK228" s="250" t="str">
        <f t="shared" ref="BK228:BK289" si="338">IF(AS228="","NON","OUI")</f>
        <v>NON</v>
      </c>
      <c r="BL228" s="250" t="str">
        <f t="shared" ref="BL228:BL289" si="339">IF(AL228-L228&gt;0,AL228-L228,"Inconnu")</f>
        <v>Inconnu</v>
      </c>
      <c r="BM228" s="250" t="str">
        <f t="shared" ref="BM228:BM289" si="340">IF($O228&lt;&gt;"HTX",IF($O228&lt;&gt;"LVAD",BL228,"Inconnu"),"Inconnu")</f>
        <v>Inconnu</v>
      </c>
      <c r="BN228" s="250" t="str">
        <f t="shared" ref="BN228:BN289" si="341">IF($O228="HTX",BL228,IF($O228="LVAD",BL228,"Inconnu"))</f>
        <v>Inconnu</v>
      </c>
      <c r="BO228" s="250" t="str">
        <f t="shared" ref="BO228:BO289" si="342">IF(AJ228-L228&gt;0,AJ228-L228,"Inconnu")</f>
        <v>Inconnu</v>
      </c>
      <c r="BP228" s="250" t="str">
        <f t="shared" ref="BP228:BP289" si="343">IF($O228&lt;&gt;"HTX",IF($O228&lt;&gt;"LVAD",BO228,"Inconnu"),"Inconnu")</f>
        <v>Inconnu</v>
      </c>
      <c r="BQ228" s="250" t="str">
        <f t="shared" ref="BQ228:BQ289" si="344">IF($O228="HTX",BO228,IF($O228="LVAD",BO228,"Inconnu"))</f>
        <v>Inconnu</v>
      </c>
      <c r="BR228" s="250" t="str">
        <f t="shared" ref="BR228:BR289" si="345">IF(BH228="Aucune",IF(BI228="Aucune","Aucune","Transfusé"),"Transfusé")</f>
        <v>Aucune</v>
      </c>
      <c r="BS228" s="250">
        <f t="shared" ref="BS228:BS289" si="346">AF228+AH228</f>
        <v>0</v>
      </c>
      <c r="BT228" s="271" t="e">
        <f>VLOOKUP($I228,Lieu_Activité!$A:$B,2,FALSE)</f>
        <v>#N/A</v>
      </c>
      <c r="BU228" s="250" t="str">
        <f t="shared" ref="BU228:BU289" si="347">IF(AB228="","Aucun","AVC")</f>
        <v>Aucun</v>
      </c>
      <c r="BV228" s="250" t="str">
        <f t="shared" ref="BV228:BV289" si="348">IF(AC228="","Aucun","IM")</f>
        <v>Aucun</v>
      </c>
      <c r="BW228" s="249" t="str">
        <f t="shared" ref="BW228:BW289" si="349">IF(M228="","NON","OUI")</f>
        <v>NON</v>
      </c>
      <c r="BX228" s="330"/>
    </row>
    <row r="229" spans="1:170" ht="12" customHeight="1" x14ac:dyDescent="0.2">
      <c r="A229" s="273" t="s">
        <v>257</v>
      </c>
      <c r="B229" s="276"/>
      <c r="C229" s="269"/>
      <c r="D229" s="299"/>
      <c r="E229" s="320">
        <f t="shared" ref="E229:E233" si="350">(L229-D229)/365</f>
        <v>0</v>
      </c>
      <c r="F229" s="320" t="str">
        <f t="shared" ref="F229:F233" si="351">IF(E229&lt;80," ","1")</f>
        <v xml:space="preserve"> </v>
      </c>
      <c r="G229" s="298"/>
      <c r="H229" s="298"/>
      <c r="I229" s="298"/>
      <c r="J229" s="298"/>
      <c r="K229" s="298"/>
      <c r="L229" s="299"/>
      <c r="M229" s="285"/>
      <c r="N229" s="274"/>
      <c r="O229" s="274"/>
      <c r="P229" s="307" t="str">
        <f>IFERROR(VLOOKUP(O229,Références!$K$11:$N$19,2)," ")</f>
        <v xml:space="preserve"> </v>
      </c>
      <c r="Q229" s="307" t="str">
        <f>IFERROR(VLOOKUP(O229,Références!$K$11:$N$19,3)," ")</f>
        <v xml:space="preserve"> </v>
      </c>
      <c r="R229" s="307" t="str">
        <f>IFERROR(VLOOKUP(O229,Références!$K$11:$N$19,4)," ")</f>
        <v xml:space="preserve"> </v>
      </c>
      <c r="S229" s="298"/>
      <c r="T229" s="298"/>
      <c r="U229" s="298"/>
      <c r="V229" s="298"/>
      <c r="W229" s="298"/>
      <c r="X229" s="299"/>
      <c r="Y229" s="298"/>
      <c r="Z229" s="298"/>
      <c r="AA229" s="298"/>
      <c r="AB229" s="277"/>
      <c r="AC229" s="277"/>
      <c r="AD229" s="277"/>
      <c r="AE229" s="277"/>
      <c r="AF229" s="277"/>
      <c r="AG229" s="277"/>
      <c r="AH229" s="277"/>
      <c r="AI229" s="277">
        <f t="shared" ref="AI229:AI233" si="352">SUM(AF229,AH229)</f>
        <v>0</v>
      </c>
      <c r="AJ229" s="299"/>
      <c r="AK229" s="298">
        <f t="shared" ref="AK229:AK233" si="353">(AJ229-L229)</f>
        <v>0</v>
      </c>
      <c r="AL229" s="299"/>
      <c r="AM229" s="308">
        <f t="shared" ref="AM229:AM233" si="354">(AL229-L229)</f>
        <v>0</v>
      </c>
      <c r="AN229" s="298"/>
      <c r="AO229" s="318"/>
      <c r="AP229" s="303" t="str">
        <f t="shared" si="227"/>
        <v xml:space="preserve"> </v>
      </c>
      <c r="AQ229" s="298"/>
      <c r="AR229" s="337"/>
      <c r="AS229" s="337"/>
      <c r="AT229" s="305"/>
      <c r="AU229" s="319"/>
      <c r="AV229" s="305"/>
      <c r="AW229" s="272"/>
      <c r="AX229" s="342"/>
      <c r="AY229" s="343"/>
      <c r="AZ229" s="272"/>
      <c r="BA229" s="342"/>
      <c r="BB229" s="337"/>
      <c r="BC229" s="270">
        <f t="shared" ref="BC229:BC233" si="355">IF(BG229="Aucune",0,1)</f>
        <v>0</v>
      </c>
      <c r="BD229" s="270">
        <f t="shared" ref="BD229:BD233" si="356">IF(BH229="Aucune",0,1)</f>
        <v>0</v>
      </c>
      <c r="BE229" s="270">
        <f t="shared" ref="BE229:BE233" si="357">IF(AG229="Aucune",0,1)</f>
        <v>1</v>
      </c>
      <c r="BF229" s="270" t="str">
        <f t="shared" ref="BF229:BF233" si="358">IF(AO229=1,"ELECTIVE",IF(AO229=2,"URGENCY",IF(AO229=3,"EMERGENCY",IF(AO229=4,"SALVAGE","ALIVE"))))</f>
        <v>ALIVE</v>
      </c>
      <c r="BG229" s="250" t="str">
        <f t="shared" ref="BG229:BG233" si="359">IF(AD229="","Aucune","Infection")</f>
        <v>Aucune</v>
      </c>
      <c r="BH229" s="250" t="str">
        <f t="shared" ref="BH229:BH233" si="360">IF(AI229&gt;0,"Transfusion","Aucune")</f>
        <v>Aucune</v>
      </c>
      <c r="BI229" s="250" t="str">
        <f t="shared" ref="BI229:BI233" si="361">IF(AG229="","Aucune","Transfusé")</f>
        <v>Aucune</v>
      </c>
      <c r="BJ229" s="250" t="str">
        <f t="shared" ref="BJ229:BJ233" si="362">IF(X229&lt;&gt;"",IF(X229-L229&lt;2,"OUI","NON"),"NON")</f>
        <v>NON</v>
      </c>
      <c r="BK229" s="250" t="str">
        <f t="shared" ref="BK229:BK233" si="363">IF(AS229="","NON","OUI")</f>
        <v>NON</v>
      </c>
      <c r="BL229" s="250" t="str">
        <f t="shared" ref="BL229:BL233" si="364">IF(AL229-L229&gt;0,AL229-L229,"Inconnu")</f>
        <v>Inconnu</v>
      </c>
      <c r="BM229" s="250" t="str">
        <f t="shared" ref="BM229:BM233" si="365">IF($O229&lt;&gt;"HTX",IF($O229&lt;&gt;"LVAD",BL229,"Inconnu"),"Inconnu")</f>
        <v>Inconnu</v>
      </c>
      <c r="BN229" s="250" t="str">
        <f t="shared" ref="BN229:BN233" si="366">IF($O229="HTX",BL229,IF($O229="LVAD",BL229,"Inconnu"))</f>
        <v>Inconnu</v>
      </c>
      <c r="BO229" s="250" t="str">
        <f t="shared" ref="BO229:BO233" si="367">IF(AJ229-L229&gt;0,AJ229-L229,"Inconnu")</f>
        <v>Inconnu</v>
      </c>
      <c r="BP229" s="250" t="str">
        <f t="shared" ref="BP229:BP233" si="368">IF($O229&lt;&gt;"HTX",IF($O229&lt;&gt;"LVAD",BO229,"Inconnu"),"Inconnu")</f>
        <v>Inconnu</v>
      </c>
      <c r="BQ229" s="250" t="str">
        <f t="shared" ref="BQ229:BQ233" si="369">IF($O229="HTX",BO229,IF($O229="LVAD",BO229,"Inconnu"))</f>
        <v>Inconnu</v>
      </c>
      <c r="BR229" s="250" t="str">
        <f t="shared" ref="BR229:BR233" si="370">IF(BH229="Aucune",IF(BI229="Aucune","Aucune","Transfusé"),"Transfusé")</f>
        <v>Aucune</v>
      </c>
      <c r="BS229" s="250">
        <f t="shared" ref="BS229:BS233" si="371">AF229+AH229</f>
        <v>0</v>
      </c>
      <c r="BT229" s="271" t="e">
        <f>VLOOKUP($I229,Lieu_Activité!$A:$B,2,FALSE)</f>
        <v>#N/A</v>
      </c>
      <c r="BU229" s="250" t="str">
        <f t="shared" ref="BU229:BU233" si="372">IF(AB229="","Aucun","AVC")</f>
        <v>Aucun</v>
      </c>
      <c r="BV229" s="250" t="str">
        <f t="shared" ref="BV229:BV233" si="373">IF(AC229="","Aucun","IM")</f>
        <v>Aucun</v>
      </c>
      <c r="BW229" s="249" t="str">
        <f t="shared" ref="BW229:BW233" si="374">IF(M229="","NON","OUI")</f>
        <v>NON</v>
      </c>
      <c r="BX229" s="330"/>
    </row>
    <row r="230" spans="1:170" ht="12" customHeight="1" x14ac:dyDescent="0.2">
      <c r="A230" s="273" t="s">
        <v>257</v>
      </c>
      <c r="B230" s="276"/>
      <c r="C230" s="269"/>
      <c r="D230" s="299"/>
      <c r="E230" s="320">
        <f t="shared" si="350"/>
        <v>0</v>
      </c>
      <c r="F230" s="320" t="str">
        <f t="shared" si="351"/>
        <v xml:space="preserve"> </v>
      </c>
      <c r="G230" s="298"/>
      <c r="H230" s="298"/>
      <c r="I230" s="298"/>
      <c r="J230" s="298"/>
      <c r="K230" s="298"/>
      <c r="L230" s="299"/>
      <c r="M230" s="285"/>
      <c r="N230" s="274"/>
      <c r="O230" s="274"/>
      <c r="P230" s="307" t="str">
        <f>IFERROR(VLOOKUP(O230,Références!$K$11:$N$19,2)," ")</f>
        <v xml:space="preserve"> </v>
      </c>
      <c r="Q230" s="307" t="str">
        <f>IFERROR(VLOOKUP(O230,Références!$K$11:$N$19,3)," ")</f>
        <v xml:space="preserve"> </v>
      </c>
      <c r="R230" s="307" t="str">
        <f>IFERROR(VLOOKUP(O230,Références!$K$11:$N$19,4)," ")</f>
        <v xml:space="preserve"> </v>
      </c>
      <c r="S230" s="298"/>
      <c r="T230" s="298"/>
      <c r="U230" s="298"/>
      <c r="V230" s="298"/>
      <c r="W230" s="298"/>
      <c r="X230" s="299"/>
      <c r="Y230" s="298"/>
      <c r="Z230" s="298"/>
      <c r="AA230" s="298"/>
      <c r="AB230" s="277"/>
      <c r="AC230" s="277"/>
      <c r="AD230" s="277"/>
      <c r="AE230" s="277"/>
      <c r="AF230" s="277"/>
      <c r="AG230" s="277"/>
      <c r="AH230" s="277"/>
      <c r="AI230" s="277">
        <f t="shared" si="352"/>
        <v>0</v>
      </c>
      <c r="AJ230" s="299"/>
      <c r="AK230" s="298">
        <f t="shared" si="353"/>
        <v>0</v>
      </c>
      <c r="AL230" s="299"/>
      <c r="AM230" s="308">
        <f t="shared" si="354"/>
        <v>0</v>
      </c>
      <c r="AN230" s="298"/>
      <c r="AO230" s="318"/>
      <c r="AP230" s="303" t="str">
        <f t="shared" si="227"/>
        <v xml:space="preserve"> </v>
      </c>
      <c r="AQ230" s="298"/>
      <c r="AR230" s="337"/>
      <c r="AS230" s="337"/>
      <c r="AT230" s="305"/>
      <c r="AU230" s="319"/>
      <c r="AV230" s="305"/>
      <c r="AW230" s="272"/>
      <c r="AX230" s="342"/>
      <c r="AY230" s="343"/>
      <c r="AZ230" s="272"/>
      <c r="BA230" s="342"/>
      <c r="BB230" s="337"/>
      <c r="BC230" s="270">
        <f t="shared" si="355"/>
        <v>0</v>
      </c>
      <c r="BD230" s="270">
        <f t="shared" si="356"/>
        <v>0</v>
      </c>
      <c r="BE230" s="270">
        <f t="shared" si="357"/>
        <v>1</v>
      </c>
      <c r="BF230" s="270" t="str">
        <f t="shared" si="358"/>
        <v>ALIVE</v>
      </c>
      <c r="BG230" s="250" t="str">
        <f t="shared" si="359"/>
        <v>Aucune</v>
      </c>
      <c r="BH230" s="250" t="str">
        <f t="shared" si="360"/>
        <v>Aucune</v>
      </c>
      <c r="BI230" s="250" t="str">
        <f t="shared" si="361"/>
        <v>Aucune</v>
      </c>
      <c r="BJ230" s="250" t="str">
        <f t="shared" si="362"/>
        <v>NON</v>
      </c>
      <c r="BK230" s="250" t="str">
        <f t="shared" si="363"/>
        <v>NON</v>
      </c>
      <c r="BL230" s="250" t="str">
        <f t="shared" si="364"/>
        <v>Inconnu</v>
      </c>
      <c r="BM230" s="250" t="str">
        <f t="shared" si="365"/>
        <v>Inconnu</v>
      </c>
      <c r="BN230" s="250" t="str">
        <f t="shared" si="366"/>
        <v>Inconnu</v>
      </c>
      <c r="BO230" s="250" t="str">
        <f t="shared" si="367"/>
        <v>Inconnu</v>
      </c>
      <c r="BP230" s="250" t="str">
        <f t="shared" si="368"/>
        <v>Inconnu</v>
      </c>
      <c r="BQ230" s="250" t="str">
        <f t="shared" si="369"/>
        <v>Inconnu</v>
      </c>
      <c r="BR230" s="250" t="str">
        <f t="shared" si="370"/>
        <v>Aucune</v>
      </c>
      <c r="BS230" s="250">
        <f t="shared" si="371"/>
        <v>0</v>
      </c>
      <c r="BT230" s="271" t="e">
        <f>VLOOKUP($I230,Lieu_Activité!$A:$B,2,FALSE)</f>
        <v>#N/A</v>
      </c>
      <c r="BU230" s="250" t="str">
        <f t="shared" si="372"/>
        <v>Aucun</v>
      </c>
      <c r="BV230" s="250" t="str">
        <f t="shared" si="373"/>
        <v>Aucun</v>
      </c>
      <c r="BW230" s="249" t="str">
        <f t="shared" si="374"/>
        <v>NON</v>
      </c>
      <c r="BX230" s="330"/>
    </row>
    <row r="231" spans="1:170" ht="12" customHeight="1" x14ac:dyDescent="0.2">
      <c r="A231" s="273" t="s">
        <v>257</v>
      </c>
      <c r="B231" s="276"/>
      <c r="C231" s="269"/>
      <c r="D231" s="299"/>
      <c r="E231" s="320">
        <f t="shared" si="350"/>
        <v>0</v>
      </c>
      <c r="F231" s="320" t="str">
        <f t="shared" si="351"/>
        <v xml:space="preserve"> </v>
      </c>
      <c r="G231" s="298"/>
      <c r="H231" s="298"/>
      <c r="I231" s="298"/>
      <c r="J231" s="298"/>
      <c r="K231" s="298"/>
      <c r="L231" s="299"/>
      <c r="M231" s="285"/>
      <c r="N231" s="274"/>
      <c r="O231" s="274"/>
      <c r="P231" s="307" t="str">
        <f>IFERROR(VLOOKUP(O231,Références!$K$11:$N$19,2)," ")</f>
        <v xml:space="preserve"> </v>
      </c>
      <c r="Q231" s="307" t="str">
        <f>IFERROR(VLOOKUP(O231,Références!$K$11:$N$19,3)," ")</f>
        <v xml:space="preserve"> </v>
      </c>
      <c r="R231" s="307" t="str">
        <f>IFERROR(VLOOKUP(O231,Références!$K$11:$N$19,4)," ")</f>
        <v xml:space="preserve"> </v>
      </c>
      <c r="S231" s="298"/>
      <c r="T231" s="298"/>
      <c r="U231" s="298"/>
      <c r="V231" s="298"/>
      <c r="W231" s="298"/>
      <c r="X231" s="299"/>
      <c r="Y231" s="298"/>
      <c r="Z231" s="298"/>
      <c r="AA231" s="298"/>
      <c r="AB231" s="277"/>
      <c r="AC231" s="277"/>
      <c r="AD231" s="277"/>
      <c r="AE231" s="277"/>
      <c r="AF231" s="277"/>
      <c r="AG231" s="277"/>
      <c r="AH231" s="277"/>
      <c r="AI231" s="277">
        <f t="shared" si="352"/>
        <v>0</v>
      </c>
      <c r="AJ231" s="299"/>
      <c r="AK231" s="298">
        <f t="shared" si="353"/>
        <v>0</v>
      </c>
      <c r="AL231" s="299"/>
      <c r="AM231" s="308">
        <f t="shared" si="354"/>
        <v>0</v>
      </c>
      <c r="AN231" s="298"/>
      <c r="AO231" s="318"/>
      <c r="AP231" s="303" t="str">
        <f t="shared" si="227"/>
        <v xml:space="preserve"> </v>
      </c>
      <c r="AQ231" s="298"/>
      <c r="AR231" s="337"/>
      <c r="AS231" s="337"/>
      <c r="AT231" s="305"/>
      <c r="AU231" s="319"/>
      <c r="AV231" s="305"/>
      <c r="AW231" s="272"/>
      <c r="AX231" s="342"/>
      <c r="AY231" s="343"/>
      <c r="AZ231" s="272"/>
      <c r="BA231" s="342"/>
      <c r="BB231" s="337"/>
      <c r="BC231" s="270">
        <f t="shared" si="355"/>
        <v>0</v>
      </c>
      <c r="BD231" s="270">
        <f t="shared" si="356"/>
        <v>0</v>
      </c>
      <c r="BE231" s="270">
        <f t="shared" si="357"/>
        <v>1</v>
      </c>
      <c r="BF231" s="270" t="str">
        <f t="shared" si="358"/>
        <v>ALIVE</v>
      </c>
      <c r="BG231" s="250" t="str">
        <f t="shared" si="359"/>
        <v>Aucune</v>
      </c>
      <c r="BH231" s="250" t="str">
        <f t="shared" si="360"/>
        <v>Aucune</v>
      </c>
      <c r="BI231" s="250" t="str">
        <f t="shared" si="361"/>
        <v>Aucune</v>
      </c>
      <c r="BJ231" s="250" t="str">
        <f t="shared" si="362"/>
        <v>NON</v>
      </c>
      <c r="BK231" s="250" t="str">
        <f t="shared" si="363"/>
        <v>NON</v>
      </c>
      <c r="BL231" s="250" t="str">
        <f t="shared" si="364"/>
        <v>Inconnu</v>
      </c>
      <c r="BM231" s="250" t="str">
        <f t="shared" si="365"/>
        <v>Inconnu</v>
      </c>
      <c r="BN231" s="250" t="str">
        <f t="shared" si="366"/>
        <v>Inconnu</v>
      </c>
      <c r="BO231" s="250" t="str">
        <f t="shared" si="367"/>
        <v>Inconnu</v>
      </c>
      <c r="BP231" s="250" t="str">
        <f t="shared" si="368"/>
        <v>Inconnu</v>
      </c>
      <c r="BQ231" s="250" t="str">
        <f t="shared" si="369"/>
        <v>Inconnu</v>
      </c>
      <c r="BR231" s="250" t="str">
        <f t="shared" si="370"/>
        <v>Aucune</v>
      </c>
      <c r="BS231" s="250">
        <f t="shared" si="371"/>
        <v>0</v>
      </c>
      <c r="BT231" s="271" t="e">
        <f>VLOOKUP($I231,Lieu_Activité!$A:$B,2,FALSE)</f>
        <v>#N/A</v>
      </c>
      <c r="BU231" s="250" t="str">
        <f t="shared" si="372"/>
        <v>Aucun</v>
      </c>
      <c r="BV231" s="250" t="str">
        <f t="shared" si="373"/>
        <v>Aucun</v>
      </c>
      <c r="BW231" s="249" t="str">
        <f t="shared" si="374"/>
        <v>NON</v>
      </c>
      <c r="BX231" s="330"/>
    </row>
    <row r="232" spans="1:170" ht="12" customHeight="1" x14ac:dyDescent="0.2">
      <c r="A232" s="273" t="s">
        <v>257</v>
      </c>
      <c r="B232" s="309"/>
      <c r="C232" s="269"/>
      <c r="D232" s="299"/>
      <c r="E232" s="320">
        <f t="shared" si="350"/>
        <v>0</v>
      </c>
      <c r="F232" s="320" t="str">
        <f t="shared" si="351"/>
        <v xml:space="preserve"> </v>
      </c>
      <c r="G232" s="298"/>
      <c r="H232" s="298"/>
      <c r="I232" s="298"/>
      <c r="J232" s="298"/>
      <c r="K232" s="298"/>
      <c r="L232" s="299"/>
      <c r="M232" s="285"/>
      <c r="N232" s="274"/>
      <c r="O232" s="274"/>
      <c r="P232" s="307" t="str">
        <f>IFERROR(VLOOKUP(O232,Références!$K$11:$N$19,2)," ")</f>
        <v xml:space="preserve"> </v>
      </c>
      <c r="Q232" s="307" t="str">
        <f>IFERROR(VLOOKUP(O232,Références!$K$11:$N$19,3)," ")</f>
        <v xml:space="preserve"> </v>
      </c>
      <c r="R232" s="307" t="str">
        <f>IFERROR(VLOOKUP(O232,Références!$K$11:$N$19,4)," ")</f>
        <v xml:space="preserve"> </v>
      </c>
      <c r="S232" s="298"/>
      <c r="T232" s="298"/>
      <c r="U232" s="298"/>
      <c r="V232" s="298"/>
      <c r="W232" s="298"/>
      <c r="X232" s="299"/>
      <c r="Y232" s="298"/>
      <c r="Z232" s="298"/>
      <c r="AA232" s="298"/>
      <c r="AB232" s="277"/>
      <c r="AC232" s="277"/>
      <c r="AD232" s="277"/>
      <c r="AE232" s="277"/>
      <c r="AF232" s="277"/>
      <c r="AG232" s="277"/>
      <c r="AH232" s="277"/>
      <c r="AI232" s="277">
        <f t="shared" si="352"/>
        <v>0</v>
      </c>
      <c r="AJ232" s="299"/>
      <c r="AK232" s="298">
        <f t="shared" si="353"/>
        <v>0</v>
      </c>
      <c r="AL232" s="299"/>
      <c r="AM232" s="308">
        <f t="shared" si="354"/>
        <v>0</v>
      </c>
      <c r="AN232" s="298"/>
      <c r="AO232" s="318"/>
      <c r="AP232" s="303" t="str">
        <f t="shared" si="227"/>
        <v xml:space="preserve"> </v>
      </c>
      <c r="AQ232" s="298"/>
      <c r="AR232" s="337"/>
      <c r="AS232" s="337"/>
      <c r="AT232" s="305"/>
      <c r="AU232" s="319"/>
      <c r="AV232" s="305"/>
      <c r="AW232" s="272"/>
      <c r="AX232" s="342"/>
      <c r="AY232" s="343"/>
      <c r="AZ232" s="272"/>
      <c r="BA232" s="344" t="s">
        <v>246</v>
      </c>
      <c r="BB232" s="337"/>
      <c r="BC232" s="270">
        <f t="shared" si="355"/>
        <v>0</v>
      </c>
      <c r="BD232" s="270">
        <f t="shared" si="356"/>
        <v>0</v>
      </c>
      <c r="BE232" s="270">
        <f t="shared" si="357"/>
        <v>1</v>
      </c>
      <c r="BF232" s="270" t="str">
        <f t="shared" si="358"/>
        <v>ALIVE</v>
      </c>
      <c r="BG232" s="250" t="str">
        <f t="shared" si="359"/>
        <v>Aucune</v>
      </c>
      <c r="BH232" s="250" t="str">
        <f t="shared" si="360"/>
        <v>Aucune</v>
      </c>
      <c r="BI232" s="250" t="str">
        <f t="shared" si="361"/>
        <v>Aucune</v>
      </c>
      <c r="BJ232" s="250" t="str">
        <f t="shared" si="362"/>
        <v>NON</v>
      </c>
      <c r="BK232" s="250" t="str">
        <f t="shared" si="363"/>
        <v>NON</v>
      </c>
      <c r="BL232" s="250" t="str">
        <f t="shared" si="364"/>
        <v>Inconnu</v>
      </c>
      <c r="BM232" s="250" t="str">
        <f t="shared" si="365"/>
        <v>Inconnu</v>
      </c>
      <c r="BN232" s="250" t="str">
        <f t="shared" si="366"/>
        <v>Inconnu</v>
      </c>
      <c r="BO232" s="250" t="str">
        <f t="shared" si="367"/>
        <v>Inconnu</v>
      </c>
      <c r="BP232" s="250" t="str">
        <f t="shared" si="368"/>
        <v>Inconnu</v>
      </c>
      <c r="BQ232" s="250" t="str">
        <f t="shared" si="369"/>
        <v>Inconnu</v>
      </c>
      <c r="BR232" s="250" t="str">
        <f t="shared" si="370"/>
        <v>Aucune</v>
      </c>
      <c r="BS232" s="250">
        <f t="shared" si="371"/>
        <v>0</v>
      </c>
      <c r="BT232" s="271" t="e">
        <f>VLOOKUP($I232,Lieu_Activité!$A:$B,2,FALSE)</f>
        <v>#N/A</v>
      </c>
      <c r="BU232" s="250" t="str">
        <f t="shared" si="372"/>
        <v>Aucun</v>
      </c>
      <c r="BV232" s="250" t="str">
        <f t="shared" si="373"/>
        <v>Aucun</v>
      </c>
      <c r="BW232" s="249" t="str">
        <f t="shared" si="374"/>
        <v>NON</v>
      </c>
      <c r="BX232" s="330"/>
    </row>
    <row r="233" spans="1:170" ht="12" customHeight="1" x14ac:dyDescent="0.2">
      <c r="A233" s="273" t="s">
        <v>257</v>
      </c>
      <c r="B233" s="276"/>
      <c r="C233" s="269"/>
      <c r="D233" s="299"/>
      <c r="E233" s="320">
        <f t="shared" si="350"/>
        <v>0</v>
      </c>
      <c r="F233" s="320" t="str">
        <f t="shared" si="351"/>
        <v xml:space="preserve"> </v>
      </c>
      <c r="G233" s="298"/>
      <c r="H233" s="298"/>
      <c r="I233" s="298"/>
      <c r="J233" s="298"/>
      <c r="K233" s="298"/>
      <c r="L233" s="299"/>
      <c r="M233" s="285"/>
      <c r="N233" s="274"/>
      <c r="O233" s="315"/>
      <c r="P233" s="307" t="str">
        <f>IFERROR(VLOOKUP(O233,Références!$K$11:$N$19,2)," ")</f>
        <v xml:space="preserve"> </v>
      </c>
      <c r="Q233" s="307" t="str">
        <f>IFERROR(VLOOKUP(O233,Références!$K$11:$N$19,3)," ")</f>
        <v xml:space="preserve"> </v>
      </c>
      <c r="R233" s="307" t="str">
        <f>IFERROR(VLOOKUP(O233,Références!$K$11:$N$19,4)," ")</f>
        <v xml:space="preserve"> </v>
      </c>
      <c r="S233" s="298"/>
      <c r="T233" s="298"/>
      <c r="U233" s="298"/>
      <c r="V233" s="298"/>
      <c r="W233" s="298"/>
      <c r="X233" s="299"/>
      <c r="Y233" s="298"/>
      <c r="Z233" s="298"/>
      <c r="AA233" s="298"/>
      <c r="AB233" s="277"/>
      <c r="AC233" s="277"/>
      <c r="AD233" s="277"/>
      <c r="AE233" s="277"/>
      <c r="AF233" s="277"/>
      <c r="AG233" s="277"/>
      <c r="AH233" s="277"/>
      <c r="AI233" s="277">
        <f t="shared" si="352"/>
        <v>0</v>
      </c>
      <c r="AJ233" s="299"/>
      <c r="AK233" s="298">
        <f t="shared" si="353"/>
        <v>0</v>
      </c>
      <c r="AL233" s="299"/>
      <c r="AM233" s="308">
        <f t="shared" si="354"/>
        <v>0</v>
      </c>
      <c r="AN233" s="298"/>
      <c r="AO233" s="318"/>
      <c r="AP233" s="303" t="str">
        <f t="shared" si="227"/>
        <v xml:space="preserve"> </v>
      </c>
      <c r="AQ233" s="298"/>
      <c r="AR233" s="337"/>
      <c r="AS233" s="337"/>
      <c r="AT233" s="305"/>
      <c r="AU233" s="319"/>
      <c r="AV233" s="305"/>
      <c r="AW233" s="272"/>
      <c r="AX233" s="342"/>
      <c r="AY233" s="343"/>
      <c r="AZ233" s="272"/>
      <c r="BA233" s="342"/>
      <c r="BB233" s="337"/>
      <c r="BC233" s="270">
        <f t="shared" si="355"/>
        <v>0</v>
      </c>
      <c r="BD233" s="270">
        <f t="shared" si="356"/>
        <v>0</v>
      </c>
      <c r="BE233" s="270">
        <f t="shared" si="357"/>
        <v>1</v>
      </c>
      <c r="BF233" s="270" t="str">
        <f t="shared" si="358"/>
        <v>ALIVE</v>
      </c>
      <c r="BG233" s="250" t="str">
        <f t="shared" si="359"/>
        <v>Aucune</v>
      </c>
      <c r="BH233" s="250" t="str">
        <f t="shared" si="360"/>
        <v>Aucune</v>
      </c>
      <c r="BI233" s="250" t="str">
        <f t="shared" si="361"/>
        <v>Aucune</v>
      </c>
      <c r="BJ233" s="250" t="str">
        <f t="shared" si="362"/>
        <v>NON</v>
      </c>
      <c r="BK233" s="250" t="str">
        <f t="shared" si="363"/>
        <v>NON</v>
      </c>
      <c r="BL233" s="250" t="str">
        <f t="shared" si="364"/>
        <v>Inconnu</v>
      </c>
      <c r="BM233" s="250" t="str">
        <f t="shared" si="365"/>
        <v>Inconnu</v>
      </c>
      <c r="BN233" s="250" t="str">
        <f t="shared" si="366"/>
        <v>Inconnu</v>
      </c>
      <c r="BO233" s="250" t="str">
        <f t="shared" si="367"/>
        <v>Inconnu</v>
      </c>
      <c r="BP233" s="250" t="str">
        <f t="shared" si="368"/>
        <v>Inconnu</v>
      </c>
      <c r="BQ233" s="250" t="str">
        <f t="shared" si="369"/>
        <v>Inconnu</v>
      </c>
      <c r="BR233" s="250" t="str">
        <f t="shared" si="370"/>
        <v>Aucune</v>
      </c>
      <c r="BS233" s="250">
        <f t="shared" si="371"/>
        <v>0</v>
      </c>
      <c r="BT233" s="271" t="e">
        <f>VLOOKUP($I233,Lieu_Activité!$A:$B,2,FALSE)</f>
        <v>#N/A</v>
      </c>
      <c r="BU233" s="250" t="str">
        <f t="shared" si="372"/>
        <v>Aucun</v>
      </c>
      <c r="BV233" s="250" t="str">
        <f t="shared" si="373"/>
        <v>Aucun</v>
      </c>
      <c r="BW233" s="249" t="str">
        <f t="shared" si="374"/>
        <v>NON</v>
      </c>
      <c r="BX233" s="330"/>
    </row>
    <row r="234" spans="1:170" ht="12" customHeight="1" x14ac:dyDescent="0.2">
      <c r="A234" s="273" t="s">
        <v>257</v>
      </c>
      <c r="B234" s="276"/>
      <c r="C234" s="269"/>
      <c r="D234" s="299"/>
      <c r="E234" s="320">
        <f t="shared" si="326"/>
        <v>0</v>
      </c>
      <c r="F234" s="320" t="str">
        <f t="shared" si="226"/>
        <v xml:space="preserve"> </v>
      </c>
      <c r="G234" s="298"/>
      <c r="H234" s="298"/>
      <c r="I234" s="298"/>
      <c r="J234" s="298"/>
      <c r="K234" s="298"/>
      <c r="L234" s="299"/>
      <c r="M234" s="285"/>
      <c r="N234" s="274"/>
      <c r="O234" s="314"/>
      <c r="P234" s="307" t="str">
        <f>IFERROR(VLOOKUP(O234,Références!$K$11:$N$19,2)," ")</f>
        <v xml:space="preserve"> </v>
      </c>
      <c r="Q234" s="307" t="str">
        <f>IFERROR(VLOOKUP(O234,Références!$K$11:$N$19,3)," ")</f>
        <v xml:space="preserve"> </v>
      </c>
      <c r="R234" s="307" t="str">
        <f>IFERROR(VLOOKUP(O234,Références!$K$11:$N$19,4)," ")</f>
        <v xml:space="preserve"> </v>
      </c>
      <c r="S234" s="298"/>
      <c r="T234" s="298"/>
      <c r="U234" s="298"/>
      <c r="V234" s="298"/>
      <c r="W234" s="298"/>
      <c r="X234" s="299"/>
      <c r="Y234" s="298"/>
      <c r="Z234" s="298"/>
      <c r="AA234" s="298"/>
      <c r="AB234" s="277"/>
      <c r="AC234" s="277"/>
      <c r="AD234" s="277"/>
      <c r="AE234" s="277"/>
      <c r="AF234" s="277"/>
      <c r="AG234" s="277"/>
      <c r="AH234" s="277"/>
      <c r="AI234" s="277">
        <f t="shared" si="327"/>
        <v>0</v>
      </c>
      <c r="AJ234" s="299"/>
      <c r="AK234" s="298">
        <f t="shared" si="328"/>
        <v>0</v>
      </c>
      <c r="AL234" s="299"/>
      <c r="AM234" s="308">
        <f t="shared" si="329"/>
        <v>0</v>
      </c>
      <c r="AN234" s="298"/>
      <c r="AO234" s="318"/>
      <c r="AP234" s="303" t="str">
        <f t="shared" si="227"/>
        <v xml:space="preserve"> </v>
      </c>
      <c r="AQ234" s="298"/>
      <c r="AR234" s="337"/>
      <c r="AS234" s="337"/>
      <c r="AT234" s="305"/>
      <c r="AU234" s="319"/>
      <c r="AV234" s="305"/>
      <c r="AW234" s="272"/>
      <c r="AX234" s="342"/>
      <c r="AY234" s="343"/>
      <c r="AZ234" s="342"/>
      <c r="BA234" s="342"/>
      <c r="BB234" s="337"/>
      <c r="BC234" s="270">
        <f t="shared" si="330"/>
        <v>0</v>
      </c>
      <c r="BD234" s="270">
        <f t="shared" si="331"/>
        <v>0</v>
      </c>
      <c r="BE234" s="270">
        <f t="shared" si="332"/>
        <v>1</v>
      </c>
      <c r="BF234" s="270" t="str">
        <f t="shared" si="333"/>
        <v>ALIVE</v>
      </c>
      <c r="BG234" s="250" t="str">
        <f t="shared" si="334"/>
        <v>Aucune</v>
      </c>
      <c r="BH234" s="250" t="str">
        <f t="shared" si="335"/>
        <v>Aucune</v>
      </c>
      <c r="BI234" s="250" t="str">
        <f t="shared" si="336"/>
        <v>Aucune</v>
      </c>
      <c r="BJ234" s="250" t="str">
        <f t="shared" si="337"/>
        <v>NON</v>
      </c>
      <c r="BK234" s="250" t="str">
        <f t="shared" si="338"/>
        <v>NON</v>
      </c>
      <c r="BL234" s="250" t="str">
        <f t="shared" si="339"/>
        <v>Inconnu</v>
      </c>
      <c r="BM234" s="250" t="str">
        <f t="shared" si="340"/>
        <v>Inconnu</v>
      </c>
      <c r="BN234" s="250" t="str">
        <f t="shared" si="341"/>
        <v>Inconnu</v>
      </c>
      <c r="BO234" s="250" t="str">
        <f t="shared" si="342"/>
        <v>Inconnu</v>
      </c>
      <c r="BP234" s="250" t="str">
        <f t="shared" si="343"/>
        <v>Inconnu</v>
      </c>
      <c r="BQ234" s="250" t="str">
        <f t="shared" si="344"/>
        <v>Inconnu</v>
      </c>
      <c r="BR234" s="250" t="str">
        <f t="shared" si="345"/>
        <v>Aucune</v>
      </c>
      <c r="BS234" s="250">
        <f t="shared" si="346"/>
        <v>0</v>
      </c>
      <c r="BT234" s="271" t="e">
        <f>VLOOKUP($I234,Lieu_Activité!$A:$B,2,FALSE)</f>
        <v>#N/A</v>
      </c>
      <c r="BU234" s="250" t="str">
        <f t="shared" si="347"/>
        <v>Aucun</v>
      </c>
      <c r="BV234" s="250" t="str">
        <f t="shared" si="348"/>
        <v>Aucun</v>
      </c>
      <c r="BW234" s="249" t="str">
        <f t="shared" si="349"/>
        <v>NON</v>
      </c>
      <c r="BX234" s="330"/>
    </row>
    <row r="235" spans="1:170" s="1" customFormat="1" ht="12.75" customHeight="1" x14ac:dyDescent="0.2">
      <c r="A235" s="273" t="s">
        <v>257</v>
      </c>
      <c r="B235" s="276"/>
      <c r="C235" s="269"/>
      <c r="D235" s="299"/>
      <c r="E235" s="320">
        <f t="shared" si="326"/>
        <v>0</v>
      </c>
      <c r="F235" s="320" t="str">
        <f t="shared" si="226"/>
        <v xml:space="preserve"> </v>
      </c>
      <c r="G235" s="298"/>
      <c r="H235" s="298"/>
      <c r="I235" s="298"/>
      <c r="J235" s="298"/>
      <c r="K235" s="298"/>
      <c r="L235" s="299"/>
      <c r="M235" s="285"/>
      <c r="N235" s="274"/>
      <c r="O235" s="274"/>
      <c r="P235" s="307" t="str">
        <f>IFERROR(VLOOKUP(O235,Références!$K$11:$N$19,2)," ")</f>
        <v xml:space="preserve"> </v>
      </c>
      <c r="Q235" s="307" t="str">
        <f>IFERROR(VLOOKUP(O235,Références!$K$11:$N$19,3)," ")</f>
        <v xml:space="preserve"> </v>
      </c>
      <c r="R235" s="307" t="str">
        <f>IFERROR(VLOOKUP(O235,Références!$K$11:$N$19,4)," ")</f>
        <v xml:space="preserve"> </v>
      </c>
      <c r="S235" s="298"/>
      <c r="T235" s="298"/>
      <c r="U235" s="298"/>
      <c r="V235" s="298"/>
      <c r="W235" s="298"/>
      <c r="X235" s="299"/>
      <c r="Y235" s="298"/>
      <c r="Z235" s="298"/>
      <c r="AA235" s="298"/>
      <c r="AB235" s="277"/>
      <c r="AC235" s="277"/>
      <c r="AD235" s="277"/>
      <c r="AE235" s="277"/>
      <c r="AF235" s="277"/>
      <c r="AG235" s="277"/>
      <c r="AH235" s="277"/>
      <c r="AI235" s="277">
        <f t="shared" si="327"/>
        <v>0</v>
      </c>
      <c r="AJ235" s="299"/>
      <c r="AK235" s="298">
        <f t="shared" si="328"/>
        <v>0</v>
      </c>
      <c r="AL235" s="299"/>
      <c r="AM235" s="308">
        <f t="shared" si="329"/>
        <v>0</v>
      </c>
      <c r="AN235" s="298"/>
      <c r="AO235" s="318"/>
      <c r="AP235" s="303" t="str">
        <f t="shared" si="227"/>
        <v xml:space="preserve"> </v>
      </c>
      <c r="AQ235" s="298"/>
      <c r="AR235" s="337"/>
      <c r="AS235" s="337"/>
      <c r="AT235" s="305"/>
      <c r="AU235" s="319"/>
      <c r="AV235" s="305"/>
      <c r="AW235" s="272"/>
      <c r="AX235" s="342"/>
      <c r="AY235" s="343"/>
      <c r="AZ235" s="272"/>
      <c r="BA235" s="342"/>
      <c r="BB235" s="337"/>
      <c r="BC235" s="270">
        <f t="shared" si="330"/>
        <v>0</v>
      </c>
      <c r="BD235" s="270">
        <f t="shared" si="331"/>
        <v>0</v>
      </c>
      <c r="BE235" s="270">
        <f t="shared" si="332"/>
        <v>1</v>
      </c>
      <c r="BF235" s="270" t="str">
        <f t="shared" si="333"/>
        <v>ALIVE</v>
      </c>
      <c r="BG235" s="250" t="str">
        <f t="shared" si="334"/>
        <v>Aucune</v>
      </c>
      <c r="BH235" s="250" t="str">
        <f t="shared" si="335"/>
        <v>Aucune</v>
      </c>
      <c r="BI235" s="250" t="str">
        <f t="shared" si="336"/>
        <v>Aucune</v>
      </c>
      <c r="BJ235" s="250" t="str">
        <f t="shared" si="337"/>
        <v>NON</v>
      </c>
      <c r="BK235" s="250" t="str">
        <f t="shared" si="338"/>
        <v>NON</v>
      </c>
      <c r="BL235" s="250" t="str">
        <f t="shared" si="339"/>
        <v>Inconnu</v>
      </c>
      <c r="BM235" s="250" t="str">
        <f t="shared" si="340"/>
        <v>Inconnu</v>
      </c>
      <c r="BN235" s="250" t="str">
        <f t="shared" si="341"/>
        <v>Inconnu</v>
      </c>
      <c r="BO235" s="250" t="str">
        <f t="shared" si="342"/>
        <v>Inconnu</v>
      </c>
      <c r="BP235" s="250" t="str">
        <f t="shared" si="343"/>
        <v>Inconnu</v>
      </c>
      <c r="BQ235" s="250" t="str">
        <f t="shared" si="344"/>
        <v>Inconnu</v>
      </c>
      <c r="BR235" s="250" t="str">
        <f t="shared" si="345"/>
        <v>Aucune</v>
      </c>
      <c r="BS235" s="250">
        <f t="shared" si="346"/>
        <v>0</v>
      </c>
      <c r="BT235" s="271" t="e">
        <f>VLOOKUP($I235,Lieu_Activité!$A:$B,2,FALSE)</f>
        <v>#N/A</v>
      </c>
      <c r="BU235" s="250" t="str">
        <f t="shared" si="347"/>
        <v>Aucun</v>
      </c>
      <c r="BV235" s="250" t="str">
        <f t="shared" si="348"/>
        <v>Aucun</v>
      </c>
      <c r="BW235" s="249" t="str">
        <f t="shared" si="349"/>
        <v>NON</v>
      </c>
      <c r="BX235" s="330"/>
      <c r="BY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</row>
    <row r="236" spans="1:170" ht="12" customHeight="1" x14ac:dyDescent="0.2">
      <c r="A236" s="273" t="s">
        <v>257</v>
      </c>
      <c r="B236" s="276"/>
      <c r="C236" s="269"/>
      <c r="D236" s="299"/>
      <c r="E236" s="320">
        <f t="shared" si="326"/>
        <v>0</v>
      </c>
      <c r="F236" s="320" t="str">
        <f t="shared" si="226"/>
        <v xml:space="preserve"> </v>
      </c>
      <c r="G236" s="298"/>
      <c r="H236" s="298"/>
      <c r="I236" s="298"/>
      <c r="J236" s="298"/>
      <c r="K236" s="298"/>
      <c r="L236" s="299"/>
      <c r="M236" s="285"/>
      <c r="N236" s="274"/>
      <c r="O236" s="307"/>
      <c r="P236" s="307" t="str">
        <f>IFERROR(VLOOKUP(O236,Références!$K$11:$N$19,2)," ")</f>
        <v xml:space="preserve"> </v>
      </c>
      <c r="Q236" s="307" t="str">
        <f>IFERROR(VLOOKUP(O236,Références!$K$11:$N$19,3)," ")</f>
        <v xml:space="preserve"> </v>
      </c>
      <c r="R236" s="307" t="str">
        <f>IFERROR(VLOOKUP(O236,Références!$K$11:$N$19,4)," ")</f>
        <v xml:space="preserve"> </v>
      </c>
      <c r="S236" s="298"/>
      <c r="T236" s="298"/>
      <c r="U236" s="298"/>
      <c r="V236" s="298"/>
      <c r="W236" s="298"/>
      <c r="X236" s="299"/>
      <c r="Y236" s="298"/>
      <c r="Z236" s="298"/>
      <c r="AA236" s="298"/>
      <c r="AB236" s="277"/>
      <c r="AC236" s="277"/>
      <c r="AD236" s="277"/>
      <c r="AE236" s="277"/>
      <c r="AF236" s="277"/>
      <c r="AG236" s="277"/>
      <c r="AH236" s="277"/>
      <c r="AI236" s="277">
        <f t="shared" si="327"/>
        <v>0</v>
      </c>
      <c r="AJ236" s="299"/>
      <c r="AK236" s="298">
        <f t="shared" si="328"/>
        <v>0</v>
      </c>
      <c r="AL236" s="299"/>
      <c r="AM236" s="308">
        <f t="shared" si="329"/>
        <v>0</v>
      </c>
      <c r="AN236" s="298"/>
      <c r="AO236" s="318"/>
      <c r="AP236" s="303" t="str">
        <f t="shared" si="227"/>
        <v xml:space="preserve"> </v>
      </c>
      <c r="AQ236" s="298"/>
      <c r="AR236" s="337"/>
      <c r="AS236" s="337"/>
      <c r="AT236" s="305"/>
      <c r="AU236" s="319"/>
      <c r="AV236" s="305"/>
      <c r="AW236" s="272"/>
      <c r="AX236" s="342"/>
      <c r="AY236" s="343"/>
      <c r="AZ236" s="272"/>
      <c r="BA236" s="342"/>
      <c r="BB236" s="337"/>
      <c r="BC236" s="270">
        <f t="shared" si="330"/>
        <v>0</v>
      </c>
      <c r="BD236" s="270">
        <f t="shared" si="331"/>
        <v>0</v>
      </c>
      <c r="BE236" s="270">
        <f t="shared" si="332"/>
        <v>1</v>
      </c>
      <c r="BF236" s="270" t="str">
        <f t="shared" si="333"/>
        <v>ALIVE</v>
      </c>
      <c r="BG236" s="250" t="str">
        <f t="shared" si="334"/>
        <v>Aucune</v>
      </c>
      <c r="BH236" s="250" t="str">
        <f t="shared" si="335"/>
        <v>Aucune</v>
      </c>
      <c r="BI236" s="250" t="str">
        <f t="shared" si="336"/>
        <v>Aucune</v>
      </c>
      <c r="BJ236" s="250" t="str">
        <f t="shared" si="337"/>
        <v>NON</v>
      </c>
      <c r="BK236" s="250" t="str">
        <f t="shared" si="338"/>
        <v>NON</v>
      </c>
      <c r="BL236" s="250" t="str">
        <f t="shared" si="339"/>
        <v>Inconnu</v>
      </c>
      <c r="BM236" s="250" t="str">
        <f t="shared" si="340"/>
        <v>Inconnu</v>
      </c>
      <c r="BN236" s="250" t="str">
        <f t="shared" si="341"/>
        <v>Inconnu</v>
      </c>
      <c r="BO236" s="250" t="str">
        <f t="shared" si="342"/>
        <v>Inconnu</v>
      </c>
      <c r="BP236" s="250" t="str">
        <f t="shared" si="343"/>
        <v>Inconnu</v>
      </c>
      <c r="BQ236" s="250" t="str">
        <f t="shared" si="344"/>
        <v>Inconnu</v>
      </c>
      <c r="BR236" s="250" t="str">
        <f t="shared" si="345"/>
        <v>Aucune</v>
      </c>
      <c r="BS236" s="250">
        <f t="shared" si="346"/>
        <v>0</v>
      </c>
      <c r="BT236" s="271" t="e">
        <f>VLOOKUP($I236,Lieu_Activité!$A:$B,2,FALSE)</f>
        <v>#N/A</v>
      </c>
      <c r="BU236" s="250" t="str">
        <f t="shared" si="347"/>
        <v>Aucun</v>
      </c>
      <c r="BV236" s="250" t="str">
        <f t="shared" si="348"/>
        <v>Aucun</v>
      </c>
      <c r="BW236" s="249" t="str">
        <f t="shared" si="349"/>
        <v>NON</v>
      </c>
      <c r="BX236" s="330"/>
    </row>
    <row r="237" spans="1:170" ht="12" customHeight="1" x14ac:dyDescent="0.2">
      <c r="A237" s="273" t="s">
        <v>257</v>
      </c>
      <c r="B237" s="276"/>
      <c r="C237" s="269"/>
      <c r="D237" s="299"/>
      <c r="E237" s="320">
        <f t="shared" si="326"/>
        <v>0</v>
      </c>
      <c r="F237" s="320" t="str">
        <f t="shared" si="226"/>
        <v xml:space="preserve"> </v>
      </c>
      <c r="G237" s="298"/>
      <c r="H237" s="298"/>
      <c r="I237" s="298"/>
      <c r="J237" s="298"/>
      <c r="K237" s="298"/>
      <c r="L237" s="299"/>
      <c r="M237" s="285"/>
      <c r="N237" s="274"/>
      <c r="O237" s="274"/>
      <c r="P237" s="307" t="str">
        <f>IFERROR(VLOOKUP(O237,Références!$K$11:$N$19,2)," ")</f>
        <v xml:space="preserve"> </v>
      </c>
      <c r="Q237" s="307" t="str">
        <f>IFERROR(VLOOKUP(O237,Références!$K$11:$N$19,3)," ")</f>
        <v xml:space="preserve"> </v>
      </c>
      <c r="R237" s="307" t="str">
        <f>IFERROR(VLOOKUP(O237,Références!$K$11:$N$19,4)," ")</f>
        <v xml:space="preserve"> </v>
      </c>
      <c r="S237" s="298"/>
      <c r="T237" s="298"/>
      <c r="U237" s="298"/>
      <c r="V237" s="298"/>
      <c r="W237" s="298"/>
      <c r="X237" s="299"/>
      <c r="Y237" s="298"/>
      <c r="Z237" s="298"/>
      <c r="AA237" s="298"/>
      <c r="AB237" s="277"/>
      <c r="AC237" s="277"/>
      <c r="AD237" s="277"/>
      <c r="AE237" s="277"/>
      <c r="AF237" s="277"/>
      <c r="AG237" s="277"/>
      <c r="AH237" s="277"/>
      <c r="AI237" s="277">
        <f t="shared" si="327"/>
        <v>0</v>
      </c>
      <c r="AJ237" s="299"/>
      <c r="AK237" s="298">
        <f t="shared" si="328"/>
        <v>0</v>
      </c>
      <c r="AL237" s="299"/>
      <c r="AM237" s="308">
        <f t="shared" si="329"/>
        <v>0</v>
      </c>
      <c r="AN237" s="298"/>
      <c r="AO237" s="318"/>
      <c r="AP237" s="303" t="str">
        <f t="shared" si="227"/>
        <v xml:space="preserve"> </v>
      </c>
      <c r="AQ237" s="298"/>
      <c r="AR237" s="337"/>
      <c r="AS237" s="337"/>
      <c r="AT237" s="305"/>
      <c r="AU237" s="319"/>
      <c r="AV237" s="305"/>
      <c r="AW237" s="272"/>
      <c r="AX237" s="342"/>
      <c r="AY237" s="343"/>
      <c r="AZ237" s="272"/>
      <c r="BA237" s="342"/>
      <c r="BB237" s="337"/>
      <c r="BC237" s="270">
        <f t="shared" si="330"/>
        <v>0</v>
      </c>
      <c r="BD237" s="270">
        <f t="shared" si="331"/>
        <v>0</v>
      </c>
      <c r="BE237" s="270">
        <f t="shared" si="332"/>
        <v>1</v>
      </c>
      <c r="BF237" s="270" t="str">
        <f t="shared" si="333"/>
        <v>ALIVE</v>
      </c>
      <c r="BG237" s="250" t="str">
        <f t="shared" si="334"/>
        <v>Aucune</v>
      </c>
      <c r="BH237" s="250" t="str">
        <f t="shared" si="335"/>
        <v>Aucune</v>
      </c>
      <c r="BI237" s="250" t="str">
        <f t="shared" si="336"/>
        <v>Aucune</v>
      </c>
      <c r="BJ237" s="250" t="str">
        <f t="shared" si="337"/>
        <v>NON</v>
      </c>
      <c r="BK237" s="250" t="str">
        <f t="shared" si="338"/>
        <v>NON</v>
      </c>
      <c r="BL237" s="250" t="str">
        <f t="shared" si="339"/>
        <v>Inconnu</v>
      </c>
      <c r="BM237" s="250" t="str">
        <f t="shared" si="340"/>
        <v>Inconnu</v>
      </c>
      <c r="BN237" s="250" t="str">
        <f t="shared" si="341"/>
        <v>Inconnu</v>
      </c>
      <c r="BO237" s="250" t="str">
        <f t="shared" si="342"/>
        <v>Inconnu</v>
      </c>
      <c r="BP237" s="250" t="str">
        <f t="shared" si="343"/>
        <v>Inconnu</v>
      </c>
      <c r="BQ237" s="250" t="str">
        <f t="shared" si="344"/>
        <v>Inconnu</v>
      </c>
      <c r="BR237" s="250" t="str">
        <f t="shared" si="345"/>
        <v>Aucune</v>
      </c>
      <c r="BS237" s="250">
        <f t="shared" si="346"/>
        <v>0</v>
      </c>
      <c r="BT237" s="271" t="e">
        <f>VLOOKUP($I237,Lieu_Activité!$A:$B,2,FALSE)</f>
        <v>#N/A</v>
      </c>
      <c r="BU237" s="250" t="str">
        <f t="shared" si="347"/>
        <v>Aucun</v>
      </c>
      <c r="BV237" s="250" t="str">
        <f t="shared" si="348"/>
        <v>Aucun</v>
      </c>
      <c r="BW237" s="249" t="str">
        <f t="shared" si="349"/>
        <v>NON</v>
      </c>
      <c r="BX237" s="330"/>
    </row>
    <row r="238" spans="1:170" ht="12.75" customHeight="1" x14ac:dyDescent="0.2">
      <c r="A238" s="273" t="s">
        <v>257</v>
      </c>
      <c r="B238" s="276"/>
      <c r="C238" s="269"/>
      <c r="D238" s="299"/>
      <c r="E238" s="320">
        <f t="shared" si="326"/>
        <v>0</v>
      </c>
      <c r="F238" s="320" t="str">
        <f t="shared" si="226"/>
        <v xml:space="preserve"> </v>
      </c>
      <c r="G238" s="298"/>
      <c r="H238" s="298"/>
      <c r="I238" s="298"/>
      <c r="J238" s="298"/>
      <c r="K238" s="298"/>
      <c r="L238" s="299"/>
      <c r="M238" s="285"/>
      <c r="N238" s="274"/>
      <c r="O238" s="274"/>
      <c r="P238" s="307" t="str">
        <f>IFERROR(VLOOKUP(O238,Références!$K$11:$N$19,2)," ")</f>
        <v xml:space="preserve"> </v>
      </c>
      <c r="Q238" s="307" t="str">
        <f>IFERROR(VLOOKUP(O238,Références!$K$11:$N$19,3)," ")</f>
        <v xml:space="preserve"> </v>
      </c>
      <c r="R238" s="307" t="str">
        <f>IFERROR(VLOOKUP(O238,Références!$K$11:$N$19,4)," ")</f>
        <v xml:space="preserve"> </v>
      </c>
      <c r="S238" s="298"/>
      <c r="T238" s="298"/>
      <c r="U238" s="298"/>
      <c r="V238" s="298"/>
      <c r="W238" s="298"/>
      <c r="X238" s="299"/>
      <c r="Y238" s="298"/>
      <c r="Z238" s="298"/>
      <c r="AA238" s="298"/>
      <c r="AB238" s="277"/>
      <c r="AC238" s="277"/>
      <c r="AD238" s="277"/>
      <c r="AE238" s="277"/>
      <c r="AF238" s="277"/>
      <c r="AG238" s="277"/>
      <c r="AH238" s="277"/>
      <c r="AI238" s="277">
        <f t="shared" si="327"/>
        <v>0</v>
      </c>
      <c r="AJ238" s="299"/>
      <c r="AK238" s="298">
        <f t="shared" si="328"/>
        <v>0</v>
      </c>
      <c r="AL238" s="299"/>
      <c r="AM238" s="308">
        <f t="shared" si="329"/>
        <v>0</v>
      </c>
      <c r="AN238" s="298"/>
      <c r="AO238" s="318"/>
      <c r="AP238" s="303" t="str">
        <f t="shared" si="227"/>
        <v xml:space="preserve"> </v>
      </c>
      <c r="AQ238" s="298"/>
      <c r="AR238" s="337"/>
      <c r="AS238" s="337"/>
      <c r="AT238" s="305"/>
      <c r="AU238" s="319"/>
      <c r="AV238" s="305"/>
      <c r="AW238" s="272"/>
      <c r="AX238" s="342"/>
      <c r="AY238" s="343"/>
      <c r="AZ238" s="342"/>
      <c r="BA238" s="342"/>
      <c r="BB238" s="337"/>
      <c r="BC238" s="270">
        <f t="shared" si="330"/>
        <v>0</v>
      </c>
      <c r="BD238" s="270">
        <f t="shared" si="331"/>
        <v>0</v>
      </c>
      <c r="BE238" s="270">
        <f t="shared" si="332"/>
        <v>1</v>
      </c>
      <c r="BF238" s="270" t="str">
        <f t="shared" si="333"/>
        <v>ALIVE</v>
      </c>
      <c r="BG238" s="250" t="str">
        <f t="shared" si="334"/>
        <v>Aucune</v>
      </c>
      <c r="BH238" s="250" t="str">
        <f t="shared" si="335"/>
        <v>Aucune</v>
      </c>
      <c r="BI238" s="250" t="str">
        <f t="shared" si="336"/>
        <v>Aucune</v>
      </c>
      <c r="BJ238" s="250" t="str">
        <f t="shared" si="337"/>
        <v>NON</v>
      </c>
      <c r="BK238" s="250" t="str">
        <f t="shared" si="338"/>
        <v>NON</v>
      </c>
      <c r="BL238" s="250" t="str">
        <f t="shared" si="339"/>
        <v>Inconnu</v>
      </c>
      <c r="BM238" s="250" t="str">
        <f t="shared" si="340"/>
        <v>Inconnu</v>
      </c>
      <c r="BN238" s="250" t="str">
        <f t="shared" si="341"/>
        <v>Inconnu</v>
      </c>
      <c r="BO238" s="250" t="str">
        <f t="shared" si="342"/>
        <v>Inconnu</v>
      </c>
      <c r="BP238" s="250" t="str">
        <f t="shared" si="343"/>
        <v>Inconnu</v>
      </c>
      <c r="BQ238" s="250" t="str">
        <f t="shared" si="344"/>
        <v>Inconnu</v>
      </c>
      <c r="BR238" s="250" t="str">
        <f t="shared" si="345"/>
        <v>Aucune</v>
      </c>
      <c r="BS238" s="250">
        <f t="shared" si="346"/>
        <v>0</v>
      </c>
      <c r="BT238" s="271" t="e">
        <f>VLOOKUP($I238,Lieu_Activité!$A:$B,2,FALSE)</f>
        <v>#N/A</v>
      </c>
      <c r="BU238" s="250" t="str">
        <f t="shared" si="347"/>
        <v>Aucun</v>
      </c>
      <c r="BV238" s="250" t="str">
        <f t="shared" si="348"/>
        <v>Aucun</v>
      </c>
      <c r="BW238" s="249" t="str">
        <f t="shared" si="349"/>
        <v>NON</v>
      </c>
      <c r="BX238" s="330"/>
    </row>
    <row r="239" spans="1:170" ht="12" customHeight="1" x14ac:dyDescent="0.2">
      <c r="A239" s="273" t="s">
        <v>257</v>
      </c>
      <c r="B239" s="276"/>
      <c r="C239" s="269"/>
      <c r="D239" s="299"/>
      <c r="E239" s="320">
        <f t="shared" si="326"/>
        <v>0</v>
      </c>
      <c r="F239" s="320" t="str">
        <f t="shared" si="226"/>
        <v xml:space="preserve"> </v>
      </c>
      <c r="G239" s="298"/>
      <c r="H239" s="298"/>
      <c r="I239" s="298"/>
      <c r="J239" s="298"/>
      <c r="K239" s="298"/>
      <c r="L239" s="299"/>
      <c r="M239" s="285"/>
      <c r="N239" s="274"/>
      <c r="O239" s="274"/>
      <c r="P239" s="307" t="str">
        <f>IFERROR(VLOOKUP(O239,Références!$K$11:$N$19,2)," ")</f>
        <v xml:space="preserve"> </v>
      </c>
      <c r="Q239" s="307" t="str">
        <f>IFERROR(VLOOKUP(O239,Références!$K$11:$N$19,3)," ")</f>
        <v xml:space="preserve"> </v>
      </c>
      <c r="R239" s="307" t="str">
        <f>IFERROR(VLOOKUP(O239,Références!$K$11:$N$19,4)," ")</f>
        <v xml:space="preserve"> </v>
      </c>
      <c r="S239" s="298"/>
      <c r="T239" s="298"/>
      <c r="U239" s="298"/>
      <c r="V239" s="298"/>
      <c r="W239" s="298"/>
      <c r="X239" s="299"/>
      <c r="Y239" s="298"/>
      <c r="Z239" s="298"/>
      <c r="AA239" s="298"/>
      <c r="AB239" s="277"/>
      <c r="AC239" s="277"/>
      <c r="AD239" s="277"/>
      <c r="AE239" s="277"/>
      <c r="AF239" s="277"/>
      <c r="AG239" s="277"/>
      <c r="AH239" s="277"/>
      <c r="AI239" s="277">
        <f t="shared" si="327"/>
        <v>0</v>
      </c>
      <c r="AJ239" s="299"/>
      <c r="AK239" s="298">
        <f t="shared" si="328"/>
        <v>0</v>
      </c>
      <c r="AL239" s="299"/>
      <c r="AM239" s="308">
        <f t="shared" si="329"/>
        <v>0</v>
      </c>
      <c r="AN239" s="298"/>
      <c r="AO239" s="318"/>
      <c r="AP239" s="303" t="str">
        <f t="shared" si="227"/>
        <v xml:space="preserve"> </v>
      </c>
      <c r="AQ239" s="298"/>
      <c r="AR239" s="337"/>
      <c r="AS239" s="337"/>
      <c r="AT239" s="305"/>
      <c r="AU239" s="319"/>
      <c r="AV239" s="305"/>
      <c r="AW239" s="272"/>
      <c r="AX239" s="342"/>
      <c r="AY239" s="343"/>
      <c r="AZ239" s="272"/>
      <c r="BA239" s="342"/>
      <c r="BB239" s="337"/>
      <c r="BC239" s="270">
        <f t="shared" si="330"/>
        <v>0</v>
      </c>
      <c r="BD239" s="270">
        <f t="shared" si="331"/>
        <v>0</v>
      </c>
      <c r="BE239" s="270">
        <f t="shared" si="332"/>
        <v>1</v>
      </c>
      <c r="BF239" s="270" t="str">
        <f t="shared" si="333"/>
        <v>ALIVE</v>
      </c>
      <c r="BG239" s="250" t="str">
        <f t="shared" si="334"/>
        <v>Aucune</v>
      </c>
      <c r="BH239" s="250" t="str">
        <f t="shared" si="335"/>
        <v>Aucune</v>
      </c>
      <c r="BI239" s="250" t="str">
        <f t="shared" si="336"/>
        <v>Aucune</v>
      </c>
      <c r="BJ239" s="250" t="str">
        <f t="shared" si="337"/>
        <v>NON</v>
      </c>
      <c r="BK239" s="250" t="str">
        <f t="shared" si="338"/>
        <v>NON</v>
      </c>
      <c r="BL239" s="250" t="str">
        <f t="shared" si="339"/>
        <v>Inconnu</v>
      </c>
      <c r="BM239" s="250" t="str">
        <f t="shared" si="340"/>
        <v>Inconnu</v>
      </c>
      <c r="BN239" s="250" t="str">
        <f t="shared" si="341"/>
        <v>Inconnu</v>
      </c>
      <c r="BO239" s="250" t="str">
        <f t="shared" si="342"/>
        <v>Inconnu</v>
      </c>
      <c r="BP239" s="250" t="str">
        <f t="shared" si="343"/>
        <v>Inconnu</v>
      </c>
      <c r="BQ239" s="250" t="str">
        <f t="shared" si="344"/>
        <v>Inconnu</v>
      </c>
      <c r="BR239" s="250" t="str">
        <f t="shared" si="345"/>
        <v>Aucune</v>
      </c>
      <c r="BS239" s="250">
        <f t="shared" si="346"/>
        <v>0</v>
      </c>
      <c r="BT239" s="271" t="e">
        <f>VLOOKUP($I239,Lieu_Activité!$A:$B,2,FALSE)</f>
        <v>#N/A</v>
      </c>
      <c r="BU239" s="250" t="str">
        <f t="shared" si="347"/>
        <v>Aucun</v>
      </c>
      <c r="BV239" s="250" t="str">
        <f t="shared" si="348"/>
        <v>Aucun</v>
      </c>
      <c r="BW239" s="249" t="str">
        <f t="shared" si="349"/>
        <v>NON</v>
      </c>
      <c r="BX239" s="330"/>
    </row>
    <row r="240" spans="1:170" ht="12" customHeight="1" x14ac:dyDescent="0.2">
      <c r="A240" s="273" t="s">
        <v>257</v>
      </c>
      <c r="B240" s="276"/>
      <c r="C240" s="269"/>
      <c r="D240" s="299"/>
      <c r="E240" s="320">
        <f t="shared" si="326"/>
        <v>0</v>
      </c>
      <c r="F240" s="320" t="str">
        <f t="shared" si="226"/>
        <v xml:space="preserve"> </v>
      </c>
      <c r="G240" s="298"/>
      <c r="H240" s="298"/>
      <c r="I240" s="298"/>
      <c r="J240" s="298"/>
      <c r="K240" s="298"/>
      <c r="L240" s="299"/>
      <c r="M240" s="285"/>
      <c r="N240" s="274"/>
      <c r="O240" s="274"/>
      <c r="P240" s="307" t="str">
        <f>IFERROR(VLOOKUP(O240,Références!$K$11:$N$19,2)," ")</f>
        <v xml:space="preserve"> </v>
      </c>
      <c r="Q240" s="307" t="str">
        <f>IFERROR(VLOOKUP(O240,Références!$K$11:$N$19,3)," ")</f>
        <v xml:space="preserve"> </v>
      </c>
      <c r="R240" s="307" t="str">
        <f>IFERROR(VLOOKUP(O240,Références!$K$11:$N$19,4)," ")</f>
        <v xml:space="preserve"> </v>
      </c>
      <c r="S240" s="298"/>
      <c r="T240" s="298"/>
      <c r="U240" s="298"/>
      <c r="V240" s="298"/>
      <c r="W240" s="298"/>
      <c r="X240" s="299"/>
      <c r="Y240" s="298"/>
      <c r="Z240" s="298"/>
      <c r="AA240" s="298"/>
      <c r="AB240" s="277"/>
      <c r="AC240" s="277"/>
      <c r="AD240" s="277"/>
      <c r="AE240" s="277"/>
      <c r="AF240" s="277"/>
      <c r="AG240" s="277"/>
      <c r="AH240" s="277"/>
      <c r="AI240" s="277">
        <f t="shared" si="327"/>
        <v>0</v>
      </c>
      <c r="AJ240" s="299"/>
      <c r="AK240" s="298">
        <f t="shared" si="328"/>
        <v>0</v>
      </c>
      <c r="AL240" s="299"/>
      <c r="AM240" s="308">
        <f t="shared" si="329"/>
        <v>0</v>
      </c>
      <c r="AN240" s="298"/>
      <c r="AO240" s="318"/>
      <c r="AP240" s="303" t="str">
        <f t="shared" si="227"/>
        <v xml:space="preserve"> </v>
      </c>
      <c r="AQ240" s="298"/>
      <c r="AR240" s="337"/>
      <c r="AS240" s="337"/>
      <c r="AT240" s="305"/>
      <c r="AU240" s="319"/>
      <c r="AV240" s="305"/>
      <c r="AW240" s="272"/>
      <c r="AX240" s="342"/>
      <c r="AY240" s="343"/>
      <c r="AZ240" s="272"/>
      <c r="BA240" s="342"/>
      <c r="BB240" s="337"/>
      <c r="BC240" s="270">
        <f t="shared" si="330"/>
        <v>0</v>
      </c>
      <c r="BD240" s="270">
        <f t="shared" si="331"/>
        <v>0</v>
      </c>
      <c r="BE240" s="270">
        <f t="shared" si="332"/>
        <v>1</v>
      </c>
      <c r="BF240" s="270" t="str">
        <f t="shared" si="333"/>
        <v>ALIVE</v>
      </c>
      <c r="BG240" s="250" t="str">
        <f t="shared" si="334"/>
        <v>Aucune</v>
      </c>
      <c r="BH240" s="250" t="str">
        <f t="shared" si="335"/>
        <v>Aucune</v>
      </c>
      <c r="BI240" s="250" t="str">
        <f t="shared" si="336"/>
        <v>Aucune</v>
      </c>
      <c r="BJ240" s="250" t="str">
        <f t="shared" si="337"/>
        <v>NON</v>
      </c>
      <c r="BK240" s="250" t="str">
        <f t="shared" si="338"/>
        <v>NON</v>
      </c>
      <c r="BL240" s="250" t="str">
        <f t="shared" si="339"/>
        <v>Inconnu</v>
      </c>
      <c r="BM240" s="250" t="str">
        <f t="shared" si="340"/>
        <v>Inconnu</v>
      </c>
      <c r="BN240" s="250" t="str">
        <f t="shared" si="341"/>
        <v>Inconnu</v>
      </c>
      <c r="BO240" s="250" t="str">
        <f t="shared" si="342"/>
        <v>Inconnu</v>
      </c>
      <c r="BP240" s="250" t="str">
        <f t="shared" si="343"/>
        <v>Inconnu</v>
      </c>
      <c r="BQ240" s="250" t="str">
        <f t="shared" si="344"/>
        <v>Inconnu</v>
      </c>
      <c r="BR240" s="250" t="str">
        <f t="shared" si="345"/>
        <v>Aucune</v>
      </c>
      <c r="BS240" s="250">
        <f t="shared" si="346"/>
        <v>0</v>
      </c>
      <c r="BT240" s="271" t="e">
        <f>VLOOKUP($I240,Lieu_Activité!$A:$B,2,FALSE)</f>
        <v>#N/A</v>
      </c>
      <c r="BU240" s="250" t="str">
        <f t="shared" si="347"/>
        <v>Aucun</v>
      </c>
      <c r="BV240" s="250" t="str">
        <f t="shared" si="348"/>
        <v>Aucun</v>
      </c>
      <c r="BW240" s="249" t="str">
        <f t="shared" si="349"/>
        <v>NON</v>
      </c>
      <c r="BX240" s="330"/>
    </row>
    <row r="241" spans="1:170" ht="12" customHeight="1" x14ac:dyDescent="0.2">
      <c r="A241" s="273" t="s">
        <v>257</v>
      </c>
      <c r="B241" s="310"/>
      <c r="C241" s="269"/>
      <c r="D241" s="299"/>
      <c r="E241" s="320">
        <f t="shared" si="326"/>
        <v>0</v>
      </c>
      <c r="F241" s="320" t="str">
        <f t="shared" si="226"/>
        <v xml:space="preserve"> </v>
      </c>
      <c r="G241" s="298"/>
      <c r="H241" s="298"/>
      <c r="I241" s="298"/>
      <c r="J241" s="298"/>
      <c r="K241" s="298"/>
      <c r="L241" s="299"/>
      <c r="M241" s="285"/>
      <c r="N241" s="274"/>
      <c r="O241" s="274"/>
      <c r="P241" s="307" t="str">
        <f>IFERROR(VLOOKUP(O241,Références!$K$11:$N$19,2)," ")</f>
        <v xml:space="preserve"> </v>
      </c>
      <c r="Q241" s="307" t="str">
        <f>IFERROR(VLOOKUP(O241,Références!$K$11:$N$19,3)," ")</f>
        <v xml:space="preserve"> </v>
      </c>
      <c r="R241" s="307" t="str">
        <f>IFERROR(VLOOKUP(O241,Références!$K$11:$N$19,4)," ")</f>
        <v xml:space="preserve"> </v>
      </c>
      <c r="S241" s="298"/>
      <c r="T241" s="298"/>
      <c r="U241" s="298"/>
      <c r="V241" s="298"/>
      <c r="W241" s="298"/>
      <c r="X241" s="299"/>
      <c r="Y241" s="298"/>
      <c r="Z241" s="298"/>
      <c r="AA241" s="298"/>
      <c r="AB241" s="277"/>
      <c r="AC241" s="277"/>
      <c r="AD241" s="277"/>
      <c r="AE241" s="277"/>
      <c r="AF241" s="277"/>
      <c r="AG241" s="277"/>
      <c r="AH241" s="277"/>
      <c r="AI241" s="277">
        <f t="shared" si="327"/>
        <v>0</v>
      </c>
      <c r="AJ241" s="299"/>
      <c r="AK241" s="298">
        <f t="shared" si="328"/>
        <v>0</v>
      </c>
      <c r="AL241" s="299"/>
      <c r="AM241" s="308">
        <f t="shared" si="329"/>
        <v>0</v>
      </c>
      <c r="AN241" s="298"/>
      <c r="AO241" s="318"/>
      <c r="AP241" s="303" t="str">
        <f t="shared" si="227"/>
        <v xml:space="preserve"> </v>
      </c>
      <c r="AQ241" s="298"/>
      <c r="AR241" s="337"/>
      <c r="AS241" s="337"/>
      <c r="AT241" s="305"/>
      <c r="AU241" s="319"/>
      <c r="AV241" s="305"/>
      <c r="AW241" s="272"/>
      <c r="AX241" s="342"/>
      <c r="AY241" s="343"/>
      <c r="AZ241" s="272"/>
      <c r="BA241" s="344" t="s">
        <v>246</v>
      </c>
      <c r="BB241" s="337"/>
      <c r="BC241" s="270">
        <f t="shared" si="330"/>
        <v>0</v>
      </c>
      <c r="BD241" s="270">
        <f t="shared" si="331"/>
        <v>0</v>
      </c>
      <c r="BE241" s="270">
        <f t="shared" si="332"/>
        <v>1</v>
      </c>
      <c r="BF241" s="270" t="str">
        <f t="shared" si="333"/>
        <v>ALIVE</v>
      </c>
      <c r="BG241" s="250" t="str">
        <f t="shared" si="334"/>
        <v>Aucune</v>
      </c>
      <c r="BH241" s="250" t="str">
        <f t="shared" si="335"/>
        <v>Aucune</v>
      </c>
      <c r="BI241" s="250" t="str">
        <f t="shared" si="336"/>
        <v>Aucune</v>
      </c>
      <c r="BJ241" s="250" t="str">
        <f t="shared" si="337"/>
        <v>NON</v>
      </c>
      <c r="BK241" s="250" t="str">
        <f t="shared" si="338"/>
        <v>NON</v>
      </c>
      <c r="BL241" s="250" t="str">
        <f t="shared" si="339"/>
        <v>Inconnu</v>
      </c>
      <c r="BM241" s="250" t="str">
        <f t="shared" si="340"/>
        <v>Inconnu</v>
      </c>
      <c r="BN241" s="250" t="str">
        <f t="shared" si="341"/>
        <v>Inconnu</v>
      </c>
      <c r="BO241" s="250" t="str">
        <f t="shared" si="342"/>
        <v>Inconnu</v>
      </c>
      <c r="BP241" s="250" t="str">
        <f t="shared" si="343"/>
        <v>Inconnu</v>
      </c>
      <c r="BQ241" s="250" t="str">
        <f t="shared" si="344"/>
        <v>Inconnu</v>
      </c>
      <c r="BR241" s="250" t="str">
        <f t="shared" si="345"/>
        <v>Aucune</v>
      </c>
      <c r="BS241" s="250">
        <f t="shared" si="346"/>
        <v>0</v>
      </c>
      <c r="BT241" s="271" t="e">
        <f>VLOOKUP($I241,Lieu_Activité!$A:$B,2,FALSE)</f>
        <v>#N/A</v>
      </c>
      <c r="BU241" s="250" t="str">
        <f t="shared" si="347"/>
        <v>Aucun</v>
      </c>
      <c r="BV241" s="250" t="str">
        <f t="shared" si="348"/>
        <v>Aucun</v>
      </c>
      <c r="BW241" s="249" t="str">
        <f t="shared" si="349"/>
        <v>NON</v>
      </c>
      <c r="BX241" s="330"/>
    </row>
    <row r="242" spans="1:170" s="1" customFormat="1" ht="12.75" customHeight="1" x14ac:dyDescent="0.2">
      <c r="A242" s="273" t="s">
        <v>257</v>
      </c>
      <c r="B242" s="276"/>
      <c r="C242" s="269"/>
      <c r="D242" s="299"/>
      <c r="E242" s="320">
        <f t="shared" si="326"/>
        <v>0</v>
      </c>
      <c r="F242" s="320" t="str">
        <f t="shared" si="226"/>
        <v xml:space="preserve"> </v>
      </c>
      <c r="G242" s="298"/>
      <c r="H242" s="298"/>
      <c r="I242" s="298"/>
      <c r="J242" s="298"/>
      <c r="K242" s="298"/>
      <c r="L242" s="299"/>
      <c r="M242" s="285"/>
      <c r="N242" s="274"/>
      <c r="O242" s="274"/>
      <c r="P242" s="307" t="str">
        <f>IFERROR(VLOOKUP(O242,Références!$K$11:$N$19,2)," ")</f>
        <v xml:space="preserve"> </v>
      </c>
      <c r="Q242" s="307" t="str">
        <f>IFERROR(VLOOKUP(O242,Références!$K$11:$N$19,3)," ")</f>
        <v xml:space="preserve"> </v>
      </c>
      <c r="R242" s="307" t="str">
        <f>IFERROR(VLOOKUP(O242,Références!$K$11:$N$19,4)," ")</f>
        <v xml:space="preserve"> </v>
      </c>
      <c r="S242" s="298"/>
      <c r="T242" s="298"/>
      <c r="U242" s="298"/>
      <c r="V242" s="298"/>
      <c r="W242" s="298"/>
      <c r="X242" s="299"/>
      <c r="Y242" s="298"/>
      <c r="Z242" s="298"/>
      <c r="AA242" s="298"/>
      <c r="AB242" s="277"/>
      <c r="AC242" s="277"/>
      <c r="AD242" s="277"/>
      <c r="AE242" s="277"/>
      <c r="AF242" s="277"/>
      <c r="AG242" s="277"/>
      <c r="AH242" s="277"/>
      <c r="AI242" s="277">
        <f t="shared" si="327"/>
        <v>0</v>
      </c>
      <c r="AJ242" s="299"/>
      <c r="AK242" s="298">
        <f t="shared" si="328"/>
        <v>0</v>
      </c>
      <c r="AL242" s="299"/>
      <c r="AM242" s="308">
        <f t="shared" si="329"/>
        <v>0</v>
      </c>
      <c r="AN242" s="298"/>
      <c r="AO242" s="318"/>
      <c r="AP242" s="303" t="str">
        <f t="shared" si="227"/>
        <v xml:space="preserve"> </v>
      </c>
      <c r="AQ242" s="298"/>
      <c r="AR242" s="337"/>
      <c r="AS242" s="337"/>
      <c r="AT242" s="305"/>
      <c r="AU242" s="319"/>
      <c r="AV242" s="305"/>
      <c r="AW242" s="272"/>
      <c r="AX242" s="342"/>
      <c r="AY242" s="343"/>
      <c r="AZ242" s="272"/>
      <c r="BA242" s="342"/>
      <c r="BB242" s="337"/>
      <c r="BC242" s="270">
        <f t="shared" si="330"/>
        <v>0</v>
      </c>
      <c r="BD242" s="270">
        <f t="shared" si="331"/>
        <v>0</v>
      </c>
      <c r="BE242" s="270">
        <f t="shared" si="332"/>
        <v>1</v>
      </c>
      <c r="BF242" s="270" t="str">
        <f t="shared" si="333"/>
        <v>ALIVE</v>
      </c>
      <c r="BG242" s="250" t="str">
        <f t="shared" si="334"/>
        <v>Aucune</v>
      </c>
      <c r="BH242" s="250" t="str">
        <f t="shared" si="335"/>
        <v>Aucune</v>
      </c>
      <c r="BI242" s="250" t="str">
        <f t="shared" si="336"/>
        <v>Aucune</v>
      </c>
      <c r="BJ242" s="250" t="str">
        <f t="shared" si="337"/>
        <v>NON</v>
      </c>
      <c r="BK242" s="250" t="str">
        <f t="shared" si="338"/>
        <v>NON</v>
      </c>
      <c r="BL242" s="250" t="str">
        <f t="shared" si="339"/>
        <v>Inconnu</v>
      </c>
      <c r="BM242" s="250" t="str">
        <f t="shared" si="340"/>
        <v>Inconnu</v>
      </c>
      <c r="BN242" s="250" t="str">
        <f t="shared" si="341"/>
        <v>Inconnu</v>
      </c>
      <c r="BO242" s="250" t="str">
        <f t="shared" si="342"/>
        <v>Inconnu</v>
      </c>
      <c r="BP242" s="250" t="str">
        <f t="shared" si="343"/>
        <v>Inconnu</v>
      </c>
      <c r="BQ242" s="250" t="str">
        <f t="shared" si="344"/>
        <v>Inconnu</v>
      </c>
      <c r="BR242" s="250" t="str">
        <f t="shared" si="345"/>
        <v>Aucune</v>
      </c>
      <c r="BS242" s="250">
        <f t="shared" si="346"/>
        <v>0</v>
      </c>
      <c r="BT242" s="271" t="e">
        <f>VLOOKUP($I242,Lieu_Activité!$A:$B,2,FALSE)</f>
        <v>#N/A</v>
      </c>
      <c r="BU242" s="250" t="str">
        <f t="shared" si="347"/>
        <v>Aucun</v>
      </c>
      <c r="BV242" s="250" t="str">
        <f t="shared" si="348"/>
        <v>Aucun</v>
      </c>
      <c r="BW242" s="249" t="str">
        <f t="shared" si="349"/>
        <v>NON</v>
      </c>
      <c r="BX242" s="330"/>
      <c r="BY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</row>
    <row r="243" spans="1:170" ht="12" customHeight="1" x14ac:dyDescent="0.2">
      <c r="A243" s="273" t="s">
        <v>257</v>
      </c>
      <c r="B243" s="276"/>
      <c r="C243" s="269"/>
      <c r="D243" s="299"/>
      <c r="E243" s="320">
        <f t="shared" si="326"/>
        <v>0</v>
      </c>
      <c r="F243" s="320" t="str">
        <f t="shared" si="226"/>
        <v xml:space="preserve"> </v>
      </c>
      <c r="G243" s="298"/>
      <c r="H243" s="298"/>
      <c r="I243" s="298"/>
      <c r="J243" s="298"/>
      <c r="K243" s="298"/>
      <c r="L243" s="299"/>
      <c r="M243" s="285"/>
      <c r="N243" s="274"/>
      <c r="O243" s="307"/>
      <c r="P243" s="307" t="str">
        <f>IFERROR(VLOOKUP(O243,Références!$K$11:$N$19,2)," ")</f>
        <v xml:space="preserve"> </v>
      </c>
      <c r="Q243" s="307" t="str">
        <f>IFERROR(VLOOKUP(O243,Références!$K$11:$N$19,3)," ")</f>
        <v xml:space="preserve"> </v>
      </c>
      <c r="R243" s="307" t="str">
        <f>IFERROR(VLOOKUP(O243,Références!$K$11:$N$19,4)," ")</f>
        <v xml:space="preserve"> </v>
      </c>
      <c r="S243" s="298"/>
      <c r="T243" s="298"/>
      <c r="U243" s="298"/>
      <c r="V243" s="298"/>
      <c r="W243" s="298"/>
      <c r="X243" s="299"/>
      <c r="Y243" s="298"/>
      <c r="Z243" s="298"/>
      <c r="AA243" s="298"/>
      <c r="AB243" s="277"/>
      <c r="AC243" s="277"/>
      <c r="AD243" s="277"/>
      <c r="AE243" s="277"/>
      <c r="AF243" s="277"/>
      <c r="AG243" s="277"/>
      <c r="AH243" s="277"/>
      <c r="AI243" s="277">
        <f t="shared" si="327"/>
        <v>0</v>
      </c>
      <c r="AJ243" s="299"/>
      <c r="AK243" s="298">
        <f t="shared" si="328"/>
        <v>0</v>
      </c>
      <c r="AL243" s="299"/>
      <c r="AM243" s="308">
        <f t="shared" si="329"/>
        <v>0</v>
      </c>
      <c r="AN243" s="298"/>
      <c r="AO243" s="318"/>
      <c r="AP243" s="303" t="str">
        <f t="shared" si="227"/>
        <v xml:space="preserve"> </v>
      </c>
      <c r="AQ243" s="298"/>
      <c r="AR243" s="337"/>
      <c r="AS243" s="337"/>
      <c r="AT243" s="305"/>
      <c r="AU243" s="319"/>
      <c r="AV243" s="305"/>
      <c r="AW243" s="272"/>
      <c r="AX243" s="342"/>
      <c r="AY243" s="343"/>
      <c r="AZ243" s="272"/>
      <c r="BA243" s="342"/>
      <c r="BB243" s="337"/>
      <c r="BC243" s="270">
        <f t="shared" si="330"/>
        <v>0</v>
      </c>
      <c r="BD243" s="270">
        <f t="shared" si="331"/>
        <v>0</v>
      </c>
      <c r="BE243" s="270">
        <f t="shared" si="332"/>
        <v>1</v>
      </c>
      <c r="BF243" s="270" t="str">
        <f t="shared" si="333"/>
        <v>ALIVE</v>
      </c>
      <c r="BG243" s="250" t="str">
        <f t="shared" si="334"/>
        <v>Aucune</v>
      </c>
      <c r="BH243" s="250" t="str">
        <f t="shared" si="335"/>
        <v>Aucune</v>
      </c>
      <c r="BI243" s="250" t="str">
        <f t="shared" si="336"/>
        <v>Aucune</v>
      </c>
      <c r="BJ243" s="250" t="str">
        <f t="shared" si="337"/>
        <v>NON</v>
      </c>
      <c r="BK243" s="250" t="str">
        <f t="shared" si="338"/>
        <v>NON</v>
      </c>
      <c r="BL243" s="250" t="str">
        <f t="shared" si="339"/>
        <v>Inconnu</v>
      </c>
      <c r="BM243" s="250" t="str">
        <f t="shared" si="340"/>
        <v>Inconnu</v>
      </c>
      <c r="BN243" s="250" t="str">
        <f t="shared" si="341"/>
        <v>Inconnu</v>
      </c>
      <c r="BO243" s="250" t="str">
        <f t="shared" si="342"/>
        <v>Inconnu</v>
      </c>
      <c r="BP243" s="250" t="str">
        <f t="shared" si="343"/>
        <v>Inconnu</v>
      </c>
      <c r="BQ243" s="250" t="str">
        <f t="shared" si="344"/>
        <v>Inconnu</v>
      </c>
      <c r="BR243" s="250" t="str">
        <f t="shared" si="345"/>
        <v>Aucune</v>
      </c>
      <c r="BS243" s="250">
        <f t="shared" si="346"/>
        <v>0</v>
      </c>
      <c r="BT243" s="271" t="e">
        <f>VLOOKUP($I243,Lieu_Activité!$A:$B,2,FALSE)</f>
        <v>#N/A</v>
      </c>
      <c r="BU243" s="250" t="str">
        <f t="shared" si="347"/>
        <v>Aucun</v>
      </c>
      <c r="BV243" s="250" t="str">
        <f t="shared" si="348"/>
        <v>Aucun</v>
      </c>
      <c r="BW243" s="249" t="str">
        <f t="shared" si="349"/>
        <v>NON</v>
      </c>
      <c r="BX243" s="330"/>
    </row>
    <row r="244" spans="1:170" ht="12" customHeight="1" x14ac:dyDescent="0.2">
      <c r="A244" s="273" t="s">
        <v>257</v>
      </c>
      <c r="B244" s="276"/>
      <c r="C244" s="269"/>
      <c r="D244" s="299"/>
      <c r="E244" s="320">
        <f t="shared" si="326"/>
        <v>0</v>
      </c>
      <c r="F244" s="320" t="str">
        <f t="shared" si="226"/>
        <v xml:space="preserve"> </v>
      </c>
      <c r="G244" s="298"/>
      <c r="H244" s="298"/>
      <c r="I244" s="298"/>
      <c r="J244" s="298"/>
      <c r="K244" s="298"/>
      <c r="L244" s="299"/>
      <c r="M244" s="285"/>
      <c r="N244" s="274"/>
      <c r="O244" s="274"/>
      <c r="P244" s="307" t="str">
        <f>IFERROR(VLOOKUP(O244,Références!$K$11:$N$19,2)," ")</f>
        <v xml:space="preserve"> </v>
      </c>
      <c r="Q244" s="307" t="str">
        <f>IFERROR(VLOOKUP(O244,Références!$K$11:$N$19,3)," ")</f>
        <v xml:space="preserve"> </v>
      </c>
      <c r="R244" s="307" t="str">
        <f>IFERROR(VLOOKUP(O244,Références!$K$11:$N$19,4)," ")</f>
        <v xml:space="preserve"> </v>
      </c>
      <c r="S244" s="298"/>
      <c r="T244" s="298"/>
      <c r="U244" s="298"/>
      <c r="V244" s="298"/>
      <c r="W244" s="298"/>
      <c r="X244" s="299"/>
      <c r="Y244" s="298"/>
      <c r="Z244" s="298"/>
      <c r="AA244" s="298"/>
      <c r="AB244" s="277"/>
      <c r="AC244" s="277"/>
      <c r="AD244" s="277"/>
      <c r="AE244" s="277"/>
      <c r="AF244" s="277"/>
      <c r="AG244" s="277"/>
      <c r="AH244" s="277"/>
      <c r="AI244" s="277">
        <f t="shared" si="327"/>
        <v>0</v>
      </c>
      <c r="AJ244" s="299"/>
      <c r="AK244" s="298">
        <f t="shared" si="328"/>
        <v>0</v>
      </c>
      <c r="AL244" s="299"/>
      <c r="AM244" s="308">
        <f t="shared" si="329"/>
        <v>0</v>
      </c>
      <c r="AN244" s="298"/>
      <c r="AO244" s="318"/>
      <c r="AP244" s="303" t="str">
        <f t="shared" si="227"/>
        <v xml:space="preserve"> </v>
      </c>
      <c r="AQ244" s="298"/>
      <c r="AR244" s="337"/>
      <c r="AS244" s="337"/>
      <c r="AT244" s="305"/>
      <c r="AU244" s="319"/>
      <c r="AV244" s="305"/>
      <c r="AW244" s="272"/>
      <c r="AX244" s="342"/>
      <c r="AY244" s="343"/>
      <c r="AZ244" s="272"/>
      <c r="BA244" s="342"/>
      <c r="BB244" s="337"/>
      <c r="BC244" s="270">
        <f t="shared" si="330"/>
        <v>0</v>
      </c>
      <c r="BD244" s="270">
        <f t="shared" si="331"/>
        <v>0</v>
      </c>
      <c r="BE244" s="270">
        <f t="shared" si="332"/>
        <v>1</v>
      </c>
      <c r="BF244" s="270" t="str">
        <f t="shared" si="333"/>
        <v>ALIVE</v>
      </c>
      <c r="BG244" s="250" t="str">
        <f t="shared" si="334"/>
        <v>Aucune</v>
      </c>
      <c r="BH244" s="250" t="str">
        <f t="shared" si="335"/>
        <v>Aucune</v>
      </c>
      <c r="BI244" s="250" t="str">
        <f t="shared" si="336"/>
        <v>Aucune</v>
      </c>
      <c r="BJ244" s="250" t="str">
        <f t="shared" si="337"/>
        <v>NON</v>
      </c>
      <c r="BK244" s="250" t="str">
        <f t="shared" si="338"/>
        <v>NON</v>
      </c>
      <c r="BL244" s="250" t="str">
        <f t="shared" si="339"/>
        <v>Inconnu</v>
      </c>
      <c r="BM244" s="250" t="str">
        <f t="shared" si="340"/>
        <v>Inconnu</v>
      </c>
      <c r="BN244" s="250" t="str">
        <f t="shared" si="341"/>
        <v>Inconnu</v>
      </c>
      <c r="BO244" s="250" t="str">
        <f t="shared" si="342"/>
        <v>Inconnu</v>
      </c>
      <c r="BP244" s="250" t="str">
        <f t="shared" si="343"/>
        <v>Inconnu</v>
      </c>
      <c r="BQ244" s="250" t="str">
        <f t="shared" si="344"/>
        <v>Inconnu</v>
      </c>
      <c r="BR244" s="250" t="str">
        <f t="shared" si="345"/>
        <v>Aucune</v>
      </c>
      <c r="BS244" s="250">
        <f t="shared" si="346"/>
        <v>0</v>
      </c>
      <c r="BT244" s="271" t="e">
        <f>VLOOKUP($I244,Lieu_Activité!$A:$B,2,FALSE)</f>
        <v>#N/A</v>
      </c>
      <c r="BU244" s="250" t="str">
        <f t="shared" si="347"/>
        <v>Aucun</v>
      </c>
      <c r="BV244" s="250" t="str">
        <f t="shared" si="348"/>
        <v>Aucun</v>
      </c>
      <c r="BW244" s="249" t="str">
        <f t="shared" si="349"/>
        <v>NON</v>
      </c>
      <c r="BX244" s="330"/>
    </row>
    <row r="245" spans="1:170" ht="12.75" customHeight="1" x14ac:dyDescent="0.2">
      <c r="A245" s="273" t="s">
        <v>257</v>
      </c>
      <c r="B245" s="276"/>
      <c r="C245" s="269"/>
      <c r="D245" s="299"/>
      <c r="E245" s="320">
        <f t="shared" ref="E245:E248" si="375">(L245-D245)/365</f>
        <v>0</v>
      </c>
      <c r="F245" s="320" t="str">
        <f t="shared" ref="F245:F248" si="376">IF(E245&lt;80," ","1")</f>
        <v xml:space="preserve"> </v>
      </c>
      <c r="G245" s="298"/>
      <c r="H245" s="298"/>
      <c r="I245" s="298"/>
      <c r="J245" s="298"/>
      <c r="K245" s="298"/>
      <c r="L245" s="299"/>
      <c r="M245" s="285"/>
      <c r="N245" s="274"/>
      <c r="O245" s="274"/>
      <c r="P245" s="307" t="str">
        <f>IFERROR(VLOOKUP(O245,Références!$K$11:$N$19,2)," ")</f>
        <v xml:space="preserve"> </v>
      </c>
      <c r="Q245" s="307" t="str">
        <f>IFERROR(VLOOKUP(O245,Références!$K$11:$N$19,3)," ")</f>
        <v xml:space="preserve"> </v>
      </c>
      <c r="R245" s="307" t="str">
        <f>IFERROR(VLOOKUP(O245,Références!$K$11:$N$19,4)," ")</f>
        <v xml:space="preserve"> </v>
      </c>
      <c r="S245" s="298"/>
      <c r="T245" s="298"/>
      <c r="U245" s="298"/>
      <c r="V245" s="298"/>
      <c r="W245" s="298"/>
      <c r="X245" s="299"/>
      <c r="Y245" s="298"/>
      <c r="Z245" s="298"/>
      <c r="AA245" s="298"/>
      <c r="AB245" s="277"/>
      <c r="AC245" s="277"/>
      <c r="AD245" s="277"/>
      <c r="AE245" s="277"/>
      <c r="AF245" s="277"/>
      <c r="AG245" s="277"/>
      <c r="AH245" s="277"/>
      <c r="AI245" s="277">
        <f t="shared" ref="AI245:AI248" si="377">SUM(AF245,AH245)</f>
        <v>0</v>
      </c>
      <c r="AJ245" s="299"/>
      <c r="AK245" s="298">
        <f t="shared" ref="AK245:AK248" si="378">(AJ245-L245)</f>
        <v>0</v>
      </c>
      <c r="AL245" s="299"/>
      <c r="AM245" s="308">
        <f t="shared" ref="AM245:AM248" si="379">(AL245-L245)</f>
        <v>0</v>
      </c>
      <c r="AN245" s="298"/>
      <c r="AO245" s="318"/>
      <c r="AP245" s="303" t="str">
        <f t="shared" ref="AP245:AP248" si="380">IF(AO245=1,"ELECTIVE",IF(AO245=2,"URGENCY",IF(AO245=3,"EMERGENCY",IF(AO245=4,"SALVAGE"," "))))</f>
        <v xml:space="preserve"> </v>
      </c>
      <c r="AQ245" s="298"/>
      <c r="AR245" s="337"/>
      <c r="AS245" s="337"/>
      <c r="AT245" s="305"/>
      <c r="AU245" s="319"/>
      <c r="AV245" s="305"/>
      <c r="AW245" s="272"/>
      <c r="AX245" s="342"/>
      <c r="AY245" s="343"/>
      <c r="AZ245" s="342"/>
      <c r="BA245" s="342"/>
      <c r="BB245" s="337"/>
      <c r="BC245" s="270">
        <f t="shared" ref="BC245:BC248" si="381">IF(BG245="Aucune",0,1)</f>
        <v>0</v>
      </c>
      <c r="BD245" s="270">
        <f t="shared" ref="BD245:BD248" si="382">IF(BH245="Aucune",0,1)</f>
        <v>0</v>
      </c>
      <c r="BE245" s="270">
        <f t="shared" ref="BE245:BE248" si="383">IF(AG245="Aucune",0,1)</f>
        <v>1</v>
      </c>
      <c r="BF245" s="270" t="str">
        <f t="shared" ref="BF245:BF248" si="384">IF(AO245=1,"ELECTIVE",IF(AO245=2,"URGENCY",IF(AO245=3,"EMERGENCY",IF(AO245=4,"SALVAGE","ALIVE"))))</f>
        <v>ALIVE</v>
      </c>
      <c r="BG245" s="250" t="str">
        <f t="shared" ref="BG245:BG248" si="385">IF(AD245="","Aucune","Infection")</f>
        <v>Aucune</v>
      </c>
      <c r="BH245" s="250" t="str">
        <f t="shared" ref="BH245:BH248" si="386">IF(AI245&gt;0,"Transfusion","Aucune")</f>
        <v>Aucune</v>
      </c>
      <c r="BI245" s="250" t="str">
        <f t="shared" ref="BI245:BI248" si="387">IF(AG245="","Aucune","Transfusé")</f>
        <v>Aucune</v>
      </c>
      <c r="BJ245" s="250" t="str">
        <f t="shared" ref="BJ245:BJ248" si="388">IF(X245&lt;&gt;"",IF(X245-L245&lt;2,"OUI","NON"),"NON")</f>
        <v>NON</v>
      </c>
      <c r="BK245" s="250" t="str">
        <f t="shared" ref="BK245:BK248" si="389">IF(AS245="","NON","OUI")</f>
        <v>NON</v>
      </c>
      <c r="BL245" s="250" t="str">
        <f t="shared" ref="BL245:BL248" si="390">IF(AL245-L245&gt;0,AL245-L245,"Inconnu")</f>
        <v>Inconnu</v>
      </c>
      <c r="BM245" s="250" t="str">
        <f t="shared" ref="BM245:BM248" si="391">IF($O245&lt;&gt;"HTX",IF($O245&lt;&gt;"LVAD",BL245,"Inconnu"),"Inconnu")</f>
        <v>Inconnu</v>
      </c>
      <c r="BN245" s="250" t="str">
        <f t="shared" ref="BN245:BN248" si="392">IF($O245="HTX",BL245,IF($O245="LVAD",BL245,"Inconnu"))</f>
        <v>Inconnu</v>
      </c>
      <c r="BO245" s="250" t="str">
        <f t="shared" ref="BO245:BO248" si="393">IF(AJ245-L245&gt;0,AJ245-L245,"Inconnu")</f>
        <v>Inconnu</v>
      </c>
      <c r="BP245" s="250" t="str">
        <f t="shared" ref="BP245:BP248" si="394">IF($O245&lt;&gt;"HTX",IF($O245&lt;&gt;"LVAD",BO245,"Inconnu"),"Inconnu")</f>
        <v>Inconnu</v>
      </c>
      <c r="BQ245" s="250" t="str">
        <f t="shared" ref="BQ245:BQ248" si="395">IF($O245="HTX",BO245,IF($O245="LVAD",BO245,"Inconnu"))</f>
        <v>Inconnu</v>
      </c>
      <c r="BR245" s="250" t="str">
        <f t="shared" ref="BR245:BR248" si="396">IF(BH245="Aucune",IF(BI245="Aucune","Aucune","Transfusé"),"Transfusé")</f>
        <v>Aucune</v>
      </c>
      <c r="BS245" s="250">
        <f t="shared" ref="BS245:BS248" si="397">AF245+AH245</f>
        <v>0</v>
      </c>
      <c r="BT245" s="271" t="e">
        <f>VLOOKUP($I245,Lieu_Activité!$A:$B,2,FALSE)</f>
        <v>#N/A</v>
      </c>
      <c r="BU245" s="250" t="str">
        <f t="shared" ref="BU245:BU248" si="398">IF(AB245="","Aucun","AVC")</f>
        <v>Aucun</v>
      </c>
      <c r="BV245" s="250" t="str">
        <f t="shared" ref="BV245:BV248" si="399">IF(AC245="","Aucun","IM")</f>
        <v>Aucun</v>
      </c>
      <c r="BW245" s="249" t="str">
        <f t="shared" ref="BW245:BW248" si="400">IF(M245="","NON","OUI")</f>
        <v>NON</v>
      </c>
      <c r="BX245" s="330"/>
    </row>
    <row r="246" spans="1:170" ht="12.75" customHeight="1" x14ac:dyDescent="0.2">
      <c r="A246" s="273" t="s">
        <v>257</v>
      </c>
      <c r="B246" s="276"/>
      <c r="C246" s="269"/>
      <c r="D246" s="299"/>
      <c r="E246" s="320">
        <f t="shared" si="375"/>
        <v>0</v>
      </c>
      <c r="F246" s="320" t="str">
        <f t="shared" si="376"/>
        <v xml:space="preserve"> </v>
      </c>
      <c r="G246" s="298"/>
      <c r="H246" s="298"/>
      <c r="I246" s="298"/>
      <c r="J246" s="298"/>
      <c r="K246" s="298"/>
      <c r="L246" s="299"/>
      <c r="M246" s="285"/>
      <c r="N246" s="274"/>
      <c r="O246" s="274"/>
      <c r="P246" s="307" t="str">
        <f>IFERROR(VLOOKUP(O246,Références!$K$11:$N$19,2)," ")</f>
        <v xml:space="preserve"> </v>
      </c>
      <c r="Q246" s="307" t="str">
        <f>IFERROR(VLOOKUP(O246,Références!$K$11:$N$19,3)," ")</f>
        <v xml:space="preserve"> </v>
      </c>
      <c r="R246" s="307" t="str">
        <f>IFERROR(VLOOKUP(O246,Références!$K$11:$N$19,4)," ")</f>
        <v xml:space="preserve"> </v>
      </c>
      <c r="S246" s="298"/>
      <c r="T246" s="298"/>
      <c r="U246" s="298"/>
      <c r="V246" s="298"/>
      <c r="W246" s="298"/>
      <c r="X246" s="299"/>
      <c r="Y246" s="298"/>
      <c r="Z246" s="298"/>
      <c r="AA246" s="298"/>
      <c r="AB246" s="277"/>
      <c r="AC246" s="277"/>
      <c r="AD246" s="277"/>
      <c r="AE246" s="277"/>
      <c r="AF246" s="277"/>
      <c r="AG246" s="277"/>
      <c r="AH246" s="277"/>
      <c r="AI246" s="277">
        <f t="shared" si="377"/>
        <v>0</v>
      </c>
      <c r="AJ246" s="299"/>
      <c r="AK246" s="298">
        <f t="shared" si="378"/>
        <v>0</v>
      </c>
      <c r="AL246" s="299"/>
      <c r="AM246" s="308">
        <f t="shared" si="379"/>
        <v>0</v>
      </c>
      <c r="AN246" s="298"/>
      <c r="AO246" s="318"/>
      <c r="AP246" s="303" t="str">
        <f t="shared" si="380"/>
        <v xml:space="preserve"> </v>
      </c>
      <c r="AQ246" s="298"/>
      <c r="AR246" s="337"/>
      <c r="AS246" s="337"/>
      <c r="AT246" s="305"/>
      <c r="AU246" s="319"/>
      <c r="AV246" s="305"/>
      <c r="AW246" s="272"/>
      <c r="AX246" s="342"/>
      <c r="AY246" s="343"/>
      <c r="AZ246" s="342"/>
      <c r="BA246" s="342"/>
      <c r="BB246" s="337"/>
      <c r="BC246" s="270">
        <f t="shared" si="381"/>
        <v>0</v>
      </c>
      <c r="BD246" s="270">
        <f t="shared" si="382"/>
        <v>0</v>
      </c>
      <c r="BE246" s="270">
        <f t="shared" si="383"/>
        <v>1</v>
      </c>
      <c r="BF246" s="270" t="str">
        <f t="shared" si="384"/>
        <v>ALIVE</v>
      </c>
      <c r="BG246" s="250" t="str">
        <f t="shared" si="385"/>
        <v>Aucune</v>
      </c>
      <c r="BH246" s="250" t="str">
        <f t="shared" si="386"/>
        <v>Aucune</v>
      </c>
      <c r="BI246" s="250" t="str">
        <f t="shared" si="387"/>
        <v>Aucune</v>
      </c>
      <c r="BJ246" s="250" t="str">
        <f t="shared" si="388"/>
        <v>NON</v>
      </c>
      <c r="BK246" s="250" t="str">
        <f t="shared" si="389"/>
        <v>NON</v>
      </c>
      <c r="BL246" s="250" t="str">
        <f t="shared" si="390"/>
        <v>Inconnu</v>
      </c>
      <c r="BM246" s="250" t="str">
        <f t="shared" si="391"/>
        <v>Inconnu</v>
      </c>
      <c r="BN246" s="250" t="str">
        <f t="shared" si="392"/>
        <v>Inconnu</v>
      </c>
      <c r="BO246" s="250" t="str">
        <f t="shared" si="393"/>
        <v>Inconnu</v>
      </c>
      <c r="BP246" s="250" t="str">
        <f t="shared" si="394"/>
        <v>Inconnu</v>
      </c>
      <c r="BQ246" s="250" t="str">
        <f t="shared" si="395"/>
        <v>Inconnu</v>
      </c>
      <c r="BR246" s="250" t="str">
        <f t="shared" si="396"/>
        <v>Aucune</v>
      </c>
      <c r="BS246" s="250">
        <f t="shared" si="397"/>
        <v>0</v>
      </c>
      <c r="BT246" s="271" t="e">
        <f>VLOOKUP($I246,Lieu_Activité!$A:$B,2,FALSE)</f>
        <v>#N/A</v>
      </c>
      <c r="BU246" s="250" t="str">
        <f t="shared" si="398"/>
        <v>Aucun</v>
      </c>
      <c r="BV246" s="250" t="str">
        <f t="shared" si="399"/>
        <v>Aucun</v>
      </c>
      <c r="BW246" s="249" t="str">
        <f t="shared" si="400"/>
        <v>NON</v>
      </c>
      <c r="BX246" s="330"/>
    </row>
    <row r="247" spans="1:170" ht="12.75" customHeight="1" x14ac:dyDescent="0.2">
      <c r="A247" s="273" t="s">
        <v>257</v>
      </c>
      <c r="B247" s="276"/>
      <c r="C247" s="269"/>
      <c r="D247" s="299"/>
      <c r="E247" s="320">
        <f t="shared" si="375"/>
        <v>0</v>
      </c>
      <c r="F247" s="320" t="str">
        <f t="shared" si="376"/>
        <v xml:space="preserve"> </v>
      </c>
      <c r="G247" s="298"/>
      <c r="H247" s="298"/>
      <c r="I247" s="298"/>
      <c r="J247" s="298"/>
      <c r="K247" s="298"/>
      <c r="L247" s="299"/>
      <c r="M247" s="285"/>
      <c r="N247" s="274"/>
      <c r="O247" s="274"/>
      <c r="P247" s="307" t="str">
        <f>IFERROR(VLOOKUP(O247,Références!$K$11:$N$19,2)," ")</f>
        <v xml:space="preserve"> </v>
      </c>
      <c r="Q247" s="307" t="str">
        <f>IFERROR(VLOOKUP(O247,Références!$K$11:$N$19,3)," ")</f>
        <v xml:space="preserve"> </v>
      </c>
      <c r="R247" s="307" t="str">
        <f>IFERROR(VLOOKUP(O247,Références!$K$11:$N$19,4)," ")</f>
        <v xml:space="preserve"> </v>
      </c>
      <c r="S247" s="298"/>
      <c r="T247" s="298"/>
      <c r="U247" s="298"/>
      <c r="V247" s="298"/>
      <c r="W247" s="298"/>
      <c r="X247" s="299"/>
      <c r="Y247" s="298"/>
      <c r="Z247" s="298"/>
      <c r="AA247" s="298"/>
      <c r="AB247" s="277"/>
      <c r="AC247" s="277"/>
      <c r="AD247" s="316"/>
      <c r="AE247" s="277"/>
      <c r="AF247" s="277"/>
      <c r="AG247" s="277"/>
      <c r="AH247" s="277"/>
      <c r="AI247" s="277">
        <f t="shared" si="377"/>
        <v>0</v>
      </c>
      <c r="AJ247" s="299"/>
      <c r="AK247" s="298">
        <f t="shared" si="378"/>
        <v>0</v>
      </c>
      <c r="AL247" s="299"/>
      <c r="AM247" s="308">
        <f t="shared" si="379"/>
        <v>0</v>
      </c>
      <c r="AN247" s="298"/>
      <c r="AO247" s="318"/>
      <c r="AP247" s="303" t="str">
        <f t="shared" si="380"/>
        <v xml:space="preserve"> </v>
      </c>
      <c r="AQ247" s="298"/>
      <c r="AR247" s="337"/>
      <c r="AS247" s="337"/>
      <c r="AT247" s="305"/>
      <c r="AU247" s="319"/>
      <c r="AV247" s="305"/>
      <c r="AW247" s="272"/>
      <c r="AX247" s="342"/>
      <c r="AY247" s="343"/>
      <c r="AZ247" s="342"/>
      <c r="BA247" s="342"/>
      <c r="BB247" s="337"/>
      <c r="BC247" s="270">
        <f t="shared" si="381"/>
        <v>0</v>
      </c>
      <c r="BD247" s="270">
        <f t="shared" si="382"/>
        <v>0</v>
      </c>
      <c r="BE247" s="270">
        <f t="shared" si="383"/>
        <v>1</v>
      </c>
      <c r="BF247" s="270" t="str">
        <f t="shared" si="384"/>
        <v>ALIVE</v>
      </c>
      <c r="BG247" s="250" t="str">
        <f t="shared" si="385"/>
        <v>Aucune</v>
      </c>
      <c r="BH247" s="250" t="str">
        <f t="shared" si="386"/>
        <v>Aucune</v>
      </c>
      <c r="BI247" s="250" t="str">
        <f t="shared" si="387"/>
        <v>Aucune</v>
      </c>
      <c r="BJ247" s="250" t="str">
        <f t="shared" si="388"/>
        <v>NON</v>
      </c>
      <c r="BK247" s="250" t="str">
        <f t="shared" si="389"/>
        <v>NON</v>
      </c>
      <c r="BL247" s="250" t="str">
        <f t="shared" si="390"/>
        <v>Inconnu</v>
      </c>
      <c r="BM247" s="250" t="str">
        <f t="shared" si="391"/>
        <v>Inconnu</v>
      </c>
      <c r="BN247" s="250" t="str">
        <f t="shared" si="392"/>
        <v>Inconnu</v>
      </c>
      <c r="BO247" s="250" t="str">
        <f t="shared" si="393"/>
        <v>Inconnu</v>
      </c>
      <c r="BP247" s="250" t="str">
        <f t="shared" si="394"/>
        <v>Inconnu</v>
      </c>
      <c r="BQ247" s="250" t="str">
        <f t="shared" si="395"/>
        <v>Inconnu</v>
      </c>
      <c r="BR247" s="250" t="str">
        <f t="shared" si="396"/>
        <v>Aucune</v>
      </c>
      <c r="BS247" s="250">
        <f t="shared" si="397"/>
        <v>0</v>
      </c>
      <c r="BT247" s="271" t="e">
        <f>VLOOKUP($I247,Lieu_Activité!$A:$B,2,FALSE)</f>
        <v>#N/A</v>
      </c>
      <c r="BU247" s="250" t="str">
        <f t="shared" si="398"/>
        <v>Aucun</v>
      </c>
      <c r="BV247" s="250" t="str">
        <f t="shared" si="399"/>
        <v>Aucun</v>
      </c>
      <c r="BW247" s="249" t="str">
        <f t="shared" si="400"/>
        <v>NON</v>
      </c>
      <c r="BX247" s="330"/>
    </row>
    <row r="248" spans="1:170" ht="12.75" customHeight="1" x14ac:dyDescent="0.2">
      <c r="A248" s="273" t="s">
        <v>257</v>
      </c>
      <c r="B248" s="276"/>
      <c r="C248" s="269"/>
      <c r="D248" s="299"/>
      <c r="E248" s="320">
        <f t="shared" si="375"/>
        <v>0</v>
      </c>
      <c r="F248" s="320" t="str">
        <f t="shared" si="376"/>
        <v xml:space="preserve"> </v>
      </c>
      <c r="G248" s="298"/>
      <c r="H248" s="298"/>
      <c r="I248" s="298"/>
      <c r="J248" s="298"/>
      <c r="K248" s="298"/>
      <c r="L248" s="299"/>
      <c r="M248" s="285"/>
      <c r="N248" s="274"/>
      <c r="O248" s="274"/>
      <c r="P248" s="307" t="str">
        <f>IFERROR(VLOOKUP(O248,Références!$K$11:$N$19,2)," ")</f>
        <v xml:space="preserve"> </v>
      </c>
      <c r="Q248" s="307" t="str">
        <f>IFERROR(VLOOKUP(O248,Références!$K$11:$N$19,3)," ")</f>
        <v xml:space="preserve"> </v>
      </c>
      <c r="R248" s="307" t="str">
        <f>IFERROR(VLOOKUP(O248,Références!$K$11:$N$19,4)," ")</f>
        <v xml:space="preserve"> </v>
      </c>
      <c r="S248" s="298"/>
      <c r="T248" s="298"/>
      <c r="U248" s="298"/>
      <c r="V248" s="298"/>
      <c r="W248" s="298"/>
      <c r="X248" s="299"/>
      <c r="Y248" s="298"/>
      <c r="Z248" s="298"/>
      <c r="AA248" s="298"/>
      <c r="AB248" s="277"/>
      <c r="AC248" s="277"/>
      <c r="AD248" s="277"/>
      <c r="AE248" s="277"/>
      <c r="AF248" s="277"/>
      <c r="AG248" s="277"/>
      <c r="AH248" s="277"/>
      <c r="AI248" s="277">
        <f t="shared" si="377"/>
        <v>0</v>
      </c>
      <c r="AJ248" s="299"/>
      <c r="AK248" s="298">
        <f t="shared" si="378"/>
        <v>0</v>
      </c>
      <c r="AL248" s="299"/>
      <c r="AM248" s="308">
        <f t="shared" si="379"/>
        <v>0</v>
      </c>
      <c r="AN248" s="298"/>
      <c r="AO248" s="318"/>
      <c r="AP248" s="303" t="str">
        <f t="shared" si="380"/>
        <v xml:space="preserve"> </v>
      </c>
      <c r="AQ248" s="298"/>
      <c r="AR248" s="337"/>
      <c r="AS248" s="337"/>
      <c r="AT248" s="305"/>
      <c r="AU248" s="319"/>
      <c r="AV248" s="305"/>
      <c r="AW248" s="272"/>
      <c r="AX248" s="342"/>
      <c r="AY248" s="343"/>
      <c r="AZ248" s="342"/>
      <c r="BA248" s="342"/>
      <c r="BB248" s="337"/>
      <c r="BC248" s="270">
        <f t="shared" si="381"/>
        <v>0</v>
      </c>
      <c r="BD248" s="270">
        <f t="shared" si="382"/>
        <v>0</v>
      </c>
      <c r="BE248" s="270">
        <f t="shared" si="383"/>
        <v>1</v>
      </c>
      <c r="BF248" s="270" t="str">
        <f t="shared" si="384"/>
        <v>ALIVE</v>
      </c>
      <c r="BG248" s="250" t="str">
        <f t="shared" si="385"/>
        <v>Aucune</v>
      </c>
      <c r="BH248" s="250" t="str">
        <f t="shared" si="386"/>
        <v>Aucune</v>
      </c>
      <c r="BI248" s="250" t="str">
        <f t="shared" si="387"/>
        <v>Aucune</v>
      </c>
      <c r="BJ248" s="250" t="str">
        <f t="shared" si="388"/>
        <v>NON</v>
      </c>
      <c r="BK248" s="250" t="str">
        <f t="shared" si="389"/>
        <v>NON</v>
      </c>
      <c r="BL248" s="250" t="str">
        <f t="shared" si="390"/>
        <v>Inconnu</v>
      </c>
      <c r="BM248" s="250" t="str">
        <f t="shared" si="391"/>
        <v>Inconnu</v>
      </c>
      <c r="BN248" s="250" t="str">
        <f t="shared" si="392"/>
        <v>Inconnu</v>
      </c>
      <c r="BO248" s="250" t="str">
        <f t="shared" si="393"/>
        <v>Inconnu</v>
      </c>
      <c r="BP248" s="250" t="str">
        <f t="shared" si="394"/>
        <v>Inconnu</v>
      </c>
      <c r="BQ248" s="250" t="str">
        <f t="shared" si="395"/>
        <v>Inconnu</v>
      </c>
      <c r="BR248" s="250" t="str">
        <f t="shared" si="396"/>
        <v>Aucune</v>
      </c>
      <c r="BS248" s="250">
        <f t="shared" si="397"/>
        <v>0</v>
      </c>
      <c r="BT248" s="271" t="e">
        <f>VLOOKUP($I248,Lieu_Activité!$A:$B,2,FALSE)</f>
        <v>#N/A</v>
      </c>
      <c r="BU248" s="250" t="str">
        <f t="shared" si="398"/>
        <v>Aucun</v>
      </c>
      <c r="BV248" s="250" t="str">
        <f t="shared" si="399"/>
        <v>Aucun</v>
      </c>
      <c r="BW248" s="249" t="str">
        <f t="shared" si="400"/>
        <v>NON</v>
      </c>
      <c r="BX248" s="330"/>
    </row>
    <row r="249" spans="1:170" ht="12.75" customHeight="1" x14ac:dyDescent="0.2">
      <c r="A249" s="273" t="s">
        <v>257</v>
      </c>
      <c r="B249" s="276"/>
      <c r="C249" s="269"/>
      <c r="D249" s="299"/>
      <c r="E249" s="320">
        <f t="shared" si="326"/>
        <v>0</v>
      </c>
      <c r="F249" s="320" t="str">
        <f t="shared" si="226"/>
        <v xml:space="preserve"> </v>
      </c>
      <c r="G249" s="298"/>
      <c r="H249" s="298"/>
      <c r="I249" s="298"/>
      <c r="J249" s="298"/>
      <c r="K249" s="298"/>
      <c r="L249" s="299"/>
      <c r="M249" s="285"/>
      <c r="N249" s="274"/>
      <c r="O249" s="274"/>
      <c r="P249" s="307" t="str">
        <f>IFERROR(VLOOKUP(O249,Références!$K$11:$N$19,2)," ")</f>
        <v xml:space="preserve"> </v>
      </c>
      <c r="Q249" s="307" t="str">
        <f>IFERROR(VLOOKUP(O249,Références!$K$11:$N$19,3)," ")</f>
        <v xml:space="preserve"> </v>
      </c>
      <c r="R249" s="307" t="str">
        <f>IFERROR(VLOOKUP(O249,Références!$K$11:$N$19,4)," ")</f>
        <v xml:space="preserve"> </v>
      </c>
      <c r="S249" s="298"/>
      <c r="T249" s="298"/>
      <c r="U249" s="298"/>
      <c r="V249" s="298"/>
      <c r="W249" s="298"/>
      <c r="X249" s="299"/>
      <c r="Y249" s="298"/>
      <c r="Z249" s="298"/>
      <c r="AA249" s="298"/>
      <c r="AB249" s="277"/>
      <c r="AC249" s="277"/>
      <c r="AD249" s="277"/>
      <c r="AE249" s="277"/>
      <c r="AF249" s="277"/>
      <c r="AG249" s="277"/>
      <c r="AH249" s="277"/>
      <c r="AI249" s="277">
        <f t="shared" si="327"/>
        <v>0</v>
      </c>
      <c r="AJ249" s="299"/>
      <c r="AK249" s="298">
        <f t="shared" si="328"/>
        <v>0</v>
      </c>
      <c r="AL249" s="299"/>
      <c r="AM249" s="308">
        <f t="shared" si="329"/>
        <v>0</v>
      </c>
      <c r="AN249" s="298"/>
      <c r="AO249" s="318"/>
      <c r="AP249" s="303" t="str">
        <f t="shared" si="227"/>
        <v xml:space="preserve"> </v>
      </c>
      <c r="AQ249" s="298"/>
      <c r="AR249" s="337"/>
      <c r="AS249" s="337"/>
      <c r="AT249" s="305"/>
      <c r="AU249" s="319"/>
      <c r="AV249" s="305"/>
      <c r="AW249" s="272"/>
      <c r="AX249" s="342"/>
      <c r="AY249" s="343"/>
      <c r="AZ249" s="342"/>
      <c r="BA249" s="342"/>
      <c r="BB249" s="337"/>
      <c r="BC249" s="270">
        <f t="shared" si="330"/>
        <v>0</v>
      </c>
      <c r="BD249" s="270">
        <f t="shared" si="331"/>
        <v>0</v>
      </c>
      <c r="BE249" s="270">
        <f t="shared" si="332"/>
        <v>1</v>
      </c>
      <c r="BF249" s="270" t="str">
        <f t="shared" si="333"/>
        <v>ALIVE</v>
      </c>
      <c r="BG249" s="250" t="str">
        <f t="shared" si="334"/>
        <v>Aucune</v>
      </c>
      <c r="BH249" s="250" t="str">
        <f t="shared" si="335"/>
        <v>Aucune</v>
      </c>
      <c r="BI249" s="250" t="str">
        <f t="shared" si="336"/>
        <v>Aucune</v>
      </c>
      <c r="BJ249" s="250" t="str">
        <f t="shared" si="337"/>
        <v>NON</v>
      </c>
      <c r="BK249" s="250" t="str">
        <f t="shared" si="338"/>
        <v>NON</v>
      </c>
      <c r="BL249" s="250" t="str">
        <f t="shared" si="339"/>
        <v>Inconnu</v>
      </c>
      <c r="BM249" s="250" t="str">
        <f t="shared" si="340"/>
        <v>Inconnu</v>
      </c>
      <c r="BN249" s="250" t="str">
        <f t="shared" si="341"/>
        <v>Inconnu</v>
      </c>
      <c r="BO249" s="250" t="str">
        <f t="shared" si="342"/>
        <v>Inconnu</v>
      </c>
      <c r="BP249" s="250" t="str">
        <f t="shared" si="343"/>
        <v>Inconnu</v>
      </c>
      <c r="BQ249" s="250" t="str">
        <f t="shared" si="344"/>
        <v>Inconnu</v>
      </c>
      <c r="BR249" s="250" t="str">
        <f t="shared" si="345"/>
        <v>Aucune</v>
      </c>
      <c r="BS249" s="250">
        <f t="shared" si="346"/>
        <v>0</v>
      </c>
      <c r="BT249" s="271" t="e">
        <f>VLOOKUP($I249,Lieu_Activité!$A:$B,2,FALSE)</f>
        <v>#N/A</v>
      </c>
      <c r="BU249" s="250" t="str">
        <f t="shared" si="347"/>
        <v>Aucun</v>
      </c>
      <c r="BV249" s="250" t="str">
        <f t="shared" si="348"/>
        <v>Aucun</v>
      </c>
      <c r="BW249" s="249" t="str">
        <f t="shared" si="349"/>
        <v>NON</v>
      </c>
      <c r="BX249" s="330"/>
    </row>
    <row r="250" spans="1:170" ht="12.75" customHeight="1" x14ac:dyDescent="0.2">
      <c r="A250" s="273" t="s">
        <v>257</v>
      </c>
      <c r="B250" s="310"/>
      <c r="C250" s="269"/>
      <c r="D250" s="299"/>
      <c r="E250" s="320">
        <f t="shared" ref="E250" si="401">(L250-D250)/365</f>
        <v>0</v>
      </c>
      <c r="F250" s="320" t="str">
        <f t="shared" ref="F250" si="402">IF(E250&lt;80," ","1")</f>
        <v xml:space="preserve"> </v>
      </c>
      <c r="G250" s="298"/>
      <c r="H250" s="298"/>
      <c r="I250" s="298"/>
      <c r="J250" s="298"/>
      <c r="K250" s="298"/>
      <c r="L250" s="299"/>
      <c r="M250" s="285"/>
      <c r="N250" s="274"/>
      <c r="O250" s="274"/>
      <c r="P250" s="307" t="str">
        <f>IFERROR(VLOOKUP(O250,Références!$K$11:$N$19,2)," ")</f>
        <v xml:space="preserve"> </v>
      </c>
      <c r="Q250" s="307" t="str">
        <f>IFERROR(VLOOKUP(O250,Références!$K$11:$N$19,3)," ")</f>
        <v xml:space="preserve"> </v>
      </c>
      <c r="R250" s="307" t="str">
        <f>IFERROR(VLOOKUP(O250,Références!$K$11:$N$19,4)," ")</f>
        <v xml:space="preserve"> </v>
      </c>
      <c r="S250" s="298"/>
      <c r="T250" s="298"/>
      <c r="U250" s="298"/>
      <c r="V250" s="298"/>
      <c r="W250" s="298"/>
      <c r="X250" s="299"/>
      <c r="Y250" s="298"/>
      <c r="Z250" s="298"/>
      <c r="AA250" s="298"/>
      <c r="AB250" s="277"/>
      <c r="AC250" s="277"/>
      <c r="AD250" s="277"/>
      <c r="AE250" s="277"/>
      <c r="AF250" s="277"/>
      <c r="AG250" s="277"/>
      <c r="AH250" s="277"/>
      <c r="AI250" s="277">
        <f t="shared" ref="AI250:AI262" si="403">SUM(AF250,AH250)</f>
        <v>0</v>
      </c>
      <c r="AJ250" s="299"/>
      <c r="AK250" s="298">
        <f t="shared" ref="AK250" si="404">(AJ250-L250)</f>
        <v>0</v>
      </c>
      <c r="AL250" s="299"/>
      <c r="AM250" s="308">
        <f t="shared" ref="AM250" si="405">(AL250-L250)</f>
        <v>0</v>
      </c>
      <c r="AN250" s="298"/>
      <c r="AO250" s="318"/>
      <c r="AP250" s="303" t="str">
        <f t="shared" ref="AP250" si="406">IF(AO250=1,"ELECTIVE",IF(AO250=2,"URGENCY",IF(AO250=3,"EMERGENCY",IF(AO250=4,"SALVAGE"," "))))</f>
        <v xml:space="preserve"> </v>
      </c>
      <c r="AQ250" s="298"/>
      <c r="AR250" s="337"/>
      <c r="AS250" s="337"/>
      <c r="AT250" s="305"/>
      <c r="AU250" s="319"/>
      <c r="AV250" s="305"/>
      <c r="AW250" s="272"/>
      <c r="AX250" s="342"/>
      <c r="AY250" s="343"/>
      <c r="AZ250" s="272"/>
      <c r="BA250" s="344" t="s">
        <v>246</v>
      </c>
      <c r="BB250" s="337"/>
      <c r="BC250" s="270">
        <f t="shared" si="330"/>
        <v>0</v>
      </c>
      <c r="BD250" s="270">
        <f t="shared" ref="BD250" si="407">IF(BH250="Aucune",0,1)</f>
        <v>0</v>
      </c>
      <c r="BE250" s="270">
        <f t="shared" ref="BE250" si="408">IF(AG250="Aucune",0,1)</f>
        <v>1</v>
      </c>
      <c r="BF250" s="270" t="str">
        <f t="shared" ref="BF250" si="409">IF(AO250=1,"ELECTIVE",IF(AO250=2,"URGENCY",IF(AO250=3,"EMERGENCY",IF(AO250=4,"SALVAGE","ALIVE"))))</f>
        <v>ALIVE</v>
      </c>
      <c r="BG250" s="250" t="str">
        <f t="shared" ref="BG250" si="410">IF(AD250="","Aucune","Infection")</f>
        <v>Aucune</v>
      </c>
      <c r="BH250" s="250" t="str">
        <f t="shared" ref="BH250" si="411">IF(AI250&gt;0,"Transfusion","Aucune")</f>
        <v>Aucune</v>
      </c>
      <c r="BI250" s="250" t="str">
        <f t="shared" ref="BI250" si="412">IF(AG250="","Aucune","Transfusé")</f>
        <v>Aucune</v>
      </c>
      <c r="BJ250" s="250" t="str">
        <f t="shared" ref="BJ250" si="413">IF(X250&lt;&gt;"",IF(X250-L250&lt;2,"OUI","NON"),"NON")</f>
        <v>NON</v>
      </c>
      <c r="BK250" s="250" t="str">
        <f t="shared" ref="BK250" si="414">IF(AS250="","NON","OUI")</f>
        <v>NON</v>
      </c>
      <c r="BL250" s="250" t="str">
        <f t="shared" ref="BL250" si="415">IF(AL250-L250&gt;0,AL250-L250,"Inconnu")</f>
        <v>Inconnu</v>
      </c>
      <c r="BM250" s="250" t="str">
        <f t="shared" ref="BM250" si="416">IF($O250&lt;&gt;"HTX",IF($O250&lt;&gt;"LVAD",BL250,"Inconnu"),"Inconnu")</f>
        <v>Inconnu</v>
      </c>
      <c r="BN250" s="250" t="str">
        <f t="shared" ref="BN250" si="417">IF($O250="HTX",BL250,IF($O250="LVAD",BL250,"Inconnu"))</f>
        <v>Inconnu</v>
      </c>
      <c r="BO250" s="250" t="str">
        <f t="shared" ref="BO250" si="418">IF(AJ250-L250&gt;0,AJ250-L250,"Inconnu")</f>
        <v>Inconnu</v>
      </c>
      <c r="BP250" s="250" t="str">
        <f t="shared" ref="BP250" si="419">IF($O250&lt;&gt;"HTX",IF($O250&lt;&gt;"LVAD",BO250,"Inconnu"),"Inconnu")</f>
        <v>Inconnu</v>
      </c>
      <c r="BQ250" s="250" t="str">
        <f t="shared" ref="BQ250" si="420">IF($O250="HTX",BO250,IF($O250="LVAD",BO250,"Inconnu"))</f>
        <v>Inconnu</v>
      </c>
      <c r="BR250" s="250" t="str">
        <f t="shared" ref="BR250" si="421">IF(BH250="Aucune",IF(BI250="Aucune","Aucune","Transfusé"),"Transfusé")</f>
        <v>Aucune</v>
      </c>
      <c r="BS250" s="250">
        <f t="shared" ref="BS250" si="422">AF250+AH250</f>
        <v>0</v>
      </c>
      <c r="BT250" s="271" t="e">
        <f>VLOOKUP($I250,Lieu_Activité!$A:$B,2,FALSE)</f>
        <v>#N/A</v>
      </c>
      <c r="BU250" s="250" t="str">
        <f t="shared" ref="BU250" si="423">IF(AB250="","Aucun","AVC")</f>
        <v>Aucun</v>
      </c>
      <c r="BV250" s="250" t="str">
        <f t="shared" ref="BV250" si="424">IF(AC250="","Aucun","IM")</f>
        <v>Aucun</v>
      </c>
      <c r="BW250" s="249" t="str">
        <f t="shared" ref="BW250" si="425">IF(M250="","NON","OUI")</f>
        <v>NON</v>
      </c>
      <c r="BX250" s="330"/>
    </row>
    <row r="251" spans="1:170" ht="12.75" customHeight="1" x14ac:dyDescent="0.2">
      <c r="A251" s="273" t="s">
        <v>257</v>
      </c>
      <c r="B251" s="309"/>
      <c r="C251" s="269"/>
      <c r="D251" s="299"/>
      <c r="E251" s="320">
        <f t="shared" ref="E251:E258" si="426">(L251-D251)/365</f>
        <v>0</v>
      </c>
      <c r="F251" s="320" t="str">
        <f t="shared" ref="F251" si="427">IF(E251&lt;80," ","1")</f>
        <v xml:space="preserve"> </v>
      </c>
      <c r="G251" s="298"/>
      <c r="H251" s="298"/>
      <c r="I251" s="298"/>
      <c r="J251" s="298"/>
      <c r="K251" s="298"/>
      <c r="L251" s="299"/>
      <c r="M251" s="285"/>
      <c r="N251" s="274"/>
      <c r="O251" s="274"/>
      <c r="P251" s="307" t="str">
        <f>IFERROR(VLOOKUP(O251,Références!$K$11:$N$19,2)," ")</f>
        <v xml:space="preserve"> </v>
      </c>
      <c r="Q251" s="307" t="str">
        <f>IFERROR(VLOOKUP(O251,Références!$K$11:$N$19,3)," ")</f>
        <v xml:space="preserve"> </v>
      </c>
      <c r="R251" s="307" t="str">
        <f>IFERROR(VLOOKUP(O251,Références!$K$11:$N$19,4)," ")</f>
        <v xml:space="preserve"> </v>
      </c>
      <c r="S251" s="298"/>
      <c r="T251" s="298"/>
      <c r="U251" s="298"/>
      <c r="V251" s="298"/>
      <c r="W251" s="298"/>
      <c r="X251" s="299"/>
      <c r="Y251" s="298"/>
      <c r="Z251" s="298"/>
      <c r="AA251" s="298"/>
      <c r="AB251" s="277"/>
      <c r="AC251" s="277"/>
      <c r="AD251" s="277"/>
      <c r="AE251" s="277"/>
      <c r="AF251" s="277"/>
      <c r="AG251" s="277"/>
      <c r="AH251" s="277"/>
      <c r="AI251" s="277">
        <f t="shared" si="403"/>
        <v>0</v>
      </c>
      <c r="AJ251" s="299"/>
      <c r="AK251" s="298">
        <f t="shared" ref="AK251:AK252" si="428">(AJ251-L251)</f>
        <v>0</v>
      </c>
      <c r="AL251" s="299"/>
      <c r="AM251" s="308">
        <f t="shared" ref="AM251:AM252" si="429">(AL251-L251)</f>
        <v>0</v>
      </c>
      <c r="AN251" s="298"/>
      <c r="AO251" s="318"/>
      <c r="AP251" s="303" t="str">
        <f t="shared" ref="AP251:AP252" si="430">IF(AO251=1,"ELECTIVE",IF(AO251=2,"URGENCY",IF(AO251=3,"EMERGENCY",IF(AO251=4,"SALVAGE"," "))))</f>
        <v xml:space="preserve"> </v>
      </c>
      <c r="AQ251" s="298"/>
      <c r="AR251" s="337"/>
      <c r="AS251" s="337"/>
      <c r="AT251" s="305"/>
      <c r="AU251" s="319"/>
      <c r="AV251" s="305"/>
      <c r="AW251" s="272"/>
      <c r="AX251" s="342"/>
      <c r="AY251" s="343"/>
      <c r="AZ251" s="272"/>
      <c r="BA251" s="342"/>
      <c r="BB251" s="337"/>
      <c r="BC251" s="270">
        <f t="shared" si="330"/>
        <v>0</v>
      </c>
      <c r="BD251" s="270">
        <f t="shared" ref="BD251" si="431">IF(BH251="Aucune",0,1)</f>
        <v>0</v>
      </c>
      <c r="BE251" s="270">
        <f t="shared" ref="BE251" si="432">IF(AG251="Aucune",0,1)</f>
        <v>1</v>
      </c>
      <c r="BF251" s="270" t="str">
        <f t="shared" ref="BF251" si="433">IF(AO251=1,"ELECTIVE",IF(AO251=2,"URGENCY",IF(AO251=3,"EMERGENCY",IF(AO251=4,"SALVAGE","ALIVE"))))</f>
        <v>ALIVE</v>
      </c>
      <c r="BG251" s="250" t="str">
        <f t="shared" ref="BG251" si="434">IF(AD251="","Aucune","Infection")</f>
        <v>Aucune</v>
      </c>
      <c r="BH251" s="250" t="str">
        <f t="shared" ref="BH251" si="435">IF(AI251&gt;0,"Transfusion","Aucune")</f>
        <v>Aucune</v>
      </c>
      <c r="BI251" s="250" t="str">
        <f t="shared" ref="BI251" si="436">IF(AG251="","Aucune","Transfusé")</f>
        <v>Aucune</v>
      </c>
      <c r="BJ251" s="250" t="str">
        <f t="shared" ref="BJ251" si="437">IF(X251&lt;&gt;"",IF(X251-L251&lt;2,"OUI","NON"),"NON")</f>
        <v>NON</v>
      </c>
      <c r="BK251" s="250" t="str">
        <f t="shared" ref="BK251" si="438">IF(AS251="","NON","OUI")</f>
        <v>NON</v>
      </c>
      <c r="BL251" s="250" t="str">
        <f t="shared" ref="BL251" si="439">IF(AL251-L251&gt;0,AL251-L251,"Inconnu")</f>
        <v>Inconnu</v>
      </c>
      <c r="BM251" s="250" t="str">
        <f t="shared" ref="BM251" si="440">IF($O251&lt;&gt;"HTX",IF($O251&lt;&gt;"LVAD",BL251,"Inconnu"),"Inconnu")</f>
        <v>Inconnu</v>
      </c>
      <c r="BN251" s="250" t="str">
        <f t="shared" ref="BN251" si="441">IF($O251="HTX",BL251,IF($O251="LVAD",BL251,"Inconnu"))</f>
        <v>Inconnu</v>
      </c>
      <c r="BO251" s="250" t="str">
        <f t="shared" ref="BO251" si="442">IF(AJ251-L251&gt;0,AJ251-L251,"Inconnu")</f>
        <v>Inconnu</v>
      </c>
      <c r="BP251" s="250" t="str">
        <f t="shared" ref="BP251" si="443">IF($O251&lt;&gt;"HTX",IF($O251&lt;&gt;"LVAD",BO251,"Inconnu"),"Inconnu")</f>
        <v>Inconnu</v>
      </c>
      <c r="BQ251" s="250" t="str">
        <f t="shared" ref="BQ251" si="444">IF($O251="HTX",BO251,IF($O251="LVAD",BO251,"Inconnu"))</f>
        <v>Inconnu</v>
      </c>
      <c r="BR251" s="250" t="str">
        <f t="shared" ref="BR251" si="445">IF(BH251="Aucune",IF(BI251="Aucune","Aucune","Transfusé"),"Transfusé")</f>
        <v>Aucune</v>
      </c>
      <c r="BS251" s="250">
        <f t="shared" ref="BS251" si="446">AF251+AH251</f>
        <v>0</v>
      </c>
      <c r="BT251" s="271" t="e">
        <f>VLOOKUP($I251,Lieu_Activité!$A:$B,2,FALSE)</f>
        <v>#N/A</v>
      </c>
      <c r="BU251" s="250" t="str">
        <f t="shared" ref="BU251" si="447">IF(AB251="","Aucun","AVC")</f>
        <v>Aucun</v>
      </c>
      <c r="BV251" s="250" t="str">
        <f t="shared" ref="BV251" si="448">IF(AC251="","Aucun","IM")</f>
        <v>Aucun</v>
      </c>
      <c r="BW251" s="249" t="str">
        <f t="shared" ref="BW251" si="449">IF(M251="","NON","OUI")</f>
        <v>NON</v>
      </c>
      <c r="BX251" s="330"/>
    </row>
    <row r="252" spans="1:170" ht="12.75" customHeight="1" x14ac:dyDescent="0.2">
      <c r="A252" s="273" t="s">
        <v>257</v>
      </c>
      <c r="B252" s="276"/>
      <c r="C252" s="269"/>
      <c r="D252" s="299"/>
      <c r="E252" s="320">
        <f t="shared" si="426"/>
        <v>0</v>
      </c>
      <c r="F252" s="320"/>
      <c r="G252" s="298"/>
      <c r="H252" s="298"/>
      <c r="I252" s="298"/>
      <c r="J252" s="298"/>
      <c r="K252" s="298"/>
      <c r="L252" s="299"/>
      <c r="M252" s="285"/>
      <c r="N252" s="274"/>
      <c r="O252" s="274"/>
      <c r="P252" s="307" t="str">
        <f>IFERROR(VLOOKUP(O252,Références!$K$11:$N$19,2)," ")</f>
        <v xml:space="preserve"> </v>
      </c>
      <c r="Q252" s="307" t="str">
        <f>IFERROR(VLOOKUP(O252,Références!$K$11:$N$19,3)," ")</f>
        <v xml:space="preserve"> </v>
      </c>
      <c r="R252" s="307" t="str">
        <f>IFERROR(VLOOKUP(O252,Références!$K$11:$N$19,4)," ")</f>
        <v xml:space="preserve"> </v>
      </c>
      <c r="S252" s="298"/>
      <c r="T252" s="298"/>
      <c r="U252" s="298"/>
      <c r="V252" s="298"/>
      <c r="W252" s="298"/>
      <c r="X252" s="299"/>
      <c r="Y252" s="298"/>
      <c r="Z252" s="298"/>
      <c r="AA252" s="298"/>
      <c r="AB252" s="277"/>
      <c r="AC252" s="277"/>
      <c r="AD252" s="277"/>
      <c r="AE252" s="277"/>
      <c r="AF252" s="277"/>
      <c r="AG252" s="277"/>
      <c r="AH252" s="277"/>
      <c r="AI252" s="277">
        <f t="shared" si="403"/>
        <v>0</v>
      </c>
      <c r="AJ252" s="299"/>
      <c r="AK252" s="298">
        <f t="shared" si="428"/>
        <v>0</v>
      </c>
      <c r="AL252" s="299"/>
      <c r="AM252" s="308">
        <f t="shared" si="429"/>
        <v>0</v>
      </c>
      <c r="AN252" s="298"/>
      <c r="AO252" s="318"/>
      <c r="AP252" s="303" t="str">
        <f t="shared" si="430"/>
        <v xml:space="preserve"> </v>
      </c>
      <c r="AQ252" s="298"/>
      <c r="AR252" s="337"/>
      <c r="AS252" s="337"/>
      <c r="AT252" s="305"/>
      <c r="AU252" s="319"/>
      <c r="AV252" s="305"/>
      <c r="AW252" s="272"/>
      <c r="AX252" s="342"/>
      <c r="AY252" s="343"/>
      <c r="AZ252" s="342"/>
      <c r="BA252" s="342"/>
      <c r="BB252" s="337"/>
      <c r="BC252" s="270">
        <f t="shared" si="330"/>
        <v>0</v>
      </c>
      <c r="BD252" s="270">
        <f t="shared" ref="BD252:BD257" si="450">IF(BH252="Aucune",0,1)</f>
        <v>0</v>
      </c>
      <c r="BE252" s="270">
        <f t="shared" ref="BE252:BE257" si="451">IF(AG252="Aucune",0,1)</f>
        <v>1</v>
      </c>
      <c r="BF252" s="270" t="str">
        <f t="shared" ref="BF252:BF257" si="452">IF(AO252=1,"ELECTIVE",IF(AO252=2,"URGENCY",IF(AO252=3,"EMERGENCY",IF(AO252=4,"SALVAGE","ALIVE"))))</f>
        <v>ALIVE</v>
      </c>
      <c r="BG252" s="250" t="str">
        <f t="shared" ref="BG252:BG257" si="453">IF(AD252="","Aucune","Infection")</f>
        <v>Aucune</v>
      </c>
      <c r="BH252" s="250" t="str">
        <f t="shared" ref="BH252:BH257" si="454">IF(AI252&gt;0,"Transfusion","Aucune")</f>
        <v>Aucune</v>
      </c>
      <c r="BI252" s="250" t="str">
        <f t="shared" ref="BI252:BI257" si="455">IF(AG252="","Aucune","Transfusé")</f>
        <v>Aucune</v>
      </c>
      <c r="BJ252" s="250" t="str">
        <f t="shared" ref="BJ252:BJ257" si="456">IF(X252&lt;&gt;"",IF(X252-L252&lt;2,"OUI","NON"),"NON")</f>
        <v>NON</v>
      </c>
      <c r="BK252" s="250" t="str">
        <f t="shared" ref="BK252:BK257" si="457">IF(AS252="","NON","OUI")</f>
        <v>NON</v>
      </c>
      <c r="BL252" s="250" t="str">
        <f t="shared" ref="BL252:BL257" si="458">IF(AL252-L252&gt;0,AL252-L252,"Inconnu")</f>
        <v>Inconnu</v>
      </c>
      <c r="BM252" s="250" t="str">
        <f t="shared" ref="BM252:BM257" si="459">IF($O252&lt;&gt;"HTX",IF($O252&lt;&gt;"LVAD",BL252,"Inconnu"),"Inconnu")</f>
        <v>Inconnu</v>
      </c>
      <c r="BN252" s="250" t="str">
        <f t="shared" ref="BN252:BN257" si="460">IF($O252="HTX",BL252,IF($O252="LVAD",BL252,"Inconnu"))</f>
        <v>Inconnu</v>
      </c>
      <c r="BO252" s="250" t="str">
        <f t="shared" ref="BO252:BO257" si="461">IF(AJ252-L252&gt;0,AJ252-L252,"Inconnu")</f>
        <v>Inconnu</v>
      </c>
      <c r="BP252" s="250" t="str">
        <f t="shared" ref="BP252:BP257" si="462">IF($O252&lt;&gt;"HTX",IF($O252&lt;&gt;"LVAD",BO252,"Inconnu"),"Inconnu")</f>
        <v>Inconnu</v>
      </c>
      <c r="BQ252" s="250" t="str">
        <f t="shared" ref="BQ252:BQ257" si="463">IF($O252="HTX",BO252,IF($O252="LVAD",BO252,"Inconnu"))</f>
        <v>Inconnu</v>
      </c>
      <c r="BR252" s="250" t="str">
        <f t="shared" ref="BR252:BR257" si="464">IF(BH252="Aucune",IF(BI252="Aucune","Aucune","Transfusé"),"Transfusé")</f>
        <v>Aucune</v>
      </c>
      <c r="BS252" s="250">
        <f t="shared" ref="BS252:BS257" si="465">AF252+AH252</f>
        <v>0</v>
      </c>
      <c r="BT252" s="271" t="e">
        <f>VLOOKUP($I252,Lieu_Activité!$A:$B,2,FALSE)</f>
        <v>#N/A</v>
      </c>
      <c r="BU252" s="250" t="str">
        <f t="shared" ref="BU252:BU257" si="466">IF(AB252="","Aucun","AVC")</f>
        <v>Aucun</v>
      </c>
      <c r="BV252" s="250" t="str">
        <f t="shared" ref="BV252:BV257" si="467">IF(AC252="","Aucun","IM")</f>
        <v>Aucun</v>
      </c>
      <c r="BW252" s="249" t="str">
        <f t="shared" ref="BW252:BW257" si="468">IF(M252="","NON","OUI")</f>
        <v>NON</v>
      </c>
      <c r="BX252" s="330"/>
    </row>
    <row r="253" spans="1:170" ht="12.75" customHeight="1" x14ac:dyDescent="0.2">
      <c r="A253" s="273" t="s">
        <v>257</v>
      </c>
      <c r="B253" s="276"/>
      <c r="C253" s="269"/>
      <c r="D253" s="299"/>
      <c r="E253" s="320">
        <f t="shared" si="426"/>
        <v>0</v>
      </c>
      <c r="F253" s="320"/>
      <c r="G253" s="298"/>
      <c r="H253" s="298"/>
      <c r="I253" s="298"/>
      <c r="J253" s="298"/>
      <c r="K253" s="298"/>
      <c r="L253" s="299"/>
      <c r="M253" s="285"/>
      <c r="N253" s="274"/>
      <c r="O253" s="274"/>
      <c r="P253" s="307" t="str">
        <f>IFERROR(VLOOKUP(O253,Références!$K$11:$N$19,2)," ")</f>
        <v xml:space="preserve"> </v>
      </c>
      <c r="Q253" s="307" t="str">
        <f>IFERROR(VLOOKUP(O253,Références!$K$11:$N$19,3)," ")</f>
        <v xml:space="preserve"> </v>
      </c>
      <c r="R253" s="307" t="str">
        <f>IFERROR(VLOOKUP(O253,Références!$K$11:$N$19,4)," ")</f>
        <v xml:space="preserve"> </v>
      </c>
      <c r="S253" s="298"/>
      <c r="T253" s="298"/>
      <c r="U253" s="298"/>
      <c r="V253" s="298"/>
      <c r="W253" s="298"/>
      <c r="X253" s="299"/>
      <c r="Y253" s="298"/>
      <c r="Z253" s="298"/>
      <c r="AA253" s="298"/>
      <c r="AB253" s="277"/>
      <c r="AC253" s="277"/>
      <c r="AD253" s="316"/>
      <c r="AE253" s="277"/>
      <c r="AF253" s="277"/>
      <c r="AG253" s="277"/>
      <c r="AH253" s="277"/>
      <c r="AI253" s="277">
        <f t="shared" si="403"/>
        <v>0</v>
      </c>
      <c r="AJ253" s="299"/>
      <c r="AK253" s="298">
        <f t="shared" ref="AK253:AK258" si="469">(AJ253-L253)</f>
        <v>0</v>
      </c>
      <c r="AL253" s="299"/>
      <c r="AM253" s="308">
        <f t="shared" ref="AM253:AM258" si="470">(AL253-L253)</f>
        <v>0</v>
      </c>
      <c r="AN253" s="298"/>
      <c r="AO253" s="318"/>
      <c r="AP253" s="303" t="str">
        <f t="shared" ref="AP253:AP258" si="471">IF(AO253=1,"ELECTIVE",IF(AO253=2,"URGENCY",IF(AO253=3,"EMERGENCY",IF(AO253=4,"SALVAGE"," "))))</f>
        <v xml:space="preserve"> </v>
      </c>
      <c r="AQ253" s="298"/>
      <c r="AR253" s="337"/>
      <c r="AS253" s="337"/>
      <c r="AT253" s="305"/>
      <c r="AU253" s="319"/>
      <c r="AV253" s="305"/>
      <c r="AW253" s="272"/>
      <c r="AX253" s="342"/>
      <c r="AY253" s="343"/>
      <c r="AZ253" s="342"/>
      <c r="BA253" s="342"/>
      <c r="BB253" s="337"/>
      <c r="BC253" s="270">
        <f t="shared" si="330"/>
        <v>0</v>
      </c>
      <c r="BD253" s="270">
        <f t="shared" si="450"/>
        <v>0</v>
      </c>
      <c r="BE253" s="270">
        <f t="shared" si="451"/>
        <v>1</v>
      </c>
      <c r="BF253" s="270" t="str">
        <f t="shared" si="452"/>
        <v>ALIVE</v>
      </c>
      <c r="BG253" s="250" t="str">
        <f t="shared" si="453"/>
        <v>Aucune</v>
      </c>
      <c r="BH253" s="250" t="str">
        <f t="shared" si="454"/>
        <v>Aucune</v>
      </c>
      <c r="BI253" s="250" t="str">
        <f t="shared" si="455"/>
        <v>Aucune</v>
      </c>
      <c r="BJ253" s="250" t="str">
        <f t="shared" si="456"/>
        <v>NON</v>
      </c>
      <c r="BK253" s="250" t="str">
        <f t="shared" si="457"/>
        <v>NON</v>
      </c>
      <c r="BL253" s="250" t="str">
        <f t="shared" si="458"/>
        <v>Inconnu</v>
      </c>
      <c r="BM253" s="250" t="str">
        <f t="shared" si="459"/>
        <v>Inconnu</v>
      </c>
      <c r="BN253" s="250" t="str">
        <f t="shared" si="460"/>
        <v>Inconnu</v>
      </c>
      <c r="BO253" s="250" t="str">
        <f t="shared" si="461"/>
        <v>Inconnu</v>
      </c>
      <c r="BP253" s="250" t="str">
        <f t="shared" si="462"/>
        <v>Inconnu</v>
      </c>
      <c r="BQ253" s="250" t="str">
        <f t="shared" si="463"/>
        <v>Inconnu</v>
      </c>
      <c r="BR253" s="250" t="str">
        <f t="shared" si="464"/>
        <v>Aucune</v>
      </c>
      <c r="BS253" s="250">
        <f t="shared" si="465"/>
        <v>0</v>
      </c>
      <c r="BT253" s="271" t="e">
        <f>VLOOKUP($I253,Lieu_Activité!$A:$B,2,FALSE)</f>
        <v>#N/A</v>
      </c>
      <c r="BU253" s="250" t="str">
        <f t="shared" si="466"/>
        <v>Aucun</v>
      </c>
      <c r="BV253" s="250" t="str">
        <f t="shared" si="467"/>
        <v>Aucun</v>
      </c>
      <c r="BW253" s="249" t="str">
        <f t="shared" si="468"/>
        <v>NON</v>
      </c>
      <c r="BX253" s="330"/>
    </row>
    <row r="254" spans="1:170" ht="12.75" customHeight="1" x14ac:dyDescent="0.2">
      <c r="A254" s="273" t="s">
        <v>257</v>
      </c>
      <c r="B254" s="310"/>
      <c r="C254" s="269"/>
      <c r="D254" s="299"/>
      <c r="E254" s="320">
        <f t="shared" si="426"/>
        <v>0</v>
      </c>
      <c r="F254" s="320"/>
      <c r="G254" s="298"/>
      <c r="H254" s="298"/>
      <c r="I254" s="298"/>
      <c r="J254" s="298"/>
      <c r="K254" s="298"/>
      <c r="L254" s="299"/>
      <c r="M254" s="285"/>
      <c r="N254" s="274"/>
      <c r="O254" s="274"/>
      <c r="P254" s="307" t="str">
        <f>IFERROR(VLOOKUP(O254,Références!$K$11:$N$19,2)," ")</f>
        <v xml:space="preserve"> </v>
      </c>
      <c r="Q254" s="307" t="str">
        <f>IFERROR(VLOOKUP(O254,Références!$K$11:$N$19,3)," ")</f>
        <v xml:space="preserve"> </v>
      </c>
      <c r="R254" s="307" t="str">
        <f>IFERROR(VLOOKUP(O254,Références!$K$11:$N$19,4)," ")</f>
        <v xml:space="preserve"> </v>
      </c>
      <c r="S254" s="298"/>
      <c r="T254" s="298"/>
      <c r="U254" s="298"/>
      <c r="V254" s="298"/>
      <c r="W254" s="298"/>
      <c r="X254" s="299"/>
      <c r="Y254" s="298"/>
      <c r="Z254" s="298"/>
      <c r="AA254" s="298"/>
      <c r="AB254" s="277"/>
      <c r="AC254" s="277"/>
      <c r="AD254" s="277"/>
      <c r="AE254" s="277"/>
      <c r="AF254" s="277"/>
      <c r="AG254" s="277"/>
      <c r="AH254" s="277"/>
      <c r="AI254" s="277">
        <f t="shared" si="403"/>
        <v>0</v>
      </c>
      <c r="AJ254" s="299"/>
      <c r="AK254" s="298">
        <f t="shared" si="469"/>
        <v>0</v>
      </c>
      <c r="AL254" s="299"/>
      <c r="AM254" s="308">
        <f t="shared" si="470"/>
        <v>0</v>
      </c>
      <c r="AN254" s="298"/>
      <c r="AO254" s="318"/>
      <c r="AP254" s="303" t="str">
        <f t="shared" si="471"/>
        <v xml:space="preserve"> </v>
      </c>
      <c r="AQ254" s="298"/>
      <c r="AR254" s="337"/>
      <c r="AS254" s="337"/>
      <c r="AT254" s="305"/>
      <c r="AU254" s="319"/>
      <c r="AV254" s="305"/>
      <c r="AW254" s="272"/>
      <c r="AX254" s="342"/>
      <c r="AY254" s="343"/>
      <c r="AZ254" s="272"/>
      <c r="BA254" s="344" t="s">
        <v>246</v>
      </c>
      <c r="BB254" s="337"/>
      <c r="BC254" s="270">
        <f t="shared" si="330"/>
        <v>0</v>
      </c>
      <c r="BD254" s="270">
        <f t="shared" si="450"/>
        <v>0</v>
      </c>
      <c r="BE254" s="270">
        <f t="shared" si="451"/>
        <v>1</v>
      </c>
      <c r="BF254" s="270" t="str">
        <f t="shared" si="452"/>
        <v>ALIVE</v>
      </c>
      <c r="BG254" s="250" t="str">
        <f t="shared" si="453"/>
        <v>Aucune</v>
      </c>
      <c r="BH254" s="250" t="str">
        <f t="shared" si="454"/>
        <v>Aucune</v>
      </c>
      <c r="BI254" s="250" t="str">
        <f t="shared" si="455"/>
        <v>Aucune</v>
      </c>
      <c r="BJ254" s="250" t="str">
        <f t="shared" si="456"/>
        <v>NON</v>
      </c>
      <c r="BK254" s="250" t="str">
        <f t="shared" si="457"/>
        <v>NON</v>
      </c>
      <c r="BL254" s="250" t="str">
        <f t="shared" si="458"/>
        <v>Inconnu</v>
      </c>
      <c r="BM254" s="250" t="str">
        <f t="shared" si="459"/>
        <v>Inconnu</v>
      </c>
      <c r="BN254" s="250" t="str">
        <f t="shared" si="460"/>
        <v>Inconnu</v>
      </c>
      <c r="BO254" s="250" t="str">
        <f t="shared" si="461"/>
        <v>Inconnu</v>
      </c>
      <c r="BP254" s="250" t="str">
        <f t="shared" si="462"/>
        <v>Inconnu</v>
      </c>
      <c r="BQ254" s="250" t="str">
        <f t="shared" si="463"/>
        <v>Inconnu</v>
      </c>
      <c r="BR254" s="250" t="str">
        <f t="shared" si="464"/>
        <v>Aucune</v>
      </c>
      <c r="BS254" s="250">
        <f t="shared" si="465"/>
        <v>0</v>
      </c>
      <c r="BT254" s="271" t="e">
        <f>VLOOKUP($I254,Lieu_Activité!$A:$B,2,FALSE)</f>
        <v>#N/A</v>
      </c>
      <c r="BU254" s="250" t="str">
        <f t="shared" si="466"/>
        <v>Aucun</v>
      </c>
      <c r="BV254" s="250" t="str">
        <f t="shared" si="467"/>
        <v>Aucun</v>
      </c>
      <c r="BW254" s="249" t="str">
        <f t="shared" si="468"/>
        <v>NON</v>
      </c>
      <c r="BX254" s="330"/>
    </row>
    <row r="255" spans="1:170" ht="12.75" customHeight="1" x14ac:dyDescent="0.2">
      <c r="A255" s="273" t="s">
        <v>257</v>
      </c>
      <c r="B255" s="276"/>
      <c r="C255" s="269"/>
      <c r="D255" s="299"/>
      <c r="E255" s="320">
        <f t="shared" si="426"/>
        <v>0</v>
      </c>
      <c r="F255" s="320"/>
      <c r="G255" s="298"/>
      <c r="H255" s="298"/>
      <c r="I255" s="298"/>
      <c r="J255" s="298"/>
      <c r="K255" s="298"/>
      <c r="L255" s="299"/>
      <c r="M255" s="285"/>
      <c r="N255" s="274"/>
      <c r="O255" s="274"/>
      <c r="P255" s="307" t="str">
        <f>IFERROR(VLOOKUP(O255,Références!$K$11:$N$19,2)," ")</f>
        <v xml:space="preserve"> </v>
      </c>
      <c r="Q255" s="307" t="str">
        <f>IFERROR(VLOOKUP(O255,Références!$K$11:$N$19,3)," ")</f>
        <v xml:space="preserve"> </v>
      </c>
      <c r="R255" s="307" t="str">
        <f>IFERROR(VLOOKUP(O255,Références!$K$11:$N$19,4)," ")</f>
        <v xml:space="preserve"> </v>
      </c>
      <c r="S255" s="298"/>
      <c r="T255" s="298"/>
      <c r="U255" s="298"/>
      <c r="V255" s="298"/>
      <c r="W255" s="298"/>
      <c r="X255" s="299"/>
      <c r="Y255" s="298"/>
      <c r="Z255" s="298"/>
      <c r="AA255" s="298"/>
      <c r="AB255" s="277"/>
      <c r="AC255" s="277"/>
      <c r="AD255" s="277"/>
      <c r="AE255" s="277"/>
      <c r="AF255" s="277"/>
      <c r="AG255" s="277"/>
      <c r="AH255" s="277"/>
      <c r="AI255" s="277">
        <f t="shared" si="403"/>
        <v>0</v>
      </c>
      <c r="AJ255" s="299"/>
      <c r="AK255" s="298">
        <f t="shared" si="469"/>
        <v>0</v>
      </c>
      <c r="AL255" s="299"/>
      <c r="AM255" s="308">
        <f t="shared" si="470"/>
        <v>0</v>
      </c>
      <c r="AN255" s="298"/>
      <c r="AO255" s="318"/>
      <c r="AP255" s="303" t="str">
        <f t="shared" si="471"/>
        <v xml:space="preserve"> </v>
      </c>
      <c r="AQ255" s="298"/>
      <c r="AR255" s="337"/>
      <c r="AS255" s="337"/>
      <c r="AT255" s="305"/>
      <c r="AU255" s="319"/>
      <c r="AV255" s="305"/>
      <c r="AW255" s="272"/>
      <c r="AX255" s="342"/>
      <c r="AY255" s="343"/>
      <c r="AZ255" s="342"/>
      <c r="BA255" s="342"/>
      <c r="BB255" s="337"/>
      <c r="BC255" s="270">
        <f t="shared" si="330"/>
        <v>0</v>
      </c>
      <c r="BD255" s="270">
        <f t="shared" si="450"/>
        <v>0</v>
      </c>
      <c r="BE255" s="270">
        <f t="shared" si="451"/>
        <v>1</v>
      </c>
      <c r="BF255" s="270" t="str">
        <f t="shared" si="452"/>
        <v>ALIVE</v>
      </c>
      <c r="BG255" s="250" t="str">
        <f t="shared" si="453"/>
        <v>Aucune</v>
      </c>
      <c r="BH255" s="250" t="str">
        <f t="shared" si="454"/>
        <v>Aucune</v>
      </c>
      <c r="BI255" s="250" t="str">
        <f t="shared" si="455"/>
        <v>Aucune</v>
      </c>
      <c r="BJ255" s="250" t="str">
        <f t="shared" si="456"/>
        <v>NON</v>
      </c>
      <c r="BK255" s="250" t="str">
        <f t="shared" si="457"/>
        <v>NON</v>
      </c>
      <c r="BL255" s="250" t="str">
        <f t="shared" si="458"/>
        <v>Inconnu</v>
      </c>
      <c r="BM255" s="250" t="str">
        <f t="shared" si="459"/>
        <v>Inconnu</v>
      </c>
      <c r="BN255" s="250" t="str">
        <f t="shared" si="460"/>
        <v>Inconnu</v>
      </c>
      <c r="BO255" s="250" t="str">
        <f t="shared" si="461"/>
        <v>Inconnu</v>
      </c>
      <c r="BP255" s="250" t="str">
        <f t="shared" si="462"/>
        <v>Inconnu</v>
      </c>
      <c r="BQ255" s="250" t="str">
        <f t="shared" si="463"/>
        <v>Inconnu</v>
      </c>
      <c r="BR255" s="250" t="str">
        <f t="shared" si="464"/>
        <v>Aucune</v>
      </c>
      <c r="BS255" s="250">
        <f t="shared" si="465"/>
        <v>0</v>
      </c>
      <c r="BT255" s="271" t="e">
        <f>VLOOKUP($I255,Lieu_Activité!$A:$B,2,FALSE)</f>
        <v>#N/A</v>
      </c>
      <c r="BU255" s="250" t="str">
        <f t="shared" si="466"/>
        <v>Aucun</v>
      </c>
      <c r="BV255" s="250" t="str">
        <f t="shared" si="467"/>
        <v>Aucun</v>
      </c>
      <c r="BW255" s="249" t="str">
        <f t="shared" si="468"/>
        <v>NON</v>
      </c>
      <c r="BX255" s="330"/>
    </row>
    <row r="256" spans="1:170" ht="12.75" customHeight="1" x14ac:dyDescent="0.2">
      <c r="A256" s="273" t="s">
        <v>257</v>
      </c>
      <c r="B256" s="276"/>
      <c r="C256" s="269"/>
      <c r="D256" s="299"/>
      <c r="E256" s="320">
        <f t="shared" si="426"/>
        <v>0</v>
      </c>
      <c r="F256" s="320"/>
      <c r="G256" s="298"/>
      <c r="H256" s="298"/>
      <c r="I256" s="298"/>
      <c r="J256" s="298"/>
      <c r="K256" s="298"/>
      <c r="L256" s="299"/>
      <c r="M256" s="285"/>
      <c r="N256" s="274"/>
      <c r="O256" s="274"/>
      <c r="P256" s="307" t="str">
        <f>IFERROR(VLOOKUP(O256,Références!$K$11:$N$19,2)," ")</f>
        <v xml:space="preserve"> </v>
      </c>
      <c r="Q256" s="307" t="str">
        <f>IFERROR(VLOOKUP(O256,Références!$K$11:$N$19,3)," ")</f>
        <v xml:space="preserve"> </v>
      </c>
      <c r="R256" s="307" t="str">
        <f>IFERROR(VLOOKUP(O256,Références!$K$11:$N$19,4)," ")</f>
        <v xml:space="preserve"> </v>
      </c>
      <c r="S256" s="298"/>
      <c r="T256" s="298"/>
      <c r="U256" s="298"/>
      <c r="V256" s="298"/>
      <c r="W256" s="298"/>
      <c r="X256" s="299"/>
      <c r="Y256" s="298"/>
      <c r="Z256" s="298"/>
      <c r="AA256" s="298"/>
      <c r="AB256" s="277"/>
      <c r="AC256" s="277"/>
      <c r="AD256" s="277"/>
      <c r="AE256" s="277"/>
      <c r="AF256" s="277"/>
      <c r="AG256" s="277"/>
      <c r="AH256" s="277"/>
      <c r="AI256" s="277">
        <f t="shared" si="403"/>
        <v>0</v>
      </c>
      <c r="AJ256" s="299"/>
      <c r="AK256" s="298">
        <f t="shared" si="469"/>
        <v>0</v>
      </c>
      <c r="AL256" s="299"/>
      <c r="AM256" s="308">
        <f t="shared" si="470"/>
        <v>0</v>
      </c>
      <c r="AN256" s="298"/>
      <c r="AO256" s="318"/>
      <c r="AP256" s="303" t="str">
        <f t="shared" si="471"/>
        <v xml:space="preserve"> </v>
      </c>
      <c r="AQ256" s="298"/>
      <c r="AR256" s="337"/>
      <c r="AS256" s="337"/>
      <c r="AT256" s="305"/>
      <c r="AU256" s="319"/>
      <c r="AV256" s="305"/>
      <c r="AW256" s="272"/>
      <c r="AX256" s="342"/>
      <c r="AY256" s="343"/>
      <c r="AZ256" s="342"/>
      <c r="BA256" s="342"/>
      <c r="BB256" s="337"/>
      <c r="BC256" s="270">
        <f t="shared" si="330"/>
        <v>0</v>
      </c>
      <c r="BD256" s="270">
        <f t="shared" si="450"/>
        <v>0</v>
      </c>
      <c r="BE256" s="270">
        <f t="shared" si="451"/>
        <v>1</v>
      </c>
      <c r="BF256" s="270" t="str">
        <f t="shared" si="452"/>
        <v>ALIVE</v>
      </c>
      <c r="BG256" s="250" t="str">
        <f t="shared" si="453"/>
        <v>Aucune</v>
      </c>
      <c r="BH256" s="250" t="str">
        <f t="shared" si="454"/>
        <v>Aucune</v>
      </c>
      <c r="BI256" s="250" t="str">
        <f t="shared" si="455"/>
        <v>Aucune</v>
      </c>
      <c r="BJ256" s="250" t="str">
        <f t="shared" si="456"/>
        <v>NON</v>
      </c>
      <c r="BK256" s="250" t="str">
        <f t="shared" si="457"/>
        <v>NON</v>
      </c>
      <c r="BL256" s="250" t="str">
        <f t="shared" si="458"/>
        <v>Inconnu</v>
      </c>
      <c r="BM256" s="250" t="str">
        <f t="shared" si="459"/>
        <v>Inconnu</v>
      </c>
      <c r="BN256" s="250" t="str">
        <f t="shared" si="460"/>
        <v>Inconnu</v>
      </c>
      <c r="BO256" s="250" t="str">
        <f t="shared" si="461"/>
        <v>Inconnu</v>
      </c>
      <c r="BP256" s="250" t="str">
        <f t="shared" si="462"/>
        <v>Inconnu</v>
      </c>
      <c r="BQ256" s="250" t="str">
        <f t="shared" si="463"/>
        <v>Inconnu</v>
      </c>
      <c r="BR256" s="250" t="str">
        <f t="shared" si="464"/>
        <v>Aucune</v>
      </c>
      <c r="BS256" s="250">
        <f t="shared" si="465"/>
        <v>0</v>
      </c>
      <c r="BT256" s="271" t="e">
        <f>VLOOKUP($I256,Lieu_Activité!$A:$B,2,FALSE)</f>
        <v>#N/A</v>
      </c>
      <c r="BU256" s="250" t="str">
        <f t="shared" si="466"/>
        <v>Aucun</v>
      </c>
      <c r="BV256" s="250" t="str">
        <f t="shared" si="467"/>
        <v>Aucun</v>
      </c>
      <c r="BW256" s="249" t="str">
        <f t="shared" si="468"/>
        <v>NON</v>
      </c>
      <c r="BX256" s="330"/>
    </row>
    <row r="257" spans="1:170" ht="12.75" customHeight="1" x14ac:dyDescent="0.2">
      <c r="A257" s="273" t="s">
        <v>257</v>
      </c>
      <c r="B257" s="276"/>
      <c r="C257" s="269"/>
      <c r="D257" s="299"/>
      <c r="E257" s="320">
        <f t="shared" si="426"/>
        <v>0</v>
      </c>
      <c r="F257" s="320"/>
      <c r="G257" s="298"/>
      <c r="H257" s="298"/>
      <c r="I257" s="298"/>
      <c r="J257" s="298"/>
      <c r="K257" s="298"/>
      <c r="L257" s="299"/>
      <c r="M257" s="285"/>
      <c r="N257" s="274"/>
      <c r="O257" s="274"/>
      <c r="P257" s="307" t="str">
        <f>IFERROR(VLOOKUP(O257,Références!$K$11:$N$19,2)," ")</f>
        <v xml:space="preserve"> </v>
      </c>
      <c r="Q257" s="307" t="str">
        <f>IFERROR(VLOOKUP(O257,Références!$K$11:$N$19,3)," ")</f>
        <v xml:space="preserve"> </v>
      </c>
      <c r="R257" s="307" t="str">
        <f>IFERROR(VLOOKUP(O257,Références!$K$11:$N$19,4)," ")</f>
        <v xml:space="preserve"> </v>
      </c>
      <c r="S257" s="298"/>
      <c r="T257" s="298"/>
      <c r="U257" s="298"/>
      <c r="V257" s="298"/>
      <c r="W257" s="298"/>
      <c r="X257" s="299"/>
      <c r="Y257" s="298"/>
      <c r="Z257" s="298"/>
      <c r="AA257" s="298"/>
      <c r="AB257" s="277"/>
      <c r="AC257" s="277"/>
      <c r="AD257" s="277"/>
      <c r="AE257" s="277"/>
      <c r="AF257" s="277"/>
      <c r="AG257" s="277"/>
      <c r="AH257" s="277"/>
      <c r="AI257" s="277">
        <f t="shared" ref="AI257:AI258" si="472">SUM(AF257,AH257)</f>
        <v>0</v>
      </c>
      <c r="AJ257" s="299"/>
      <c r="AK257" s="298">
        <f t="shared" si="469"/>
        <v>0</v>
      </c>
      <c r="AL257" s="299"/>
      <c r="AM257" s="308">
        <f t="shared" si="470"/>
        <v>0</v>
      </c>
      <c r="AN257" s="298"/>
      <c r="AO257" s="318"/>
      <c r="AP257" s="303" t="str">
        <f t="shared" si="471"/>
        <v xml:space="preserve"> </v>
      </c>
      <c r="AQ257" s="298"/>
      <c r="AR257" s="337"/>
      <c r="AS257" s="337"/>
      <c r="AT257" s="305"/>
      <c r="AU257" s="319"/>
      <c r="AV257" s="305"/>
      <c r="AW257" s="272"/>
      <c r="AX257" s="342"/>
      <c r="AY257" s="343"/>
      <c r="AZ257" s="342"/>
      <c r="BA257" s="342"/>
      <c r="BB257" s="337"/>
      <c r="BC257" s="270">
        <f t="shared" si="330"/>
        <v>0</v>
      </c>
      <c r="BD257" s="270">
        <f t="shared" si="450"/>
        <v>0</v>
      </c>
      <c r="BE257" s="270">
        <f t="shared" si="451"/>
        <v>1</v>
      </c>
      <c r="BF257" s="270" t="str">
        <f t="shared" si="452"/>
        <v>ALIVE</v>
      </c>
      <c r="BG257" s="250" t="str">
        <f t="shared" si="453"/>
        <v>Aucune</v>
      </c>
      <c r="BH257" s="250" t="str">
        <f t="shared" si="454"/>
        <v>Aucune</v>
      </c>
      <c r="BI257" s="250" t="str">
        <f t="shared" si="455"/>
        <v>Aucune</v>
      </c>
      <c r="BJ257" s="250" t="str">
        <f t="shared" si="456"/>
        <v>NON</v>
      </c>
      <c r="BK257" s="250" t="str">
        <f t="shared" si="457"/>
        <v>NON</v>
      </c>
      <c r="BL257" s="250" t="str">
        <f t="shared" si="458"/>
        <v>Inconnu</v>
      </c>
      <c r="BM257" s="250" t="str">
        <f t="shared" si="459"/>
        <v>Inconnu</v>
      </c>
      <c r="BN257" s="250" t="str">
        <f t="shared" si="460"/>
        <v>Inconnu</v>
      </c>
      <c r="BO257" s="250" t="str">
        <f t="shared" si="461"/>
        <v>Inconnu</v>
      </c>
      <c r="BP257" s="250" t="str">
        <f t="shared" si="462"/>
        <v>Inconnu</v>
      </c>
      <c r="BQ257" s="250" t="str">
        <f t="shared" si="463"/>
        <v>Inconnu</v>
      </c>
      <c r="BR257" s="250" t="str">
        <f t="shared" si="464"/>
        <v>Aucune</v>
      </c>
      <c r="BS257" s="250">
        <f t="shared" si="465"/>
        <v>0</v>
      </c>
      <c r="BT257" s="271" t="e">
        <f>VLOOKUP($I257,Lieu_Activité!$A:$B,2,FALSE)</f>
        <v>#N/A</v>
      </c>
      <c r="BU257" s="250" t="str">
        <f t="shared" si="466"/>
        <v>Aucun</v>
      </c>
      <c r="BV257" s="250" t="str">
        <f t="shared" si="467"/>
        <v>Aucun</v>
      </c>
      <c r="BW257" s="249" t="str">
        <f t="shared" si="468"/>
        <v>NON</v>
      </c>
      <c r="BX257" s="330"/>
    </row>
    <row r="258" spans="1:170" ht="12.75" customHeight="1" x14ac:dyDescent="0.2">
      <c r="A258" s="273" t="s">
        <v>257</v>
      </c>
      <c r="B258" s="276"/>
      <c r="C258" s="269"/>
      <c r="D258" s="299"/>
      <c r="E258" s="320">
        <f t="shared" si="426"/>
        <v>0</v>
      </c>
      <c r="F258" s="320"/>
      <c r="G258" s="298"/>
      <c r="H258" s="298"/>
      <c r="I258" s="298"/>
      <c r="J258" s="298"/>
      <c r="K258" s="298"/>
      <c r="L258" s="299"/>
      <c r="M258" s="285"/>
      <c r="N258" s="274"/>
      <c r="O258" s="274"/>
      <c r="P258" s="307" t="str">
        <f>IFERROR(VLOOKUP(O258,Références!$K$11:$N$19,2)," ")</f>
        <v xml:space="preserve"> </v>
      </c>
      <c r="Q258" s="307" t="str">
        <f>IFERROR(VLOOKUP(O258,Références!$K$11:$N$19,3)," ")</f>
        <v xml:space="preserve"> </v>
      </c>
      <c r="R258" s="307" t="str">
        <f>IFERROR(VLOOKUP(O258,Références!$K$11:$N$19,4)," ")</f>
        <v xml:space="preserve"> </v>
      </c>
      <c r="S258" s="298"/>
      <c r="T258" s="298"/>
      <c r="U258" s="298"/>
      <c r="V258" s="298"/>
      <c r="W258" s="298"/>
      <c r="X258" s="299"/>
      <c r="Y258" s="298"/>
      <c r="Z258" s="298"/>
      <c r="AA258" s="298"/>
      <c r="AB258" s="277"/>
      <c r="AC258" s="277"/>
      <c r="AD258" s="277"/>
      <c r="AE258" s="277"/>
      <c r="AF258" s="277"/>
      <c r="AG258" s="277"/>
      <c r="AH258" s="277"/>
      <c r="AI258" s="277">
        <f t="shared" si="472"/>
        <v>0</v>
      </c>
      <c r="AJ258" s="299"/>
      <c r="AK258" s="298">
        <f t="shared" si="469"/>
        <v>0</v>
      </c>
      <c r="AL258" s="299"/>
      <c r="AM258" s="308">
        <f t="shared" si="470"/>
        <v>0</v>
      </c>
      <c r="AN258" s="298"/>
      <c r="AO258" s="318"/>
      <c r="AP258" s="303" t="str">
        <f t="shared" si="471"/>
        <v xml:space="preserve"> </v>
      </c>
      <c r="AQ258" s="298"/>
      <c r="AR258" s="337"/>
      <c r="AS258" s="337"/>
      <c r="AT258" s="305"/>
      <c r="AU258" s="319"/>
      <c r="AV258" s="305"/>
      <c r="AW258" s="272"/>
      <c r="AX258" s="342"/>
      <c r="AY258" s="343"/>
      <c r="AZ258" s="342"/>
      <c r="BA258" s="342"/>
      <c r="BB258" s="337"/>
      <c r="BC258" s="270">
        <f t="shared" ref="BC258" si="473">IF(BG258="Aucune",0,1)</f>
        <v>0</v>
      </c>
      <c r="BD258" s="270">
        <f t="shared" ref="BD258" si="474">IF(BH258="Aucune",0,1)</f>
        <v>0</v>
      </c>
      <c r="BE258" s="270">
        <f t="shared" ref="BE258" si="475">IF(AG258="Aucune",0,1)</f>
        <v>1</v>
      </c>
      <c r="BF258" s="270" t="str">
        <f t="shared" ref="BF258" si="476">IF(AO258=1,"ELECTIVE",IF(AO258=2,"URGENCY",IF(AO258=3,"EMERGENCY",IF(AO258=4,"SALVAGE","ALIVE"))))</f>
        <v>ALIVE</v>
      </c>
      <c r="BG258" s="250" t="str">
        <f t="shared" ref="BG258" si="477">IF(AD258="","Aucune","Infection")</f>
        <v>Aucune</v>
      </c>
      <c r="BH258" s="250" t="str">
        <f t="shared" ref="BH258" si="478">IF(AI258&gt;0,"Transfusion","Aucune")</f>
        <v>Aucune</v>
      </c>
      <c r="BI258" s="250" t="str">
        <f t="shared" ref="BI258" si="479">IF(AG258="","Aucune","Transfusé")</f>
        <v>Aucune</v>
      </c>
      <c r="BJ258" s="250" t="str">
        <f t="shared" ref="BJ258" si="480">IF(X258&lt;&gt;"",IF(X258-L258&lt;2,"OUI","NON"),"NON")</f>
        <v>NON</v>
      </c>
      <c r="BK258" s="250" t="str">
        <f t="shared" ref="BK258" si="481">IF(AS258="","NON","OUI")</f>
        <v>NON</v>
      </c>
      <c r="BL258" s="250" t="str">
        <f t="shared" ref="BL258" si="482">IF(AL258-L258&gt;0,AL258-L258,"Inconnu")</f>
        <v>Inconnu</v>
      </c>
      <c r="BM258" s="250" t="str">
        <f t="shared" ref="BM258" si="483">IF($O258&lt;&gt;"HTX",IF($O258&lt;&gt;"LVAD",BL258,"Inconnu"),"Inconnu")</f>
        <v>Inconnu</v>
      </c>
      <c r="BN258" s="250" t="str">
        <f t="shared" ref="BN258" si="484">IF($O258="HTX",BL258,IF($O258="LVAD",BL258,"Inconnu"))</f>
        <v>Inconnu</v>
      </c>
      <c r="BO258" s="250" t="str">
        <f t="shared" ref="BO258" si="485">IF(AJ258-L258&gt;0,AJ258-L258,"Inconnu")</f>
        <v>Inconnu</v>
      </c>
      <c r="BP258" s="250" t="str">
        <f t="shared" ref="BP258" si="486">IF($O258&lt;&gt;"HTX",IF($O258&lt;&gt;"LVAD",BO258,"Inconnu"),"Inconnu")</f>
        <v>Inconnu</v>
      </c>
      <c r="BQ258" s="250" t="str">
        <f t="shared" ref="BQ258" si="487">IF($O258="HTX",BO258,IF($O258="LVAD",BO258,"Inconnu"))</f>
        <v>Inconnu</v>
      </c>
      <c r="BR258" s="250" t="str">
        <f t="shared" ref="BR258" si="488">IF(BH258="Aucune",IF(BI258="Aucune","Aucune","Transfusé"),"Transfusé")</f>
        <v>Aucune</v>
      </c>
      <c r="BS258" s="250">
        <f t="shared" ref="BS258" si="489">AF258+AH258</f>
        <v>0</v>
      </c>
      <c r="BT258" s="271" t="e">
        <f>VLOOKUP($I258,Lieu_Activité!$A:$B,2,FALSE)</f>
        <v>#N/A</v>
      </c>
      <c r="BU258" s="250" t="str">
        <f t="shared" ref="BU258" si="490">IF(AB258="","Aucun","AVC")</f>
        <v>Aucun</v>
      </c>
      <c r="BV258" s="250" t="str">
        <f t="shared" ref="BV258" si="491">IF(AC258="","Aucun","IM")</f>
        <v>Aucun</v>
      </c>
      <c r="BW258" s="249" t="str">
        <f t="shared" ref="BW258" si="492">IF(M258="","NON","OUI")</f>
        <v>NON</v>
      </c>
      <c r="BX258" s="330"/>
    </row>
    <row r="259" spans="1:170" ht="12.75" customHeight="1" x14ac:dyDescent="0.2">
      <c r="A259" s="273" t="s">
        <v>257</v>
      </c>
      <c r="B259" s="276"/>
      <c r="C259" s="269"/>
      <c r="D259" s="299"/>
      <c r="E259" s="320">
        <f t="shared" si="326"/>
        <v>0</v>
      </c>
      <c r="F259" s="320" t="str">
        <f t="shared" si="226"/>
        <v xml:space="preserve"> </v>
      </c>
      <c r="G259" s="298"/>
      <c r="H259" s="298"/>
      <c r="I259" s="298"/>
      <c r="J259" s="298"/>
      <c r="K259" s="298"/>
      <c r="L259" s="299"/>
      <c r="M259" s="285"/>
      <c r="N259" s="274"/>
      <c r="O259" s="274"/>
      <c r="P259" s="307" t="str">
        <f>IFERROR(VLOOKUP(O259,Références!$K$11:$N$19,2)," ")</f>
        <v xml:space="preserve"> </v>
      </c>
      <c r="Q259" s="307" t="str">
        <f>IFERROR(VLOOKUP(O259,Références!$K$11:$N$19,3)," ")</f>
        <v xml:space="preserve"> </v>
      </c>
      <c r="R259" s="307" t="str">
        <f>IFERROR(VLOOKUP(O259,Références!$K$11:$N$19,4)," ")</f>
        <v xml:space="preserve"> </v>
      </c>
      <c r="S259" s="298"/>
      <c r="T259" s="298"/>
      <c r="U259" s="298"/>
      <c r="V259" s="298"/>
      <c r="W259" s="298"/>
      <c r="X259" s="299"/>
      <c r="Y259" s="298"/>
      <c r="Z259" s="298"/>
      <c r="AA259" s="298"/>
      <c r="AB259" s="277"/>
      <c r="AC259" s="277"/>
      <c r="AD259" s="277"/>
      <c r="AE259" s="277"/>
      <c r="AF259" s="277"/>
      <c r="AG259" s="277"/>
      <c r="AH259" s="277"/>
      <c r="AI259" s="277">
        <f t="shared" si="403"/>
        <v>0</v>
      </c>
      <c r="AJ259" s="299"/>
      <c r="AK259" s="298">
        <f t="shared" si="328"/>
        <v>0</v>
      </c>
      <c r="AL259" s="299"/>
      <c r="AM259" s="308">
        <f t="shared" si="329"/>
        <v>0</v>
      </c>
      <c r="AN259" s="298"/>
      <c r="AO259" s="318"/>
      <c r="AP259" s="303" t="str">
        <f t="shared" si="227"/>
        <v xml:space="preserve"> </v>
      </c>
      <c r="AQ259" s="298"/>
      <c r="AR259" s="337"/>
      <c r="AS259" s="337"/>
      <c r="AT259" s="305"/>
      <c r="AU259" s="319"/>
      <c r="AV259" s="305"/>
      <c r="AW259" s="272"/>
      <c r="AX259" s="342"/>
      <c r="AY259" s="343"/>
      <c r="AZ259" s="342"/>
      <c r="BA259" s="342"/>
      <c r="BB259" s="337"/>
      <c r="BC259" s="270">
        <f t="shared" si="330"/>
        <v>0</v>
      </c>
      <c r="BD259" s="270">
        <f t="shared" si="331"/>
        <v>0</v>
      </c>
      <c r="BE259" s="270">
        <f t="shared" si="332"/>
        <v>1</v>
      </c>
      <c r="BF259" s="270" t="str">
        <f t="shared" si="333"/>
        <v>ALIVE</v>
      </c>
      <c r="BG259" s="250" t="str">
        <f t="shared" si="334"/>
        <v>Aucune</v>
      </c>
      <c r="BH259" s="250" t="str">
        <f t="shared" si="335"/>
        <v>Aucune</v>
      </c>
      <c r="BI259" s="250" t="str">
        <f t="shared" si="336"/>
        <v>Aucune</v>
      </c>
      <c r="BJ259" s="250" t="str">
        <f t="shared" si="337"/>
        <v>NON</v>
      </c>
      <c r="BK259" s="250" t="str">
        <f t="shared" si="338"/>
        <v>NON</v>
      </c>
      <c r="BL259" s="250" t="str">
        <f t="shared" si="339"/>
        <v>Inconnu</v>
      </c>
      <c r="BM259" s="250" t="str">
        <f t="shared" si="340"/>
        <v>Inconnu</v>
      </c>
      <c r="BN259" s="250" t="str">
        <f t="shared" si="341"/>
        <v>Inconnu</v>
      </c>
      <c r="BO259" s="250" t="str">
        <f t="shared" si="342"/>
        <v>Inconnu</v>
      </c>
      <c r="BP259" s="250" t="str">
        <f t="shared" si="343"/>
        <v>Inconnu</v>
      </c>
      <c r="BQ259" s="250" t="str">
        <f t="shared" si="344"/>
        <v>Inconnu</v>
      </c>
      <c r="BR259" s="250" t="str">
        <f t="shared" si="345"/>
        <v>Aucune</v>
      </c>
      <c r="BS259" s="250">
        <f t="shared" si="346"/>
        <v>0</v>
      </c>
      <c r="BT259" s="271" t="e">
        <f>VLOOKUP($I259,Lieu_Activité!$A:$B,2,FALSE)</f>
        <v>#N/A</v>
      </c>
      <c r="BU259" s="250" t="str">
        <f t="shared" si="347"/>
        <v>Aucun</v>
      </c>
      <c r="BV259" s="250" t="str">
        <f t="shared" si="348"/>
        <v>Aucun</v>
      </c>
      <c r="BW259" s="249" t="str">
        <f t="shared" si="349"/>
        <v>NON</v>
      </c>
      <c r="BX259" s="330"/>
    </row>
    <row r="260" spans="1:170" ht="12" customHeight="1" x14ac:dyDescent="0.2">
      <c r="A260" s="268" t="s">
        <v>258</v>
      </c>
      <c r="B260" s="276"/>
      <c r="C260" s="269"/>
      <c r="D260" s="299"/>
      <c r="E260" s="320">
        <f t="shared" ref="E260:E288" si="493">(L260-D260)/365</f>
        <v>0</v>
      </c>
      <c r="F260" s="320" t="str">
        <f t="shared" si="226"/>
        <v xml:space="preserve"> </v>
      </c>
      <c r="G260" s="298"/>
      <c r="H260" s="298"/>
      <c r="I260" s="298"/>
      <c r="J260" s="298"/>
      <c r="K260" s="298"/>
      <c r="L260" s="299"/>
      <c r="M260" s="285"/>
      <c r="N260" s="274"/>
      <c r="O260" s="274"/>
      <c r="P260" s="307" t="str">
        <f>IFERROR(VLOOKUP(O260,Références!$K$11:$N$19,2)," ")</f>
        <v xml:space="preserve"> </v>
      </c>
      <c r="Q260" s="307" t="str">
        <f>IFERROR(VLOOKUP(O260,Références!$K$11:$N$19,3)," ")</f>
        <v xml:space="preserve"> </v>
      </c>
      <c r="R260" s="307" t="str">
        <f>IFERROR(VLOOKUP(O260,Références!$K$11:$N$19,4)," ")</f>
        <v xml:space="preserve"> </v>
      </c>
      <c r="S260" s="298"/>
      <c r="T260" s="298"/>
      <c r="U260" s="298"/>
      <c r="V260" s="298"/>
      <c r="W260" s="298"/>
      <c r="X260" s="299"/>
      <c r="Y260" s="298"/>
      <c r="Z260" s="298"/>
      <c r="AA260" s="298"/>
      <c r="AB260" s="277"/>
      <c r="AC260" s="277"/>
      <c r="AD260" s="277"/>
      <c r="AE260" s="277"/>
      <c r="AF260" s="277"/>
      <c r="AG260" s="277"/>
      <c r="AH260" s="277"/>
      <c r="AI260" s="277">
        <f t="shared" si="403"/>
        <v>0</v>
      </c>
      <c r="AJ260" s="299"/>
      <c r="AK260" s="298">
        <f t="shared" ref="AK260:AK288" si="494">(AJ260-L260)</f>
        <v>0</v>
      </c>
      <c r="AL260" s="299"/>
      <c r="AM260" s="308">
        <f t="shared" ref="AM260:AM288" si="495">(AL260-L260)</f>
        <v>0</v>
      </c>
      <c r="AN260" s="298"/>
      <c r="AO260" s="318"/>
      <c r="AP260" s="303" t="str">
        <f t="shared" si="227"/>
        <v xml:space="preserve"> </v>
      </c>
      <c r="AQ260" s="298"/>
      <c r="AR260" s="337"/>
      <c r="AS260" s="337"/>
      <c r="AT260" s="305"/>
      <c r="AU260" s="319"/>
      <c r="AV260" s="305"/>
      <c r="AW260" s="272"/>
      <c r="AX260" s="342"/>
      <c r="AY260" s="343"/>
      <c r="AZ260" s="272"/>
      <c r="BA260" s="342"/>
      <c r="BB260" s="337"/>
      <c r="BC260" s="270">
        <f t="shared" ref="BC260:BC288" si="496">IF(BG260="Aucune",0,1)</f>
        <v>0</v>
      </c>
      <c r="BD260" s="270">
        <f t="shared" ref="BD260:BD288" si="497">IF(BH260="Aucune",0,1)</f>
        <v>0</v>
      </c>
      <c r="BE260" s="270">
        <f t="shared" ref="BE260:BE288" si="498">IF(AG260="Aucune",0,1)</f>
        <v>1</v>
      </c>
      <c r="BF260" s="270" t="str">
        <f t="shared" ref="BF260:BF288" si="499">IF(AO260=1,"ELECTIVE",IF(AO260=2,"URGENCY",IF(AO260=3,"EMERGENCY",IF(AO260=4,"SALVAGE","ALIVE"))))</f>
        <v>ALIVE</v>
      </c>
      <c r="BG260" s="250" t="str">
        <f t="shared" ref="BG260:BG288" si="500">IF(AD260="","Aucune","Infection")</f>
        <v>Aucune</v>
      </c>
      <c r="BH260" s="250" t="str">
        <f t="shared" ref="BH260:BH288" si="501">IF(AI260&gt;0,"Transfusion","Aucune")</f>
        <v>Aucune</v>
      </c>
      <c r="BI260" s="250" t="str">
        <f t="shared" ref="BI260:BI288" si="502">IF(AG260="","Aucune","Transfusé")</f>
        <v>Aucune</v>
      </c>
      <c r="BJ260" s="250" t="str">
        <f t="shared" ref="BJ260:BJ288" si="503">IF(X260&lt;&gt;"",IF(X260-L260&lt;2,"OUI","NON"),"NON")</f>
        <v>NON</v>
      </c>
      <c r="BK260" s="250" t="str">
        <f t="shared" ref="BK260:BK288" si="504">IF(AS260="","NON","OUI")</f>
        <v>NON</v>
      </c>
      <c r="BL260" s="250" t="str">
        <f t="shared" ref="BL260:BL288" si="505">IF(AL260-L260&gt;0,AL260-L260,"Inconnu")</f>
        <v>Inconnu</v>
      </c>
      <c r="BM260" s="250" t="str">
        <f t="shared" ref="BM260:BM288" si="506">IF($O260&lt;&gt;"HTX",IF($O260&lt;&gt;"LVAD",BL260,"Inconnu"),"Inconnu")</f>
        <v>Inconnu</v>
      </c>
      <c r="BN260" s="250" t="str">
        <f t="shared" ref="BN260:BN288" si="507">IF($O260="HTX",BL260,IF($O260="LVAD",BL260,"Inconnu"))</f>
        <v>Inconnu</v>
      </c>
      <c r="BO260" s="250" t="str">
        <f t="shared" ref="BO260:BO288" si="508">IF(AJ260-L260&gt;0,AJ260-L260,"Inconnu")</f>
        <v>Inconnu</v>
      </c>
      <c r="BP260" s="250" t="str">
        <f t="shared" ref="BP260:BP288" si="509">IF($O260&lt;&gt;"HTX",IF($O260&lt;&gt;"LVAD",BO260,"Inconnu"),"Inconnu")</f>
        <v>Inconnu</v>
      </c>
      <c r="BQ260" s="250" t="str">
        <f t="shared" ref="BQ260:BQ288" si="510">IF($O260="HTX",BO260,IF($O260="LVAD",BO260,"Inconnu"))</f>
        <v>Inconnu</v>
      </c>
      <c r="BR260" s="250" t="str">
        <f t="shared" ref="BR260:BR288" si="511">IF(BH260="Aucune",IF(BI260="Aucune","Aucune","Transfusé"),"Transfusé")</f>
        <v>Aucune</v>
      </c>
      <c r="BS260" s="250">
        <f t="shared" ref="BS260:BS288" si="512">AF260+AH260</f>
        <v>0</v>
      </c>
      <c r="BT260" s="271" t="e">
        <f>VLOOKUP($I260,Lieu_Activité!$A:$B,2,FALSE)</f>
        <v>#N/A</v>
      </c>
      <c r="BU260" s="250" t="str">
        <f t="shared" ref="BU260:BU288" si="513">IF(AB260="","Aucun","AVC")</f>
        <v>Aucun</v>
      </c>
      <c r="BV260" s="250" t="str">
        <f t="shared" ref="BV260:BV288" si="514">IF(AC260="","Aucun","IM")</f>
        <v>Aucun</v>
      </c>
      <c r="BW260" s="249" t="str">
        <f t="shared" ref="BW260:BW288" si="515">IF(M260="","NON","OUI")</f>
        <v>NON</v>
      </c>
      <c r="BX260" s="330"/>
    </row>
    <row r="261" spans="1:170" ht="12" customHeight="1" x14ac:dyDescent="0.2">
      <c r="A261" s="268" t="s">
        <v>258</v>
      </c>
      <c r="B261" s="309"/>
      <c r="C261" s="269"/>
      <c r="D261" s="299"/>
      <c r="E261" s="320">
        <f t="shared" si="493"/>
        <v>0</v>
      </c>
      <c r="F261" s="320" t="str">
        <f t="shared" si="226"/>
        <v xml:space="preserve"> </v>
      </c>
      <c r="G261" s="298"/>
      <c r="H261" s="298"/>
      <c r="I261" s="298"/>
      <c r="J261" s="298"/>
      <c r="K261" s="298"/>
      <c r="L261" s="299"/>
      <c r="M261" s="285"/>
      <c r="N261" s="274"/>
      <c r="O261" s="274"/>
      <c r="P261" s="307" t="str">
        <f>IFERROR(VLOOKUP(O261,Références!$K$11:$N$19,2)," ")</f>
        <v xml:space="preserve"> </v>
      </c>
      <c r="Q261" s="307" t="str">
        <f>IFERROR(VLOOKUP(O261,Références!$K$11:$N$19,3)," ")</f>
        <v xml:space="preserve"> </v>
      </c>
      <c r="R261" s="307" t="str">
        <f>IFERROR(VLOOKUP(O261,Références!$K$11:$N$19,4)," ")</f>
        <v xml:space="preserve"> </v>
      </c>
      <c r="S261" s="298"/>
      <c r="T261" s="298"/>
      <c r="U261" s="298"/>
      <c r="V261" s="298"/>
      <c r="W261" s="298"/>
      <c r="X261" s="299"/>
      <c r="Y261" s="298"/>
      <c r="Z261" s="298"/>
      <c r="AA261" s="298"/>
      <c r="AB261" s="277"/>
      <c r="AC261" s="277"/>
      <c r="AD261" s="277"/>
      <c r="AE261" s="277"/>
      <c r="AF261" s="277"/>
      <c r="AG261" s="277"/>
      <c r="AH261" s="277"/>
      <c r="AI261" s="277">
        <f t="shared" si="403"/>
        <v>0</v>
      </c>
      <c r="AJ261" s="299"/>
      <c r="AK261" s="298">
        <f t="shared" si="494"/>
        <v>0</v>
      </c>
      <c r="AL261" s="299"/>
      <c r="AM261" s="308">
        <f t="shared" si="495"/>
        <v>0</v>
      </c>
      <c r="AN261" s="298"/>
      <c r="AO261" s="318"/>
      <c r="AP261" s="303" t="str">
        <f t="shared" si="227"/>
        <v xml:space="preserve"> </v>
      </c>
      <c r="AQ261" s="298"/>
      <c r="AR261" s="337"/>
      <c r="AS261" s="337"/>
      <c r="AT261" s="305"/>
      <c r="AU261" s="319"/>
      <c r="AV261" s="305"/>
      <c r="AW261" s="272"/>
      <c r="AX261" s="342"/>
      <c r="AY261" s="343"/>
      <c r="AZ261" s="272"/>
      <c r="BA261" s="342"/>
      <c r="BB261" s="337"/>
      <c r="BC261" s="270">
        <f t="shared" si="496"/>
        <v>0</v>
      </c>
      <c r="BD261" s="270">
        <f t="shared" si="497"/>
        <v>0</v>
      </c>
      <c r="BE261" s="270">
        <f t="shared" si="498"/>
        <v>1</v>
      </c>
      <c r="BF261" s="270" t="str">
        <f t="shared" si="499"/>
        <v>ALIVE</v>
      </c>
      <c r="BG261" s="250" t="str">
        <f t="shared" si="500"/>
        <v>Aucune</v>
      </c>
      <c r="BH261" s="250" t="str">
        <f t="shared" si="501"/>
        <v>Aucune</v>
      </c>
      <c r="BI261" s="250" t="str">
        <f t="shared" si="502"/>
        <v>Aucune</v>
      </c>
      <c r="BJ261" s="250" t="str">
        <f t="shared" si="503"/>
        <v>NON</v>
      </c>
      <c r="BK261" s="250" t="str">
        <f t="shared" si="504"/>
        <v>NON</v>
      </c>
      <c r="BL261" s="250" t="str">
        <f t="shared" si="505"/>
        <v>Inconnu</v>
      </c>
      <c r="BM261" s="250" t="str">
        <f t="shared" si="506"/>
        <v>Inconnu</v>
      </c>
      <c r="BN261" s="250" t="str">
        <f t="shared" si="507"/>
        <v>Inconnu</v>
      </c>
      <c r="BO261" s="250" t="str">
        <f t="shared" si="508"/>
        <v>Inconnu</v>
      </c>
      <c r="BP261" s="250" t="str">
        <f t="shared" si="509"/>
        <v>Inconnu</v>
      </c>
      <c r="BQ261" s="250" t="str">
        <f t="shared" si="510"/>
        <v>Inconnu</v>
      </c>
      <c r="BR261" s="250" t="str">
        <f t="shared" si="511"/>
        <v>Aucune</v>
      </c>
      <c r="BS261" s="250">
        <f t="shared" si="512"/>
        <v>0</v>
      </c>
      <c r="BT261" s="271" t="e">
        <f>VLOOKUP($I261,Lieu_Activité!$A:$B,2,FALSE)</f>
        <v>#N/A</v>
      </c>
      <c r="BU261" s="250" t="str">
        <f t="shared" si="513"/>
        <v>Aucun</v>
      </c>
      <c r="BV261" s="250" t="str">
        <f t="shared" si="514"/>
        <v>Aucun</v>
      </c>
      <c r="BW261" s="249" t="str">
        <f t="shared" si="515"/>
        <v>NON</v>
      </c>
      <c r="BX261" s="330"/>
    </row>
    <row r="262" spans="1:170" ht="12" customHeight="1" x14ac:dyDescent="0.2">
      <c r="A262" s="268" t="s">
        <v>258</v>
      </c>
      <c r="B262" s="276"/>
      <c r="C262" s="269"/>
      <c r="D262" s="299"/>
      <c r="E262" s="320">
        <f t="shared" si="493"/>
        <v>0</v>
      </c>
      <c r="F262" s="320" t="str">
        <f t="shared" si="226"/>
        <v xml:space="preserve"> </v>
      </c>
      <c r="G262" s="298"/>
      <c r="H262" s="298"/>
      <c r="I262" s="298"/>
      <c r="J262" s="298"/>
      <c r="K262" s="298"/>
      <c r="L262" s="299"/>
      <c r="M262" s="285"/>
      <c r="N262" s="274"/>
      <c r="O262" s="274"/>
      <c r="P262" s="307" t="str">
        <f>IFERROR(VLOOKUP(O262,Références!$K$11:$N$19,2)," ")</f>
        <v xml:space="preserve"> </v>
      </c>
      <c r="Q262" s="307" t="str">
        <f>IFERROR(VLOOKUP(O262,Références!$K$11:$N$19,3)," ")</f>
        <v xml:space="preserve"> </v>
      </c>
      <c r="R262" s="307" t="str">
        <f>IFERROR(VLOOKUP(O262,Références!$K$11:$N$19,4)," ")</f>
        <v xml:space="preserve"> </v>
      </c>
      <c r="S262" s="298"/>
      <c r="T262" s="298"/>
      <c r="U262" s="298"/>
      <c r="V262" s="298"/>
      <c r="W262" s="298"/>
      <c r="X262" s="299"/>
      <c r="Y262" s="298"/>
      <c r="Z262" s="298"/>
      <c r="AA262" s="298"/>
      <c r="AB262" s="277"/>
      <c r="AC262" s="277"/>
      <c r="AD262" s="277"/>
      <c r="AE262" s="277"/>
      <c r="AF262" s="277"/>
      <c r="AG262" s="277"/>
      <c r="AH262" s="277"/>
      <c r="AI262" s="277">
        <f t="shared" si="403"/>
        <v>0</v>
      </c>
      <c r="AJ262" s="299"/>
      <c r="AK262" s="298">
        <f t="shared" si="494"/>
        <v>0</v>
      </c>
      <c r="AL262" s="299"/>
      <c r="AM262" s="308">
        <f t="shared" si="495"/>
        <v>0</v>
      </c>
      <c r="AN262" s="298"/>
      <c r="AO262" s="318"/>
      <c r="AP262" s="303" t="str">
        <f t="shared" si="227"/>
        <v xml:space="preserve"> </v>
      </c>
      <c r="AQ262" s="298"/>
      <c r="AR262" s="337"/>
      <c r="AS262" s="337"/>
      <c r="AT262" s="305"/>
      <c r="AU262" s="319"/>
      <c r="AV262" s="305"/>
      <c r="AW262" s="272"/>
      <c r="AX262" s="342"/>
      <c r="AY262" s="343"/>
      <c r="AZ262" s="342"/>
      <c r="BA262" s="342"/>
      <c r="BB262" s="337"/>
      <c r="BC262" s="270">
        <f t="shared" si="496"/>
        <v>0</v>
      </c>
      <c r="BD262" s="270">
        <f t="shared" si="497"/>
        <v>0</v>
      </c>
      <c r="BE262" s="270">
        <f t="shared" si="498"/>
        <v>1</v>
      </c>
      <c r="BF262" s="270" t="str">
        <f t="shared" si="499"/>
        <v>ALIVE</v>
      </c>
      <c r="BG262" s="250" t="str">
        <f t="shared" si="500"/>
        <v>Aucune</v>
      </c>
      <c r="BH262" s="250" t="str">
        <f t="shared" si="501"/>
        <v>Aucune</v>
      </c>
      <c r="BI262" s="250" t="str">
        <f t="shared" si="502"/>
        <v>Aucune</v>
      </c>
      <c r="BJ262" s="250" t="str">
        <f t="shared" si="503"/>
        <v>NON</v>
      </c>
      <c r="BK262" s="250" t="str">
        <f t="shared" si="504"/>
        <v>NON</v>
      </c>
      <c r="BL262" s="250" t="str">
        <f t="shared" si="505"/>
        <v>Inconnu</v>
      </c>
      <c r="BM262" s="250" t="str">
        <f t="shared" si="506"/>
        <v>Inconnu</v>
      </c>
      <c r="BN262" s="250" t="str">
        <f t="shared" si="507"/>
        <v>Inconnu</v>
      </c>
      <c r="BO262" s="250" t="str">
        <f t="shared" si="508"/>
        <v>Inconnu</v>
      </c>
      <c r="BP262" s="250" t="str">
        <f t="shared" si="509"/>
        <v>Inconnu</v>
      </c>
      <c r="BQ262" s="250" t="str">
        <f t="shared" si="510"/>
        <v>Inconnu</v>
      </c>
      <c r="BR262" s="250" t="str">
        <f t="shared" si="511"/>
        <v>Aucune</v>
      </c>
      <c r="BS262" s="250">
        <f t="shared" si="512"/>
        <v>0</v>
      </c>
      <c r="BT262" s="271" t="e">
        <f>VLOOKUP($I262,Lieu_Activité!$A:$B,2,FALSE)</f>
        <v>#N/A</v>
      </c>
      <c r="BU262" s="250" t="str">
        <f t="shared" si="513"/>
        <v>Aucun</v>
      </c>
      <c r="BV262" s="250" t="str">
        <f t="shared" si="514"/>
        <v>Aucun</v>
      </c>
      <c r="BW262" s="249" t="str">
        <f t="shared" si="515"/>
        <v>NON</v>
      </c>
      <c r="BX262" s="330"/>
    </row>
    <row r="263" spans="1:170" s="1" customFormat="1" ht="12.75" customHeight="1" x14ac:dyDescent="0.2">
      <c r="A263" s="268" t="s">
        <v>258</v>
      </c>
      <c r="B263" s="276"/>
      <c r="C263" s="269"/>
      <c r="D263" s="299"/>
      <c r="E263" s="320">
        <f t="shared" si="493"/>
        <v>0</v>
      </c>
      <c r="F263" s="320" t="str">
        <f t="shared" si="226"/>
        <v xml:space="preserve"> </v>
      </c>
      <c r="G263" s="298"/>
      <c r="H263" s="298"/>
      <c r="I263" s="298"/>
      <c r="J263" s="298"/>
      <c r="K263" s="298"/>
      <c r="L263" s="299"/>
      <c r="M263" s="285"/>
      <c r="N263" s="274"/>
      <c r="O263" s="274"/>
      <c r="P263" s="307" t="str">
        <f>IFERROR(VLOOKUP(O263,Références!$K$11:$N$19,2)," ")</f>
        <v xml:space="preserve"> </v>
      </c>
      <c r="Q263" s="307" t="str">
        <f>IFERROR(VLOOKUP(O263,Références!$K$11:$N$19,3)," ")</f>
        <v xml:space="preserve"> </v>
      </c>
      <c r="R263" s="307" t="str">
        <f>IFERROR(VLOOKUP(O263,Références!$K$11:$N$19,4)," ")</f>
        <v xml:space="preserve"> </v>
      </c>
      <c r="S263" s="298"/>
      <c r="T263" s="298"/>
      <c r="U263" s="298"/>
      <c r="V263" s="298"/>
      <c r="W263" s="298"/>
      <c r="X263" s="299"/>
      <c r="Y263" s="298"/>
      <c r="Z263" s="298"/>
      <c r="AA263" s="298"/>
      <c r="AB263" s="277"/>
      <c r="AC263" s="277"/>
      <c r="AD263" s="277"/>
      <c r="AE263" s="277"/>
      <c r="AF263" s="277"/>
      <c r="AG263" s="277"/>
      <c r="AH263" s="277"/>
      <c r="AI263" s="277">
        <f t="shared" ref="AI263:AI288" si="516">SUM(AF263,AH263)</f>
        <v>0</v>
      </c>
      <c r="AJ263" s="299"/>
      <c r="AK263" s="298">
        <f t="shared" si="494"/>
        <v>0</v>
      </c>
      <c r="AL263" s="299"/>
      <c r="AM263" s="308">
        <f t="shared" si="495"/>
        <v>0</v>
      </c>
      <c r="AN263" s="298"/>
      <c r="AO263" s="318"/>
      <c r="AP263" s="303" t="str">
        <f t="shared" si="227"/>
        <v xml:space="preserve"> </v>
      </c>
      <c r="AQ263" s="298"/>
      <c r="AR263" s="337"/>
      <c r="AS263" s="337"/>
      <c r="AT263" s="305"/>
      <c r="AU263" s="319"/>
      <c r="AV263" s="305"/>
      <c r="AW263" s="272"/>
      <c r="AX263" s="342"/>
      <c r="AY263" s="343"/>
      <c r="AZ263" s="272"/>
      <c r="BA263" s="342"/>
      <c r="BB263" s="337"/>
      <c r="BC263" s="270">
        <f t="shared" si="496"/>
        <v>0</v>
      </c>
      <c r="BD263" s="270">
        <f t="shared" si="497"/>
        <v>0</v>
      </c>
      <c r="BE263" s="270">
        <f t="shared" si="498"/>
        <v>1</v>
      </c>
      <c r="BF263" s="270" t="str">
        <f t="shared" si="499"/>
        <v>ALIVE</v>
      </c>
      <c r="BG263" s="250" t="str">
        <f t="shared" si="500"/>
        <v>Aucune</v>
      </c>
      <c r="BH263" s="250" t="str">
        <f t="shared" si="501"/>
        <v>Aucune</v>
      </c>
      <c r="BI263" s="250" t="str">
        <f t="shared" si="502"/>
        <v>Aucune</v>
      </c>
      <c r="BJ263" s="250" t="str">
        <f t="shared" si="503"/>
        <v>NON</v>
      </c>
      <c r="BK263" s="250" t="str">
        <f t="shared" si="504"/>
        <v>NON</v>
      </c>
      <c r="BL263" s="250" t="str">
        <f t="shared" si="505"/>
        <v>Inconnu</v>
      </c>
      <c r="BM263" s="250" t="str">
        <f t="shared" si="506"/>
        <v>Inconnu</v>
      </c>
      <c r="BN263" s="250" t="str">
        <f t="shared" si="507"/>
        <v>Inconnu</v>
      </c>
      <c r="BO263" s="250" t="str">
        <f t="shared" si="508"/>
        <v>Inconnu</v>
      </c>
      <c r="BP263" s="250" t="str">
        <f t="shared" si="509"/>
        <v>Inconnu</v>
      </c>
      <c r="BQ263" s="250" t="str">
        <f t="shared" si="510"/>
        <v>Inconnu</v>
      </c>
      <c r="BR263" s="250" t="str">
        <f t="shared" si="511"/>
        <v>Aucune</v>
      </c>
      <c r="BS263" s="250">
        <f t="shared" si="512"/>
        <v>0</v>
      </c>
      <c r="BT263" s="271" t="e">
        <f>VLOOKUP($I263,Lieu_Activité!$A:$B,2,FALSE)</f>
        <v>#N/A</v>
      </c>
      <c r="BU263" s="250" t="str">
        <f t="shared" si="513"/>
        <v>Aucun</v>
      </c>
      <c r="BV263" s="250" t="str">
        <f t="shared" si="514"/>
        <v>Aucun</v>
      </c>
      <c r="BW263" s="249" t="str">
        <f t="shared" si="515"/>
        <v>NON</v>
      </c>
      <c r="BX263" s="330"/>
      <c r="BY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</row>
    <row r="264" spans="1:170" s="1" customFormat="1" ht="12.75" customHeight="1" x14ac:dyDescent="0.2">
      <c r="A264" s="268" t="s">
        <v>258</v>
      </c>
      <c r="B264" s="276"/>
      <c r="C264" s="269"/>
      <c r="D264" s="299"/>
      <c r="E264" s="320">
        <f t="shared" ref="E264:E268" si="517">(L264-D264)/365</f>
        <v>0</v>
      </c>
      <c r="F264" s="320" t="str">
        <f t="shared" ref="F264:F268" si="518">IF(E264&lt;80," ","1")</f>
        <v xml:space="preserve"> </v>
      </c>
      <c r="G264" s="298"/>
      <c r="H264" s="298"/>
      <c r="I264" s="298"/>
      <c r="J264" s="298"/>
      <c r="K264" s="298"/>
      <c r="L264" s="299"/>
      <c r="M264" s="285"/>
      <c r="N264" s="274"/>
      <c r="O264" s="274"/>
      <c r="P264" s="307" t="str">
        <f>IFERROR(VLOOKUP(O264,Références!$K$11:$N$19,2)," ")</f>
        <v xml:space="preserve"> </v>
      </c>
      <c r="Q264" s="307" t="str">
        <f>IFERROR(VLOOKUP(O264,Références!$K$11:$N$19,3)," ")</f>
        <v xml:space="preserve"> </v>
      </c>
      <c r="R264" s="307" t="str">
        <f>IFERROR(VLOOKUP(O264,Références!$K$11:$N$19,4)," ")</f>
        <v xml:space="preserve"> </v>
      </c>
      <c r="S264" s="298"/>
      <c r="T264" s="298"/>
      <c r="U264" s="298"/>
      <c r="V264" s="298"/>
      <c r="W264" s="298"/>
      <c r="X264" s="299"/>
      <c r="Y264" s="298"/>
      <c r="Z264" s="298"/>
      <c r="AA264" s="298"/>
      <c r="AB264" s="277"/>
      <c r="AC264" s="277"/>
      <c r="AD264" s="316"/>
      <c r="AE264" s="277"/>
      <c r="AF264" s="277"/>
      <c r="AG264" s="277"/>
      <c r="AH264" s="277"/>
      <c r="AI264" s="277">
        <f t="shared" ref="AI264:AI268" si="519">SUM(AF264,AH264)</f>
        <v>0</v>
      </c>
      <c r="AJ264" s="299"/>
      <c r="AK264" s="298">
        <f t="shared" ref="AK264:AK268" si="520">(AJ264-L264)</f>
        <v>0</v>
      </c>
      <c r="AL264" s="299"/>
      <c r="AM264" s="308">
        <f t="shared" ref="AM264:AM268" si="521">(AL264-L264)</f>
        <v>0</v>
      </c>
      <c r="AN264" s="298"/>
      <c r="AO264" s="318"/>
      <c r="AP264" s="303" t="str">
        <f t="shared" si="227"/>
        <v xml:space="preserve"> </v>
      </c>
      <c r="AQ264" s="298"/>
      <c r="AR264" s="337"/>
      <c r="AS264" s="337"/>
      <c r="AT264" s="305"/>
      <c r="AU264" s="319"/>
      <c r="AV264" s="305"/>
      <c r="AW264" s="272"/>
      <c r="AX264" s="342"/>
      <c r="AY264" s="343"/>
      <c r="AZ264" s="272"/>
      <c r="BA264" s="342"/>
      <c r="BB264" s="337"/>
      <c r="BC264" s="270">
        <f t="shared" ref="BC264:BC268" si="522">IF(BG264="Aucune",0,1)</f>
        <v>0</v>
      </c>
      <c r="BD264" s="270">
        <f t="shared" ref="BD264:BD268" si="523">IF(BH264="Aucune",0,1)</f>
        <v>0</v>
      </c>
      <c r="BE264" s="270">
        <f t="shared" ref="BE264:BE268" si="524">IF(AG264="Aucune",0,1)</f>
        <v>1</v>
      </c>
      <c r="BF264" s="270" t="str">
        <f t="shared" ref="BF264:BF268" si="525">IF(AO264=1,"ELECTIVE",IF(AO264=2,"URGENCY",IF(AO264=3,"EMERGENCY",IF(AO264=4,"SALVAGE","ALIVE"))))</f>
        <v>ALIVE</v>
      </c>
      <c r="BG264" s="250" t="str">
        <f t="shared" ref="BG264:BG268" si="526">IF(AD264="","Aucune","Infection")</f>
        <v>Aucune</v>
      </c>
      <c r="BH264" s="250" t="str">
        <f t="shared" ref="BH264:BH268" si="527">IF(AI264&gt;0,"Transfusion","Aucune")</f>
        <v>Aucune</v>
      </c>
      <c r="BI264" s="250" t="str">
        <f t="shared" ref="BI264:BI268" si="528">IF(AG264="","Aucune","Transfusé")</f>
        <v>Aucune</v>
      </c>
      <c r="BJ264" s="250" t="str">
        <f t="shared" ref="BJ264:BJ268" si="529">IF(X264&lt;&gt;"",IF(X264-L264&lt;2,"OUI","NON"),"NON")</f>
        <v>NON</v>
      </c>
      <c r="BK264" s="250" t="str">
        <f t="shared" ref="BK264:BK268" si="530">IF(AS264="","NON","OUI")</f>
        <v>NON</v>
      </c>
      <c r="BL264" s="250" t="str">
        <f t="shared" ref="BL264:BL268" si="531">IF(AL264-L264&gt;0,AL264-L264,"Inconnu")</f>
        <v>Inconnu</v>
      </c>
      <c r="BM264" s="250" t="str">
        <f t="shared" ref="BM264:BM268" si="532">IF($O264&lt;&gt;"HTX",IF($O264&lt;&gt;"LVAD",BL264,"Inconnu"),"Inconnu")</f>
        <v>Inconnu</v>
      </c>
      <c r="BN264" s="250" t="str">
        <f t="shared" ref="BN264:BN268" si="533">IF($O264="HTX",BL264,IF($O264="LVAD",BL264,"Inconnu"))</f>
        <v>Inconnu</v>
      </c>
      <c r="BO264" s="250" t="str">
        <f t="shared" ref="BO264:BO268" si="534">IF(AJ264-L264&gt;0,AJ264-L264,"Inconnu")</f>
        <v>Inconnu</v>
      </c>
      <c r="BP264" s="250" t="str">
        <f t="shared" ref="BP264:BP268" si="535">IF($O264&lt;&gt;"HTX",IF($O264&lt;&gt;"LVAD",BO264,"Inconnu"),"Inconnu")</f>
        <v>Inconnu</v>
      </c>
      <c r="BQ264" s="250" t="str">
        <f t="shared" ref="BQ264:BQ268" si="536">IF($O264="HTX",BO264,IF($O264="LVAD",BO264,"Inconnu"))</f>
        <v>Inconnu</v>
      </c>
      <c r="BR264" s="250" t="str">
        <f t="shared" ref="BR264:BR268" si="537">IF(BH264="Aucune",IF(BI264="Aucune","Aucune","Transfusé"),"Transfusé")</f>
        <v>Aucune</v>
      </c>
      <c r="BS264" s="250">
        <f t="shared" ref="BS264:BS268" si="538">AF264+AH264</f>
        <v>0</v>
      </c>
      <c r="BT264" s="271" t="e">
        <f>VLOOKUP($I264,Lieu_Activité!$A:$B,2,FALSE)</f>
        <v>#N/A</v>
      </c>
      <c r="BU264" s="250" t="str">
        <f t="shared" ref="BU264:BU268" si="539">IF(AB264="","Aucun","AVC")</f>
        <v>Aucun</v>
      </c>
      <c r="BV264" s="250" t="str">
        <f t="shared" ref="BV264:BV268" si="540">IF(AC264="","Aucun","IM")</f>
        <v>Aucun</v>
      </c>
      <c r="BW264" s="249" t="str">
        <f t="shared" ref="BW264:BW268" si="541">IF(M264="","NON","OUI")</f>
        <v>NON</v>
      </c>
      <c r="BX264" s="330"/>
      <c r="BY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</row>
    <row r="265" spans="1:170" s="1" customFormat="1" ht="12.75" customHeight="1" x14ac:dyDescent="0.2">
      <c r="A265" s="268" t="s">
        <v>258</v>
      </c>
      <c r="B265" s="276"/>
      <c r="C265" s="269"/>
      <c r="D265" s="299"/>
      <c r="E265" s="320">
        <f t="shared" si="517"/>
        <v>0</v>
      </c>
      <c r="F265" s="320" t="str">
        <f t="shared" si="518"/>
        <v xml:space="preserve"> </v>
      </c>
      <c r="G265" s="298"/>
      <c r="H265" s="298"/>
      <c r="I265" s="298"/>
      <c r="J265" s="298"/>
      <c r="K265" s="298"/>
      <c r="L265" s="299"/>
      <c r="M265" s="285"/>
      <c r="N265" s="274"/>
      <c r="O265" s="274"/>
      <c r="P265" s="307" t="str">
        <f>IFERROR(VLOOKUP(O265,Références!$K$11:$N$19,2)," ")</f>
        <v xml:space="preserve"> </v>
      </c>
      <c r="Q265" s="307" t="str">
        <f>IFERROR(VLOOKUP(O265,Références!$K$11:$N$19,3)," ")</f>
        <v xml:space="preserve"> </v>
      </c>
      <c r="R265" s="307" t="str">
        <f>IFERROR(VLOOKUP(O265,Références!$K$11:$N$19,4)," ")</f>
        <v xml:space="preserve"> </v>
      </c>
      <c r="S265" s="298"/>
      <c r="T265" s="298"/>
      <c r="U265" s="298"/>
      <c r="V265" s="298"/>
      <c r="W265" s="298"/>
      <c r="X265" s="299"/>
      <c r="Y265" s="298"/>
      <c r="Z265" s="298"/>
      <c r="AA265" s="298"/>
      <c r="AB265" s="277"/>
      <c r="AC265" s="277"/>
      <c r="AD265" s="277"/>
      <c r="AE265" s="277"/>
      <c r="AF265" s="277"/>
      <c r="AG265" s="277"/>
      <c r="AH265" s="277"/>
      <c r="AI265" s="277">
        <f t="shared" si="519"/>
        <v>0</v>
      </c>
      <c r="AJ265" s="299"/>
      <c r="AK265" s="298">
        <f t="shared" si="520"/>
        <v>0</v>
      </c>
      <c r="AL265" s="299"/>
      <c r="AM265" s="308">
        <f t="shared" si="521"/>
        <v>0</v>
      </c>
      <c r="AN265" s="298"/>
      <c r="AO265" s="318"/>
      <c r="AP265" s="303" t="str">
        <f t="shared" si="227"/>
        <v xml:space="preserve"> </v>
      </c>
      <c r="AQ265" s="298"/>
      <c r="AR265" s="337"/>
      <c r="AS265" s="337"/>
      <c r="AT265" s="305"/>
      <c r="AU265" s="319"/>
      <c r="AV265" s="305"/>
      <c r="AW265" s="272"/>
      <c r="AX265" s="342"/>
      <c r="AY265" s="343"/>
      <c r="AZ265" s="272"/>
      <c r="BA265" s="342"/>
      <c r="BB265" s="337"/>
      <c r="BC265" s="270">
        <f t="shared" si="522"/>
        <v>0</v>
      </c>
      <c r="BD265" s="270">
        <f t="shared" si="523"/>
        <v>0</v>
      </c>
      <c r="BE265" s="270">
        <f t="shared" si="524"/>
        <v>1</v>
      </c>
      <c r="BF265" s="270" t="str">
        <f t="shared" si="525"/>
        <v>ALIVE</v>
      </c>
      <c r="BG265" s="250" t="str">
        <f t="shared" si="526"/>
        <v>Aucune</v>
      </c>
      <c r="BH265" s="250" t="str">
        <f t="shared" si="527"/>
        <v>Aucune</v>
      </c>
      <c r="BI265" s="250" t="str">
        <f t="shared" si="528"/>
        <v>Aucune</v>
      </c>
      <c r="BJ265" s="250" t="str">
        <f t="shared" si="529"/>
        <v>NON</v>
      </c>
      <c r="BK265" s="250" t="str">
        <f t="shared" si="530"/>
        <v>NON</v>
      </c>
      <c r="BL265" s="250" t="str">
        <f t="shared" si="531"/>
        <v>Inconnu</v>
      </c>
      <c r="BM265" s="250" t="str">
        <f t="shared" si="532"/>
        <v>Inconnu</v>
      </c>
      <c r="BN265" s="250" t="str">
        <f t="shared" si="533"/>
        <v>Inconnu</v>
      </c>
      <c r="BO265" s="250" t="str">
        <f t="shared" si="534"/>
        <v>Inconnu</v>
      </c>
      <c r="BP265" s="250" t="str">
        <f t="shared" si="535"/>
        <v>Inconnu</v>
      </c>
      <c r="BQ265" s="250" t="str">
        <f t="shared" si="536"/>
        <v>Inconnu</v>
      </c>
      <c r="BR265" s="250" t="str">
        <f t="shared" si="537"/>
        <v>Aucune</v>
      </c>
      <c r="BS265" s="250">
        <f t="shared" si="538"/>
        <v>0</v>
      </c>
      <c r="BT265" s="271" t="e">
        <f>VLOOKUP($I265,Lieu_Activité!$A:$B,2,FALSE)</f>
        <v>#N/A</v>
      </c>
      <c r="BU265" s="250" t="str">
        <f t="shared" si="539"/>
        <v>Aucun</v>
      </c>
      <c r="BV265" s="250" t="str">
        <f t="shared" si="540"/>
        <v>Aucun</v>
      </c>
      <c r="BW265" s="249" t="str">
        <f t="shared" si="541"/>
        <v>NON</v>
      </c>
      <c r="BX265" s="330"/>
      <c r="BY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</row>
    <row r="266" spans="1:170" s="1" customFormat="1" ht="12.75" customHeight="1" x14ac:dyDescent="0.2">
      <c r="A266" s="268" t="s">
        <v>258</v>
      </c>
      <c r="B266" s="276"/>
      <c r="C266" s="269"/>
      <c r="D266" s="299"/>
      <c r="E266" s="320">
        <f t="shared" si="517"/>
        <v>0</v>
      </c>
      <c r="F266" s="320" t="str">
        <f t="shared" si="518"/>
        <v xml:space="preserve"> </v>
      </c>
      <c r="G266" s="298"/>
      <c r="H266" s="298"/>
      <c r="I266" s="298"/>
      <c r="J266" s="298"/>
      <c r="K266" s="298"/>
      <c r="L266" s="299"/>
      <c r="M266" s="285"/>
      <c r="N266" s="274"/>
      <c r="O266" s="274"/>
      <c r="P266" s="307" t="str">
        <f>IFERROR(VLOOKUP(O266,Références!$K$11:$N$19,2)," ")</f>
        <v xml:space="preserve"> </v>
      </c>
      <c r="Q266" s="307" t="str">
        <f>IFERROR(VLOOKUP(O266,Références!$K$11:$N$19,3)," ")</f>
        <v xml:space="preserve"> </v>
      </c>
      <c r="R266" s="307" t="str">
        <f>IFERROR(VLOOKUP(O266,Références!$K$11:$N$19,4)," ")</f>
        <v xml:space="preserve"> </v>
      </c>
      <c r="S266" s="298"/>
      <c r="T266" s="298"/>
      <c r="U266" s="298"/>
      <c r="V266" s="298"/>
      <c r="W266" s="298"/>
      <c r="X266" s="299"/>
      <c r="Y266" s="298"/>
      <c r="Z266" s="298"/>
      <c r="AA266" s="298"/>
      <c r="AB266" s="277"/>
      <c r="AC266" s="277"/>
      <c r="AD266" s="277"/>
      <c r="AE266" s="277"/>
      <c r="AF266" s="277"/>
      <c r="AG266" s="277"/>
      <c r="AH266" s="277"/>
      <c r="AI266" s="277">
        <f t="shared" si="519"/>
        <v>0</v>
      </c>
      <c r="AJ266" s="299"/>
      <c r="AK266" s="298">
        <f t="shared" si="520"/>
        <v>0</v>
      </c>
      <c r="AL266" s="299"/>
      <c r="AM266" s="308">
        <f t="shared" si="521"/>
        <v>0</v>
      </c>
      <c r="AN266" s="298"/>
      <c r="AO266" s="318"/>
      <c r="AP266" s="303" t="str">
        <f t="shared" si="227"/>
        <v xml:space="preserve"> </v>
      </c>
      <c r="AQ266" s="298"/>
      <c r="AR266" s="337"/>
      <c r="AS266" s="337"/>
      <c r="AT266" s="305"/>
      <c r="AU266" s="319"/>
      <c r="AV266" s="305"/>
      <c r="AW266" s="272"/>
      <c r="AX266" s="342"/>
      <c r="AY266" s="343"/>
      <c r="AZ266" s="272"/>
      <c r="BA266" s="342"/>
      <c r="BB266" s="337"/>
      <c r="BC266" s="270">
        <f t="shared" si="522"/>
        <v>0</v>
      </c>
      <c r="BD266" s="270">
        <f t="shared" si="523"/>
        <v>0</v>
      </c>
      <c r="BE266" s="270">
        <f t="shared" si="524"/>
        <v>1</v>
      </c>
      <c r="BF266" s="270" t="str">
        <f t="shared" si="525"/>
        <v>ALIVE</v>
      </c>
      <c r="BG266" s="250" t="str">
        <f t="shared" si="526"/>
        <v>Aucune</v>
      </c>
      <c r="BH266" s="250" t="str">
        <f t="shared" si="527"/>
        <v>Aucune</v>
      </c>
      <c r="BI266" s="250" t="str">
        <f t="shared" si="528"/>
        <v>Aucune</v>
      </c>
      <c r="BJ266" s="250" t="str">
        <f t="shared" si="529"/>
        <v>NON</v>
      </c>
      <c r="BK266" s="250" t="str">
        <f t="shared" si="530"/>
        <v>NON</v>
      </c>
      <c r="BL266" s="250" t="str">
        <f t="shared" si="531"/>
        <v>Inconnu</v>
      </c>
      <c r="BM266" s="250" t="str">
        <f t="shared" si="532"/>
        <v>Inconnu</v>
      </c>
      <c r="BN266" s="250" t="str">
        <f t="shared" si="533"/>
        <v>Inconnu</v>
      </c>
      <c r="BO266" s="250" t="str">
        <f t="shared" si="534"/>
        <v>Inconnu</v>
      </c>
      <c r="BP266" s="250" t="str">
        <f t="shared" si="535"/>
        <v>Inconnu</v>
      </c>
      <c r="BQ266" s="250" t="str">
        <f t="shared" si="536"/>
        <v>Inconnu</v>
      </c>
      <c r="BR266" s="250" t="str">
        <f t="shared" si="537"/>
        <v>Aucune</v>
      </c>
      <c r="BS266" s="250">
        <f t="shared" si="538"/>
        <v>0</v>
      </c>
      <c r="BT266" s="271" t="e">
        <f>VLOOKUP($I266,Lieu_Activité!$A:$B,2,FALSE)</f>
        <v>#N/A</v>
      </c>
      <c r="BU266" s="250" t="str">
        <f t="shared" si="539"/>
        <v>Aucun</v>
      </c>
      <c r="BV266" s="250" t="str">
        <f t="shared" si="540"/>
        <v>Aucun</v>
      </c>
      <c r="BW266" s="249" t="str">
        <f t="shared" si="541"/>
        <v>NON</v>
      </c>
      <c r="BX266" s="330"/>
      <c r="BY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</row>
    <row r="267" spans="1:170" s="1" customFormat="1" ht="12.75" customHeight="1" x14ac:dyDescent="0.2">
      <c r="A267" s="268" t="s">
        <v>258</v>
      </c>
      <c r="B267" s="276"/>
      <c r="C267" s="269"/>
      <c r="D267" s="299"/>
      <c r="E267" s="320">
        <f t="shared" si="517"/>
        <v>0</v>
      </c>
      <c r="F267" s="320" t="str">
        <f t="shared" si="518"/>
        <v xml:space="preserve"> </v>
      </c>
      <c r="G267" s="298"/>
      <c r="H267" s="298"/>
      <c r="I267" s="298"/>
      <c r="J267" s="298"/>
      <c r="K267" s="298"/>
      <c r="L267" s="299"/>
      <c r="M267" s="285"/>
      <c r="N267" s="274"/>
      <c r="O267" s="274"/>
      <c r="P267" s="307" t="str">
        <f>IFERROR(VLOOKUP(O267,Références!$K$11:$N$19,2)," ")</f>
        <v xml:space="preserve"> </v>
      </c>
      <c r="Q267" s="307" t="str">
        <f>IFERROR(VLOOKUP(O267,Références!$K$11:$N$19,3)," ")</f>
        <v xml:space="preserve"> </v>
      </c>
      <c r="R267" s="307" t="str">
        <f>IFERROR(VLOOKUP(O267,Références!$K$11:$N$19,4)," ")</f>
        <v xml:space="preserve"> </v>
      </c>
      <c r="S267" s="298"/>
      <c r="T267" s="298"/>
      <c r="U267" s="298"/>
      <c r="V267" s="298"/>
      <c r="W267" s="298"/>
      <c r="X267" s="299"/>
      <c r="Y267" s="298"/>
      <c r="Z267" s="298"/>
      <c r="AA267" s="298"/>
      <c r="AB267" s="277"/>
      <c r="AC267" s="277"/>
      <c r="AD267" s="277"/>
      <c r="AE267" s="277"/>
      <c r="AF267" s="277"/>
      <c r="AG267" s="277"/>
      <c r="AH267" s="277"/>
      <c r="AI267" s="277">
        <f t="shared" si="519"/>
        <v>0</v>
      </c>
      <c r="AJ267" s="299"/>
      <c r="AK267" s="298">
        <f t="shared" si="520"/>
        <v>0</v>
      </c>
      <c r="AL267" s="299"/>
      <c r="AM267" s="308">
        <f t="shared" si="521"/>
        <v>0</v>
      </c>
      <c r="AN267" s="298"/>
      <c r="AO267" s="318"/>
      <c r="AP267" s="303" t="str">
        <f t="shared" si="227"/>
        <v xml:space="preserve"> </v>
      </c>
      <c r="AQ267" s="298"/>
      <c r="AR267" s="337"/>
      <c r="AS267" s="337"/>
      <c r="AT267" s="305"/>
      <c r="AU267" s="319"/>
      <c r="AV267" s="305"/>
      <c r="AW267" s="272"/>
      <c r="AX267" s="342"/>
      <c r="AY267" s="343"/>
      <c r="AZ267" s="272"/>
      <c r="BA267" s="342"/>
      <c r="BB267" s="337"/>
      <c r="BC267" s="270">
        <f t="shared" si="522"/>
        <v>0</v>
      </c>
      <c r="BD267" s="270">
        <f t="shared" si="523"/>
        <v>0</v>
      </c>
      <c r="BE267" s="270">
        <f t="shared" si="524"/>
        <v>1</v>
      </c>
      <c r="BF267" s="270" t="str">
        <f t="shared" si="525"/>
        <v>ALIVE</v>
      </c>
      <c r="BG267" s="250" t="str">
        <f t="shared" si="526"/>
        <v>Aucune</v>
      </c>
      <c r="BH267" s="250" t="str">
        <f t="shared" si="527"/>
        <v>Aucune</v>
      </c>
      <c r="BI267" s="250" t="str">
        <f t="shared" si="528"/>
        <v>Aucune</v>
      </c>
      <c r="BJ267" s="250" t="str">
        <f t="shared" si="529"/>
        <v>NON</v>
      </c>
      <c r="BK267" s="250" t="str">
        <f t="shared" si="530"/>
        <v>NON</v>
      </c>
      <c r="BL267" s="250" t="str">
        <f t="shared" si="531"/>
        <v>Inconnu</v>
      </c>
      <c r="BM267" s="250" t="str">
        <f t="shared" si="532"/>
        <v>Inconnu</v>
      </c>
      <c r="BN267" s="250" t="str">
        <f t="shared" si="533"/>
        <v>Inconnu</v>
      </c>
      <c r="BO267" s="250" t="str">
        <f t="shared" si="534"/>
        <v>Inconnu</v>
      </c>
      <c r="BP267" s="250" t="str">
        <f t="shared" si="535"/>
        <v>Inconnu</v>
      </c>
      <c r="BQ267" s="250" t="str">
        <f t="shared" si="536"/>
        <v>Inconnu</v>
      </c>
      <c r="BR267" s="250" t="str">
        <f t="shared" si="537"/>
        <v>Aucune</v>
      </c>
      <c r="BS267" s="250">
        <f t="shared" si="538"/>
        <v>0</v>
      </c>
      <c r="BT267" s="271" t="e">
        <f>VLOOKUP($I267,Lieu_Activité!$A:$B,2,FALSE)</f>
        <v>#N/A</v>
      </c>
      <c r="BU267" s="250" t="str">
        <f t="shared" si="539"/>
        <v>Aucun</v>
      </c>
      <c r="BV267" s="250" t="str">
        <f t="shared" si="540"/>
        <v>Aucun</v>
      </c>
      <c r="BW267" s="249" t="str">
        <f t="shared" si="541"/>
        <v>NON</v>
      </c>
      <c r="BX267" s="330"/>
      <c r="BY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</row>
    <row r="268" spans="1:170" s="1" customFormat="1" ht="12.75" customHeight="1" x14ac:dyDescent="0.2">
      <c r="A268" s="268" t="s">
        <v>258</v>
      </c>
      <c r="B268" s="276"/>
      <c r="C268" s="269"/>
      <c r="D268" s="299"/>
      <c r="E268" s="320">
        <f t="shared" si="517"/>
        <v>0</v>
      </c>
      <c r="F268" s="320" t="str">
        <f t="shared" si="518"/>
        <v xml:space="preserve"> </v>
      </c>
      <c r="G268" s="298"/>
      <c r="H268" s="298"/>
      <c r="I268" s="298"/>
      <c r="J268" s="298"/>
      <c r="K268" s="298"/>
      <c r="L268" s="299"/>
      <c r="M268" s="285"/>
      <c r="N268" s="274"/>
      <c r="O268" s="274"/>
      <c r="P268" s="307" t="str">
        <f>IFERROR(VLOOKUP(O268,Références!$K$11:$N$19,2)," ")</f>
        <v xml:space="preserve"> </v>
      </c>
      <c r="Q268" s="307" t="str">
        <f>IFERROR(VLOOKUP(O268,Références!$K$11:$N$19,3)," ")</f>
        <v xml:space="preserve"> </v>
      </c>
      <c r="R268" s="307" t="str">
        <f>IFERROR(VLOOKUP(O268,Références!$K$11:$N$19,4)," ")</f>
        <v xml:space="preserve"> </v>
      </c>
      <c r="S268" s="298"/>
      <c r="T268" s="298"/>
      <c r="U268" s="298"/>
      <c r="V268" s="298"/>
      <c r="W268" s="298"/>
      <c r="X268" s="299"/>
      <c r="Y268" s="298"/>
      <c r="Z268" s="298"/>
      <c r="AA268" s="298"/>
      <c r="AB268" s="277"/>
      <c r="AC268" s="277"/>
      <c r="AD268" s="277"/>
      <c r="AE268" s="277"/>
      <c r="AF268" s="277"/>
      <c r="AG268" s="277"/>
      <c r="AH268" s="277"/>
      <c r="AI268" s="277">
        <f t="shared" si="519"/>
        <v>0</v>
      </c>
      <c r="AJ268" s="299"/>
      <c r="AK268" s="298">
        <f t="shared" si="520"/>
        <v>0</v>
      </c>
      <c r="AL268" s="299"/>
      <c r="AM268" s="308">
        <f t="shared" si="521"/>
        <v>0</v>
      </c>
      <c r="AN268" s="298"/>
      <c r="AO268" s="318"/>
      <c r="AP268" s="303" t="str">
        <f t="shared" si="227"/>
        <v xml:space="preserve"> </v>
      </c>
      <c r="AQ268" s="298"/>
      <c r="AR268" s="337"/>
      <c r="AS268" s="337"/>
      <c r="AT268" s="305"/>
      <c r="AU268" s="319"/>
      <c r="AV268" s="305"/>
      <c r="AW268" s="272"/>
      <c r="AX268" s="342"/>
      <c r="AY268" s="343"/>
      <c r="AZ268" s="272"/>
      <c r="BA268" s="342"/>
      <c r="BB268" s="337"/>
      <c r="BC268" s="270">
        <f t="shared" si="522"/>
        <v>0</v>
      </c>
      <c r="BD268" s="270">
        <f t="shared" si="523"/>
        <v>0</v>
      </c>
      <c r="BE268" s="270">
        <f t="shared" si="524"/>
        <v>1</v>
      </c>
      <c r="BF268" s="270" t="str">
        <f t="shared" si="525"/>
        <v>ALIVE</v>
      </c>
      <c r="BG268" s="250" t="str">
        <f t="shared" si="526"/>
        <v>Aucune</v>
      </c>
      <c r="BH268" s="250" t="str">
        <f t="shared" si="527"/>
        <v>Aucune</v>
      </c>
      <c r="BI268" s="250" t="str">
        <f t="shared" si="528"/>
        <v>Aucune</v>
      </c>
      <c r="BJ268" s="250" t="str">
        <f t="shared" si="529"/>
        <v>NON</v>
      </c>
      <c r="BK268" s="250" t="str">
        <f t="shared" si="530"/>
        <v>NON</v>
      </c>
      <c r="BL268" s="250" t="str">
        <f t="shared" si="531"/>
        <v>Inconnu</v>
      </c>
      <c r="BM268" s="250" t="str">
        <f t="shared" si="532"/>
        <v>Inconnu</v>
      </c>
      <c r="BN268" s="250" t="str">
        <f t="shared" si="533"/>
        <v>Inconnu</v>
      </c>
      <c r="BO268" s="250" t="str">
        <f t="shared" si="534"/>
        <v>Inconnu</v>
      </c>
      <c r="BP268" s="250" t="str">
        <f t="shared" si="535"/>
        <v>Inconnu</v>
      </c>
      <c r="BQ268" s="250" t="str">
        <f t="shared" si="536"/>
        <v>Inconnu</v>
      </c>
      <c r="BR268" s="250" t="str">
        <f t="shared" si="537"/>
        <v>Aucune</v>
      </c>
      <c r="BS268" s="250">
        <f t="shared" si="538"/>
        <v>0</v>
      </c>
      <c r="BT268" s="271" t="e">
        <f>VLOOKUP($I268,Lieu_Activité!$A:$B,2,FALSE)</f>
        <v>#N/A</v>
      </c>
      <c r="BU268" s="250" t="str">
        <f t="shared" si="539"/>
        <v>Aucun</v>
      </c>
      <c r="BV268" s="250" t="str">
        <f t="shared" si="540"/>
        <v>Aucun</v>
      </c>
      <c r="BW268" s="249" t="str">
        <f t="shared" si="541"/>
        <v>NON</v>
      </c>
      <c r="BX268" s="330"/>
      <c r="BY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</row>
    <row r="269" spans="1:170" s="1" customFormat="1" ht="12.75" customHeight="1" x14ac:dyDescent="0.2">
      <c r="A269" s="268" t="s">
        <v>258</v>
      </c>
      <c r="B269" s="276"/>
      <c r="C269" s="269"/>
      <c r="D269" s="299"/>
      <c r="E269" s="320">
        <f t="shared" si="493"/>
        <v>0</v>
      </c>
      <c r="F269" s="320" t="str">
        <f t="shared" si="226"/>
        <v xml:space="preserve"> </v>
      </c>
      <c r="G269" s="298"/>
      <c r="H269" s="298"/>
      <c r="I269" s="298"/>
      <c r="J269" s="298"/>
      <c r="K269" s="298"/>
      <c r="L269" s="299"/>
      <c r="M269" s="285"/>
      <c r="N269" s="274"/>
      <c r="O269" s="274"/>
      <c r="P269" s="307" t="str">
        <f>IFERROR(VLOOKUP(O269,Références!$K$11:$N$19,2)," ")</f>
        <v xml:space="preserve"> </v>
      </c>
      <c r="Q269" s="307" t="str">
        <f>IFERROR(VLOOKUP(O269,Références!$K$11:$N$19,3)," ")</f>
        <v xml:space="preserve"> </v>
      </c>
      <c r="R269" s="307" t="str">
        <f>IFERROR(VLOOKUP(O269,Références!$K$11:$N$19,4)," ")</f>
        <v xml:space="preserve"> </v>
      </c>
      <c r="S269" s="298"/>
      <c r="T269" s="298"/>
      <c r="U269" s="298"/>
      <c r="V269" s="298"/>
      <c r="W269" s="298"/>
      <c r="X269" s="299"/>
      <c r="Y269" s="298"/>
      <c r="Z269" s="298"/>
      <c r="AA269" s="298"/>
      <c r="AB269" s="277"/>
      <c r="AC269" s="277"/>
      <c r="AD269" s="277"/>
      <c r="AE269" s="277"/>
      <c r="AF269" s="277"/>
      <c r="AG269" s="277"/>
      <c r="AH269" s="277"/>
      <c r="AI269" s="277">
        <f t="shared" si="516"/>
        <v>0</v>
      </c>
      <c r="AJ269" s="299"/>
      <c r="AK269" s="298">
        <f t="shared" si="494"/>
        <v>0</v>
      </c>
      <c r="AL269" s="299"/>
      <c r="AM269" s="308">
        <f t="shared" si="495"/>
        <v>0</v>
      </c>
      <c r="AN269" s="298"/>
      <c r="AO269" s="318"/>
      <c r="AP269" s="303" t="str">
        <f t="shared" si="227"/>
        <v xml:space="preserve"> </v>
      </c>
      <c r="AQ269" s="298"/>
      <c r="AR269" s="337"/>
      <c r="AS269" s="337"/>
      <c r="AT269" s="305"/>
      <c r="AU269" s="319"/>
      <c r="AV269" s="305"/>
      <c r="AW269" s="272"/>
      <c r="AX269" s="342"/>
      <c r="AY269" s="343"/>
      <c r="AZ269" s="272"/>
      <c r="BA269" s="342"/>
      <c r="BB269" s="337"/>
      <c r="BC269" s="270">
        <f t="shared" si="496"/>
        <v>0</v>
      </c>
      <c r="BD269" s="270">
        <f t="shared" si="497"/>
        <v>0</v>
      </c>
      <c r="BE269" s="270">
        <f t="shared" si="498"/>
        <v>1</v>
      </c>
      <c r="BF269" s="270" t="str">
        <f t="shared" si="499"/>
        <v>ALIVE</v>
      </c>
      <c r="BG269" s="250" t="str">
        <f t="shared" si="500"/>
        <v>Aucune</v>
      </c>
      <c r="BH269" s="250" t="str">
        <f t="shared" si="501"/>
        <v>Aucune</v>
      </c>
      <c r="BI269" s="250" t="str">
        <f t="shared" si="502"/>
        <v>Aucune</v>
      </c>
      <c r="BJ269" s="250" t="str">
        <f t="shared" si="503"/>
        <v>NON</v>
      </c>
      <c r="BK269" s="250" t="str">
        <f t="shared" si="504"/>
        <v>NON</v>
      </c>
      <c r="BL269" s="250" t="str">
        <f t="shared" si="505"/>
        <v>Inconnu</v>
      </c>
      <c r="BM269" s="250" t="str">
        <f t="shared" si="506"/>
        <v>Inconnu</v>
      </c>
      <c r="BN269" s="250" t="str">
        <f t="shared" si="507"/>
        <v>Inconnu</v>
      </c>
      <c r="BO269" s="250" t="str">
        <f t="shared" si="508"/>
        <v>Inconnu</v>
      </c>
      <c r="BP269" s="250" t="str">
        <f t="shared" si="509"/>
        <v>Inconnu</v>
      </c>
      <c r="BQ269" s="250" t="str">
        <f t="shared" si="510"/>
        <v>Inconnu</v>
      </c>
      <c r="BR269" s="250" t="str">
        <f t="shared" si="511"/>
        <v>Aucune</v>
      </c>
      <c r="BS269" s="250">
        <f t="shared" si="512"/>
        <v>0</v>
      </c>
      <c r="BT269" s="271" t="e">
        <f>VLOOKUP($I269,Lieu_Activité!$A:$B,2,FALSE)</f>
        <v>#N/A</v>
      </c>
      <c r="BU269" s="250" t="str">
        <f t="shared" si="513"/>
        <v>Aucun</v>
      </c>
      <c r="BV269" s="250" t="str">
        <f t="shared" si="514"/>
        <v>Aucun</v>
      </c>
      <c r="BW269" s="249" t="str">
        <f t="shared" si="515"/>
        <v>NON</v>
      </c>
      <c r="BX269" s="330"/>
      <c r="BY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</row>
    <row r="270" spans="1:170" ht="12" customHeight="1" x14ac:dyDescent="0.2">
      <c r="A270" s="268" t="s">
        <v>258</v>
      </c>
      <c r="B270" s="276"/>
      <c r="C270" s="269"/>
      <c r="D270" s="299"/>
      <c r="E270" s="320">
        <f t="shared" si="493"/>
        <v>0</v>
      </c>
      <c r="F270" s="320" t="str">
        <f t="shared" si="226"/>
        <v xml:space="preserve"> </v>
      </c>
      <c r="G270" s="298"/>
      <c r="H270" s="298"/>
      <c r="I270" s="298"/>
      <c r="J270" s="298"/>
      <c r="K270" s="298"/>
      <c r="L270" s="299"/>
      <c r="M270" s="311"/>
      <c r="N270" s="274"/>
      <c r="O270" s="274"/>
      <c r="P270" s="307" t="str">
        <f>IFERROR(VLOOKUP(O270,Références!$K$11:$N$19,2)," ")</f>
        <v xml:space="preserve"> </v>
      </c>
      <c r="Q270" s="307" t="str">
        <f>IFERROR(VLOOKUP(O270,Références!$K$11:$N$19,3)," ")</f>
        <v xml:space="preserve"> </v>
      </c>
      <c r="R270" s="307" t="str">
        <f>IFERROR(VLOOKUP(O270,Références!$K$11:$N$19,4)," ")</f>
        <v xml:space="preserve"> </v>
      </c>
      <c r="S270" s="298"/>
      <c r="T270" s="298"/>
      <c r="U270" s="298"/>
      <c r="V270" s="298"/>
      <c r="W270" s="298"/>
      <c r="X270" s="299"/>
      <c r="Y270" s="298"/>
      <c r="Z270" s="298"/>
      <c r="AA270" s="298"/>
      <c r="AB270" s="277"/>
      <c r="AC270" s="277"/>
      <c r="AD270" s="277"/>
      <c r="AE270" s="277"/>
      <c r="AF270" s="277"/>
      <c r="AG270" s="277"/>
      <c r="AH270" s="277"/>
      <c r="AI270" s="277">
        <f t="shared" si="516"/>
        <v>0</v>
      </c>
      <c r="AJ270" s="299"/>
      <c r="AK270" s="298">
        <f t="shared" si="494"/>
        <v>0</v>
      </c>
      <c r="AL270" s="299"/>
      <c r="AM270" s="308">
        <f t="shared" si="495"/>
        <v>0</v>
      </c>
      <c r="AN270" s="298"/>
      <c r="AO270" s="318"/>
      <c r="AP270" s="303" t="str">
        <f t="shared" si="227"/>
        <v xml:space="preserve"> </v>
      </c>
      <c r="AQ270" s="298"/>
      <c r="AR270" s="337"/>
      <c r="AS270" s="337"/>
      <c r="AT270" s="305"/>
      <c r="AU270" s="319"/>
      <c r="AV270" s="305"/>
      <c r="AW270" s="272"/>
      <c r="AX270" s="342"/>
      <c r="AY270" s="343"/>
      <c r="AZ270" s="272"/>
      <c r="BA270" s="342"/>
      <c r="BB270" s="337"/>
      <c r="BC270" s="270">
        <f t="shared" si="496"/>
        <v>0</v>
      </c>
      <c r="BD270" s="270">
        <f t="shared" si="497"/>
        <v>0</v>
      </c>
      <c r="BE270" s="270">
        <f t="shared" si="498"/>
        <v>1</v>
      </c>
      <c r="BF270" s="270" t="str">
        <f t="shared" si="499"/>
        <v>ALIVE</v>
      </c>
      <c r="BG270" s="250" t="str">
        <f t="shared" si="500"/>
        <v>Aucune</v>
      </c>
      <c r="BH270" s="250" t="str">
        <f t="shared" si="501"/>
        <v>Aucune</v>
      </c>
      <c r="BI270" s="250" t="str">
        <f t="shared" si="502"/>
        <v>Aucune</v>
      </c>
      <c r="BJ270" s="250" t="str">
        <f t="shared" si="503"/>
        <v>NON</v>
      </c>
      <c r="BK270" s="250" t="str">
        <f t="shared" si="504"/>
        <v>NON</v>
      </c>
      <c r="BL270" s="250" t="str">
        <f t="shared" si="505"/>
        <v>Inconnu</v>
      </c>
      <c r="BM270" s="250" t="str">
        <f t="shared" si="506"/>
        <v>Inconnu</v>
      </c>
      <c r="BN270" s="250" t="str">
        <f t="shared" si="507"/>
        <v>Inconnu</v>
      </c>
      <c r="BO270" s="250" t="str">
        <f t="shared" si="508"/>
        <v>Inconnu</v>
      </c>
      <c r="BP270" s="250" t="str">
        <f t="shared" si="509"/>
        <v>Inconnu</v>
      </c>
      <c r="BQ270" s="250" t="str">
        <f t="shared" si="510"/>
        <v>Inconnu</v>
      </c>
      <c r="BR270" s="250" t="str">
        <f t="shared" si="511"/>
        <v>Aucune</v>
      </c>
      <c r="BS270" s="250">
        <f t="shared" si="512"/>
        <v>0</v>
      </c>
      <c r="BT270" s="271" t="e">
        <f>VLOOKUP($I270,Lieu_Activité!$A:$B,2,FALSE)</f>
        <v>#N/A</v>
      </c>
      <c r="BU270" s="250" t="str">
        <f t="shared" si="513"/>
        <v>Aucun</v>
      </c>
      <c r="BV270" s="250" t="str">
        <f t="shared" si="514"/>
        <v>Aucun</v>
      </c>
      <c r="BW270" s="249" t="str">
        <f t="shared" si="515"/>
        <v>NON</v>
      </c>
      <c r="BX270" s="330"/>
    </row>
    <row r="271" spans="1:170" ht="12.75" customHeight="1" x14ac:dyDescent="0.2">
      <c r="A271" s="268" t="s">
        <v>258</v>
      </c>
      <c r="B271" s="276"/>
      <c r="C271" s="269"/>
      <c r="D271" s="299"/>
      <c r="E271" s="320">
        <f t="shared" si="493"/>
        <v>0</v>
      </c>
      <c r="F271" s="320" t="str">
        <f t="shared" si="226"/>
        <v xml:space="preserve"> </v>
      </c>
      <c r="G271" s="298"/>
      <c r="H271" s="298"/>
      <c r="I271" s="298"/>
      <c r="J271" s="298"/>
      <c r="K271" s="298"/>
      <c r="L271" s="299"/>
      <c r="M271" s="311"/>
      <c r="N271" s="274"/>
      <c r="O271" s="274"/>
      <c r="P271" s="307" t="str">
        <f>IFERROR(VLOOKUP(O271,Références!$K$11:$N$19,2)," ")</f>
        <v xml:space="preserve"> </v>
      </c>
      <c r="Q271" s="307" t="str">
        <f>IFERROR(VLOOKUP(O271,Références!$K$11:$N$19,3)," ")</f>
        <v xml:space="preserve"> </v>
      </c>
      <c r="R271" s="307" t="str">
        <f>IFERROR(VLOOKUP(O271,Références!$K$11:$N$19,4)," ")</f>
        <v xml:space="preserve"> </v>
      </c>
      <c r="S271" s="298"/>
      <c r="T271" s="298"/>
      <c r="U271" s="298"/>
      <c r="V271" s="298"/>
      <c r="W271" s="298"/>
      <c r="X271" s="299"/>
      <c r="Y271" s="298"/>
      <c r="Z271" s="298"/>
      <c r="AA271" s="298"/>
      <c r="AB271" s="277"/>
      <c r="AC271" s="277"/>
      <c r="AD271" s="277"/>
      <c r="AE271" s="277"/>
      <c r="AF271" s="277"/>
      <c r="AG271" s="277"/>
      <c r="AH271" s="277"/>
      <c r="AI271" s="277">
        <f t="shared" si="516"/>
        <v>0</v>
      </c>
      <c r="AJ271" s="299"/>
      <c r="AK271" s="298">
        <f t="shared" si="494"/>
        <v>0</v>
      </c>
      <c r="AL271" s="299"/>
      <c r="AM271" s="308">
        <f t="shared" si="495"/>
        <v>0</v>
      </c>
      <c r="AN271" s="298"/>
      <c r="AO271" s="318"/>
      <c r="AP271" s="303" t="str">
        <f t="shared" ref="AP271:AP309" si="542">IF(AO271=1,"ELECTIVE",IF(AO271=2,"URGENCY",IF(AO271=3,"EMERGENCY",IF(AO271=4,"SALVAGE"," "))))</f>
        <v xml:space="preserve"> </v>
      </c>
      <c r="AQ271" s="298"/>
      <c r="AR271" s="337"/>
      <c r="AS271" s="337"/>
      <c r="AT271" s="305"/>
      <c r="AU271" s="319"/>
      <c r="AV271" s="305"/>
      <c r="AW271" s="272"/>
      <c r="AX271" s="342"/>
      <c r="AY271" s="343"/>
      <c r="AZ271" s="342"/>
      <c r="BA271" s="342"/>
      <c r="BB271" s="337"/>
      <c r="BC271" s="270">
        <f t="shared" si="496"/>
        <v>0</v>
      </c>
      <c r="BD271" s="270">
        <f t="shared" si="497"/>
        <v>0</v>
      </c>
      <c r="BE271" s="270">
        <f t="shared" si="498"/>
        <v>1</v>
      </c>
      <c r="BF271" s="270" t="str">
        <f t="shared" si="499"/>
        <v>ALIVE</v>
      </c>
      <c r="BG271" s="250" t="str">
        <f t="shared" si="500"/>
        <v>Aucune</v>
      </c>
      <c r="BH271" s="250" t="str">
        <f t="shared" si="501"/>
        <v>Aucune</v>
      </c>
      <c r="BI271" s="250" t="str">
        <f t="shared" si="502"/>
        <v>Aucune</v>
      </c>
      <c r="BJ271" s="250" t="str">
        <f t="shared" si="503"/>
        <v>NON</v>
      </c>
      <c r="BK271" s="250" t="str">
        <f t="shared" si="504"/>
        <v>NON</v>
      </c>
      <c r="BL271" s="250" t="str">
        <f t="shared" si="505"/>
        <v>Inconnu</v>
      </c>
      <c r="BM271" s="250" t="str">
        <f t="shared" si="506"/>
        <v>Inconnu</v>
      </c>
      <c r="BN271" s="250" t="str">
        <f t="shared" si="507"/>
        <v>Inconnu</v>
      </c>
      <c r="BO271" s="250" t="str">
        <f t="shared" si="508"/>
        <v>Inconnu</v>
      </c>
      <c r="BP271" s="250" t="str">
        <f t="shared" si="509"/>
        <v>Inconnu</v>
      </c>
      <c r="BQ271" s="250" t="str">
        <f t="shared" si="510"/>
        <v>Inconnu</v>
      </c>
      <c r="BR271" s="250" t="str">
        <f t="shared" si="511"/>
        <v>Aucune</v>
      </c>
      <c r="BS271" s="250">
        <f t="shared" si="512"/>
        <v>0</v>
      </c>
      <c r="BT271" s="271" t="e">
        <f>VLOOKUP($I271,Lieu_Activité!$A:$B,2,FALSE)</f>
        <v>#N/A</v>
      </c>
      <c r="BU271" s="250" t="str">
        <f t="shared" si="513"/>
        <v>Aucun</v>
      </c>
      <c r="BV271" s="250" t="str">
        <f t="shared" si="514"/>
        <v>Aucun</v>
      </c>
      <c r="BW271" s="249" t="str">
        <f t="shared" si="515"/>
        <v>NON</v>
      </c>
      <c r="BX271" s="330"/>
    </row>
    <row r="272" spans="1:170" ht="12" customHeight="1" x14ac:dyDescent="0.2">
      <c r="A272" s="268" t="s">
        <v>258</v>
      </c>
      <c r="B272" s="276"/>
      <c r="C272" s="269"/>
      <c r="D272" s="299"/>
      <c r="E272" s="320">
        <f t="shared" si="493"/>
        <v>0</v>
      </c>
      <c r="F272" s="320" t="str">
        <f t="shared" si="226"/>
        <v xml:space="preserve"> </v>
      </c>
      <c r="G272" s="298"/>
      <c r="H272" s="298"/>
      <c r="I272" s="298"/>
      <c r="J272" s="298"/>
      <c r="K272" s="298"/>
      <c r="L272" s="299"/>
      <c r="M272" s="311"/>
      <c r="N272" s="274"/>
      <c r="O272" s="274"/>
      <c r="P272" s="307" t="str">
        <f>IFERROR(VLOOKUP(O272,Références!$K$11:$N$19,2)," ")</f>
        <v xml:space="preserve"> </v>
      </c>
      <c r="Q272" s="307" t="str">
        <f>IFERROR(VLOOKUP(O272,Références!$K$11:$N$19,3)," ")</f>
        <v xml:space="preserve"> </v>
      </c>
      <c r="R272" s="307" t="str">
        <f>IFERROR(VLOOKUP(O272,Références!$K$11:$N$19,4)," ")</f>
        <v xml:space="preserve"> </v>
      </c>
      <c r="S272" s="298"/>
      <c r="T272" s="298"/>
      <c r="U272" s="298"/>
      <c r="V272" s="298"/>
      <c r="W272" s="298"/>
      <c r="X272" s="299"/>
      <c r="Y272" s="298"/>
      <c r="Z272" s="298"/>
      <c r="AA272" s="298"/>
      <c r="AB272" s="277"/>
      <c r="AC272" s="277"/>
      <c r="AD272" s="277"/>
      <c r="AE272" s="277"/>
      <c r="AF272" s="277"/>
      <c r="AG272" s="277"/>
      <c r="AH272" s="277"/>
      <c r="AI272" s="277">
        <f t="shared" si="516"/>
        <v>0</v>
      </c>
      <c r="AJ272" s="299"/>
      <c r="AK272" s="298">
        <f t="shared" si="494"/>
        <v>0</v>
      </c>
      <c r="AL272" s="299"/>
      <c r="AM272" s="308">
        <f t="shared" si="495"/>
        <v>0</v>
      </c>
      <c r="AN272" s="298"/>
      <c r="AO272" s="318"/>
      <c r="AP272" s="303" t="str">
        <f t="shared" si="542"/>
        <v xml:space="preserve"> </v>
      </c>
      <c r="AQ272" s="298"/>
      <c r="AR272" s="337"/>
      <c r="AS272" s="337"/>
      <c r="AT272" s="305"/>
      <c r="AU272" s="319"/>
      <c r="AV272" s="305"/>
      <c r="AW272" s="272"/>
      <c r="AX272" s="342"/>
      <c r="AY272" s="343"/>
      <c r="AZ272" s="272"/>
      <c r="BA272" s="342"/>
      <c r="BB272" s="337"/>
      <c r="BC272" s="270">
        <f t="shared" si="496"/>
        <v>0</v>
      </c>
      <c r="BD272" s="270">
        <f t="shared" si="497"/>
        <v>0</v>
      </c>
      <c r="BE272" s="270">
        <f t="shared" si="498"/>
        <v>1</v>
      </c>
      <c r="BF272" s="270" t="str">
        <f t="shared" si="499"/>
        <v>ALIVE</v>
      </c>
      <c r="BG272" s="250" t="str">
        <f t="shared" si="500"/>
        <v>Aucune</v>
      </c>
      <c r="BH272" s="250" t="str">
        <f t="shared" si="501"/>
        <v>Aucune</v>
      </c>
      <c r="BI272" s="250" t="str">
        <f t="shared" si="502"/>
        <v>Aucune</v>
      </c>
      <c r="BJ272" s="250" t="str">
        <f t="shared" si="503"/>
        <v>NON</v>
      </c>
      <c r="BK272" s="250" t="str">
        <f t="shared" si="504"/>
        <v>NON</v>
      </c>
      <c r="BL272" s="250" t="str">
        <f t="shared" si="505"/>
        <v>Inconnu</v>
      </c>
      <c r="BM272" s="250" t="str">
        <f t="shared" si="506"/>
        <v>Inconnu</v>
      </c>
      <c r="BN272" s="250" t="str">
        <f t="shared" si="507"/>
        <v>Inconnu</v>
      </c>
      <c r="BO272" s="250" t="str">
        <f t="shared" si="508"/>
        <v>Inconnu</v>
      </c>
      <c r="BP272" s="250" t="str">
        <f t="shared" si="509"/>
        <v>Inconnu</v>
      </c>
      <c r="BQ272" s="250" t="str">
        <f t="shared" si="510"/>
        <v>Inconnu</v>
      </c>
      <c r="BR272" s="250" t="str">
        <f t="shared" si="511"/>
        <v>Aucune</v>
      </c>
      <c r="BS272" s="250">
        <f t="shared" si="512"/>
        <v>0</v>
      </c>
      <c r="BT272" s="271" t="e">
        <f>VLOOKUP($I272,Lieu_Activité!$A:$B,2,FALSE)</f>
        <v>#N/A</v>
      </c>
      <c r="BU272" s="250" t="str">
        <f t="shared" si="513"/>
        <v>Aucun</v>
      </c>
      <c r="BV272" s="250" t="str">
        <f t="shared" si="514"/>
        <v>Aucun</v>
      </c>
      <c r="BW272" s="249" t="str">
        <f t="shared" si="515"/>
        <v>NON</v>
      </c>
      <c r="BX272" s="330"/>
    </row>
    <row r="273" spans="1:170" ht="12" customHeight="1" x14ac:dyDescent="0.2">
      <c r="A273" s="268" t="s">
        <v>258</v>
      </c>
      <c r="B273" s="276"/>
      <c r="C273" s="269"/>
      <c r="D273" s="299"/>
      <c r="E273" s="320">
        <f t="shared" si="493"/>
        <v>0</v>
      </c>
      <c r="F273" s="320" t="str">
        <f t="shared" si="226"/>
        <v xml:space="preserve"> </v>
      </c>
      <c r="G273" s="298"/>
      <c r="H273" s="298"/>
      <c r="I273" s="298"/>
      <c r="J273" s="298"/>
      <c r="K273" s="298"/>
      <c r="L273" s="299"/>
      <c r="M273" s="311"/>
      <c r="N273" s="274"/>
      <c r="O273" s="274"/>
      <c r="P273" s="307" t="str">
        <f>IFERROR(VLOOKUP(O273,Références!$K$11:$N$19,2)," ")</f>
        <v xml:space="preserve"> </v>
      </c>
      <c r="Q273" s="307" t="str">
        <f>IFERROR(VLOOKUP(O273,Références!$K$11:$N$19,3)," ")</f>
        <v xml:space="preserve"> </v>
      </c>
      <c r="R273" s="307" t="str">
        <f>IFERROR(VLOOKUP(O273,Références!$K$11:$N$19,4)," ")</f>
        <v xml:space="preserve"> </v>
      </c>
      <c r="S273" s="298"/>
      <c r="T273" s="298"/>
      <c r="U273" s="298"/>
      <c r="V273" s="298"/>
      <c r="W273" s="298"/>
      <c r="X273" s="299"/>
      <c r="Y273" s="298"/>
      <c r="Z273" s="298"/>
      <c r="AA273" s="298"/>
      <c r="AB273" s="277"/>
      <c r="AC273" s="277"/>
      <c r="AD273" s="277"/>
      <c r="AE273" s="277"/>
      <c r="AF273" s="277"/>
      <c r="AG273" s="277"/>
      <c r="AH273" s="277"/>
      <c r="AI273" s="277">
        <f t="shared" si="516"/>
        <v>0</v>
      </c>
      <c r="AJ273" s="299"/>
      <c r="AK273" s="298">
        <f t="shared" si="494"/>
        <v>0</v>
      </c>
      <c r="AL273" s="299"/>
      <c r="AM273" s="308">
        <f t="shared" si="495"/>
        <v>0</v>
      </c>
      <c r="AN273" s="298"/>
      <c r="AO273" s="318"/>
      <c r="AP273" s="303" t="str">
        <f t="shared" si="542"/>
        <v xml:space="preserve"> </v>
      </c>
      <c r="AQ273" s="298"/>
      <c r="AR273" s="337"/>
      <c r="AS273" s="337"/>
      <c r="AT273" s="305"/>
      <c r="AU273" s="319"/>
      <c r="AV273" s="305"/>
      <c r="AW273" s="272"/>
      <c r="AX273" s="342"/>
      <c r="AY273" s="343"/>
      <c r="AZ273" s="272"/>
      <c r="BA273" s="342"/>
      <c r="BB273" s="337"/>
      <c r="BC273" s="270">
        <f t="shared" si="496"/>
        <v>0</v>
      </c>
      <c r="BD273" s="270">
        <f t="shared" si="497"/>
        <v>0</v>
      </c>
      <c r="BE273" s="270">
        <f t="shared" si="498"/>
        <v>1</v>
      </c>
      <c r="BF273" s="270" t="str">
        <f t="shared" si="499"/>
        <v>ALIVE</v>
      </c>
      <c r="BG273" s="250" t="str">
        <f t="shared" si="500"/>
        <v>Aucune</v>
      </c>
      <c r="BH273" s="250" t="str">
        <f t="shared" si="501"/>
        <v>Aucune</v>
      </c>
      <c r="BI273" s="250" t="str">
        <f t="shared" si="502"/>
        <v>Aucune</v>
      </c>
      <c r="BJ273" s="250" t="str">
        <f t="shared" si="503"/>
        <v>NON</v>
      </c>
      <c r="BK273" s="250" t="str">
        <f t="shared" si="504"/>
        <v>NON</v>
      </c>
      <c r="BL273" s="250" t="str">
        <f t="shared" si="505"/>
        <v>Inconnu</v>
      </c>
      <c r="BM273" s="250" t="str">
        <f t="shared" si="506"/>
        <v>Inconnu</v>
      </c>
      <c r="BN273" s="250" t="str">
        <f t="shared" si="507"/>
        <v>Inconnu</v>
      </c>
      <c r="BO273" s="250" t="str">
        <f t="shared" si="508"/>
        <v>Inconnu</v>
      </c>
      <c r="BP273" s="250" t="str">
        <f t="shared" si="509"/>
        <v>Inconnu</v>
      </c>
      <c r="BQ273" s="250" t="str">
        <f t="shared" si="510"/>
        <v>Inconnu</v>
      </c>
      <c r="BR273" s="250" t="str">
        <f t="shared" si="511"/>
        <v>Aucune</v>
      </c>
      <c r="BS273" s="250">
        <f t="shared" si="512"/>
        <v>0</v>
      </c>
      <c r="BT273" s="271" t="e">
        <f>VLOOKUP($I273,Lieu_Activité!$A:$B,2,FALSE)</f>
        <v>#N/A</v>
      </c>
      <c r="BU273" s="250" t="str">
        <f t="shared" si="513"/>
        <v>Aucun</v>
      </c>
      <c r="BV273" s="250" t="str">
        <f t="shared" si="514"/>
        <v>Aucun</v>
      </c>
      <c r="BW273" s="249" t="str">
        <f t="shared" si="515"/>
        <v>NON</v>
      </c>
      <c r="BX273" s="330"/>
    </row>
    <row r="274" spans="1:170" ht="12" customHeight="1" x14ac:dyDescent="0.2">
      <c r="A274" s="268" t="s">
        <v>258</v>
      </c>
      <c r="B274" s="276"/>
      <c r="C274" s="269"/>
      <c r="D274" s="299"/>
      <c r="E274" s="320">
        <f t="shared" si="493"/>
        <v>0</v>
      </c>
      <c r="F274" s="320" t="str">
        <f t="shared" si="226"/>
        <v xml:space="preserve"> </v>
      </c>
      <c r="G274" s="298"/>
      <c r="H274" s="298"/>
      <c r="I274" s="298"/>
      <c r="J274" s="298"/>
      <c r="K274" s="298"/>
      <c r="L274" s="299"/>
      <c r="M274" s="311"/>
      <c r="N274" s="274"/>
      <c r="O274" s="274"/>
      <c r="P274" s="307" t="str">
        <f>IFERROR(VLOOKUP(O274,Références!$K$11:$N$19,2)," ")</f>
        <v xml:space="preserve"> </v>
      </c>
      <c r="Q274" s="307" t="str">
        <f>IFERROR(VLOOKUP(O274,Références!$K$11:$N$19,3)," ")</f>
        <v xml:space="preserve"> </v>
      </c>
      <c r="R274" s="307" t="str">
        <f>IFERROR(VLOOKUP(O274,Références!$K$11:$N$19,4)," ")</f>
        <v xml:space="preserve"> </v>
      </c>
      <c r="S274" s="298"/>
      <c r="T274" s="298"/>
      <c r="U274" s="298"/>
      <c r="V274" s="298"/>
      <c r="W274" s="298"/>
      <c r="X274" s="299"/>
      <c r="Y274" s="298"/>
      <c r="Z274" s="298"/>
      <c r="AA274" s="298"/>
      <c r="AB274" s="277"/>
      <c r="AC274" s="277"/>
      <c r="AD274" s="277"/>
      <c r="AE274" s="277"/>
      <c r="AF274" s="277"/>
      <c r="AG274" s="277"/>
      <c r="AH274" s="277"/>
      <c r="AI274" s="277">
        <f t="shared" si="516"/>
        <v>0</v>
      </c>
      <c r="AJ274" s="299"/>
      <c r="AK274" s="298">
        <f t="shared" si="494"/>
        <v>0</v>
      </c>
      <c r="AL274" s="299"/>
      <c r="AM274" s="308">
        <f t="shared" si="495"/>
        <v>0</v>
      </c>
      <c r="AN274" s="298"/>
      <c r="AO274" s="318"/>
      <c r="AP274" s="303" t="str">
        <f t="shared" si="542"/>
        <v xml:space="preserve"> </v>
      </c>
      <c r="AQ274" s="298"/>
      <c r="AR274" s="337"/>
      <c r="AS274" s="337"/>
      <c r="AT274" s="305"/>
      <c r="AU274" s="319"/>
      <c r="AV274" s="305"/>
      <c r="AW274" s="272"/>
      <c r="AX274" s="342"/>
      <c r="AY274" s="343"/>
      <c r="AZ274" s="342"/>
      <c r="BA274" s="342"/>
      <c r="BB274" s="337"/>
      <c r="BC274" s="270">
        <f t="shared" si="496"/>
        <v>0</v>
      </c>
      <c r="BD274" s="270">
        <f t="shared" si="497"/>
        <v>0</v>
      </c>
      <c r="BE274" s="270">
        <f t="shared" si="498"/>
        <v>1</v>
      </c>
      <c r="BF274" s="270" t="str">
        <f t="shared" si="499"/>
        <v>ALIVE</v>
      </c>
      <c r="BG274" s="250" t="str">
        <f t="shared" si="500"/>
        <v>Aucune</v>
      </c>
      <c r="BH274" s="250" t="str">
        <f t="shared" si="501"/>
        <v>Aucune</v>
      </c>
      <c r="BI274" s="250" t="str">
        <f t="shared" si="502"/>
        <v>Aucune</v>
      </c>
      <c r="BJ274" s="250" t="str">
        <f t="shared" si="503"/>
        <v>NON</v>
      </c>
      <c r="BK274" s="250" t="str">
        <f t="shared" si="504"/>
        <v>NON</v>
      </c>
      <c r="BL274" s="250" t="str">
        <f t="shared" si="505"/>
        <v>Inconnu</v>
      </c>
      <c r="BM274" s="250" t="str">
        <f t="shared" si="506"/>
        <v>Inconnu</v>
      </c>
      <c r="BN274" s="250" t="str">
        <f t="shared" si="507"/>
        <v>Inconnu</v>
      </c>
      <c r="BO274" s="250" t="str">
        <f t="shared" si="508"/>
        <v>Inconnu</v>
      </c>
      <c r="BP274" s="250" t="str">
        <f t="shared" si="509"/>
        <v>Inconnu</v>
      </c>
      <c r="BQ274" s="250" t="str">
        <f t="shared" si="510"/>
        <v>Inconnu</v>
      </c>
      <c r="BR274" s="250" t="str">
        <f t="shared" si="511"/>
        <v>Aucune</v>
      </c>
      <c r="BS274" s="250">
        <f t="shared" si="512"/>
        <v>0</v>
      </c>
      <c r="BT274" s="271" t="e">
        <f>VLOOKUP($I274,Lieu_Activité!$A:$B,2,FALSE)</f>
        <v>#N/A</v>
      </c>
      <c r="BU274" s="250" t="str">
        <f t="shared" si="513"/>
        <v>Aucun</v>
      </c>
      <c r="BV274" s="250" t="str">
        <f t="shared" si="514"/>
        <v>Aucun</v>
      </c>
      <c r="BW274" s="249" t="str">
        <f t="shared" si="515"/>
        <v>NON</v>
      </c>
      <c r="BX274" s="330"/>
    </row>
    <row r="275" spans="1:170" s="1" customFormat="1" ht="12.75" customHeight="1" x14ac:dyDescent="0.2">
      <c r="A275" s="268" t="s">
        <v>258</v>
      </c>
      <c r="B275" s="276"/>
      <c r="C275" s="269"/>
      <c r="D275" s="299"/>
      <c r="E275" s="320">
        <f t="shared" si="493"/>
        <v>0</v>
      </c>
      <c r="F275" s="320" t="str">
        <f t="shared" si="226"/>
        <v xml:space="preserve"> </v>
      </c>
      <c r="G275" s="298"/>
      <c r="H275" s="298"/>
      <c r="I275" s="298"/>
      <c r="J275" s="298"/>
      <c r="K275" s="298"/>
      <c r="L275" s="299"/>
      <c r="M275" s="311"/>
      <c r="N275" s="274"/>
      <c r="O275" s="274"/>
      <c r="P275" s="307" t="str">
        <f>IFERROR(VLOOKUP(O275,Références!$K$11:$N$19,2)," ")</f>
        <v xml:space="preserve"> </v>
      </c>
      <c r="Q275" s="307" t="str">
        <f>IFERROR(VLOOKUP(O275,Références!$K$11:$N$19,3)," ")</f>
        <v xml:space="preserve"> </v>
      </c>
      <c r="R275" s="307" t="str">
        <f>IFERROR(VLOOKUP(O275,Références!$K$11:$N$19,4)," ")</f>
        <v xml:space="preserve"> </v>
      </c>
      <c r="S275" s="298"/>
      <c r="T275" s="298"/>
      <c r="U275" s="307"/>
      <c r="V275" s="307"/>
      <c r="W275" s="307"/>
      <c r="X275" s="299"/>
      <c r="Y275" s="298"/>
      <c r="Z275" s="298"/>
      <c r="AA275" s="298"/>
      <c r="AB275" s="277"/>
      <c r="AC275" s="277"/>
      <c r="AD275" s="277"/>
      <c r="AE275" s="277"/>
      <c r="AF275" s="277"/>
      <c r="AG275" s="277"/>
      <c r="AH275" s="277"/>
      <c r="AI275" s="277">
        <f t="shared" si="516"/>
        <v>0</v>
      </c>
      <c r="AJ275" s="299"/>
      <c r="AK275" s="298">
        <f t="shared" si="494"/>
        <v>0</v>
      </c>
      <c r="AL275" s="299"/>
      <c r="AM275" s="308">
        <f t="shared" si="495"/>
        <v>0</v>
      </c>
      <c r="AN275" s="298"/>
      <c r="AO275" s="318"/>
      <c r="AP275" s="303" t="str">
        <f t="shared" si="542"/>
        <v xml:space="preserve"> </v>
      </c>
      <c r="AQ275" s="298"/>
      <c r="AR275" s="337"/>
      <c r="AS275" s="337"/>
      <c r="AT275" s="305"/>
      <c r="AU275" s="319"/>
      <c r="AV275" s="305"/>
      <c r="AW275" s="272"/>
      <c r="AX275" s="342"/>
      <c r="AY275" s="343"/>
      <c r="AZ275" s="272"/>
      <c r="BA275" s="342"/>
      <c r="BB275" s="337"/>
      <c r="BC275" s="270">
        <f t="shared" si="496"/>
        <v>0</v>
      </c>
      <c r="BD275" s="270">
        <f t="shared" si="497"/>
        <v>0</v>
      </c>
      <c r="BE275" s="270">
        <f t="shared" si="498"/>
        <v>1</v>
      </c>
      <c r="BF275" s="270" t="str">
        <f t="shared" si="499"/>
        <v>ALIVE</v>
      </c>
      <c r="BG275" s="250" t="str">
        <f t="shared" si="500"/>
        <v>Aucune</v>
      </c>
      <c r="BH275" s="250" t="str">
        <f t="shared" si="501"/>
        <v>Aucune</v>
      </c>
      <c r="BI275" s="250" t="str">
        <f t="shared" si="502"/>
        <v>Aucune</v>
      </c>
      <c r="BJ275" s="250" t="str">
        <f t="shared" si="503"/>
        <v>NON</v>
      </c>
      <c r="BK275" s="250" t="str">
        <f t="shared" si="504"/>
        <v>NON</v>
      </c>
      <c r="BL275" s="250" t="str">
        <f t="shared" si="505"/>
        <v>Inconnu</v>
      </c>
      <c r="BM275" s="250" t="str">
        <f t="shared" si="506"/>
        <v>Inconnu</v>
      </c>
      <c r="BN275" s="250" t="str">
        <f t="shared" si="507"/>
        <v>Inconnu</v>
      </c>
      <c r="BO275" s="250" t="str">
        <f t="shared" si="508"/>
        <v>Inconnu</v>
      </c>
      <c r="BP275" s="250" t="str">
        <f t="shared" si="509"/>
        <v>Inconnu</v>
      </c>
      <c r="BQ275" s="250" t="str">
        <f t="shared" si="510"/>
        <v>Inconnu</v>
      </c>
      <c r="BR275" s="250" t="str">
        <f t="shared" si="511"/>
        <v>Aucune</v>
      </c>
      <c r="BS275" s="250">
        <f t="shared" si="512"/>
        <v>0</v>
      </c>
      <c r="BT275" s="271" t="e">
        <f>VLOOKUP($I275,Lieu_Activité!$A:$B,2,FALSE)</f>
        <v>#N/A</v>
      </c>
      <c r="BU275" s="250" t="str">
        <f t="shared" si="513"/>
        <v>Aucun</v>
      </c>
      <c r="BV275" s="250" t="str">
        <f t="shared" si="514"/>
        <v>Aucun</v>
      </c>
      <c r="BW275" s="249" t="str">
        <f t="shared" si="515"/>
        <v>NON</v>
      </c>
      <c r="BX275" s="330"/>
      <c r="BY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</row>
    <row r="276" spans="1:170" ht="12" customHeight="1" x14ac:dyDescent="0.2">
      <c r="A276" s="268" t="s">
        <v>258</v>
      </c>
      <c r="B276" s="309"/>
      <c r="C276" s="269"/>
      <c r="D276" s="299"/>
      <c r="E276" s="320">
        <f t="shared" si="493"/>
        <v>0</v>
      </c>
      <c r="F276" s="320" t="str">
        <f t="shared" si="226"/>
        <v xml:space="preserve"> </v>
      </c>
      <c r="G276" s="298"/>
      <c r="H276" s="298"/>
      <c r="I276" s="298"/>
      <c r="J276" s="298"/>
      <c r="K276" s="298"/>
      <c r="L276" s="299"/>
      <c r="M276" s="285"/>
      <c r="N276" s="274"/>
      <c r="O276" s="307"/>
      <c r="P276" s="307" t="str">
        <f>IFERROR(VLOOKUP(O276,Références!$K$11:$N$19,2)," ")</f>
        <v xml:space="preserve"> </v>
      </c>
      <c r="Q276" s="307" t="str">
        <f>IFERROR(VLOOKUP(O276,Références!$K$11:$N$19,3)," ")</f>
        <v xml:space="preserve"> </v>
      </c>
      <c r="R276" s="307" t="str">
        <f>IFERROR(VLOOKUP(O276,Références!$K$11:$N$19,4)," ")</f>
        <v xml:space="preserve"> </v>
      </c>
      <c r="S276" s="298"/>
      <c r="T276" s="298"/>
      <c r="U276" s="298"/>
      <c r="V276" s="298"/>
      <c r="W276" s="298"/>
      <c r="X276" s="299"/>
      <c r="Y276" s="298"/>
      <c r="Z276" s="298"/>
      <c r="AA276" s="298"/>
      <c r="AB276" s="277"/>
      <c r="AC276" s="277"/>
      <c r="AD276" s="277"/>
      <c r="AE276" s="277"/>
      <c r="AF276" s="277"/>
      <c r="AG276" s="277"/>
      <c r="AH276" s="277"/>
      <c r="AI276" s="277">
        <f t="shared" si="516"/>
        <v>0</v>
      </c>
      <c r="AJ276" s="299"/>
      <c r="AK276" s="298">
        <f t="shared" si="494"/>
        <v>0</v>
      </c>
      <c r="AL276" s="299"/>
      <c r="AM276" s="308">
        <f t="shared" si="495"/>
        <v>0</v>
      </c>
      <c r="AN276" s="298"/>
      <c r="AO276" s="318"/>
      <c r="AP276" s="303" t="str">
        <f t="shared" si="542"/>
        <v xml:space="preserve"> </v>
      </c>
      <c r="AQ276" s="298"/>
      <c r="AR276" s="337"/>
      <c r="AS276" s="337"/>
      <c r="AT276" s="305"/>
      <c r="AU276" s="319"/>
      <c r="AV276" s="305"/>
      <c r="AW276" s="272"/>
      <c r="AX276" s="342"/>
      <c r="AY276" s="343"/>
      <c r="AZ276" s="272"/>
      <c r="BA276" s="342"/>
      <c r="BB276" s="337"/>
      <c r="BC276" s="270">
        <f t="shared" si="496"/>
        <v>0</v>
      </c>
      <c r="BD276" s="270">
        <f t="shared" si="497"/>
        <v>0</v>
      </c>
      <c r="BE276" s="270">
        <f t="shared" si="498"/>
        <v>1</v>
      </c>
      <c r="BF276" s="270" t="str">
        <f t="shared" si="499"/>
        <v>ALIVE</v>
      </c>
      <c r="BG276" s="250" t="str">
        <f t="shared" si="500"/>
        <v>Aucune</v>
      </c>
      <c r="BH276" s="250" t="str">
        <f t="shared" si="501"/>
        <v>Aucune</v>
      </c>
      <c r="BI276" s="250" t="str">
        <f t="shared" si="502"/>
        <v>Aucune</v>
      </c>
      <c r="BJ276" s="250" t="str">
        <f t="shared" si="503"/>
        <v>NON</v>
      </c>
      <c r="BK276" s="250" t="str">
        <f t="shared" si="504"/>
        <v>NON</v>
      </c>
      <c r="BL276" s="250" t="str">
        <f t="shared" si="505"/>
        <v>Inconnu</v>
      </c>
      <c r="BM276" s="250" t="str">
        <f t="shared" si="506"/>
        <v>Inconnu</v>
      </c>
      <c r="BN276" s="250" t="str">
        <f t="shared" si="507"/>
        <v>Inconnu</v>
      </c>
      <c r="BO276" s="250" t="str">
        <f t="shared" si="508"/>
        <v>Inconnu</v>
      </c>
      <c r="BP276" s="250" t="str">
        <f t="shared" si="509"/>
        <v>Inconnu</v>
      </c>
      <c r="BQ276" s="250" t="str">
        <f t="shared" si="510"/>
        <v>Inconnu</v>
      </c>
      <c r="BR276" s="250" t="str">
        <f t="shared" si="511"/>
        <v>Aucune</v>
      </c>
      <c r="BS276" s="250">
        <f t="shared" si="512"/>
        <v>0</v>
      </c>
      <c r="BT276" s="271" t="e">
        <f>VLOOKUP($I276,Lieu_Activité!$A:$B,2,FALSE)</f>
        <v>#N/A</v>
      </c>
      <c r="BU276" s="250" t="str">
        <f t="shared" si="513"/>
        <v>Aucun</v>
      </c>
      <c r="BV276" s="250" t="str">
        <f t="shared" si="514"/>
        <v>Aucun</v>
      </c>
      <c r="BW276" s="249" t="str">
        <f t="shared" si="515"/>
        <v>NON</v>
      </c>
      <c r="BX276" s="330"/>
    </row>
    <row r="277" spans="1:170" ht="12" customHeight="1" x14ac:dyDescent="0.2">
      <c r="A277" s="268" t="s">
        <v>258</v>
      </c>
      <c r="B277" s="276"/>
      <c r="C277" s="269"/>
      <c r="D277" s="299"/>
      <c r="E277" s="320">
        <f t="shared" ref="E277:E279" si="543">(L277-D277)/365</f>
        <v>0</v>
      </c>
      <c r="F277" s="320" t="str">
        <f t="shared" ref="F277:F279" si="544">IF(E277&lt;80," ","1")</f>
        <v xml:space="preserve"> </v>
      </c>
      <c r="G277" s="298"/>
      <c r="H277" s="298"/>
      <c r="I277" s="298"/>
      <c r="J277" s="298"/>
      <c r="K277" s="298"/>
      <c r="L277" s="299"/>
      <c r="M277" s="285"/>
      <c r="N277" s="274"/>
      <c r="O277" s="274"/>
      <c r="P277" s="307" t="str">
        <f>IFERROR(VLOOKUP(O277,Références!$K$11:$N$19,2)," ")</f>
        <v xml:space="preserve"> </v>
      </c>
      <c r="Q277" s="307" t="str">
        <f>IFERROR(VLOOKUP(O277,Références!$K$11:$N$19,3)," ")</f>
        <v xml:space="preserve"> </v>
      </c>
      <c r="R277" s="307" t="str">
        <f>IFERROR(VLOOKUP(O277,Références!$K$11:$N$19,4)," ")</f>
        <v xml:space="preserve"> </v>
      </c>
      <c r="S277" s="298"/>
      <c r="T277" s="298"/>
      <c r="U277" s="298"/>
      <c r="V277" s="298"/>
      <c r="W277" s="298"/>
      <c r="X277" s="299"/>
      <c r="Y277" s="298"/>
      <c r="Z277" s="298"/>
      <c r="AA277" s="298"/>
      <c r="AB277" s="277"/>
      <c r="AC277" s="277"/>
      <c r="AD277" s="277"/>
      <c r="AE277" s="277"/>
      <c r="AF277" s="277"/>
      <c r="AG277" s="277"/>
      <c r="AH277" s="277"/>
      <c r="AI277" s="277">
        <f t="shared" ref="AI277:AI279" si="545">SUM(AF277,AH277)</f>
        <v>0</v>
      </c>
      <c r="AJ277" s="299"/>
      <c r="AK277" s="298">
        <f t="shared" ref="AK277:AK279" si="546">(AJ277-L277)</f>
        <v>0</v>
      </c>
      <c r="AL277" s="299"/>
      <c r="AM277" s="308">
        <f t="shared" ref="AM277:AM279" si="547">(AL277-L277)</f>
        <v>0</v>
      </c>
      <c r="AN277" s="298"/>
      <c r="AO277" s="318"/>
      <c r="AP277" s="303" t="str">
        <f t="shared" ref="AP277:AP279" si="548">IF(AO277=1,"ELECTIVE",IF(AO277=2,"URGENCY",IF(AO277=3,"EMERGENCY",IF(AO277=4,"SALVAGE"," "))))</f>
        <v xml:space="preserve"> </v>
      </c>
      <c r="AQ277" s="298"/>
      <c r="AR277" s="337"/>
      <c r="AS277" s="337"/>
      <c r="AT277" s="305"/>
      <c r="AU277" s="319"/>
      <c r="AV277" s="305"/>
      <c r="AW277" s="272"/>
      <c r="AX277" s="342"/>
      <c r="AY277" s="343"/>
      <c r="AZ277" s="272"/>
      <c r="BA277" s="342"/>
      <c r="BB277" s="337"/>
      <c r="BC277" s="270">
        <f t="shared" ref="BC277:BC279" si="549">IF(BG277="Aucune",0,1)</f>
        <v>0</v>
      </c>
      <c r="BD277" s="270">
        <f t="shared" ref="BD277:BD279" si="550">IF(BH277="Aucune",0,1)</f>
        <v>0</v>
      </c>
      <c r="BE277" s="270">
        <f t="shared" ref="BE277:BE279" si="551">IF(AG277="Aucune",0,1)</f>
        <v>1</v>
      </c>
      <c r="BF277" s="270" t="str">
        <f t="shared" ref="BF277:BF279" si="552">IF(AO277=1,"ELECTIVE",IF(AO277=2,"URGENCY",IF(AO277=3,"EMERGENCY",IF(AO277=4,"SALVAGE","ALIVE"))))</f>
        <v>ALIVE</v>
      </c>
      <c r="BG277" s="250" t="str">
        <f t="shared" ref="BG277:BG279" si="553">IF(AD277="","Aucune","Infection")</f>
        <v>Aucune</v>
      </c>
      <c r="BH277" s="250" t="str">
        <f t="shared" ref="BH277:BH279" si="554">IF(AI277&gt;0,"Transfusion","Aucune")</f>
        <v>Aucune</v>
      </c>
      <c r="BI277" s="250" t="str">
        <f t="shared" ref="BI277:BI279" si="555">IF(AG277="","Aucune","Transfusé")</f>
        <v>Aucune</v>
      </c>
      <c r="BJ277" s="250" t="str">
        <f t="shared" ref="BJ277:BJ279" si="556">IF(X277&lt;&gt;"",IF(X277-L277&lt;2,"OUI","NON"),"NON")</f>
        <v>NON</v>
      </c>
      <c r="BK277" s="250" t="str">
        <f t="shared" ref="BK277:BK279" si="557">IF(AS277="","NON","OUI")</f>
        <v>NON</v>
      </c>
      <c r="BL277" s="250" t="str">
        <f t="shared" ref="BL277:BL279" si="558">IF(AL277-L277&gt;0,AL277-L277,"Inconnu")</f>
        <v>Inconnu</v>
      </c>
      <c r="BM277" s="250" t="str">
        <f t="shared" ref="BM277:BM279" si="559">IF($O277&lt;&gt;"HTX",IF($O277&lt;&gt;"LVAD",BL277,"Inconnu"),"Inconnu")</f>
        <v>Inconnu</v>
      </c>
      <c r="BN277" s="250" t="str">
        <f t="shared" ref="BN277:BN279" si="560">IF($O277="HTX",BL277,IF($O277="LVAD",BL277,"Inconnu"))</f>
        <v>Inconnu</v>
      </c>
      <c r="BO277" s="250" t="str">
        <f t="shared" ref="BO277:BO279" si="561">IF(AJ277-L277&gt;0,AJ277-L277,"Inconnu")</f>
        <v>Inconnu</v>
      </c>
      <c r="BP277" s="250" t="str">
        <f t="shared" ref="BP277:BP279" si="562">IF($O277&lt;&gt;"HTX",IF($O277&lt;&gt;"LVAD",BO277,"Inconnu"),"Inconnu")</f>
        <v>Inconnu</v>
      </c>
      <c r="BQ277" s="250" t="str">
        <f t="shared" ref="BQ277:BQ279" si="563">IF($O277="HTX",BO277,IF($O277="LVAD",BO277,"Inconnu"))</f>
        <v>Inconnu</v>
      </c>
      <c r="BR277" s="250" t="str">
        <f t="shared" ref="BR277:BR279" si="564">IF(BH277="Aucune",IF(BI277="Aucune","Aucune","Transfusé"),"Transfusé")</f>
        <v>Aucune</v>
      </c>
      <c r="BS277" s="250">
        <f t="shared" ref="BS277:BS279" si="565">AF277+AH277</f>
        <v>0</v>
      </c>
      <c r="BT277" s="271" t="e">
        <f>VLOOKUP($I277,Lieu_Activité!$A:$B,2,FALSE)</f>
        <v>#N/A</v>
      </c>
      <c r="BU277" s="250" t="str">
        <f t="shared" ref="BU277:BU279" si="566">IF(AB277="","Aucun","AVC")</f>
        <v>Aucun</v>
      </c>
      <c r="BV277" s="250" t="str">
        <f t="shared" ref="BV277:BV279" si="567">IF(AC277="","Aucun","IM")</f>
        <v>Aucun</v>
      </c>
      <c r="BW277" s="249" t="str">
        <f t="shared" ref="BW277:BW279" si="568">IF(M277="","NON","OUI")</f>
        <v>NON</v>
      </c>
      <c r="BX277" s="330"/>
    </row>
    <row r="278" spans="1:170" ht="12.75" customHeight="1" x14ac:dyDescent="0.2">
      <c r="A278" s="268" t="s">
        <v>258</v>
      </c>
      <c r="B278" s="276"/>
      <c r="C278" s="269"/>
      <c r="D278" s="299"/>
      <c r="E278" s="320">
        <f t="shared" si="543"/>
        <v>0</v>
      </c>
      <c r="F278" s="320" t="str">
        <f t="shared" si="544"/>
        <v xml:space="preserve"> </v>
      </c>
      <c r="G278" s="298"/>
      <c r="H278" s="298"/>
      <c r="I278" s="298"/>
      <c r="J278" s="298"/>
      <c r="K278" s="298"/>
      <c r="L278" s="299"/>
      <c r="M278" s="285"/>
      <c r="N278" s="274"/>
      <c r="O278" s="274"/>
      <c r="P278" s="307" t="str">
        <f>IFERROR(VLOOKUP(O278,Références!$K$11:$N$19,2)," ")</f>
        <v xml:space="preserve"> </v>
      </c>
      <c r="Q278" s="307" t="str">
        <f>IFERROR(VLOOKUP(O278,Références!$K$11:$N$19,3)," ")</f>
        <v xml:space="preserve"> </v>
      </c>
      <c r="R278" s="307" t="str">
        <f>IFERROR(VLOOKUP(O278,Références!$K$11:$N$19,4)," ")</f>
        <v xml:space="preserve"> </v>
      </c>
      <c r="S278" s="298"/>
      <c r="T278" s="298"/>
      <c r="U278" s="298"/>
      <c r="V278" s="298"/>
      <c r="W278" s="298"/>
      <c r="X278" s="299"/>
      <c r="Y278" s="298"/>
      <c r="Z278" s="298"/>
      <c r="AA278" s="298"/>
      <c r="AB278" s="277"/>
      <c r="AC278" s="277"/>
      <c r="AD278" s="277"/>
      <c r="AE278" s="277"/>
      <c r="AF278" s="277"/>
      <c r="AG278" s="277"/>
      <c r="AH278" s="277"/>
      <c r="AI278" s="277">
        <f t="shared" si="545"/>
        <v>0</v>
      </c>
      <c r="AJ278" s="299"/>
      <c r="AK278" s="298">
        <f t="shared" si="546"/>
        <v>0</v>
      </c>
      <c r="AL278" s="299"/>
      <c r="AM278" s="308">
        <f t="shared" si="547"/>
        <v>0</v>
      </c>
      <c r="AN278" s="298"/>
      <c r="AO278" s="318"/>
      <c r="AP278" s="303" t="str">
        <f t="shared" si="548"/>
        <v xml:space="preserve"> </v>
      </c>
      <c r="AQ278" s="298"/>
      <c r="AR278" s="337"/>
      <c r="AS278" s="337"/>
      <c r="AT278" s="305"/>
      <c r="AU278" s="319"/>
      <c r="AV278" s="305"/>
      <c r="AW278" s="272"/>
      <c r="AX278" s="342"/>
      <c r="AY278" s="343"/>
      <c r="AZ278" s="342"/>
      <c r="BA278" s="342"/>
      <c r="BB278" s="337"/>
      <c r="BC278" s="270">
        <f t="shared" si="549"/>
        <v>0</v>
      </c>
      <c r="BD278" s="270">
        <f t="shared" si="550"/>
        <v>0</v>
      </c>
      <c r="BE278" s="270">
        <f t="shared" si="551"/>
        <v>1</v>
      </c>
      <c r="BF278" s="270" t="str">
        <f t="shared" si="552"/>
        <v>ALIVE</v>
      </c>
      <c r="BG278" s="250" t="str">
        <f t="shared" si="553"/>
        <v>Aucune</v>
      </c>
      <c r="BH278" s="250" t="str">
        <f t="shared" si="554"/>
        <v>Aucune</v>
      </c>
      <c r="BI278" s="250" t="str">
        <f t="shared" si="555"/>
        <v>Aucune</v>
      </c>
      <c r="BJ278" s="250" t="str">
        <f t="shared" si="556"/>
        <v>NON</v>
      </c>
      <c r="BK278" s="250" t="str">
        <f t="shared" si="557"/>
        <v>NON</v>
      </c>
      <c r="BL278" s="250" t="str">
        <f t="shared" si="558"/>
        <v>Inconnu</v>
      </c>
      <c r="BM278" s="250" t="str">
        <f t="shared" si="559"/>
        <v>Inconnu</v>
      </c>
      <c r="BN278" s="250" t="str">
        <f t="shared" si="560"/>
        <v>Inconnu</v>
      </c>
      <c r="BO278" s="250" t="str">
        <f t="shared" si="561"/>
        <v>Inconnu</v>
      </c>
      <c r="BP278" s="250" t="str">
        <f t="shared" si="562"/>
        <v>Inconnu</v>
      </c>
      <c r="BQ278" s="250" t="str">
        <f t="shared" si="563"/>
        <v>Inconnu</v>
      </c>
      <c r="BR278" s="250" t="str">
        <f t="shared" si="564"/>
        <v>Aucune</v>
      </c>
      <c r="BS278" s="250">
        <f t="shared" si="565"/>
        <v>0</v>
      </c>
      <c r="BT278" s="271" t="e">
        <f>VLOOKUP($I278,Lieu_Activité!$A:$B,2,FALSE)</f>
        <v>#N/A</v>
      </c>
      <c r="BU278" s="250" t="str">
        <f t="shared" si="566"/>
        <v>Aucun</v>
      </c>
      <c r="BV278" s="250" t="str">
        <f t="shared" si="567"/>
        <v>Aucun</v>
      </c>
      <c r="BW278" s="249" t="str">
        <f t="shared" si="568"/>
        <v>NON</v>
      </c>
      <c r="BX278" s="330"/>
    </row>
    <row r="279" spans="1:170" ht="12.75" customHeight="1" x14ac:dyDescent="0.2">
      <c r="A279" s="268" t="s">
        <v>258</v>
      </c>
      <c r="B279" s="276"/>
      <c r="C279" s="269"/>
      <c r="D279" s="299"/>
      <c r="E279" s="320">
        <f t="shared" si="543"/>
        <v>0</v>
      </c>
      <c r="F279" s="320" t="str">
        <f t="shared" si="544"/>
        <v xml:space="preserve"> </v>
      </c>
      <c r="G279" s="298"/>
      <c r="H279" s="298"/>
      <c r="I279" s="298"/>
      <c r="J279" s="298"/>
      <c r="K279" s="298"/>
      <c r="L279" s="299"/>
      <c r="M279" s="285"/>
      <c r="N279" s="274"/>
      <c r="O279" s="274"/>
      <c r="P279" s="307" t="str">
        <f>IFERROR(VLOOKUP(O279,Références!$K$11:$N$19,2)," ")</f>
        <v xml:space="preserve"> </v>
      </c>
      <c r="Q279" s="307" t="str">
        <f>IFERROR(VLOOKUP(O279,Références!$K$11:$N$19,3)," ")</f>
        <v xml:space="preserve"> </v>
      </c>
      <c r="R279" s="307" t="str">
        <f>IFERROR(VLOOKUP(O279,Références!$K$11:$N$19,4)," ")</f>
        <v xml:space="preserve"> </v>
      </c>
      <c r="S279" s="298"/>
      <c r="T279" s="298"/>
      <c r="U279" s="298"/>
      <c r="V279" s="298"/>
      <c r="W279" s="298"/>
      <c r="X279" s="299"/>
      <c r="Y279" s="298"/>
      <c r="Z279" s="298"/>
      <c r="AA279" s="298"/>
      <c r="AB279" s="277"/>
      <c r="AC279" s="277"/>
      <c r="AD279" s="277"/>
      <c r="AE279" s="277"/>
      <c r="AF279" s="277"/>
      <c r="AG279" s="277"/>
      <c r="AH279" s="277"/>
      <c r="AI279" s="277">
        <f t="shared" si="545"/>
        <v>0</v>
      </c>
      <c r="AJ279" s="299"/>
      <c r="AK279" s="298">
        <f t="shared" si="546"/>
        <v>0</v>
      </c>
      <c r="AL279" s="299"/>
      <c r="AM279" s="308">
        <f t="shared" si="547"/>
        <v>0</v>
      </c>
      <c r="AN279" s="298"/>
      <c r="AO279" s="318"/>
      <c r="AP279" s="303" t="str">
        <f t="shared" si="548"/>
        <v xml:space="preserve"> </v>
      </c>
      <c r="AQ279" s="298"/>
      <c r="AR279" s="337"/>
      <c r="AS279" s="337"/>
      <c r="AT279" s="305"/>
      <c r="AU279" s="319"/>
      <c r="AV279" s="305"/>
      <c r="AW279" s="272"/>
      <c r="AX279" s="342"/>
      <c r="AY279" s="343"/>
      <c r="AZ279" s="272"/>
      <c r="BA279" s="342"/>
      <c r="BB279" s="337"/>
      <c r="BC279" s="270">
        <f t="shared" si="549"/>
        <v>0</v>
      </c>
      <c r="BD279" s="270">
        <f t="shared" si="550"/>
        <v>0</v>
      </c>
      <c r="BE279" s="270">
        <f t="shared" si="551"/>
        <v>1</v>
      </c>
      <c r="BF279" s="270" t="str">
        <f t="shared" si="552"/>
        <v>ALIVE</v>
      </c>
      <c r="BG279" s="250" t="str">
        <f t="shared" si="553"/>
        <v>Aucune</v>
      </c>
      <c r="BH279" s="250" t="str">
        <f t="shared" si="554"/>
        <v>Aucune</v>
      </c>
      <c r="BI279" s="250" t="str">
        <f t="shared" si="555"/>
        <v>Aucune</v>
      </c>
      <c r="BJ279" s="250" t="str">
        <f t="shared" si="556"/>
        <v>NON</v>
      </c>
      <c r="BK279" s="250" t="str">
        <f t="shared" si="557"/>
        <v>NON</v>
      </c>
      <c r="BL279" s="250" t="str">
        <f t="shared" si="558"/>
        <v>Inconnu</v>
      </c>
      <c r="BM279" s="250" t="str">
        <f t="shared" si="559"/>
        <v>Inconnu</v>
      </c>
      <c r="BN279" s="250" t="str">
        <f t="shared" si="560"/>
        <v>Inconnu</v>
      </c>
      <c r="BO279" s="250" t="str">
        <f t="shared" si="561"/>
        <v>Inconnu</v>
      </c>
      <c r="BP279" s="250" t="str">
        <f t="shared" si="562"/>
        <v>Inconnu</v>
      </c>
      <c r="BQ279" s="250" t="str">
        <f t="shared" si="563"/>
        <v>Inconnu</v>
      </c>
      <c r="BR279" s="250" t="str">
        <f t="shared" si="564"/>
        <v>Aucune</v>
      </c>
      <c r="BS279" s="250">
        <f t="shared" si="565"/>
        <v>0</v>
      </c>
      <c r="BT279" s="271" t="e">
        <f>VLOOKUP($I279,Lieu_Activité!$A:$B,2,FALSE)</f>
        <v>#N/A</v>
      </c>
      <c r="BU279" s="250" t="str">
        <f t="shared" si="566"/>
        <v>Aucun</v>
      </c>
      <c r="BV279" s="250" t="str">
        <f t="shared" si="567"/>
        <v>Aucun</v>
      </c>
      <c r="BW279" s="249" t="str">
        <f t="shared" si="568"/>
        <v>NON</v>
      </c>
      <c r="BX279" s="330"/>
    </row>
    <row r="280" spans="1:170" ht="12" customHeight="1" x14ac:dyDescent="0.2">
      <c r="A280" s="268" t="s">
        <v>258</v>
      </c>
      <c r="B280" s="276"/>
      <c r="C280" s="269"/>
      <c r="D280" s="299"/>
      <c r="E280" s="320">
        <f t="shared" si="493"/>
        <v>0</v>
      </c>
      <c r="F280" s="320" t="str">
        <f t="shared" si="226"/>
        <v xml:space="preserve"> </v>
      </c>
      <c r="G280" s="298"/>
      <c r="H280" s="298"/>
      <c r="I280" s="298"/>
      <c r="J280" s="298"/>
      <c r="K280" s="298"/>
      <c r="L280" s="299"/>
      <c r="M280" s="285"/>
      <c r="N280" s="274"/>
      <c r="O280" s="274"/>
      <c r="P280" s="307" t="str">
        <f>IFERROR(VLOOKUP(O280,Références!$K$11:$N$19,2)," ")</f>
        <v xml:space="preserve"> </v>
      </c>
      <c r="Q280" s="307" t="str">
        <f>IFERROR(VLOOKUP(O280,Références!$K$11:$N$19,3)," ")</f>
        <v xml:space="preserve"> </v>
      </c>
      <c r="R280" s="307" t="str">
        <f>IFERROR(VLOOKUP(O280,Références!$K$11:$N$19,4)," ")</f>
        <v xml:space="preserve"> </v>
      </c>
      <c r="S280" s="298"/>
      <c r="T280" s="298"/>
      <c r="U280" s="298"/>
      <c r="V280" s="298"/>
      <c r="W280" s="298"/>
      <c r="X280" s="299"/>
      <c r="Y280" s="298"/>
      <c r="Z280" s="298"/>
      <c r="AA280" s="298"/>
      <c r="AB280" s="277"/>
      <c r="AC280" s="277"/>
      <c r="AD280" s="277"/>
      <c r="AE280" s="277"/>
      <c r="AF280" s="277"/>
      <c r="AG280" s="277"/>
      <c r="AH280" s="277"/>
      <c r="AI280" s="277">
        <f t="shared" si="516"/>
        <v>0</v>
      </c>
      <c r="AJ280" s="299"/>
      <c r="AK280" s="298">
        <f t="shared" si="494"/>
        <v>0</v>
      </c>
      <c r="AL280" s="299"/>
      <c r="AM280" s="308">
        <f t="shared" si="495"/>
        <v>0</v>
      </c>
      <c r="AN280" s="298"/>
      <c r="AO280" s="318"/>
      <c r="AP280" s="303" t="str">
        <f t="shared" si="542"/>
        <v xml:space="preserve"> </v>
      </c>
      <c r="AQ280" s="298"/>
      <c r="AR280" s="337"/>
      <c r="AS280" s="337"/>
      <c r="AT280" s="305"/>
      <c r="AU280" s="319"/>
      <c r="AV280" s="305"/>
      <c r="AW280" s="272"/>
      <c r="AX280" s="342"/>
      <c r="AY280" s="343"/>
      <c r="AZ280" s="272"/>
      <c r="BA280" s="342"/>
      <c r="BB280" s="337"/>
      <c r="BC280" s="270">
        <f t="shared" si="496"/>
        <v>0</v>
      </c>
      <c r="BD280" s="270">
        <f t="shared" si="497"/>
        <v>0</v>
      </c>
      <c r="BE280" s="270">
        <f t="shared" si="498"/>
        <v>1</v>
      </c>
      <c r="BF280" s="270" t="str">
        <f t="shared" si="499"/>
        <v>ALIVE</v>
      </c>
      <c r="BG280" s="250" t="str">
        <f t="shared" si="500"/>
        <v>Aucune</v>
      </c>
      <c r="BH280" s="250" t="str">
        <f t="shared" si="501"/>
        <v>Aucune</v>
      </c>
      <c r="BI280" s="250" t="str">
        <f t="shared" si="502"/>
        <v>Aucune</v>
      </c>
      <c r="BJ280" s="250" t="str">
        <f t="shared" si="503"/>
        <v>NON</v>
      </c>
      <c r="BK280" s="250" t="str">
        <f t="shared" si="504"/>
        <v>NON</v>
      </c>
      <c r="BL280" s="250" t="str">
        <f t="shared" si="505"/>
        <v>Inconnu</v>
      </c>
      <c r="BM280" s="250" t="str">
        <f t="shared" si="506"/>
        <v>Inconnu</v>
      </c>
      <c r="BN280" s="250" t="str">
        <f t="shared" si="507"/>
        <v>Inconnu</v>
      </c>
      <c r="BO280" s="250" t="str">
        <f t="shared" si="508"/>
        <v>Inconnu</v>
      </c>
      <c r="BP280" s="250" t="str">
        <f t="shared" si="509"/>
        <v>Inconnu</v>
      </c>
      <c r="BQ280" s="250" t="str">
        <f t="shared" si="510"/>
        <v>Inconnu</v>
      </c>
      <c r="BR280" s="250" t="str">
        <f t="shared" si="511"/>
        <v>Aucune</v>
      </c>
      <c r="BS280" s="250">
        <f t="shared" si="512"/>
        <v>0</v>
      </c>
      <c r="BT280" s="271" t="e">
        <f>VLOOKUP($I280,Lieu_Activité!$A:$B,2,FALSE)</f>
        <v>#N/A</v>
      </c>
      <c r="BU280" s="250" t="str">
        <f t="shared" si="513"/>
        <v>Aucun</v>
      </c>
      <c r="BV280" s="250" t="str">
        <f t="shared" si="514"/>
        <v>Aucun</v>
      </c>
      <c r="BW280" s="249" t="str">
        <f t="shared" si="515"/>
        <v>NON</v>
      </c>
      <c r="BX280" s="330"/>
    </row>
    <row r="281" spans="1:170" ht="12.75" customHeight="1" x14ac:dyDescent="0.2">
      <c r="A281" s="268" t="s">
        <v>258</v>
      </c>
      <c r="B281" s="276"/>
      <c r="C281" s="269"/>
      <c r="D281" s="299"/>
      <c r="E281" s="320">
        <f t="shared" si="493"/>
        <v>0</v>
      </c>
      <c r="F281" s="320" t="str">
        <f t="shared" si="226"/>
        <v xml:space="preserve"> </v>
      </c>
      <c r="G281" s="298"/>
      <c r="H281" s="298"/>
      <c r="I281" s="298"/>
      <c r="J281" s="298"/>
      <c r="K281" s="298"/>
      <c r="L281" s="299"/>
      <c r="M281" s="285"/>
      <c r="N281" s="274"/>
      <c r="O281" s="274"/>
      <c r="P281" s="307" t="str">
        <f>IFERROR(VLOOKUP(O281,Références!$K$11:$N$19,2)," ")</f>
        <v xml:space="preserve"> </v>
      </c>
      <c r="Q281" s="307" t="str">
        <f>IFERROR(VLOOKUP(O281,Références!$K$11:$N$19,3)," ")</f>
        <v xml:space="preserve"> </v>
      </c>
      <c r="R281" s="307" t="str">
        <f>IFERROR(VLOOKUP(O281,Références!$K$11:$N$19,4)," ")</f>
        <v xml:space="preserve"> </v>
      </c>
      <c r="S281" s="298"/>
      <c r="T281" s="298"/>
      <c r="U281" s="298"/>
      <c r="V281" s="298"/>
      <c r="W281" s="298"/>
      <c r="X281" s="299"/>
      <c r="Y281" s="298"/>
      <c r="Z281" s="298"/>
      <c r="AA281" s="298"/>
      <c r="AB281" s="277"/>
      <c r="AC281" s="277"/>
      <c r="AD281" s="277"/>
      <c r="AE281" s="277"/>
      <c r="AF281" s="277"/>
      <c r="AG281" s="277"/>
      <c r="AH281" s="277"/>
      <c r="AI281" s="277">
        <f t="shared" si="516"/>
        <v>0</v>
      </c>
      <c r="AJ281" s="299"/>
      <c r="AK281" s="298">
        <f t="shared" si="494"/>
        <v>0</v>
      </c>
      <c r="AL281" s="299"/>
      <c r="AM281" s="308">
        <f t="shared" si="495"/>
        <v>0</v>
      </c>
      <c r="AN281" s="298"/>
      <c r="AO281" s="318"/>
      <c r="AP281" s="303" t="str">
        <f t="shared" si="542"/>
        <v xml:space="preserve"> </v>
      </c>
      <c r="AQ281" s="298"/>
      <c r="AR281" s="337"/>
      <c r="AS281" s="337"/>
      <c r="AT281" s="305"/>
      <c r="AU281" s="319"/>
      <c r="AV281" s="305"/>
      <c r="AW281" s="272"/>
      <c r="AX281" s="342"/>
      <c r="AY281" s="343"/>
      <c r="AZ281" s="342"/>
      <c r="BA281" s="342"/>
      <c r="BB281" s="337"/>
      <c r="BC281" s="270">
        <f t="shared" si="496"/>
        <v>0</v>
      </c>
      <c r="BD281" s="270">
        <f t="shared" si="497"/>
        <v>0</v>
      </c>
      <c r="BE281" s="270">
        <f t="shared" si="498"/>
        <v>1</v>
      </c>
      <c r="BF281" s="270" t="str">
        <f t="shared" si="499"/>
        <v>ALIVE</v>
      </c>
      <c r="BG281" s="250" t="str">
        <f t="shared" si="500"/>
        <v>Aucune</v>
      </c>
      <c r="BH281" s="250" t="str">
        <f t="shared" si="501"/>
        <v>Aucune</v>
      </c>
      <c r="BI281" s="250" t="str">
        <f t="shared" si="502"/>
        <v>Aucune</v>
      </c>
      <c r="BJ281" s="250" t="str">
        <f t="shared" si="503"/>
        <v>NON</v>
      </c>
      <c r="BK281" s="250" t="str">
        <f t="shared" si="504"/>
        <v>NON</v>
      </c>
      <c r="BL281" s="250" t="str">
        <f t="shared" si="505"/>
        <v>Inconnu</v>
      </c>
      <c r="BM281" s="250" t="str">
        <f t="shared" si="506"/>
        <v>Inconnu</v>
      </c>
      <c r="BN281" s="250" t="str">
        <f t="shared" si="507"/>
        <v>Inconnu</v>
      </c>
      <c r="BO281" s="250" t="str">
        <f t="shared" si="508"/>
        <v>Inconnu</v>
      </c>
      <c r="BP281" s="250" t="str">
        <f t="shared" si="509"/>
        <v>Inconnu</v>
      </c>
      <c r="BQ281" s="250" t="str">
        <f t="shared" si="510"/>
        <v>Inconnu</v>
      </c>
      <c r="BR281" s="250" t="str">
        <f t="shared" si="511"/>
        <v>Aucune</v>
      </c>
      <c r="BS281" s="250">
        <f t="shared" si="512"/>
        <v>0</v>
      </c>
      <c r="BT281" s="271" t="e">
        <f>VLOOKUP($I281,Lieu_Activité!$A:$B,2,FALSE)</f>
        <v>#N/A</v>
      </c>
      <c r="BU281" s="250" t="str">
        <f t="shared" si="513"/>
        <v>Aucun</v>
      </c>
      <c r="BV281" s="250" t="str">
        <f t="shared" si="514"/>
        <v>Aucun</v>
      </c>
      <c r="BW281" s="249" t="str">
        <f t="shared" si="515"/>
        <v>NON</v>
      </c>
      <c r="BX281" s="330"/>
    </row>
    <row r="282" spans="1:170" ht="12.75" customHeight="1" x14ac:dyDescent="0.2">
      <c r="A282" s="268" t="s">
        <v>258</v>
      </c>
      <c r="B282" s="276"/>
      <c r="C282" s="269"/>
      <c r="D282" s="299"/>
      <c r="E282" s="320">
        <f t="shared" si="493"/>
        <v>0</v>
      </c>
      <c r="F282" s="320" t="str">
        <f t="shared" si="226"/>
        <v xml:space="preserve"> </v>
      </c>
      <c r="G282" s="298"/>
      <c r="H282" s="298"/>
      <c r="I282" s="298"/>
      <c r="J282" s="298"/>
      <c r="K282" s="298"/>
      <c r="L282" s="299"/>
      <c r="M282" s="285"/>
      <c r="N282" s="274"/>
      <c r="O282" s="274"/>
      <c r="P282" s="307" t="str">
        <f>IFERROR(VLOOKUP(O282,Références!$K$11:$N$19,2)," ")</f>
        <v xml:space="preserve"> </v>
      </c>
      <c r="Q282" s="307" t="str">
        <f>IFERROR(VLOOKUP(O282,Références!$K$11:$N$19,3)," ")</f>
        <v xml:space="preserve"> </v>
      </c>
      <c r="R282" s="307" t="str">
        <f>IFERROR(VLOOKUP(O282,Références!$K$11:$N$19,4)," ")</f>
        <v xml:space="preserve"> </v>
      </c>
      <c r="S282" s="298"/>
      <c r="T282" s="298"/>
      <c r="U282" s="298"/>
      <c r="V282" s="298"/>
      <c r="W282" s="298"/>
      <c r="X282" s="299"/>
      <c r="Y282" s="298"/>
      <c r="Z282" s="298"/>
      <c r="AA282" s="298"/>
      <c r="AB282" s="277"/>
      <c r="AC282" s="277"/>
      <c r="AD282" s="277"/>
      <c r="AE282" s="277"/>
      <c r="AF282" s="277"/>
      <c r="AG282" s="277"/>
      <c r="AH282" s="277"/>
      <c r="AI282" s="277">
        <f t="shared" si="516"/>
        <v>0</v>
      </c>
      <c r="AJ282" s="299"/>
      <c r="AK282" s="298">
        <f t="shared" si="494"/>
        <v>0</v>
      </c>
      <c r="AL282" s="299"/>
      <c r="AM282" s="308">
        <f t="shared" si="495"/>
        <v>0</v>
      </c>
      <c r="AN282" s="298"/>
      <c r="AO282" s="318"/>
      <c r="AP282" s="303" t="str">
        <f t="shared" si="542"/>
        <v xml:space="preserve"> </v>
      </c>
      <c r="AQ282" s="298"/>
      <c r="AR282" s="337"/>
      <c r="AS282" s="337"/>
      <c r="AT282" s="305"/>
      <c r="AU282" s="319"/>
      <c r="AV282" s="305"/>
      <c r="AW282" s="272"/>
      <c r="AX282" s="342"/>
      <c r="AY282" s="343"/>
      <c r="AZ282" s="272"/>
      <c r="BA282" s="342"/>
      <c r="BB282" s="337"/>
      <c r="BC282" s="270">
        <f t="shared" si="496"/>
        <v>0</v>
      </c>
      <c r="BD282" s="270">
        <f t="shared" si="497"/>
        <v>0</v>
      </c>
      <c r="BE282" s="270">
        <f t="shared" si="498"/>
        <v>1</v>
      </c>
      <c r="BF282" s="270" t="str">
        <f t="shared" si="499"/>
        <v>ALIVE</v>
      </c>
      <c r="BG282" s="250" t="str">
        <f t="shared" si="500"/>
        <v>Aucune</v>
      </c>
      <c r="BH282" s="250" t="str">
        <f t="shared" si="501"/>
        <v>Aucune</v>
      </c>
      <c r="BI282" s="250" t="str">
        <f t="shared" si="502"/>
        <v>Aucune</v>
      </c>
      <c r="BJ282" s="250" t="str">
        <f t="shared" si="503"/>
        <v>NON</v>
      </c>
      <c r="BK282" s="250" t="str">
        <f t="shared" si="504"/>
        <v>NON</v>
      </c>
      <c r="BL282" s="250" t="str">
        <f t="shared" si="505"/>
        <v>Inconnu</v>
      </c>
      <c r="BM282" s="250" t="str">
        <f t="shared" si="506"/>
        <v>Inconnu</v>
      </c>
      <c r="BN282" s="250" t="str">
        <f t="shared" si="507"/>
        <v>Inconnu</v>
      </c>
      <c r="BO282" s="250" t="str">
        <f t="shared" si="508"/>
        <v>Inconnu</v>
      </c>
      <c r="BP282" s="250" t="str">
        <f t="shared" si="509"/>
        <v>Inconnu</v>
      </c>
      <c r="BQ282" s="250" t="str">
        <f t="shared" si="510"/>
        <v>Inconnu</v>
      </c>
      <c r="BR282" s="250" t="str">
        <f t="shared" si="511"/>
        <v>Aucune</v>
      </c>
      <c r="BS282" s="250">
        <f t="shared" si="512"/>
        <v>0</v>
      </c>
      <c r="BT282" s="271" t="e">
        <f>VLOOKUP($I282,Lieu_Activité!$A:$B,2,FALSE)</f>
        <v>#N/A</v>
      </c>
      <c r="BU282" s="250" t="str">
        <f t="shared" si="513"/>
        <v>Aucun</v>
      </c>
      <c r="BV282" s="250" t="str">
        <f t="shared" si="514"/>
        <v>Aucun</v>
      </c>
      <c r="BW282" s="249" t="str">
        <f t="shared" si="515"/>
        <v>NON</v>
      </c>
      <c r="BX282" s="330"/>
    </row>
    <row r="283" spans="1:170" ht="12.75" customHeight="1" x14ac:dyDescent="0.2">
      <c r="A283" s="268" t="s">
        <v>258</v>
      </c>
      <c r="B283" s="276"/>
      <c r="C283" s="269"/>
      <c r="D283" s="299"/>
      <c r="E283" s="320">
        <f t="shared" ref="E283:E284" si="569">(L283-D283)/365</f>
        <v>0</v>
      </c>
      <c r="F283" s="320" t="str">
        <f t="shared" ref="F283:F284" si="570">IF(E283&lt;80," ","1")</f>
        <v xml:space="preserve"> </v>
      </c>
      <c r="G283" s="298"/>
      <c r="H283" s="298"/>
      <c r="I283" s="298"/>
      <c r="J283" s="298"/>
      <c r="K283" s="298"/>
      <c r="L283" s="299"/>
      <c r="M283" s="285"/>
      <c r="N283" s="274"/>
      <c r="O283" s="274"/>
      <c r="P283" s="307" t="str">
        <f>IFERROR(VLOOKUP(O283,Références!$K$11:$N$19,2)," ")</f>
        <v xml:space="preserve"> </v>
      </c>
      <c r="Q283" s="307" t="str">
        <f>IFERROR(VLOOKUP(O283,Références!$K$11:$N$19,3)," ")</f>
        <v xml:space="preserve"> </v>
      </c>
      <c r="R283" s="307" t="str">
        <f>IFERROR(VLOOKUP(O283,Références!$K$11:$N$19,4)," ")</f>
        <v xml:space="preserve"> </v>
      </c>
      <c r="S283" s="298"/>
      <c r="T283" s="298"/>
      <c r="U283" s="298"/>
      <c r="V283" s="298"/>
      <c r="W283" s="298"/>
      <c r="X283" s="299"/>
      <c r="Y283" s="298"/>
      <c r="Z283" s="298"/>
      <c r="AA283" s="298"/>
      <c r="AB283" s="277"/>
      <c r="AC283" s="277"/>
      <c r="AD283" s="277"/>
      <c r="AE283" s="277"/>
      <c r="AF283" s="277"/>
      <c r="AG283" s="277"/>
      <c r="AH283" s="277"/>
      <c r="AI283" s="277">
        <f t="shared" ref="AI283:AI284" si="571">SUM(AF283,AH283)</f>
        <v>0</v>
      </c>
      <c r="AJ283" s="299"/>
      <c r="AK283" s="298">
        <f t="shared" ref="AK283:AK284" si="572">(AJ283-L283)</f>
        <v>0</v>
      </c>
      <c r="AL283" s="299"/>
      <c r="AM283" s="308">
        <f t="shared" ref="AM283:AM284" si="573">(AL283-L283)</f>
        <v>0</v>
      </c>
      <c r="AN283" s="298"/>
      <c r="AO283" s="318"/>
      <c r="AP283" s="303" t="str">
        <f t="shared" ref="AP283:AP284" si="574">IF(AO283=1,"ELECTIVE",IF(AO283=2,"URGENCY",IF(AO283=3,"EMERGENCY",IF(AO283=4,"SALVAGE"," "))))</f>
        <v xml:space="preserve"> </v>
      </c>
      <c r="AQ283" s="298"/>
      <c r="AR283" s="337"/>
      <c r="AS283" s="337"/>
      <c r="AT283" s="305"/>
      <c r="AU283" s="319"/>
      <c r="AV283" s="305"/>
      <c r="AW283" s="272"/>
      <c r="AX283" s="342"/>
      <c r="AY283" s="343"/>
      <c r="AZ283" s="342"/>
      <c r="BA283" s="342"/>
      <c r="BB283" s="337"/>
      <c r="BC283" s="270">
        <f t="shared" ref="BC283:BC284" si="575">IF(BG283="Aucune",0,1)</f>
        <v>0</v>
      </c>
      <c r="BD283" s="270">
        <f t="shared" ref="BD283:BD284" si="576">IF(BH283="Aucune",0,1)</f>
        <v>0</v>
      </c>
      <c r="BE283" s="270">
        <f t="shared" ref="BE283:BE284" si="577">IF(AG283="Aucune",0,1)</f>
        <v>1</v>
      </c>
      <c r="BF283" s="270" t="str">
        <f t="shared" ref="BF283:BF284" si="578">IF(AO283=1,"ELECTIVE",IF(AO283=2,"URGENCY",IF(AO283=3,"EMERGENCY",IF(AO283=4,"SALVAGE","ALIVE"))))</f>
        <v>ALIVE</v>
      </c>
      <c r="BG283" s="250" t="str">
        <f t="shared" ref="BG283:BG284" si="579">IF(AD283="","Aucune","Infection")</f>
        <v>Aucune</v>
      </c>
      <c r="BH283" s="250" t="str">
        <f t="shared" ref="BH283:BH284" si="580">IF(AI283&gt;0,"Transfusion","Aucune")</f>
        <v>Aucune</v>
      </c>
      <c r="BI283" s="250" t="str">
        <f t="shared" ref="BI283:BI284" si="581">IF(AG283="","Aucune","Transfusé")</f>
        <v>Aucune</v>
      </c>
      <c r="BJ283" s="250" t="str">
        <f t="shared" ref="BJ283:BJ284" si="582">IF(X283&lt;&gt;"",IF(X283-L283&lt;2,"OUI","NON"),"NON")</f>
        <v>NON</v>
      </c>
      <c r="BK283" s="250" t="str">
        <f t="shared" ref="BK283:BK284" si="583">IF(AS283="","NON","OUI")</f>
        <v>NON</v>
      </c>
      <c r="BL283" s="250" t="str">
        <f t="shared" ref="BL283:BL284" si="584">IF(AL283-L283&gt;0,AL283-L283,"Inconnu")</f>
        <v>Inconnu</v>
      </c>
      <c r="BM283" s="250" t="str">
        <f t="shared" ref="BM283:BM284" si="585">IF($O283&lt;&gt;"HTX",IF($O283&lt;&gt;"LVAD",BL283,"Inconnu"),"Inconnu")</f>
        <v>Inconnu</v>
      </c>
      <c r="BN283" s="250" t="str">
        <f t="shared" ref="BN283:BN284" si="586">IF($O283="HTX",BL283,IF($O283="LVAD",BL283,"Inconnu"))</f>
        <v>Inconnu</v>
      </c>
      <c r="BO283" s="250" t="str">
        <f t="shared" ref="BO283:BO284" si="587">IF(AJ283-L283&gt;0,AJ283-L283,"Inconnu")</f>
        <v>Inconnu</v>
      </c>
      <c r="BP283" s="250" t="str">
        <f t="shared" ref="BP283:BP284" si="588">IF($O283&lt;&gt;"HTX",IF($O283&lt;&gt;"LVAD",BO283,"Inconnu"),"Inconnu")</f>
        <v>Inconnu</v>
      </c>
      <c r="BQ283" s="250" t="str">
        <f t="shared" ref="BQ283:BQ284" si="589">IF($O283="HTX",BO283,IF($O283="LVAD",BO283,"Inconnu"))</f>
        <v>Inconnu</v>
      </c>
      <c r="BR283" s="250" t="str">
        <f t="shared" ref="BR283:BR284" si="590">IF(BH283="Aucune",IF(BI283="Aucune","Aucune","Transfusé"),"Transfusé")</f>
        <v>Aucune</v>
      </c>
      <c r="BS283" s="250">
        <f t="shared" ref="BS283:BS284" si="591">AF283+AH283</f>
        <v>0</v>
      </c>
      <c r="BT283" s="271" t="e">
        <f>VLOOKUP($I283,Lieu_Activité!$A:$B,2,FALSE)</f>
        <v>#N/A</v>
      </c>
      <c r="BU283" s="250" t="str">
        <f t="shared" ref="BU283:BU284" si="592">IF(AB283="","Aucun","AVC")</f>
        <v>Aucun</v>
      </c>
      <c r="BV283" s="250" t="str">
        <f t="shared" ref="BV283:BV284" si="593">IF(AC283="","Aucun","IM")</f>
        <v>Aucun</v>
      </c>
      <c r="BW283" s="249" t="str">
        <f t="shared" ref="BW283:BW284" si="594">IF(M283="","NON","OUI")</f>
        <v>NON</v>
      </c>
      <c r="BX283" s="330"/>
    </row>
    <row r="284" spans="1:170" ht="12.75" customHeight="1" x14ac:dyDescent="0.2">
      <c r="A284" s="268" t="s">
        <v>258</v>
      </c>
      <c r="B284" s="276"/>
      <c r="C284" s="269"/>
      <c r="D284" s="299"/>
      <c r="E284" s="320">
        <f t="shared" si="569"/>
        <v>0</v>
      </c>
      <c r="F284" s="320" t="str">
        <f t="shared" si="570"/>
        <v xml:space="preserve"> </v>
      </c>
      <c r="G284" s="298"/>
      <c r="H284" s="298"/>
      <c r="I284" s="298"/>
      <c r="J284" s="298"/>
      <c r="K284" s="298"/>
      <c r="L284" s="299"/>
      <c r="M284" s="285"/>
      <c r="N284" s="274"/>
      <c r="O284" s="274"/>
      <c r="P284" s="307" t="str">
        <f>IFERROR(VLOOKUP(O284,Références!$K$11:$N$19,2)," ")</f>
        <v xml:space="preserve"> </v>
      </c>
      <c r="Q284" s="307" t="str">
        <f>IFERROR(VLOOKUP(O284,Références!$K$11:$N$19,3)," ")</f>
        <v xml:space="preserve"> </v>
      </c>
      <c r="R284" s="307" t="str">
        <f>IFERROR(VLOOKUP(O284,Références!$K$11:$N$19,4)," ")</f>
        <v xml:space="preserve"> </v>
      </c>
      <c r="S284" s="298"/>
      <c r="T284" s="298"/>
      <c r="U284" s="298"/>
      <c r="V284" s="298"/>
      <c r="W284" s="298"/>
      <c r="X284" s="299"/>
      <c r="Y284" s="298"/>
      <c r="Z284" s="298"/>
      <c r="AA284" s="298"/>
      <c r="AB284" s="277"/>
      <c r="AC284" s="277"/>
      <c r="AD284" s="277"/>
      <c r="AE284" s="277"/>
      <c r="AF284" s="277"/>
      <c r="AG284" s="277"/>
      <c r="AH284" s="277"/>
      <c r="AI284" s="277">
        <f t="shared" si="571"/>
        <v>0</v>
      </c>
      <c r="AJ284" s="299"/>
      <c r="AK284" s="298">
        <f t="shared" si="572"/>
        <v>0</v>
      </c>
      <c r="AL284" s="299"/>
      <c r="AM284" s="308">
        <f t="shared" si="573"/>
        <v>0</v>
      </c>
      <c r="AN284" s="298"/>
      <c r="AO284" s="318"/>
      <c r="AP284" s="303" t="str">
        <f t="shared" si="574"/>
        <v xml:space="preserve"> </v>
      </c>
      <c r="AQ284" s="298"/>
      <c r="AR284" s="337"/>
      <c r="AS284" s="337"/>
      <c r="AT284" s="305"/>
      <c r="AU284" s="319"/>
      <c r="AV284" s="305"/>
      <c r="AW284" s="272"/>
      <c r="AX284" s="342"/>
      <c r="AY284" s="343"/>
      <c r="AZ284" s="272"/>
      <c r="BA284" s="342"/>
      <c r="BB284" s="337"/>
      <c r="BC284" s="270">
        <f t="shared" si="575"/>
        <v>0</v>
      </c>
      <c r="BD284" s="270">
        <f t="shared" si="576"/>
        <v>0</v>
      </c>
      <c r="BE284" s="270">
        <f t="shared" si="577"/>
        <v>1</v>
      </c>
      <c r="BF284" s="270" t="str">
        <f t="shared" si="578"/>
        <v>ALIVE</v>
      </c>
      <c r="BG284" s="250" t="str">
        <f t="shared" si="579"/>
        <v>Aucune</v>
      </c>
      <c r="BH284" s="250" t="str">
        <f t="shared" si="580"/>
        <v>Aucune</v>
      </c>
      <c r="BI284" s="250" t="str">
        <f t="shared" si="581"/>
        <v>Aucune</v>
      </c>
      <c r="BJ284" s="250" t="str">
        <f t="shared" si="582"/>
        <v>NON</v>
      </c>
      <c r="BK284" s="250" t="str">
        <f t="shared" si="583"/>
        <v>NON</v>
      </c>
      <c r="BL284" s="250" t="str">
        <f t="shared" si="584"/>
        <v>Inconnu</v>
      </c>
      <c r="BM284" s="250" t="str">
        <f t="shared" si="585"/>
        <v>Inconnu</v>
      </c>
      <c r="BN284" s="250" t="str">
        <f t="shared" si="586"/>
        <v>Inconnu</v>
      </c>
      <c r="BO284" s="250" t="str">
        <f t="shared" si="587"/>
        <v>Inconnu</v>
      </c>
      <c r="BP284" s="250" t="str">
        <f t="shared" si="588"/>
        <v>Inconnu</v>
      </c>
      <c r="BQ284" s="250" t="str">
        <f t="shared" si="589"/>
        <v>Inconnu</v>
      </c>
      <c r="BR284" s="250" t="str">
        <f t="shared" si="590"/>
        <v>Aucune</v>
      </c>
      <c r="BS284" s="250">
        <f t="shared" si="591"/>
        <v>0</v>
      </c>
      <c r="BT284" s="271" t="e">
        <f>VLOOKUP($I284,Lieu_Activité!$A:$B,2,FALSE)</f>
        <v>#N/A</v>
      </c>
      <c r="BU284" s="250" t="str">
        <f t="shared" si="592"/>
        <v>Aucun</v>
      </c>
      <c r="BV284" s="250" t="str">
        <f t="shared" si="593"/>
        <v>Aucun</v>
      </c>
      <c r="BW284" s="249" t="str">
        <f t="shared" si="594"/>
        <v>NON</v>
      </c>
      <c r="BX284" s="330"/>
    </row>
    <row r="285" spans="1:170" ht="12.75" customHeight="1" x14ac:dyDescent="0.2">
      <c r="A285" s="268" t="s">
        <v>258</v>
      </c>
      <c r="B285" s="276"/>
      <c r="C285" s="269"/>
      <c r="D285" s="299"/>
      <c r="E285" s="320">
        <f t="shared" ref="E285:E286" si="595">(L285-D285)/365</f>
        <v>0</v>
      </c>
      <c r="F285" s="320" t="str">
        <f t="shared" ref="F285:F286" si="596">IF(E285&lt;80," ","1")</f>
        <v xml:space="preserve"> </v>
      </c>
      <c r="G285" s="298"/>
      <c r="H285" s="298"/>
      <c r="I285" s="298"/>
      <c r="J285" s="298"/>
      <c r="K285" s="298"/>
      <c r="L285" s="299"/>
      <c r="M285" s="285"/>
      <c r="N285" s="274"/>
      <c r="O285" s="274"/>
      <c r="P285" s="307" t="str">
        <f>IFERROR(VLOOKUP(O285,Références!$K$11:$N$19,2)," ")</f>
        <v xml:space="preserve"> </v>
      </c>
      <c r="Q285" s="307" t="str">
        <f>IFERROR(VLOOKUP(O285,Références!$K$11:$N$19,3)," ")</f>
        <v xml:space="preserve"> </v>
      </c>
      <c r="R285" s="307" t="str">
        <f>IFERROR(VLOOKUP(O285,Références!$K$11:$N$19,4)," ")</f>
        <v xml:space="preserve"> </v>
      </c>
      <c r="S285" s="298"/>
      <c r="T285" s="298"/>
      <c r="U285" s="298"/>
      <c r="V285" s="298"/>
      <c r="W285" s="298"/>
      <c r="X285" s="299"/>
      <c r="Y285" s="298"/>
      <c r="Z285" s="298"/>
      <c r="AA285" s="298"/>
      <c r="AB285" s="277"/>
      <c r="AC285" s="277"/>
      <c r="AD285" s="277"/>
      <c r="AE285" s="277"/>
      <c r="AF285" s="277"/>
      <c r="AG285" s="277"/>
      <c r="AH285" s="277"/>
      <c r="AI285" s="277">
        <f t="shared" ref="AI285:AI286" si="597">SUM(AF285,AH285)</f>
        <v>0</v>
      </c>
      <c r="AJ285" s="299"/>
      <c r="AK285" s="298">
        <f t="shared" ref="AK285:AK286" si="598">(AJ285-L285)</f>
        <v>0</v>
      </c>
      <c r="AL285" s="299"/>
      <c r="AM285" s="308">
        <f t="shared" ref="AM285:AM286" si="599">(AL285-L285)</f>
        <v>0</v>
      </c>
      <c r="AN285" s="298"/>
      <c r="AO285" s="318"/>
      <c r="AP285" s="303" t="str">
        <f t="shared" ref="AP285:AP286" si="600">IF(AO285=1,"ELECTIVE",IF(AO285=2,"URGENCY",IF(AO285=3,"EMERGENCY",IF(AO285=4,"SALVAGE"," "))))</f>
        <v xml:space="preserve"> </v>
      </c>
      <c r="AQ285" s="298"/>
      <c r="AR285" s="337"/>
      <c r="AS285" s="337"/>
      <c r="AT285" s="305"/>
      <c r="AU285" s="319"/>
      <c r="AV285" s="305"/>
      <c r="AW285" s="272"/>
      <c r="AX285" s="342"/>
      <c r="AY285" s="343"/>
      <c r="AZ285" s="342"/>
      <c r="BA285" s="342"/>
      <c r="BB285" s="337"/>
      <c r="BC285" s="270">
        <f t="shared" ref="BC285:BC286" si="601">IF(BG285="Aucune",0,1)</f>
        <v>0</v>
      </c>
      <c r="BD285" s="270">
        <f t="shared" ref="BD285:BD286" si="602">IF(BH285="Aucune",0,1)</f>
        <v>0</v>
      </c>
      <c r="BE285" s="270">
        <f t="shared" ref="BE285:BE286" si="603">IF(AG285="Aucune",0,1)</f>
        <v>1</v>
      </c>
      <c r="BF285" s="270" t="str">
        <f t="shared" ref="BF285:BF286" si="604">IF(AO285=1,"ELECTIVE",IF(AO285=2,"URGENCY",IF(AO285=3,"EMERGENCY",IF(AO285=4,"SALVAGE","ALIVE"))))</f>
        <v>ALIVE</v>
      </c>
      <c r="BG285" s="250" t="str">
        <f t="shared" ref="BG285:BG286" si="605">IF(AD285="","Aucune","Infection")</f>
        <v>Aucune</v>
      </c>
      <c r="BH285" s="250" t="str">
        <f t="shared" ref="BH285:BH286" si="606">IF(AI285&gt;0,"Transfusion","Aucune")</f>
        <v>Aucune</v>
      </c>
      <c r="BI285" s="250" t="str">
        <f t="shared" ref="BI285:BI286" si="607">IF(AG285="","Aucune","Transfusé")</f>
        <v>Aucune</v>
      </c>
      <c r="BJ285" s="250" t="str">
        <f t="shared" ref="BJ285:BJ286" si="608">IF(X285&lt;&gt;"",IF(X285-L285&lt;2,"OUI","NON"),"NON")</f>
        <v>NON</v>
      </c>
      <c r="BK285" s="250" t="str">
        <f t="shared" ref="BK285:BK286" si="609">IF(AS285="","NON","OUI")</f>
        <v>NON</v>
      </c>
      <c r="BL285" s="250" t="str">
        <f t="shared" ref="BL285:BL286" si="610">IF(AL285-L285&gt;0,AL285-L285,"Inconnu")</f>
        <v>Inconnu</v>
      </c>
      <c r="BM285" s="250" t="str">
        <f t="shared" ref="BM285:BM286" si="611">IF($O285&lt;&gt;"HTX",IF($O285&lt;&gt;"LVAD",BL285,"Inconnu"),"Inconnu")</f>
        <v>Inconnu</v>
      </c>
      <c r="BN285" s="250" t="str">
        <f t="shared" ref="BN285:BN286" si="612">IF($O285="HTX",BL285,IF($O285="LVAD",BL285,"Inconnu"))</f>
        <v>Inconnu</v>
      </c>
      <c r="BO285" s="250" t="str">
        <f t="shared" ref="BO285:BO286" si="613">IF(AJ285-L285&gt;0,AJ285-L285,"Inconnu")</f>
        <v>Inconnu</v>
      </c>
      <c r="BP285" s="250" t="str">
        <f t="shared" ref="BP285:BP286" si="614">IF($O285&lt;&gt;"HTX",IF($O285&lt;&gt;"LVAD",BO285,"Inconnu"),"Inconnu")</f>
        <v>Inconnu</v>
      </c>
      <c r="BQ285" s="250" t="str">
        <f t="shared" ref="BQ285:BQ286" si="615">IF($O285="HTX",BO285,IF($O285="LVAD",BO285,"Inconnu"))</f>
        <v>Inconnu</v>
      </c>
      <c r="BR285" s="250" t="str">
        <f t="shared" ref="BR285:BR286" si="616">IF(BH285="Aucune",IF(BI285="Aucune","Aucune","Transfusé"),"Transfusé")</f>
        <v>Aucune</v>
      </c>
      <c r="BS285" s="250">
        <f t="shared" ref="BS285:BS286" si="617">AF285+AH285</f>
        <v>0</v>
      </c>
      <c r="BT285" s="271" t="e">
        <f>VLOOKUP($I285,Lieu_Activité!$A:$B,2,FALSE)</f>
        <v>#N/A</v>
      </c>
      <c r="BU285" s="250" t="str">
        <f t="shared" ref="BU285:BU286" si="618">IF(AB285="","Aucun","AVC")</f>
        <v>Aucun</v>
      </c>
      <c r="BV285" s="250" t="str">
        <f t="shared" ref="BV285:BV286" si="619">IF(AC285="","Aucun","IM")</f>
        <v>Aucun</v>
      </c>
      <c r="BW285" s="249" t="str">
        <f t="shared" ref="BW285:BW286" si="620">IF(M285="","NON","OUI")</f>
        <v>NON</v>
      </c>
      <c r="BX285" s="330"/>
    </row>
    <row r="286" spans="1:170" ht="12.75" customHeight="1" x14ac:dyDescent="0.2">
      <c r="A286" s="268" t="s">
        <v>258</v>
      </c>
      <c r="B286" s="276"/>
      <c r="C286" s="269"/>
      <c r="D286" s="299"/>
      <c r="E286" s="320">
        <f t="shared" si="595"/>
        <v>0</v>
      </c>
      <c r="F286" s="320" t="str">
        <f t="shared" si="596"/>
        <v xml:space="preserve"> </v>
      </c>
      <c r="G286" s="298"/>
      <c r="H286" s="298"/>
      <c r="I286" s="298"/>
      <c r="J286" s="298"/>
      <c r="K286" s="298"/>
      <c r="L286" s="299"/>
      <c r="M286" s="285"/>
      <c r="N286" s="274"/>
      <c r="O286" s="274"/>
      <c r="P286" s="307" t="str">
        <f>IFERROR(VLOOKUP(O286,Références!$K$11:$N$19,2)," ")</f>
        <v xml:space="preserve"> </v>
      </c>
      <c r="Q286" s="307" t="str">
        <f>IFERROR(VLOOKUP(O286,Références!$K$11:$N$19,3)," ")</f>
        <v xml:space="preserve"> </v>
      </c>
      <c r="R286" s="307" t="str">
        <f>IFERROR(VLOOKUP(O286,Références!$K$11:$N$19,4)," ")</f>
        <v xml:space="preserve"> </v>
      </c>
      <c r="S286" s="298"/>
      <c r="T286" s="298"/>
      <c r="U286" s="298"/>
      <c r="V286" s="298"/>
      <c r="W286" s="298"/>
      <c r="X286" s="299"/>
      <c r="Y286" s="298"/>
      <c r="Z286" s="298"/>
      <c r="AA286" s="298"/>
      <c r="AB286" s="277"/>
      <c r="AC286" s="277"/>
      <c r="AD286" s="277"/>
      <c r="AE286" s="277"/>
      <c r="AF286" s="277"/>
      <c r="AG286" s="277"/>
      <c r="AH286" s="277"/>
      <c r="AI286" s="277">
        <f t="shared" si="597"/>
        <v>0</v>
      </c>
      <c r="AJ286" s="299"/>
      <c r="AK286" s="298">
        <f t="shared" si="598"/>
        <v>0</v>
      </c>
      <c r="AL286" s="299"/>
      <c r="AM286" s="308">
        <f t="shared" si="599"/>
        <v>0</v>
      </c>
      <c r="AN286" s="298"/>
      <c r="AO286" s="318"/>
      <c r="AP286" s="303" t="str">
        <f t="shared" si="600"/>
        <v xml:space="preserve"> </v>
      </c>
      <c r="AQ286" s="298"/>
      <c r="AR286" s="337"/>
      <c r="AS286" s="337"/>
      <c r="AT286" s="305"/>
      <c r="AU286" s="319"/>
      <c r="AV286" s="305"/>
      <c r="AW286" s="272"/>
      <c r="AX286" s="342"/>
      <c r="AY286" s="343"/>
      <c r="AZ286" s="272"/>
      <c r="BA286" s="342"/>
      <c r="BB286" s="337"/>
      <c r="BC286" s="270">
        <f t="shared" si="601"/>
        <v>0</v>
      </c>
      <c r="BD286" s="270">
        <f t="shared" si="602"/>
        <v>0</v>
      </c>
      <c r="BE286" s="270">
        <f t="shared" si="603"/>
        <v>1</v>
      </c>
      <c r="BF286" s="270" t="str">
        <f t="shared" si="604"/>
        <v>ALIVE</v>
      </c>
      <c r="BG286" s="250" t="str">
        <f t="shared" si="605"/>
        <v>Aucune</v>
      </c>
      <c r="BH286" s="250" t="str">
        <f t="shared" si="606"/>
        <v>Aucune</v>
      </c>
      <c r="BI286" s="250" t="str">
        <f t="shared" si="607"/>
        <v>Aucune</v>
      </c>
      <c r="BJ286" s="250" t="str">
        <f t="shared" si="608"/>
        <v>NON</v>
      </c>
      <c r="BK286" s="250" t="str">
        <f t="shared" si="609"/>
        <v>NON</v>
      </c>
      <c r="BL286" s="250" t="str">
        <f t="shared" si="610"/>
        <v>Inconnu</v>
      </c>
      <c r="BM286" s="250" t="str">
        <f t="shared" si="611"/>
        <v>Inconnu</v>
      </c>
      <c r="BN286" s="250" t="str">
        <f t="shared" si="612"/>
        <v>Inconnu</v>
      </c>
      <c r="BO286" s="250" t="str">
        <f t="shared" si="613"/>
        <v>Inconnu</v>
      </c>
      <c r="BP286" s="250" t="str">
        <f t="shared" si="614"/>
        <v>Inconnu</v>
      </c>
      <c r="BQ286" s="250" t="str">
        <f t="shared" si="615"/>
        <v>Inconnu</v>
      </c>
      <c r="BR286" s="250" t="str">
        <f t="shared" si="616"/>
        <v>Aucune</v>
      </c>
      <c r="BS286" s="250">
        <f t="shared" si="617"/>
        <v>0</v>
      </c>
      <c r="BT286" s="271" t="e">
        <f>VLOOKUP($I286,Lieu_Activité!$A:$B,2,FALSE)</f>
        <v>#N/A</v>
      </c>
      <c r="BU286" s="250" t="str">
        <f t="shared" si="618"/>
        <v>Aucun</v>
      </c>
      <c r="BV286" s="250" t="str">
        <f t="shared" si="619"/>
        <v>Aucun</v>
      </c>
      <c r="BW286" s="249" t="str">
        <f t="shared" si="620"/>
        <v>NON</v>
      </c>
      <c r="BX286" s="330"/>
    </row>
    <row r="287" spans="1:170" ht="12.75" customHeight="1" x14ac:dyDescent="0.2">
      <c r="A287" s="268" t="s">
        <v>258</v>
      </c>
      <c r="B287" s="276"/>
      <c r="C287" s="269"/>
      <c r="D287" s="299"/>
      <c r="E287" s="320">
        <f t="shared" si="493"/>
        <v>0</v>
      </c>
      <c r="F287" s="320" t="str">
        <f t="shared" si="226"/>
        <v xml:space="preserve"> </v>
      </c>
      <c r="G287" s="298"/>
      <c r="H287" s="298"/>
      <c r="I287" s="298"/>
      <c r="J287" s="298"/>
      <c r="K287" s="298"/>
      <c r="L287" s="299"/>
      <c r="M287" s="285"/>
      <c r="N287" s="274"/>
      <c r="O287" s="274"/>
      <c r="P287" s="307" t="str">
        <f>IFERROR(VLOOKUP(O287,Références!$K$11:$N$19,2)," ")</f>
        <v xml:space="preserve"> </v>
      </c>
      <c r="Q287" s="307" t="str">
        <f>IFERROR(VLOOKUP(O287,Références!$K$11:$N$19,3)," ")</f>
        <v xml:space="preserve"> </v>
      </c>
      <c r="R287" s="307" t="str">
        <f>IFERROR(VLOOKUP(O287,Références!$K$11:$N$19,4)," ")</f>
        <v xml:space="preserve"> </v>
      </c>
      <c r="S287" s="298"/>
      <c r="T287" s="298"/>
      <c r="U287" s="298"/>
      <c r="V287" s="298"/>
      <c r="W287" s="298"/>
      <c r="X287" s="299"/>
      <c r="Y287" s="298"/>
      <c r="Z287" s="298"/>
      <c r="AA287" s="298"/>
      <c r="AB287" s="277"/>
      <c r="AC287" s="277"/>
      <c r="AD287" s="277"/>
      <c r="AE287" s="277"/>
      <c r="AF287" s="277"/>
      <c r="AG287" s="277"/>
      <c r="AH287" s="277"/>
      <c r="AI287" s="277">
        <f t="shared" si="516"/>
        <v>0</v>
      </c>
      <c r="AJ287" s="299"/>
      <c r="AK287" s="298">
        <f t="shared" si="494"/>
        <v>0</v>
      </c>
      <c r="AL287" s="299"/>
      <c r="AM287" s="308">
        <f t="shared" si="495"/>
        <v>0</v>
      </c>
      <c r="AN287" s="298"/>
      <c r="AO287" s="318"/>
      <c r="AP287" s="303" t="str">
        <f t="shared" si="542"/>
        <v xml:space="preserve"> </v>
      </c>
      <c r="AQ287" s="298"/>
      <c r="AR287" s="337"/>
      <c r="AS287" s="337"/>
      <c r="AT287" s="305"/>
      <c r="AU287" s="319"/>
      <c r="AV287" s="305"/>
      <c r="AW287" s="272"/>
      <c r="AX287" s="342"/>
      <c r="AY287" s="343"/>
      <c r="AZ287" s="342"/>
      <c r="BA287" s="342"/>
      <c r="BB287" s="337"/>
      <c r="BC287" s="270">
        <f t="shared" si="496"/>
        <v>0</v>
      </c>
      <c r="BD287" s="270">
        <f t="shared" si="497"/>
        <v>0</v>
      </c>
      <c r="BE287" s="270">
        <f t="shared" si="498"/>
        <v>1</v>
      </c>
      <c r="BF287" s="270" t="str">
        <f t="shared" si="499"/>
        <v>ALIVE</v>
      </c>
      <c r="BG287" s="250" t="str">
        <f t="shared" si="500"/>
        <v>Aucune</v>
      </c>
      <c r="BH287" s="250" t="str">
        <f t="shared" si="501"/>
        <v>Aucune</v>
      </c>
      <c r="BI287" s="250" t="str">
        <f t="shared" si="502"/>
        <v>Aucune</v>
      </c>
      <c r="BJ287" s="250" t="str">
        <f t="shared" si="503"/>
        <v>NON</v>
      </c>
      <c r="BK287" s="250" t="str">
        <f t="shared" si="504"/>
        <v>NON</v>
      </c>
      <c r="BL287" s="250" t="str">
        <f t="shared" si="505"/>
        <v>Inconnu</v>
      </c>
      <c r="BM287" s="250" t="str">
        <f t="shared" si="506"/>
        <v>Inconnu</v>
      </c>
      <c r="BN287" s="250" t="str">
        <f t="shared" si="507"/>
        <v>Inconnu</v>
      </c>
      <c r="BO287" s="250" t="str">
        <f t="shared" si="508"/>
        <v>Inconnu</v>
      </c>
      <c r="BP287" s="250" t="str">
        <f t="shared" si="509"/>
        <v>Inconnu</v>
      </c>
      <c r="BQ287" s="250" t="str">
        <f t="shared" si="510"/>
        <v>Inconnu</v>
      </c>
      <c r="BR287" s="250" t="str">
        <f t="shared" si="511"/>
        <v>Aucune</v>
      </c>
      <c r="BS287" s="250">
        <f t="shared" si="512"/>
        <v>0</v>
      </c>
      <c r="BT287" s="271" t="e">
        <f>VLOOKUP($I287,Lieu_Activité!$A:$B,2,FALSE)</f>
        <v>#N/A</v>
      </c>
      <c r="BU287" s="250" t="str">
        <f t="shared" si="513"/>
        <v>Aucun</v>
      </c>
      <c r="BV287" s="250" t="str">
        <f t="shared" si="514"/>
        <v>Aucun</v>
      </c>
      <c r="BW287" s="249" t="str">
        <f t="shared" si="515"/>
        <v>NON</v>
      </c>
      <c r="BX287" s="330"/>
    </row>
    <row r="288" spans="1:170" ht="12.75" customHeight="1" x14ac:dyDescent="0.2">
      <c r="A288" s="268" t="s">
        <v>258</v>
      </c>
      <c r="B288" s="276"/>
      <c r="C288" s="269"/>
      <c r="D288" s="299"/>
      <c r="E288" s="320">
        <f t="shared" si="493"/>
        <v>0</v>
      </c>
      <c r="F288" s="320" t="str">
        <f t="shared" si="226"/>
        <v xml:space="preserve"> </v>
      </c>
      <c r="G288" s="298"/>
      <c r="H288" s="298"/>
      <c r="I288" s="298"/>
      <c r="J288" s="298"/>
      <c r="K288" s="298"/>
      <c r="L288" s="299"/>
      <c r="M288" s="285"/>
      <c r="N288" s="274"/>
      <c r="O288" s="274"/>
      <c r="P288" s="307" t="str">
        <f>IFERROR(VLOOKUP(O288,Références!$K$11:$N$19,2)," ")</f>
        <v xml:space="preserve"> </v>
      </c>
      <c r="Q288" s="307" t="str">
        <f>IFERROR(VLOOKUP(O288,Références!$K$11:$N$19,3)," ")</f>
        <v xml:space="preserve"> </v>
      </c>
      <c r="R288" s="307" t="str">
        <f>IFERROR(VLOOKUP(O288,Références!$K$11:$N$19,4)," ")</f>
        <v xml:space="preserve"> </v>
      </c>
      <c r="S288" s="298"/>
      <c r="T288" s="298"/>
      <c r="U288" s="298"/>
      <c r="V288" s="298"/>
      <c r="W288" s="298"/>
      <c r="X288" s="299"/>
      <c r="Y288" s="298"/>
      <c r="Z288" s="298"/>
      <c r="AA288" s="298"/>
      <c r="AB288" s="277"/>
      <c r="AC288" s="277"/>
      <c r="AD288" s="277"/>
      <c r="AE288" s="277"/>
      <c r="AF288" s="277"/>
      <c r="AG288" s="277"/>
      <c r="AH288" s="277"/>
      <c r="AI288" s="277">
        <f t="shared" si="516"/>
        <v>0</v>
      </c>
      <c r="AJ288" s="299"/>
      <c r="AK288" s="298">
        <f t="shared" si="494"/>
        <v>0</v>
      </c>
      <c r="AL288" s="299"/>
      <c r="AM288" s="308">
        <f t="shared" si="495"/>
        <v>0</v>
      </c>
      <c r="AN288" s="298"/>
      <c r="AO288" s="318"/>
      <c r="AP288" s="303" t="str">
        <f t="shared" si="542"/>
        <v xml:space="preserve"> </v>
      </c>
      <c r="AQ288" s="298"/>
      <c r="AR288" s="337"/>
      <c r="AS288" s="337"/>
      <c r="AT288" s="305"/>
      <c r="AU288" s="319"/>
      <c r="AV288" s="305"/>
      <c r="AW288" s="272"/>
      <c r="AX288" s="342"/>
      <c r="AY288" s="343"/>
      <c r="AZ288" s="272"/>
      <c r="BA288" s="342"/>
      <c r="BB288" s="337"/>
      <c r="BC288" s="270">
        <f t="shared" si="496"/>
        <v>0</v>
      </c>
      <c r="BD288" s="270">
        <f t="shared" si="497"/>
        <v>0</v>
      </c>
      <c r="BE288" s="270">
        <f t="shared" si="498"/>
        <v>1</v>
      </c>
      <c r="BF288" s="270" t="str">
        <f t="shared" si="499"/>
        <v>ALIVE</v>
      </c>
      <c r="BG288" s="250" t="str">
        <f t="shared" si="500"/>
        <v>Aucune</v>
      </c>
      <c r="BH288" s="250" t="str">
        <f t="shared" si="501"/>
        <v>Aucune</v>
      </c>
      <c r="BI288" s="250" t="str">
        <f t="shared" si="502"/>
        <v>Aucune</v>
      </c>
      <c r="BJ288" s="250" t="str">
        <f t="shared" si="503"/>
        <v>NON</v>
      </c>
      <c r="BK288" s="250" t="str">
        <f t="shared" si="504"/>
        <v>NON</v>
      </c>
      <c r="BL288" s="250" t="str">
        <f t="shared" si="505"/>
        <v>Inconnu</v>
      </c>
      <c r="BM288" s="250" t="str">
        <f t="shared" si="506"/>
        <v>Inconnu</v>
      </c>
      <c r="BN288" s="250" t="str">
        <f t="shared" si="507"/>
        <v>Inconnu</v>
      </c>
      <c r="BO288" s="250" t="str">
        <f t="shared" si="508"/>
        <v>Inconnu</v>
      </c>
      <c r="BP288" s="250" t="str">
        <f t="shared" si="509"/>
        <v>Inconnu</v>
      </c>
      <c r="BQ288" s="250" t="str">
        <f t="shared" si="510"/>
        <v>Inconnu</v>
      </c>
      <c r="BR288" s="250" t="str">
        <f t="shared" si="511"/>
        <v>Aucune</v>
      </c>
      <c r="BS288" s="250">
        <f t="shared" si="512"/>
        <v>0</v>
      </c>
      <c r="BT288" s="271" t="e">
        <f>VLOOKUP($I288,Lieu_Activité!$A:$B,2,FALSE)</f>
        <v>#N/A</v>
      </c>
      <c r="BU288" s="250" t="str">
        <f t="shared" si="513"/>
        <v>Aucun</v>
      </c>
      <c r="BV288" s="250" t="str">
        <f t="shared" si="514"/>
        <v>Aucun</v>
      </c>
      <c r="BW288" s="249" t="str">
        <f t="shared" si="515"/>
        <v>NON</v>
      </c>
      <c r="BX288" s="330"/>
    </row>
    <row r="289" spans="1:170" ht="12" customHeight="1" x14ac:dyDescent="0.2">
      <c r="A289" s="273" t="s">
        <v>307</v>
      </c>
      <c r="B289" s="276"/>
      <c r="C289" s="269"/>
      <c r="D289" s="299"/>
      <c r="E289" s="320">
        <f t="shared" si="326"/>
        <v>0</v>
      </c>
      <c r="F289" s="320" t="str">
        <f t="shared" si="226"/>
        <v xml:space="preserve"> </v>
      </c>
      <c r="G289" s="298"/>
      <c r="H289" s="298"/>
      <c r="I289" s="298"/>
      <c r="J289" s="298"/>
      <c r="K289" s="298"/>
      <c r="L289" s="299"/>
      <c r="M289" s="285"/>
      <c r="N289" s="274"/>
      <c r="O289" s="274"/>
      <c r="P289" s="307" t="str">
        <f>IFERROR(VLOOKUP(O289,Références!$K$11:$N$19,2)," ")</f>
        <v xml:space="preserve"> </v>
      </c>
      <c r="Q289" s="307" t="str">
        <f>IFERROR(VLOOKUP(O289,Références!$K$11:$N$19,3)," ")</f>
        <v xml:space="preserve"> </v>
      </c>
      <c r="R289" s="307" t="str">
        <f>IFERROR(VLOOKUP(O289,Références!$K$11:$N$19,4)," ")</f>
        <v xml:space="preserve"> </v>
      </c>
      <c r="S289" s="298"/>
      <c r="T289" s="298"/>
      <c r="U289" s="298"/>
      <c r="V289" s="298"/>
      <c r="W289" s="298"/>
      <c r="X289" s="299"/>
      <c r="Y289" s="298"/>
      <c r="Z289" s="298"/>
      <c r="AA289" s="298"/>
      <c r="AB289" s="277"/>
      <c r="AC289" s="277"/>
      <c r="AD289" s="277"/>
      <c r="AE289" s="277"/>
      <c r="AF289" s="277"/>
      <c r="AG289" s="277"/>
      <c r="AH289" s="277"/>
      <c r="AI289" s="277">
        <f t="shared" si="327"/>
        <v>0</v>
      </c>
      <c r="AJ289" s="299"/>
      <c r="AK289" s="298">
        <f t="shared" si="328"/>
        <v>0</v>
      </c>
      <c r="AL289" s="299"/>
      <c r="AM289" s="308">
        <f t="shared" si="329"/>
        <v>0</v>
      </c>
      <c r="AN289" s="298"/>
      <c r="AO289" s="318"/>
      <c r="AP289" s="303" t="str">
        <f t="shared" si="542"/>
        <v xml:space="preserve"> </v>
      </c>
      <c r="AQ289" s="298"/>
      <c r="AR289" s="337"/>
      <c r="AS289" s="337"/>
      <c r="AT289" s="305"/>
      <c r="AU289" s="319"/>
      <c r="AV289" s="305"/>
      <c r="AW289" s="272"/>
      <c r="AX289" s="342"/>
      <c r="AY289" s="343"/>
      <c r="AZ289" s="272"/>
      <c r="BA289" s="342"/>
      <c r="BB289" s="337"/>
      <c r="BC289" s="270">
        <f t="shared" si="330"/>
        <v>0</v>
      </c>
      <c r="BD289" s="270">
        <f t="shared" si="331"/>
        <v>0</v>
      </c>
      <c r="BE289" s="270">
        <f t="shared" si="332"/>
        <v>1</v>
      </c>
      <c r="BF289" s="270" t="str">
        <f t="shared" si="333"/>
        <v>ALIVE</v>
      </c>
      <c r="BG289" s="250" t="str">
        <f t="shared" si="334"/>
        <v>Aucune</v>
      </c>
      <c r="BH289" s="250" t="str">
        <f t="shared" si="335"/>
        <v>Aucune</v>
      </c>
      <c r="BI289" s="250" t="str">
        <f t="shared" si="336"/>
        <v>Aucune</v>
      </c>
      <c r="BJ289" s="250" t="str">
        <f t="shared" si="337"/>
        <v>NON</v>
      </c>
      <c r="BK289" s="250" t="str">
        <f t="shared" si="338"/>
        <v>NON</v>
      </c>
      <c r="BL289" s="250" t="str">
        <f t="shared" si="339"/>
        <v>Inconnu</v>
      </c>
      <c r="BM289" s="250" t="str">
        <f t="shared" si="340"/>
        <v>Inconnu</v>
      </c>
      <c r="BN289" s="250" t="str">
        <f t="shared" si="341"/>
        <v>Inconnu</v>
      </c>
      <c r="BO289" s="250" t="str">
        <f t="shared" si="342"/>
        <v>Inconnu</v>
      </c>
      <c r="BP289" s="250" t="str">
        <f t="shared" si="343"/>
        <v>Inconnu</v>
      </c>
      <c r="BQ289" s="250" t="str">
        <f t="shared" si="344"/>
        <v>Inconnu</v>
      </c>
      <c r="BR289" s="250" t="str">
        <f t="shared" si="345"/>
        <v>Aucune</v>
      </c>
      <c r="BS289" s="250">
        <f t="shared" si="346"/>
        <v>0</v>
      </c>
      <c r="BT289" s="271" t="e">
        <f>VLOOKUP($I289,Lieu_Activité!$A:$B,2,FALSE)</f>
        <v>#N/A</v>
      </c>
      <c r="BU289" s="250" t="str">
        <f t="shared" si="347"/>
        <v>Aucun</v>
      </c>
      <c r="BV289" s="250" t="str">
        <f t="shared" si="348"/>
        <v>Aucun</v>
      </c>
      <c r="BW289" s="249" t="str">
        <f t="shared" si="349"/>
        <v>NON</v>
      </c>
      <c r="BX289" s="330"/>
    </row>
    <row r="290" spans="1:170" ht="12" customHeight="1" x14ac:dyDescent="0.2">
      <c r="A290" s="273" t="s">
        <v>307</v>
      </c>
      <c r="B290" s="276"/>
      <c r="C290" s="269"/>
      <c r="D290" s="299"/>
      <c r="E290" s="320">
        <f t="shared" ref="E290:E301" si="621">(L290-D290)/365</f>
        <v>0</v>
      </c>
      <c r="F290" s="320" t="str">
        <f t="shared" si="226"/>
        <v xml:space="preserve"> </v>
      </c>
      <c r="G290" s="298"/>
      <c r="H290" s="298"/>
      <c r="I290" s="298"/>
      <c r="J290" s="298"/>
      <c r="K290" s="298"/>
      <c r="L290" s="299"/>
      <c r="M290" s="285"/>
      <c r="N290" s="274"/>
      <c r="O290" s="274"/>
      <c r="P290" s="307" t="str">
        <f>IFERROR(VLOOKUP(O290,Références!$K$11:$N$19,2)," ")</f>
        <v xml:space="preserve"> </v>
      </c>
      <c r="Q290" s="307" t="str">
        <f>IFERROR(VLOOKUP(O290,Références!$K$11:$N$19,3)," ")</f>
        <v xml:space="preserve"> </v>
      </c>
      <c r="R290" s="307" t="str">
        <f>IFERROR(VLOOKUP(O290,Références!$K$11:$N$19,4)," ")</f>
        <v xml:space="preserve"> </v>
      </c>
      <c r="S290" s="298"/>
      <c r="T290" s="298"/>
      <c r="U290" s="298"/>
      <c r="V290" s="298"/>
      <c r="W290" s="298"/>
      <c r="X290" s="299"/>
      <c r="Y290" s="298"/>
      <c r="Z290" s="298"/>
      <c r="AA290" s="298"/>
      <c r="AB290" s="277"/>
      <c r="AC290" s="277"/>
      <c r="AD290" s="277"/>
      <c r="AE290" s="277"/>
      <c r="AF290" s="277"/>
      <c r="AG290" s="277"/>
      <c r="AH290" s="277"/>
      <c r="AI290" s="277">
        <f t="shared" ref="AI290:AI301" si="622">SUM(AF290,AH290)</f>
        <v>0</v>
      </c>
      <c r="AJ290" s="299"/>
      <c r="AK290" s="298">
        <f t="shared" ref="AK290:AK301" si="623">(AJ290-L290)</f>
        <v>0</v>
      </c>
      <c r="AL290" s="299"/>
      <c r="AM290" s="308">
        <f t="shared" ref="AM290:AM301" si="624">(AL290-L290)</f>
        <v>0</v>
      </c>
      <c r="AN290" s="298"/>
      <c r="AO290" s="318"/>
      <c r="AP290" s="303" t="str">
        <f t="shared" si="542"/>
        <v xml:space="preserve"> </v>
      </c>
      <c r="AQ290" s="298"/>
      <c r="AR290" s="337"/>
      <c r="AS290" s="337"/>
      <c r="AT290" s="305"/>
      <c r="AU290" s="319"/>
      <c r="AV290" s="305"/>
      <c r="AW290" s="272"/>
      <c r="AX290" s="342"/>
      <c r="AY290" s="343"/>
      <c r="AZ290" s="272"/>
      <c r="BA290" s="342"/>
      <c r="BB290" s="337"/>
      <c r="BC290" s="270">
        <f t="shared" ref="BC290:BD301" si="625">IF(BG290="Aucune",0,1)</f>
        <v>0</v>
      </c>
      <c r="BD290" s="270">
        <f t="shared" si="625"/>
        <v>0</v>
      </c>
      <c r="BE290" s="270">
        <f t="shared" si="219"/>
        <v>1</v>
      </c>
      <c r="BF290" s="270" t="str">
        <f t="shared" si="228"/>
        <v>ALIVE</v>
      </c>
      <c r="BG290" s="250" t="str">
        <f t="shared" si="220"/>
        <v>Aucune</v>
      </c>
      <c r="BH290" s="250" t="str">
        <f t="shared" si="221"/>
        <v>Aucune</v>
      </c>
      <c r="BI290" s="250" t="str">
        <f t="shared" si="222"/>
        <v>Aucune</v>
      </c>
      <c r="BJ290" s="250" t="str">
        <f t="shared" si="216"/>
        <v>NON</v>
      </c>
      <c r="BK290" s="250" t="str">
        <f t="shared" si="223"/>
        <v>NON</v>
      </c>
      <c r="BL290" s="250" t="str">
        <f t="shared" si="217"/>
        <v>Inconnu</v>
      </c>
      <c r="BM290" s="250" t="str">
        <f t="shared" ref="BM290:BM301" si="626">IF($O290&lt;&gt;"HTX",IF($O290&lt;&gt;"LVAD",BL290,"Inconnu"),"Inconnu")</f>
        <v>Inconnu</v>
      </c>
      <c r="BN290" s="250" t="str">
        <f t="shared" ref="BN290:BN301" si="627">IF($O290="HTX",BL290,IF($O290="LVAD",BL290,"Inconnu"))</f>
        <v>Inconnu</v>
      </c>
      <c r="BO290" s="250" t="str">
        <f t="shared" si="218"/>
        <v>Inconnu</v>
      </c>
      <c r="BP290" s="250" t="str">
        <f t="shared" ref="BP290:BP301" si="628">IF($O290&lt;&gt;"HTX",IF($O290&lt;&gt;"LVAD",BO290,"Inconnu"),"Inconnu")</f>
        <v>Inconnu</v>
      </c>
      <c r="BQ290" s="250" t="str">
        <f t="shared" ref="BQ290:BQ301" si="629">IF($O290="HTX",BO290,IF($O290="LVAD",BO290,"Inconnu"))</f>
        <v>Inconnu</v>
      </c>
      <c r="BR290" s="250" t="str">
        <f t="shared" ref="BR290:BR301" si="630">IF(BH290="Aucune",IF(BI290="Aucune","Aucune","Transfusé"),"Transfusé")</f>
        <v>Aucune</v>
      </c>
      <c r="BS290" s="250">
        <f t="shared" si="215"/>
        <v>0</v>
      </c>
      <c r="BT290" s="271" t="e">
        <f>VLOOKUP($I290,Lieu_Activité!$A:$B,2,FALSE)</f>
        <v>#N/A</v>
      </c>
      <c r="BU290" s="250" t="str">
        <f t="shared" si="224"/>
        <v>Aucun</v>
      </c>
      <c r="BV290" s="250" t="str">
        <f t="shared" si="225"/>
        <v>Aucun</v>
      </c>
      <c r="BW290" s="249" t="str">
        <f t="shared" ref="BW290:BW301" si="631">IF(M290="","NON","OUI")</f>
        <v>NON</v>
      </c>
      <c r="BX290" s="330"/>
    </row>
    <row r="291" spans="1:170" ht="12" customHeight="1" x14ac:dyDescent="0.2">
      <c r="A291" s="273" t="s">
        <v>259</v>
      </c>
      <c r="B291" s="276"/>
      <c r="C291" s="269"/>
      <c r="D291" s="299"/>
      <c r="E291" s="320">
        <f t="shared" si="621"/>
        <v>0</v>
      </c>
      <c r="F291" s="320" t="str">
        <f t="shared" si="226"/>
        <v xml:space="preserve"> </v>
      </c>
      <c r="G291" s="298"/>
      <c r="H291" s="298"/>
      <c r="I291" s="298"/>
      <c r="J291" s="298"/>
      <c r="K291" s="298"/>
      <c r="L291" s="299"/>
      <c r="M291" s="285"/>
      <c r="N291" s="274"/>
      <c r="O291" s="274"/>
      <c r="P291" s="307" t="str">
        <f>IFERROR(VLOOKUP(O291,Références!$K$11:$N$19,2)," ")</f>
        <v xml:space="preserve"> </v>
      </c>
      <c r="Q291" s="307" t="str">
        <f>IFERROR(VLOOKUP(O291,Références!$K$11:$N$19,3)," ")</f>
        <v xml:space="preserve"> </v>
      </c>
      <c r="R291" s="307" t="str">
        <f>IFERROR(VLOOKUP(O291,Références!$K$11:$N$19,4)," ")</f>
        <v xml:space="preserve"> </v>
      </c>
      <c r="S291" s="298"/>
      <c r="T291" s="298"/>
      <c r="U291" s="298"/>
      <c r="V291" s="298"/>
      <c r="W291" s="298"/>
      <c r="X291" s="299"/>
      <c r="Y291" s="298"/>
      <c r="Z291" s="298"/>
      <c r="AA291" s="298"/>
      <c r="AB291" s="277"/>
      <c r="AC291" s="277"/>
      <c r="AD291" s="277"/>
      <c r="AE291" s="277"/>
      <c r="AF291" s="277"/>
      <c r="AG291" s="277"/>
      <c r="AH291" s="277"/>
      <c r="AI291" s="277">
        <f t="shared" si="622"/>
        <v>0</v>
      </c>
      <c r="AJ291" s="299"/>
      <c r="AK291" s="298">
        <f t="shared" si="623"/>
        <v>0</v>
      </c>
      <c r="AL291" s="299"/>
      <c r="AM291" s="308">
        <f t="shared" si="624"/>
        <v>0</v>
      </c>
      <c r="AN291" s="298"/>
      <c r="AO291" s="318"/>
      <c r="AP291" s="303" t="str">
        <f t="shared" si="542"/>
        <v xml:space="preserve"> </v>
      </c>
      <c r="AQ291" s="298"/>
      <c r="AR291" s="337"/>
      <c r="AS291" s="337"/>
      <c r="AT291" s="305"/>
      <c r="AU291" s="319"/>
      <c r="AV291" s="305"/>
      <c r="AW291" s="272"/>
      <c r="AX291" s="342"/>
      <c r="AY291" s="343"/>
      <c r="AZ291" s="342"/>
      <c r="BA291" s="342"/>
      <c r="BB291" s="337"/>
      <c r="BC291" s="270">
        <f t="shared" si="625"/>
        <v>0</v>
      </c>
      <c r="BD291" s="270">
        <f t="shared" si="625"/>
        <v>0</v>
      </c>
      <c r="BE291" s="270">
        <f t="shared" si="219"/>
        <v>1</v>
      </c>
      <c r="BF291" s="270" t="str">
        <f t="shared" si="228"/>
        <v>ALIVE</v>
      </c>
      <c r="BG291" s="250" t="str">
        <f t="shared" si="220"/>
        <v>Aucune</v>
      </c>
      <c r="BH291" s="250" t="str">
        <f t="shared" si="221"/>
        <v>Aucune</v>
      </c>
      <c r="BI291" s="250" t="str">
        <f t="shared" si="222"/>
        <v>Aucune</v>
      </c>
      <c r="BJ291" s="250" t="str">
        <f t="shared" si="216"/>
        <v>NON</v>
      </c>
      <c r="BK291" s="250" t="str">
        <f t="shared" si="223"/>
        <v>NON</v>
      </c>
      <c r="BL291" s="250" t="str">
        <f t="shared" si="217"/>
        <v>Inconnu</v>
      </c>
      <c r="BM291" s="250" t="str">
        <f t="shared" si="626"/>
        <v>Inconnu</v>
      </c>
      <c r="BN291" s="250" t="str">
        <f t="shared" si="627"/>
        <v>Inconnu</v>
      </c>
      <c r="BO291" s="250" t="str">
        <f t="shared" si="218"/>
        <v>Inconnu</v>
      </c>
      <c r="BP291" s="250" t="str">
        <f t="shared" si="628"/>
        <v>Inconnu</v>
      </c>
      <c r="BQ291" s="250" t="str">
        <f t="shared" si="629"/>
        <v>Inconnu</v>
      </c>
      <c r="BR291" s="250" t="str">
        <f t="shared" si="630"/>
        <v>Aucune</v>
      </c>
      <c r="BS291" s="250">
        <f t="shared" si="215"/>
        <v>0</v>
      </c>
      <c r="BT291" s="271" t="e">
        <f>VLOOKUP($I291,Lieu_Activité!$A:$B,2,FALSE)</f>
        <v>#N/A</v>
      </c>
      <c r="BU291" s="250" t="str">
        <f t="shared" si="224"/>
        <v>Aucun</v>
      </c>
      <c r="BV291" s="250" t="str">
        <f t="shared" si="225"/>
        <v>Aucun</v>
      </c>
      <c r="BW291" s="249" t="str">
        <f t="shared" si="631"/>
        <v>NON</v>
      </c>
      <c r="BX291" s="330"/>
    </row>
    <row r="292" spans="1:170" ht="12" customHeight="1" x14ac:dyDescent="0.2">
      <c r="A292" s="273" t="s">
        <v>259</v>
      </c>
      <c r="B292" s="276"/>
      <c r="C292" s="269"/>
      <c r="D292" s="299"/>
      <c r="E292" s="320">
        <f t="shared" ref="E292:E296" si="632">(L292-D292)/365</f>
        <v>0</v>
      </c>
      <c r="F292" s="320" t="str">
        <f t="shared" ref="F292:F296" si="633">IF(E292&lt;80," ","1")</f>
        <v xml:space="preserve"> </v>
      </c>
      <c r="G292" s="298"/>
      <c r="H292" s="298"/>
      <c r="I292" s="298"/>
      <c r="J292" s="298"/>
      <c r="K292" s="298"/>
      <c r="L292" s="299"/>
      <c r="M292" s="285"/>
      <c r="N292" s="274"/>
      <c r="O292" s="274"/>
      <c r="P292" s="307" t="str">
        <f>IFERROR(VLOOKUP(O292,Références!$K$11:$N$19,2)," ")</f>
        <v xml:space="preserve"> </v>
      </c>
      <c r="Q292" s="307" t="str">
        <f>IFERROR(VLOOKUP(O292,Références!$K$11:$N$19,3)," ")</f>
        <v xml:space="preserve"> </v>
      </c>
      <c r="R292" s="307" t="str">
        <f>IFERROR(VLOOKUP(O292,Références!$K$11:$N$19,4)," ")</f>
        <v xml:space="preserve"> </v>
      </c>
      <c r="S292" s="298"/>
      <c r="T292" s="298"/>
      <c r="U292" s="298"/>
      <c r="V292" s="298"/>
      <c r="W292" s="298"/>
      <c r="X292" s="299"/>
      <c r="Y292" s="298"/>
      <c r="Z292" s="298"/>
      <c r="AA292" s="298"/>
      <c r="AB292" s="277"/>
      <c r="AC292" s="277"/>
      <c r="AD292" s="277"/>
      <c r="AE292" s="277"/>
      <c r="AF292" s="277"/>
      <c r="AG292" s="277"/>
      <c r="AH292" s="277"/>
      <c r="AI292" s="277">
        <f t="shared" ref="AI292:AI296" si="634">SUM(AF292,AH292)</f>
        <v>0</v>
      </c>
      <c r="AJ292" s="299"/>
      <c r="AK292" s="298">
        <f t="shared" ref="AK292:AK296" si="635">(AJ292-L292)</f>
        <v>0</v>
      </c>
      <c r="AL292" s="299"/>
      <c r="AM292" s="308">
        <f t="shared" ref="AM292:AM296" si="636">(AL292-L292)</f>
        <v>0</v>
      </c>
      <c r="AN292" s="298"/>
      <c r="AO292" s="318"/>
      <c r="AP292" s="303" t="str">
        <f t="shared" si="542"/>
        <v xml:space="preserve"> </v>
      </c>
      <c r="AQ292" s="298"/>
      <c r="AR292" s="337"/>
      <c r="AS292" s="337"/>
      <c r="AT292" s="305"/>
      <c r="AU292" s="319"/>
      <c r="AV292" s="305"/>
      <c r="AW292" s="272"/>
      <c r="AX292" s="342"/>
      <c r="AY292" s="343"/>
      <c r="AZ292" s="272"/>
      <c r="BA292" s="342"/>
      <c r="BB292" s="337"/>
      <c r="BC292" s="270">
        <f t="shared" ref="BC292:BC296" si="637">IF(BG292="Aucune",0,1)</f>
        <v>0</v>
      </c>
      <c r="BD292" s="270">
        <f t="shared" ref="BD292:BD296" si="638">IF(BH292="Aucune",0,1)</f>
        <v>0</v>
      </c>
      <c r="BE292" s="270">
        <f t="shared" ref="BE292:BE296" si="639">IF(AG292="Aucune",0,1)</f>
        <v>1</v>
      </c>
      <c r="BF292" s="270" t="str">
        <f t="shared" ref="BF292:BF296" si="640">IF(AO292=1,"ELECTIVE",IF(AO292=2,"URGENCY",IF(AO292=3,"EMERGENCY",IF(AO292=4,"SALVAGE","ALIVE"))))</f>
        <v>ALIVE</v>
      </c>
      <c r="BG292" s="250" t="str">
        <f t="shared" ref="BG292:BG296" si="641">IF(AD292="","Aucune","Infection")</f>
        <v>Aucune</v>
      </c>
      <c r="BH292" s="250" t="str">
        <f t="shared" ref="BH292:BH296" si="642">IF(AI292&gt;0,"Transfusion","Aucune")</f>
        <v>Aucune</v>
      </c>
      <c r="BI292" s="250" t="str">
        <f t="shared" ref="BI292:BI296" si="643">IF(AG292="","Aucune","Transfusé")</f>
        <v>Aucune</v>
      </c>
      <c r="BJ292" s="250" t="str">
        <f t="shared" ref="BJ292:BJ296" si="644">IF(X292&lt;&gt;"",IF(X292-L292&lt;2,"OUI","NON"),"NON")</f>
        <v>NON</v>
      </c>
      <c r="BK292" s="250" t="str">
        <f t="shared" ref="BK292:BK296" si="645">IF(AS292="","NON","OUI")</f>
        <v>NON</v>
      </c>
      <c r="BL292" s="250" t="str">
        <f t="shared" ref="BL292:BL296" si="646">IF(AL292-L292&gt;0,AL292-L292,"Inconnu")</f>
        <v>Inconnu</v>
      </c>
      <c r="BM292" s="250" t="str">
        <f t="shared" ref="BM292:BM296" si="647">IF($O292&lt;&gt;"HTX",IF($O292&lt;&gt;"LVAD",BL292,"Inconnu"),"Inconnu")</f>
        <v>Inconnu</v>
      </c>
      <c r="BN292" s="250" t="str">
        <f t="shared" ref="BN292:BN296" si="648">IF($O292="HTX",BL292,IF($O292="LVAD",BL292,"Inconnu"))</f>
        <v>Inconnu</v>
      </c>
      <c r="BO292" s="250" t="str">
        <f t="shared" ref="BO292:BO296" si="649">IF(AJ292-L292&gt;0,AJ292-L292,"Inconnu")</f>
        <v>Inconnu</v>
      </c>
      <c r="BP292" s="250" t="str">
        <f t="shared" ref="BP292:BP296" si="650">IF($O292&lt;&gt;"HTX",IF($O292&lt;&gt;"LVAD",BO292,"Inconnu"),"Inconnu")</f>
        <v>Inconnu</v>
      </c>
      <c r="BQ292" s="250" t="str">
        <f t="shared" ref="BQ292:BQ296" si="651">IF($O292="HTX",BO292,IF($O292="LVAD",BO292,"Inconnu"))</f>
        <v>Inconnu</v>
      </c>
      <c r="BR292" s="250" t="str">
        <f t="shared" ref="BR292:BR296" si="652">IF(BH292="Aucune",IF(BI292="Aucune","Aucune","Transfusé"),"Transfusé")</f>
        <v>Aucune</v>
      </c>
      <c r="BS292" s="250">
        <f t="shared" ref="BS292:BS296" si="653">AF292+AH292</f>
        <v>0</v>
      </c>
      <c r="BT292" s="271" t="e">
        <f>VLOOKUP($I292,Lieu_Activité!$A:$B,2,FALSE)</f>
        <v>#N/A</v>
      </c>
      <c r="BU292" s="250" t="str">
        <f t="shared" ref="BU292:BU296" si="654">IF(AB292="","Aucun","AVC")</f>
        <v>Aucun</v>
      </c>
      <c r="BV292" s="250" t="str">
        <f t="shared" ref="BV292:BV296" si="655">IF(AC292="","Aucun","IM")</f>
        <v>Aucun</v>
      </c>
      <c r="BW292" s="249" t="str">
        <f t="shared" ref="BW292:BW296" si="656">IF(M292="","NON","OUI")</f>
        <v>NON</v>
      </c>
      <c r="BX292" s="330"/>
    </row>
    <row r="293" spans="1:170" ht="12" customHeight="1" x14ac:dyDescent="0.2">
      <c r="A293" s="273" t="s">
        <v>259</v>
      </c>
      <c r="B293" s="276"/>
      <c r="C293" s="269"/>
      <c r="D293" s="299"/>
      <c r="E293" s="320">
        <f t="shared" si="632"/>
        <v>0</v>
      </c>
      <c r="F293" s="320" t="str">
        <f t="shared" si="633"/>
        <v xml:space="preserve"> </v>
      </c>
      <c r="G293" s="298"/>
      <c r="H293" s="298"/>
      <c r="I293" s="298"/>
      <c r="J293" s="298"/>
      <c r="K293" s="298"/>
      <c r="L293" s="299"/>
      <c r="M293" s="285"/>
      <c r="N293" s="274"/>
      <c r="O293" s="274"/>
      <c r="P293" s="307" t="str">
        <f>IFERROR(VLOOKUP(O293,Références!$K$11:$N$19,2)," ")</f>
        <v xml:space="preserve"> </v>
      </c>
      <c r="Q293" s="307" t="str">
        <f>IFERROR(VLOOKUP(O293,Références!$K$11:$N$19,3)," ")</f>
        <v xml:space="preserve"> </v>
      </c>
      <c r="R293" s="307" t="str">
        <f>IFERROR(VLOOKUP(O293,Références!$K$11:$N$19,4)," ")</f>
        <v xml:space="preserve"> </v>
      </c>
      <c r="S293" s="298"/>
      <c r="T293" s="298"/>
      <c r="U293" s="298"/>
      <c r="V293" s="298"/>
      <c r="W293" s="298"/>
      <c r="X293" s="299"/>
      <c r="Y293" s="298"/>
      <c r="Z293" s="298"/>
      <c r="AA293" s="298"/>
      <c r="AB293" s="277"/>
      <c r="AC293" s="277"/>
      <c r="AD293" s="277"/>
      <c r="AE293" s="277"/>
      <c r="AF293" s="277"/>
      <c r="AG293" s="277"/>
      <c r="AH293" s="277"/>
      <c r="AI293" s="277">
        <f t="shared" si="634"/>
        <v>0</v>
      </c>
      <c r="AJ293" s="299"/>
      <c r="AK293" s="298">
        <f t="shared" si="635"/>
        <v>0</v>
      </c>
      <c r="AL293" s="299"/>
      <c r="AM293" s="308">
        <f t="shared" si="636"/>
        <v>0</v>
      </c>
      <c r="AN293" s="298"/>
      <c r="AO293" s="318"/>
      <c r="AP293" s="303" t="str">
        <f t="shared" si="542"/>
        <v xml:space="preserve"> </v>
      </c>
      <c r="AQ293" s="298"/>
      <c r="AR293" s="337"/>
      <c r="AS293" s="337"/>
      <c r="AT293" s="305"/>
      <c r="AU293" s="319"/>
      <c r="AV293" s="305"/>
      <c r="AW293" s="272"/>
      <c r="AX293" s="342"/>
      <c r="AY293" s="343"/>
      <c r="AZ293" s="272"/>
      <c r="BA293" s="342"/>
      <c r="BB293" s="337"/>
      <c r="BC293" s="270">
        <f t="shared" si="637"/>
        <v>0</v>
      </c>
      <c r="BD293" s="270">
        <f t="shared" si="638"/>
        <v>0</v>
      </c>
      <c r="BE293" s="270">
        <f t="shared" si="639"/>
        <v>1</v>
      </c>
      <c r="BF293" s="270" t="str">
        <f t="shared" si="640"/>
        <v>ALIVE</v>
      </c>
      <c r="BG293" s="250" t="str">
        <f t="shared" si="641"/>
        <v>Aucune</v>
      </c>
      <c r="BH293" s="250" t="str">
        <f t="shared" si="642"/>
        <v>Aucune</v>
      </c>
      <c r="BI293" s="250" t="str">
        <f t="shared" si="643"/>
        <v>Aucune</v>
      </c>
      <c r="BJ293" s="250" t="str">
        <f t="shared" si="644"/>
        <v>NON</v>
      </c>
      <c r="BK293" s="250" t="str">
        <f t="shared" si="645"/>
        <v>NON</v>
      </c>
      <c r="BL293" s="250" t="str">
        <f t="shared" si="646"/>
        <v>Inconnu</v>
      </c>
      <c r="BM293" s="250" t="str">
        <f t="shared" si="647"/>
        <v>Inconnu</v>
      </c>
      <c r="BN293" s="250" t="str">
        <f t="shared" si="648"/>
        <v>Inconnu</v>
      </c>
      <c r="BO293" s="250" t="str">
        <f t="shared" si="649"/>
        <v>Inconnu</v>
      </c>
      <c r="BP293" s="250" t="str">
        <f t="shared" si="650"/>
        <v>Inconnu</v>
      </c>
      <c r="BQ293" s="250" t="str">
        <f t="shared" si="651"/>
        <v>Inconnu</v>
      </c>
      <c r="BR293" s="250" t="str">
        <f t="shared" si="652"/>
        <v>Aucune</v>
      </c>
      <c r="BS293" s="250">
        <f t="shared" si="653"/>
        <v>0</v>
      </c>
      <c r="BT293" s="271" t="e">
        <f>VLOOKUP($I293,Lieu_Activité!$A:$B,2,FALSE)</f>
        <v>#N/A</v>
      </c>
      <c r="BU293" s="250" t="str">
        <f t="shared" si="654"/>
        <v>Aucun</v>
      </c>
      <c r="BV293" s="250" t="str">
        <f t="shared" si="655"/>
        <v>Aucun</v>
      </c>
      <c r="BW293" s="249" t="str">
        <f t="shared" si="656"/>
        <v>NON</v>
      </c>
      <c r="BX293" s="330"/>
    </row>
    <row r="294" spans="1:170" ht="12" customHeight="1" x14ac:dyDescent="0.2">
      <c r="A294" s="273" t="s">
        <v>259</v>
      </c>
      <c r="B294" s="276"/>
      <c r="C294" s="269"/>
      <c r="D294" s="299"/>
      <c r="E294" s="320">
        <f t="shared" si="632"/>
        <v>0</v>
      </c>
      <c r="F294" s="320" t="str">
        <f t="shared" si="633"/>
        <v xml:space="preserve"> </v>
      </c>
      <c r="G294" s="298"/>
      <c r="H294" s="298"/>
      <c r="I294" s="298"/>
      <c r="J294" s="298"/>
      <c r="K294" s="298"/>
      <c r="L294" s="299"/>
      <c r="M294" s="285"/>
      <c r="N294" s="274"/>
      <c r="O294" s="274"/>
      <c r="P294" s="307" t="str">
        <f>IFERROR(VLOOKUP(O294,Références!$K$11:$N$19,2)," ")</f>
        <v xml:space="preserve"> </v>
      </c>
      <c r="Q294" s="307" t="str">
        <f>IFERROR(VLOOKUP(O294,Références!$K$11:$N$19,3)," ")</f>
        <v xml:space="preserve"> </v>
      </c>
      <c r="R294" s="307" t="str">
        <f>IFERROR(VLOOKUP(O294,Références!$K$11:$N$19,4)," ")</f>
        <v xml:space="preserve"> </v>
      </c>
      <c r="S294" s="298"/>
      <c r="T294" s="298"/>
      <c r="U294" s="298"/>
      <c r="V294" s="298"/>
      <c r="W294" s="298"/>
      <c r="X294" s="299"/>
      <c r="Y294" s="298"/>
      <c r="Z294" s="298"/>
      <c r="AA294" s="298"/>
      <c r="AB294" s="277"/>
      <c r="AC294" s="277"/>
      <c r="AD294" s="277"/>
      <c r="AE294" s="277"/>
      <c r="AF294" s="277"/>
      <c r="AG294" s="277"/>
      <c r="AH294" s="277"/>
      <c r="AI294" s="277">
        <f t="shared" si="634"/>
        <v>0</v>
      </c>
      <c r="AJ294" s="299"/>
      <c r="AK294" s="298">
        <f t="shared" si="635"/>
        <v>0</v>
      </c>
      <c r="AL294" s="299"/>
      <c r="AM294" s="308">
        <f t="shared" si="636"/>
        <v>0</v>
      </c>
      <c r="AN294" s="298"/>
      <c r="AO294" s="318"/>
      <c r="AP294" s="303" t="str">
        <f t="shared" si="542"/>
        <v xml:space="preserve"> </v>
      </c>
      <c r="AQ294" s="298"/>
      <c r="AR294" s="337"/>
      <c r="AS294" s="337"/>
      <c r="AT294" s="305"/>
      <c r="AU294" s="319"/>
      <c r="AV294" s="305"/>
      <c r="AW294" s="272"/>
      <c r="AX294" s="342"/>
      <c r="AY294" s="343"/>
      <c r="AZ294" s="272"/>
      <c r="BA294" s="342"/>
      <c r="BB294" s="337"/>
      <c r="BC294" s="270">
        <f t="shared" si="637"/>
        <v>0</v>
      </c>
      <c r="BD294" s="270">
        <f t="shared" si="638"/>
        <v>0</v>
      </c>
      <c r="BE294" s="270">
        <f t="shared" si="639"/>
        <v>1</v>
      </c>
      <c r="BF294" s="270" t="str">
        <f t="shared" si="640"/>
        <v>ALIVE</v>
      </c>
      <c r="BG294" s="250" t="str">
        <f t="shared" si="641"/>
        <v>Aucune</v>
      </c>
      <c r="BH294" s="250" t="str">
        <f t="shared" si="642"/>
        <v>Aucune</v>
      </c>
      <c r="BI294" s="250" t="str">
        <f t="shared" si="643"/>
        <v>Aucune</v>
      </c>
      <c r="BJ294" s="250" t="str">
        <f t="shared" si="644"/>
        <v>NON</v>
      </c>
      <c r="BK294" s="250" t="str">
        <f t="shared" si="645"/>
        <v>NON</v>
      </c>
      <c r="BL294" s="250" t="str">
        <f t="shared" si="646"/>
        <v>Inconnu</v>
      </c>
      <c r="BM294" s="250" t="str">
        <f t="shared" si="647"/>
        <v>Inconnu</v>
      </c>
      <c r="BN294" s="250" t="str">
        <f t="shared" si="648"/>
        <v>Inconnu</v>
      </c>
      <c r="BO294" s="250" t="str">
        <f t="shared" si="649"/>
        <v>Inconnu</v>
      </c>
      <c r="BP294" s="250" t="str">
        <f t="shared" si="650"/>
        <v>Inconnu</v>
      </c>
      <c r="BQ294" s="250" t="str">
        <f t="shared" si="651"/>
        <v>Inconnu</v>
      </c>
      <c r="BR294" s="250" t="str">
        <f t="shared" si="652"/>
        <v>Aucune</v>
      </c>
      <c r="BS294" s="250">
        <f t="shared" si="653"/>
        <v>0</v>
      </c>
      <c r="BT294" s="271" t="e">
        <f>VLOOKUP($I294,Lieu_Activité!$A:$B,2,FALSE)</f>
        <v>#N/A</v>
      </c>
      <c r="BU294" s="250" t="str">
        <f t="shared" si="654"/>
        <v>Aucun</v>
      </c>
      <c r="BV294" s="250" t="str">
        <f t="shared" si="655"/>
        <v>Aucun</v>
      </c>
      <c r="BW294" s="249" t="str">
        <f t="shared" si="656"/>
        <v>NON</v>
      </c>
      <c r="BX294" s="330"/>
    </row>
    <row r="295" spans="1:170" ht="12" customHeight="1" x14ac:dyDescent="0.2">
      <c r="A295" s="273" t="s">
        <v>259</v>
      </c>
      <c r="B295" s="276"/>
      <c r="C295" s="269"/>
      <c r="D295" s="299"/>
      <c r="E295" s="320">
        <f t="shared" si="632"/>
        <v>0</v>
      </c>
      <c r="F295" s="320" t="str">
        <f t="shared" si="633"/>
        <v xml:space="preserve"> </v>
      </c>
      <c r="G295" s="298"/>
      <c r="H295" s="298"/>
      <c r="I295" s="298"/>
      <c r="J295" s="298"/>
      <c r="K295" s="298"/>
      <c r="L295" s="299"/>
      <c r="M295" s="285"/>
      <c r="N295" s="274"/>
      <c r="O295" s="274"/>
      <c r="P295" s="307" t="str">
        <f>IFERROR(VLOOKUP(O295,Références!$K$11:$N$19,2)," ")</f>
        <v xml:space="preserve"> </v>
      </c>
      <c r="Q295" s="307" t="str">
        <f>IFERROR(VLOOKUP(O295,Références!$K$11:$N$19,3)," ")</f>
        <v xml:space="preserve"> </v>
      </c>
      <c r="R295" s="307" t="str">
        <f>IFERROR(VLOOKUP(O295,Références!$K$11:$N$19,4)," ")</f>
        <v xml:space="preserve"> </v>
      </c>
      <c r="S295" s="298"/>
      <c r="T295" s="298"/>
      <c r="U295" s="298"/>
      <c r="V295" s="298"/>
      <c r="W295" s="298"/>
      <c r="X295" s="299"/>
      <c r="Y295" s="298"/>
      <c r="Z295" s="298"/>
      <c r="AA295" s="298"/>
      <c r="AB295" s="277"/>
      <c r="AC295" s="277"/>
      <c r="AD295" s="277"/>
      <c r="AE295" s="277"/>
      <c r="AF295" s="277"/>
      <c r="AG295" s="277"/>
      <c r="AH295" s="277"/>
      <c r="AI295" s="277">
        <f t="shared" si="634"/>
        <v>0</v>
      </c>
      <c r="AJ295" s="299"/>
      <c r="AK295" s="298">
        <f t="shared" si="635"/>
        <v>0</v>
      </c>
      <c r="AL295" s="299"/>
      <c r="AM295" s="308">
        <f t="shared" si="636"/>
        <v>0</v>
      </c>
      <c r="AN295" s="298"/>
      <c r="AO295" s="318"/>
      <c r="AP295" s="303" t="str">
        <f t="shared" si="542"/>
        <v xml:space="preserve"> </v>
      </c>
      <c r="AQ295" s="298"/>
      <c r="AR295" s="337"/>
      <c r="AS295" s="337"/>
      <c r="AT295" s="305"/>
      <c r="AU295" s="319"/>
      <c r="AV295" s="305"/>
      <c r="AW295" s="272"/>
      <c r="AX295" s="342"/>
      <c r="AY295" s="343"/>
      <c r="AZ295" s="272"/>
      <c r="BA295" s="342"/>
      <c r="BB295" s="337"/>
      <c r="BC295" s="270">
        <f t="shared" si="637"/>
        <v>0</v>
      </c>
      <c r="BD295" s="270">
        <f t="shared" si="638"/>
        <v>0</v>
      </c>
      <c r="BE295" s="270">
        <f t="shared" si="639"/>
        <v>1</v>
      </c>
      <c r="BF295" s="270" t="str">
        <f t="shared" si="640"/>
        <v>ALIVE</v>
      </c>
      <c r="BG295" s="250" t="str">
        <f t="shared" si="641"/>
        <v>Aucune</v>
      </c>
      <c r="BH295" s="250" t="str">
        <f t="shared" si="642"/>
        <v>Aucune</v>
      </c>
      <c r="BI295" s="250" t="str">
        <f t="shared" si="643"/>
        <v>Aucune</v>
      </c>
      <c r="BJ295" s="250" t="str">
        <f t="shared" si="644"/>
        <v>NON</v>
      </c>
      <c r="BK295" s="250" t="str">
        <f t="shared" si="645"/>
        <v>NON</v>
      </c>
      <c r="BL295" s="250" t="str">
        <f t="shared" si="646"/>
        <v>Inconnu</v>
      </c>
      <c r="BM295" s="250" t="str">
        <f t="shared" si="647"/>
        <v>Inconnu</v>
      </c>
      <c r="BN295" s="250" t="str">
        <f t="shared" si="648"/>
        <v>Inconnu</v>
      </c>
      <c r="BO295" s="250" t="str">
        <f t="shared" si="649"/>
        <v>Inconnu</v>
      </c>
      <c r="BP295" s="250" t="str">
        <f t="shared" si="650"/>
        <v>Inconnu</v>
      </c>
      <c r="BQ295" s="250" t="str">
        <f t="shared" si="651"/>
        <v>Inconnu</v>
      </c>
      <c r="BR295" s="250" t="str">
        <f t="shared" si="652"/>
        <v>Aucune</v>
      </c>
      <c r="BS295" s="250">
        <f t="shared" si="653"/>
        <v>0</v>
      </c>
      <c r="BT295" s="271" t="e">
        <f>VLOOKUP($I295,Lieu_Activité!$A:$B,2,FALSE)</f>
        <v>#N/A</v>
      </c>
      <c r="BU295" s="250" t="str">
        <f t="shared" si="654"/>
        <v>Aucun</v>
      </c>
      <c r="BV295" s="250" t="str">
        <f t="shared" si="655"/>
        <v>Aucun</v>
      </c>
      <c r="BW295" s="249" t="str">
        <f t="shared" si="656"/>
        <v>NON</v>
      </c>
      <c r="BX295" s="330"/>
    </row>
    <row r="296" spans="1:170" ht="12" customHeight="1" x14ac:dyDescent="0.2">
      <c r="A296" s="273" t="s">
        <v>259</v>
      </c>
      <c r="B296" s="276"/>
      <c r="C296" s="269"/>
      <c r="D296" s="299"/>
      <c r="E296" s="320">
        <f t="shared" si="632"/>
        <v>0</v>
      </c>
      <c r="F296" s="320" t="str">
        <f t="shared" si="633"/>
        <v xml:space="preserve"> </v>
      </c>
      <c r="G296" s="298"/>
      <c r="H296" s="298"/>
      <c r="I296" s="298"/>
      <c r="J296" s="298"/>
      <c r="K296" s="298"/>
      <c r="L296" s="299"/>
      <c r="M296" s="285"/>
      <c r="N296" s="274"/>
      <c r="O296" s="274"/>
      <c r="P296" s="307" t="str">
        <f>IFERROR(VLOOKUP(O296,Références!$K$11:$N$19,2)," ")</f>
        <v xml:space="preserve"> </v>
      </c>
      <c r="Q296" s="307" t="str">
        <f>IFERROR(VLOOKUP(O296,Références!$K$11:$N$19,3)," ")</f>
        <v xml:space="preserve"> </v>
      </c>
      <c r="R296" s="307" t="str">
        <f>IFERROR(VLOOKUP(O296,Références!$K$11:$N$19,4)," ")</f>
        <v xml:space="preserve"> </v>
      </c>
      <c r="S296" s="298"/>
      <c r="T296" s="298"/>
      <c r="U296" s="298"/>
      <c r="V296" s="298"/>
      <c r="W296" s="298"/>
      <c r="X296" s="299"/>
      <c r="Y296" s="298"/>
      <c r="Z296" s="298"/>
      <c r="AA296" s="298"/>
      <c r="AB296" s="277"/>
      <c r="AC296" s="277"/>
      <c r="AD296" s="277"/>
      <c r="AE296" s="277"/>
      <c r="AF296" s="277"/>
      <c r="AG296" s="277"/>
      <c r="AH296" s="277"/>
      <c r="AI296" s="277">
        <f t="shared" si="634"/>
        <v>0</v>
      </c>
      <c r="AJ296" s="299"/>
      <c r="AK296" s="298">
        <f t="shared" si="635"/>
        <v>0</v>
      </c>
      <c r="AL296" s="299"/>
      <c r="AM296" s="308">
        <f t="shared" si="636"/>
        <v>0</v>
      </c>
      <c r="AN296" s="298"/>
      <c r="AO296" s="318"/>
      <c r="AP296" s="303" t="str">
        <f t="shared" si="542"/>
        <v xml:space="preserve"> </v>
      </c>
      <c r="AQ296" s="298"/>
      <c r="AR296" s="337"/>
      <c r="AS296" s="337"/>
      <c r="AT296" s="305"/>
      <c r="AU296" s="319"/>
      <c r="AV296" s="305"/>
      <c r="AW296" s="272"/>
      <c r="AX296" s="342"/>
      <c r="AY296" s="343"/>
      <c r="AZ296" s="272"/>
      <c r="BA296" s="342"/>
      <c r="BB296" s="337"/>
      <c r="BC296" s="270">
        <f t="shared" si="637"/>
        <v>0</v>
      </c>
      <c r="BD296" s="270">
        <f t="shared" si="638"/>
        <v>0</v>
      </c>
      <c r="BE296" s="270">
        <f t="shared" si="639"/>
        <v>1</v>
      </c>
      <c r="BF296" s="270" t="str">
        <f t="shared" si="640"/>
        <v>ALIVE</v>
      </c>
      <c r="BG296" s="250" t="str">
        <f t="shared" si="641"/>
        <v>Aucune</v>
      </c>
      <c r="BH296" s="250" t="str">
        <f t="shared" si="642"/>
        <v>Aucune</v>
      </c>
      <c r="BI296" s="250" t="str">
        <f t="shared" si="643"/>
        <v>Aucune</v>
      </c>
      <c r="BJ296" s="250" t="str">
        <f t="shared" si="644"/>
        <v>NON</v>
      </c>
      <c r="BK296" s="250" t="str">
        <f t="shared" si="645"/>
        <v>NON</v>
      </c>
      <c r="BL296" s="250" t="str">
        <f t="shared" si="646"/>
        <v>Inconnu</v>
      </c>
      <c r="BM296" s="250" t="str">
        <f t="shared" si="647"/>
        <v>Inconnu</v>
      </c>
      <c r="BN296" s="250" t="str">
        <f t="shared" si="648"/>
        <v>Inconnu</v>
      </c>
      <c r="BO296" s="250" t="str">
        <f t="shared" si="649"/>
        <v>Inconnu</v>
      </c>
      <c r="BP296" s="250" t="str">
        <f t="shared" si="650"/>
        <v>Inconnu</v>
      </c>
      <c r="BQ296" s="250" t="str">
        <f t="shared" si="651"/>
        <v>Inconnu</v>
      </c>
      <c r="BR296" s="250" t="str">
        <f t="shared" si="652"/>
        <v>Aucune</v>
      </c>
      <c r="BS296" s="250">
        <f t="shared" si="653"/>
        <v>0</v>
      </c>
      <c r="BT296" s="271" t="e">
        <f>VLOOKUP($I296,Lieu_Activité!$A:$B,2,FALSE)</f>
        <v>#N/A</v>
      </c>
      <c r="BU296" s="250" t="str">
        <f t="shared" si="654"/>
        <v>Aucun</v>
      </c>
      <c r="BV296" s="250" t="str">
        <f t="shared" si="655"/>
        <v>Aucun</v>
      </c>
      <c r="BW296" s="249" t="str">
        <f t="shared" si="656"/>
        <v>NON</v>
      </c>
      <c r="BX296" s="330"/>
    </row>
    <row r="297" spans="1:170" s="1" customFormat="1" ht="12.75" customHeight="1" x14ac:dyDescent="0.2">
      <c r="A297" s="273" t="s">
        <v>259</v>
      </c>
      <c r="B297" s="276"/>
      <c r="C297" s="269"/>
      <c r="D297" s="299"/>
      <c r="E297" s="320">
        <f t="shared" si="621"/>
        <v>0</v>
      </c>
      <c r="F297" s="320" t="str">
        <f t="shared" si="226"/>
        <v xml:space="preserve"> </v>
      </c>
      <c r="G297" s="298"/>
      <c r="H297" s="298"/>
      <c r="I297" s="298"/>
      <c r="J297" s="298"/>
      <c r="K297" s="298"/>
      <c r="L297" s="299"/>
      <c r="M297" s="285"/>
      <c r="N297" s="274"/>
      <c r="O297" s="274"/>
      <c r="P297" s="307" t="str">
        <f>IFERROR(VLOOKUP(O297,Références!$K$11:$N$19,2)," ")</f>
        <v xml:space="preserve"> </v>
      </c>
      <c r="Q297" s="307" t="str">
        <f>IFERROR(VLOOKUP(O297,Références!$K$11:$N$19,3)," ")</f>
        <v xml:space="preserve"> </v>
      </c>
      <c r="R297" s="307" t="str">
        <f>IFERROR(VLOOKUP(O297,Références!$K$11:$N$19,4)," ")</f>
        <v xml:space="preserve"> </v>
      </c>
      <c r="S297" s="298"/>
      <c r="T297" s="298"/>
      <c r="U297" s="298"/>
      <c r="V297" s="298"/>
      <c r="W297" s="298"/>
      <c r="X297" s="299"/>
      <c r="Y297" s="298"/>
      <c r="Z297" s="298"/>
      <c r="AA297" s="298"/>
      <c r="AB297" s="277"/>
      <c r="AC297" s="277"/>
      <c r="AD297" s="277"/>
      <c r="AE297" s="277"/>
      <c r="AF297" s="277"/>
      <c r="AG297" s="277"/>
      <c r="AH297" s="277"/>
      <c r="AI297" s="277">
        <f t="shared" si="622"/>
        <v>0</v>
      </c>
      <c r="AJ297" s="299"/>
      <c r="AK297" s="298">
        <f t="shared" si="623"/>
        <v>0</v>
      </c>
      <c r="AL297" s="299"/>
      <c r="AM297" s="308">
        <f t="shared" si="624"/>
        <v>0</v>
      </c>
      <c r="AN297" s="298"/>
      <c r="AO297" s="318"/>
      <c r="AP297" s="303" t="str">
        <f t="shared" si="542"/>
        <v xml:space="preserve"> </v>
      </c>
      <c r="AQ297" s="298"/>
      <c r="AR297" s="337"/>
      <c r="AS297" s="337"/>
      <c r="AT297" s="305"/>
      <c r="AU297" s="319"/>
      <c r="AV297" s="305"/>
      <c r="AW297" s="272"/>
      <c r="AX297" s="342"/>
      <c r="AY297" s="343"/>
      <c r="AZ297" s="272"/>
      <c r="BA297" s="342"/>
      <c r="BB297" s="337"/>
      <c r="BC297" s="270">
        <f t="shared" si="625"/>
        <v>0</v>
      </c>
      <c r="BD297" s="270">
        <f t="shared" si="625"/>
        <v>0</v>
      </c>
      <c r="BE297" s="270">
        <f t="shared" si="219"/>
        <v>1</v>
      </c>
      <c r="BF297" s="270" t="str">
        <f t="shared" si="228"/>
        <v>ALIVE</v>
      </c>
      <c r="BG297" s="250" t="str">
        <f t="shared" si="220"/>
        <v>Aucune</v>
      </c>
      <c r="BH297" s="250" t="str">
        <f t="shared" si="221"/>
        <v>Aucune</v>
      </c>
      <c r="BI297" s="250" t="str">
        <f t="shared" si="222"/>
        <v>Aucune</v>
      </c>
      <c r="BJ297" s="250" t="str">
        <f t="shared" si="216"/>
        <v>NON</v>
      </c>
      <c r="BK297" s="250" t="str">
        <f t="shared" si="223"/>
        <v>NON</v>
      </c>
      <c r="BL297" s="250" t="str">
        <f t="shared" si="217"/>
        <v>Inconnu</v>
      </c>
      <c r="BM297" s="250" t="str">
        <f t="shared" si="626"/>
        <v>Inconnu</v>
      </c>
      <c r="BN297" s="250" t="str">
        <f t="shared" si="627"/>
        <v>Inconnu</v>
      </c>
      <c r="BO297" s="250" t="str">
        <f t="shared" si="218"/>
        <v>Inconnu</v>
      </c>
      <c r="BP297" s="250" t="str">
        <f t="shared" si="628"/>
        <v>Inconnu</v>
      </c>
      <c r="BQ297" s="250" t="str">
        <f t="shared" si="629"/>
        <v>Inconnu</v>
      </c>
      <c r="BR297" s="250" t="str">
        <f t="shared" si="630"/>
        <v>Aucune</v>
      </c>
      <c r="BS297" s="250">
        <f t="shared" si="215"/>
        <v>0</v>
      </c>
      <c r="BT297" s="271" t="e">
        <f>VLOOKUP($I297,Lieu_Activité!$A:$B,2,FALSE)</f>
        <v>#N/A</v>
      </c>
      <c r="BU297" s="250" t="str">
        <f t="shared" si="224"/>
        <v>Aucun</v>
      </c>
      <c r="BV297" s="250" t="str">
        <f t="shared" si="225"/>
        <v>Aucun</v>
      </c>
      <c r="BW297" s="249" t="str">
        <f t="shared" si="631"/>
        <v>NON</v>
      </c>
      <c r="BX297" s="330"/>
      <c r="BY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</row>
    <row r="298" spans="1:170" ht="12" customHeight="1" x14ac:dyDescent="0.2">
      <c r="A298" s="273" t="s">
        <v>259</v>
      </c>
      <c r="B298" s="276"/>
      <c r="C298" s="269"/>
      <c r="D298" s="299"/>
      <c r="E298" s="320">
        <f t="shared" si="621"/>
        <v>0</v>
      </c>
      <c r="F298" s="320" t="str">
        <f t="shared" si="226"/>
        <v xml:space="preserve"> </v>
      </c>
      <c r="G298" s="298"/>
      <c r="H298" s="298"/>
      <c r="I298" s="298"/>
      <c r="J298" s="298"/>
      <c r="K298" s="298"/>
      <c r="L298" s="299"/>
      <c r="M298" s="285"/>
      <c r="N298" s="274"/>
      <c r="O298" s="307"/>
      <c r="P298" s="307" t="str">
        <f>IFERROR(VLOOKUP(O298,Références!$K$11:$N$19,2)," ")</f>
        <v xml:space="preserve"> </v>
      </c>
      <c r="Q298" s="307" t="str">
        <f>IFERROR(VLOOKUP(O298,Références!$K$11:$N$19,3)," ")</f>
        <v xml:space="preserve"> </v>
      </c>
      <c r="R298" s="307" t="str">
        <f>IFERROR(VLOOKUP(O298,Références!$K$11:$N$19,4)," ")</f>
        <v xml:space="preserve"> </v>
      </c>
      <c r="S298" s="298"/>
      <c r="T298" s="298"/>
      <c r="U298" s="298"/>
      <c r="V298" s="298"/>
      <c r="W298" s="298"/>
      <c r="X298" s="299"/>
      <c r="Y298" s="298"/>
      <c r="Z298" s="298"/>
      <c r="AA298" s="298"/>
      <c r="AB298" s="277"/>
      <c r="AC298" s="277"/>
      <c r="AD298" s="277"/>
      <c r="AE298" s="277"/>
      <c r="AF298" s="277"/>
      <c r="AG298" s="277"/>
      <c r="AH298" s="277"/>
      <c r="AI298" s="277">
        <f t="shared" si="622"/>
        <v>0</v>
      </c>
      <c r="AJ298" s="299"/>
      <c r="AK298" s="298">
        <f t="shared" si="623"/>
        <v>0</v>
      </c>
      <c r="AL298" s="299"/>
      <c r="AM298" s="308">
        <f t="shared" si="624"/>
        <v>0</v>
      </c>
      <c r="AN298" s="298"/>
      <c r="AO298" s="318"/>
      <c r="AP298" s="303" t="str">
        <f t="shared" si="542"/>
        <v xml:space="preserve"> </v>
      </c>
      <c r="AQ298" s="298"/>
      <c r="AR298" s="337"/>
      <c r="AS298" s="337"/>
      <c r="AT298" s="305"/>
      <c r="AU298" s="319"/>
      <c r="AV298" s="305"/>
      <c r="AW298" s="272"/>
      <c r="AX298" s="342"/>
      <c r="AY298" s="343"/>
      <c r="AZ298" s="272"/>
      <c r="BA298" s="342"/>
      <c r="BB298" s="337"/>
      <c r="BC298" s="270">
        <f t="shared" si="625"/>
        <v>0</v>
      </c>
      <c r="BD298" s="270">
        <f t="shared" si="625"/>
        <v>0</v>
      </c>
      <c r="BE298" s="270">
        <f t="shared" si="219"/>
        <v>1</v>
      </c>
      <c r="BF298" s="270" t="str">
        <f t="shared" si="228"/>
        <v>ALIVE</v>
      </c>
      <c r="BG298" s="250" t="str">
        <f t="shared" si="220"/>
        <v>Aucune</v>
      </c>
      <c r="BH298" s="250" t="str">
        <f t="shared" si="221"/>
        <v>Aucune</v>
      </c>
      <c r="BI298" s="250" t="str">
        <f t="shared" si="222"/>
        <v>Aucune</v>
      </c>
      <c r="BJ298" s="250" t="str">
        <f t="shared" si="216"/>
        <v>NON</v>
      </c>
      <c r="BK298" s="250" t="str">
        <f t="shared" si="223"/>
        <v>NON</v>
      </c>
      <c r="BL298" s="250" t="str">
        <f t="shared" si="217"/>
        <v>Inconnu</v>
      </c>
      <c r="BM298" s="250" t="str">
        <f t="shared" si="626"/>
        <v>Inconnu</v>
      </c>
      <c r="BN298" s="250" t="str">
        <f t="shared" si="627"/>
        <v>Inconnu</v>
      </c>
      <c r="BO298" s="250" t="str">
        <f t="shared" si="218"/>
        <v>Inconnu</v>
      </c>
      <c r="BP298" s="250" t="str">
        <f t="shared" si="628"/>
        <v>Inconnu</v>
      </c>
      <c r="BQ298" s="250" t="str">
        <f t="shared" si="629"/>
        <v>Inconnu</v>
      </c>
      <c r="BR298" s="250" t="str">
        <f t="shared" si="630"/>
        <v>Aucune</v>
      </c>
      <c r="BS298" s="250">
        <f t="shared" si="215"/>
        <v>0</v>
      </c>
      <c r="BT298" s="271" t="e">
        <f>VLOOKUP($I298,Lieu_Activité!$A:$B,2,FALSE)</f>
        <v>#N/A</v>
      </c>
      <c r="BU298" s="250" t="str">
        <f t="shared" si="224"/>
        <v>Aucun</v>
      </c>
      <c r="BV298" s="250" t="str">
        <f t="shared" si="225"/>
        <v>Aucun</v>
      </c>
      <c r="BW298" s="249" t="str">
        <f t="shared" si="631"/>
        <v>NON</v>
      </c>
      <c r="BX298" s="330"/>
    </row>
    <row r="299" spans="1:170" ht="12" customHeight="1" x14ac:dyDescent="0.2">
      <c r="A299" s="273" t="s">
        <v>259</v>
      </c>
      <c r="B299" s="276"/>
      <c r="C299" s="269"/>
      <c r="D299" s="299"/>
      <c r="E299" s="320">
        <f t="shared" si="621"/>
        <v>0</v>
      </c>
      <c r="F299" s="320" t="str">
        <f t="shared" si="226"/>
        <v xml:space="preserve"> </v>
      </c>
      <c r="G299" s="298"/>
      <c r="H299" s="298"/>
      <c r="I299" s="298"/>
      <c r="J299" s="298"/>
      <c r="K299" s="298"/>
      <c r="L299" s="299"/>
      <c r="M299" s="285"/>
      <c r="N299" s="274"/>
      <c r="O299" s="274"/>
      <c r="P299" s="307" t="str">
        <f>IFERROR(VLOOKUP(O299,Références!$K$11:$N$19,2)," ")</f>
        <v xml:space="preserve"> </v>
      </c>
      <c r="Q299" s="307" t="str">
        <f>IFERROR(VLOOKUP(O299,Références!$K$11:$N$19,3)," ")</f>
        <v xml:space="preserve"> </v>
      </c>
      <c r="R299" s="307" t="str">
        <f>IFERROR(VLOOKUP(O299,Références!$K$11:$N$19,4)," ")</f>
        <v xml:space="preserve"> </v>
      </c>
      <c r="S299" s="298"/>
      <c r="T299" s="298"/>
      <c r="U299" s="298"/>
      <c r="V299" s="298"/>
      <c r="W299" s="298"/>
      <c r="X299" s="299"/>
      <c r="Y299" s="298"/>
      <c r="Z299" s="298"/>
      <c r="AA299" s="298"/>
      <c r="AB299" s="277"/>
      <c r="AC299" s="277"/>
      <c r="AD299" s="277"/>
      <c r="AE299" s="277"/>
      <c r="AF299" s="277"/>
      <c r="AG299" s="277"/>
      <c r="AH299" s="277"/>
      <c r="AI299" s="277">
        <f t="shared" si="622"/>
        <v>0</v>
      </c>
      <c r="AJ299" s="299"/>
      <c r="AK299" s="298">
        <f t="shared" si="623"/>
        <v>0</v>
      </c>
      <c r="AL299" s="299"/>
      <c r="AM299" s="308">
        <f t="shared" si="624"/>
        <v>0</v>
      </c>
      <c r="AN299" s="298"/>
      <c r="AO299" s="318"/>
      <c r="AP299" s="303" t="str">
        <f t="shared" si="542"/>
        <v xml:space="preserve"> </v>
      </c>
      <c r="AQ299" s="298"/>
      <c r="AR299" s="337"/>
      <c r="AS299" s="337"/>
      <c r="AT299" s="305"/>
      <c r="AU299" s="319"/>
      <c r="AV299" s="305"/>
      <c r="AW299" s="272"/>
      <c r="AX299" s="342"/>
      <c r="AY299" s="343"/>
      <c r="AZ299" s="272"/>
      <c r="BA299" s="342"/>
      <c r="BB299" s="337"/>
      <c r="BC299" s="270">
        <f t="shared" si="625"/>
        <v>0</v>
      </c>
      <c r="BD299" s="270">
        <f t="shared" si="625"/>
        <v>0</v>
      </c>
      <c r="BE299" s="270">
        <f t="shared" si="219"/>
        <v>1</v>
      </c>
      <c r="BF299" s="270" t="str">
        <f t="shared" si="228"/>
        <v>ALIVE</v>
      </c>
      <c r="BG299" s="250" t="str">
        <f t="shared" si="220"/>
        <v>Aucune</v>
      </c>
      <c r="BH299" s="250" t="str">
        <f t="shared" si="221"/>
        <v>Aucune</v>
      </c>
      <c r="BI299" s="250" t="str">
        <f t="shared" si="222"/>
        <v>Aucune</v>
      </c>
      <c r="BJ299" s="250" t="str">
        <f t="shared" si="216"/>
        <v>NON</v>
      </c>
      <c r="BK299" s="250" t="str">
        <f t="shared" si="223"/>
        <v>NON</v>
      </c>
      <c r="BL299" s="250" t="str">
        <f t="shared" si="217"/>
        <v>Inconnu</v>
      </c>
      <c r="BM299" s="250" t="str">
        <f t="shared" si="626"/>
        <v>Inconnu</v>
      </c>
      <c r="BN299" s="250" t="str">
        <f t="shared" si="627"/>
        <v>Inconnu</v>
      </c>
      <c r="BO299" s="250" t="str">
        <f t="shared" si="218"/>
        <v>Inconnu</v>
      </c>
      <c r="BP299" s="250" t="str">
        <f t="shared" si="628"/>
        <v>Inconnu</v>
      </c>
      <c r="BQ299" s="250" t="str">
        <f t="shared" si="629"/>
        <v>Inconnu</v>
      </c>
      <c r="BR299" s="250" t="str">
        <f t="shared" si="630"/>
        <v>Aucune</v>
      </c>
      <c r="BS299" s="250">
        <f t="shared" si="215"/>
        <v>0</v>
      </c>
      <c r="BT299" s="271" t="e">
        <f>VLOOKUP($I299,Lieu_Activité!$A:$B,2,FALSE)</f>
        <v>#N/A</v>
      </c>
      <c r="BU299" s="250" t="str">
        <f t="shared" si="224"/>
        <v>Aucun</v>
      </c>
      <c r="BV299" s="250" t="str">
        <f t="shared" si="225"/>
        <v>Aucun</v>
      </c>
      <c r="BW299" s="249" t="str">
        <f t="shared" si="631"/>
        <v>NON</v>
      </c>
      <c r="BX299" s="330"/>
    </row>
    <row r="300" spans="1:170" ht="12.75" customHeight="1" x14ac:dyDescent="0.2">
      <c r="A300" s="273" t="s">
        <v>259</v>
      </c>
      <c r="B300" s="276"/>
      <c r="C300" s="269"/>
      <c r="D300" s="299"/>
      <c r="E300" s="320">
        <f t="shared" si="621"/>
        <v>0</v>
      </c>
      <c r="F300" s="320" t="str">
        <f t="shared" si="226"/>
        <v xml:space="preserve"> </v>
      </c>
      <c r="G300" s="298"/>
      <c r="H300" s="298"/>
      <c r="I300" s="298"/>
      <c r="J300" s="298"/>
      <c r="K300" s="298"/>
      <c r="L300" s="299"/>
      <c r="M300" s="285"/>
      <c r="N300" s="274"/>
      <c r="O300" s="274"/>
      <c r="P300" s="307" t="str">
        <f>IFERROR(VLOOKUP(O300,Références!$K$11:$N$19,2)," ")</f>
        <v xml:space="preserve"> </v>
      </c>
      <c r="Q300" s="307" t="str">
        <f>IFERROR(VLOOKUP(O300,Références!$K$11:$N$19,3)," ")</f>
        <v xml:space="preserve"> </v>
      </c>
      <c r="R300" s="307" t="str">
        <f>IFERROR(VLOOKUP(O300,Références!$K$11:$N$19,4)," ")</f>
        <v xml:space="preserve"> </v>
      </c>
      <c r="S300" s="298"/>
      <c r="T300" s="298"/>
      <c r="U300" s="298"/>
      <c r="V300" s="298"/>
      <c r="W300" s="298"/>
      <c r="X300" s="299"/>
      <c r="Y300" s="298"/>
      <c r="Z300" s="298"/>
      <c r="AA300" s="298"/>
      <c r="AB300" s="277"/>
      <c r="AC300" s="277"/>
      <c r="AD300" s="277"/>
      <c r="AE300" s="277"/>
      <c r="AF300" s="277"/>
      <c r="AG300" s="277"/>
      <c r="AH300" s="277"/>
      <c r="AI300" s="277">
        <f t="shared" si="622"/>
        <v>0</v>
      </c>
      <c r="AJ300" s="299"/>
      <c r="AK300" s="298">
        <f t="shared" si="623"/>
        <v>0</v>
      </c>
      <c r="AL300" s="299"/>
      <c r="AM300" s="308">
        <f t="shared" si="624"/>
        <v>0</v>
      </c>
      <c r="AN300" s="298"/>
      <c r="AO300" s="318"/>
      <c r="AP300" s="303" t="str">
        <f t="shared" si="542"/>
        <v xml:space="preserve"> </v>
      </c>
      <c r="AQ300" s="298"/>
      <c r="AR300" s="337"/>
      <c r="AS300" s="337"/>
      <c r="AT300" s="305"/>
      <c r="AU300" s="319"/>
      <c r="AV300" s="305"/>
      <c r="AW300" s="272"/>
      <c r="AX300" s="342"/>
      <c r="AY300" s="343"/>
      <c r="AZ300" s="342"/>
      <c r="BA300" s="342"/>
      <c r="BB300" s="337"/>
      <c r="BC300" s="270">
        <f t="shared" si="625"/>
        <v>0</v>
      </c>
      <c r="BD300" s="270">
        <f t="shared" si="625"/>
        <v>0</v>
      </c>
      <c r="BE300" s="270">
        <f t="shared" si="219"/>
        <v>1</v>
      </c>
      <c r="BF300" s="270" t="str">
        <f t="shared" si="228"/>
        <v>ALIVE</v>
      </c>
      <c r="BG300" s="250" t="str">
        <f t="shared" si="220"/>
        <v>Aucune</v>
      </c>
      <c r="BH300" s="250" t="str">
        <f t="shared" si="221"/>
        <v>Aucune</v>
      </c>
      <c r="BI300" s="250" t="str">
        <f t="shared" si="222"/>
        <v>Aucune</v>
      </c>
      <c r="BJ300" s="250" t="str">
        <f t="shared" si="216"/>
        <v>NON</v>
      </c>
      <c r="BK300" s="250" t="str">
        <f t="shared" si="223"/>
        <v>NON</v>
      </c>
      <c r="BL300" s="250" t="str">
        <f t="shared" si="217"/>
        <v>Inconnu</v>
      </c>
      <c r="BM300" s="250" t="str">
        <f t="shared" si="626"/>
        <v>Inconnu</v>
      </c>
      <c r="BN300" s="250" t="str">
        <f t="shared" si="627"/>
        <v>Inconnu</v>
      </c>
      <c r="BO300" s="250" t="str">
        <f t="shared" si="218"/>
        <v>Inconnu</v>
      </c>
      <c r="BP300" s="250" t="str">
        <f t="shared" si="628"/>
        <v>Inconnu</v>
      </c>
      <c r="BQ300" s="250" t="str">
        <f t="shared" si="629"/>
        <v>Inconnu</v>
      </c>
      <c r="BR300" s="250" t="str">
        <f t="shared" si="630"/>
        <v>Aucune</v>
      </c>
      <c r="BS300" s="250">
        <f t="shared" si="215"/>
        <v>0</v>
      </c>
      <c r="BT300" s="271" t="e">
        <f>VLOOKUP($I300,Lieu_Activité!$A:$B,2,FALSE)</f>
        <v>#N/A</v>
      </c>
      <c r="BU300" s="250" t="str">
        <f t="shared" si="224"/>
        <v>Aucun</v>
      </c>
      <c r="BV300" s="250" t="str">
        <f t="shared" si="225"/>
        <v>Aucun</v>
      </c>
      <c r="BW300" s="249" t="str">
        <f t="shared" si="631"/>
        <v>NON</v>
      </c>
      <c r="BX300" s="330"/>
    </row>
    <row r="301" spans="1:170" ht="12" customHeight="1" x14ac:dyDescent="0.2">
      <c r="A301" s="273" t="s">
        <v>259</v>
      </c>
      <c r="B301" s="276"/>
      <c r="C301" s="269"/>
      <c r="D301" s="299"/>
      <c r="E301" s="320">
        <f t="shared" si="621"/>
        <v>0</v>
      </c>
      <c r="F301" s="320" t="str">
        <f t="shared" si="226"/>
        <v xml:space="preserve"> </v>
      </c>
      <c r="G301" s="298"/>
      <c r="H301" s="298"/>
      <c r="I301" s="298"/>
      <c r="J301" s="298"/>
      <c r="K301" s="298"/>
      <c r="L301" s="299"/>
      <c r="M301" s="285"/>
      <c r="N301" s="274"/>
      <c r="O301" s="274"/>
      <c r="P301" s="307" t="str">
        <f>IFERROR(VLOOKUP(O301,Références!$K$11:$N$19,2)," ")</f>
        <v xml:space="preserve"> </v>
      </c>
      <c r="Q301" s="307" t="str">
        <f>IFERROR(VLOOKUP(O301,Références!$K$11:$N$19,3)," ")</f>
        <v xml:space="preserve"> </v>
      </c>
      <c r="R301" s="307" t="str">
        <f>IFERROR(VLOOKUP(O301,Références!$K$11:$N$19,4)," ")</f>
        <v xml:space="preserve"> </v>
      </c>
      <c r="S301" s="298"/>
      <c r="T301" s="298"/>
      <c r="U301" s="298"/>
      <c r="V301" s="298"/>
      <c r="W301" s="298"/>
      <c r="X301" s="299"/>
      <c r="Y301" s="298"/>
      <c r="Z301" s="298"/>
      <c r="AA301" s="298"/>
      <c r="AB301" s="277"/>
      <c r="AC301" s="277"/>
      <c r="AD301" s="277"/>
      <c r="AE301" s="277"/>
      <c r="AF301" s="277"/>
      <c r="AG301" s="277"/>
      <c r="AH301" s="277"/>
      <c r="AI301" s="277">
        <f t="shared" si="622"/>
        <v>0</v>
      </c>
      <c r="AJ301" s="299"/>
      <c r="AK301" s="298">
        <f t="shared" si="623"/>
        <v>0</v>
      </c>
      <c r="AL301" s="299"/>
      <c r="AM301" s="308">
        <f t="shared" si="624"/>
        <v>0</v>
      </c>
      <c r="AN301" s="298"/>
      <c r="AO301" s="318"/>
      <c r="AP301" s="303" t="str">
        <f t="shared" si="542"/>
        <v xml:space="preserve"> </v>
      </c>
      <c r="AQ301" s="298"/>
      <c r="AR301" s="337"/>
      <c r="AS301" s="337"/>
      <c r="AT301" s="305"/>
      <c r="AU301" s="319"/>
      <c r="AV301" s="305"/>
      <c r="AW301" s="272"/>
      <c r="AX301" s="342"/>
      <c r="AY301" s="343"/>
      <c r="AZ301" s="272"/>
      <c r="BA301" s="342"/>
      <c r="BB301" s="337"/>
      <c r="BC301" s="270">
        <f t="shared" si="625"/>
        <v>0</v>
      </c>
      <c r="BD301" s="270">
        <f t="shared" si="625"/>
        <v>0</v>
      </c>
      <c r="BE301" s="270">
        <f t="shared" si="219"/>
        <v>1</v>
      </c>
      <c r="BF301" s="270" t="str">
        <f t="shared" si="228"/>
        <v>ALIVE</v>
      </c>
      <c r="BG301" s="250" t="str">
        <f t="shared" si="220"/>
        <v>Aucune</v>
      </c>
      <c r="BH301" s="250" t="str">
        <f t="shared" si="221"/>
        <v>Aucune</v>
      </c>
      <c r="BI301" s="250" t="str">
        <f t="shared" si="222"/>
        <v>Aucune</v>
      </c>
      <c r="BJ301" s="250" t="str">
        <f t="shared" ref="BJ301:BJ308" si="657">IF(X301&lt;&gt;"",IF(X301-L301&lt;2,"OUI","NON"),"NON")</f>
        <v>NON</v>
      </c>
      <c r="BK301" s="250" t="str">
        <f t="shared" si="223"/>
        <v>NON</v>
      </c>
      <c r="BL301" s="250" t="str">
        <f t="shared" ref="BL301:BL308" si="658">IF(AL301-L301&gt;0,AL301-L301,"Inconnu")</f>
        <v>Inconnu</v>
      </c>
      <c r="BM301" s="250" t="str">
        <f t="shared" si="626"/>
        <v>Inconnu</v>
      </c>
      <c r="BN301" s="250" t="str">
        <f t="shared" si="627"/>
        <v>Inconnu</v>
      </c>
      <c r="BO301" s="250" t="str">
        <f t="shared" ref="BO301:BO308" si="659">IF(AJ301-L301&gt;0,AJ301-L301,"Inconnu")</f>
        <v>Inconnu</v>
      </c>
      <c r="BP301" s="250" t="str">
        <f t="shared" si="628"/>
        <v>Inconnu</v>
      </c>
      <c r="BQ301" s="250" t="str">
        <f t="shared" si="629"/>
        <v>Inconnu</v>
      </c>
      <c r="BR301" s="250" t="str">
        <f t="shared" si="630"/>
        <v>Aucune</v>
      </c>
      <c r="BS301" s="250">
        <f t="shared" si="215"/>
        <v>0</v>
      </c>
      <c r="BT301" s="271" t="e">
        <f>VLOOKUP($I301,Lieu_Activité!$A:$B,2,FALSE)</f>
        <v>#N/A</v>
      </c>
      <c r="BU301" s="250" t="str">
        <f t="shared" si="224"/>
        <v>Aucun</v>
      </c>
      <c r="BV301" s="250" t="str">
        <f t="shared" si="225"/>
        <v>Aucun</v>
      </c>
      <c r="BW301" s="249" t="str">
        <f t="shared" si="631"/>
        <v>NON</v>
      </c>
      <c r="BX301" s="330"/>
    </row>
    <row r="302" spans="1:170" ht="12" customHeight="1" x14ac:dyDescent="0.2">
      <c r="A302" s="273" t="s">
        <v>259</v>
      </c>
      <c r="B302" s="276"/>
      <c r="C302" s="269"/>
      <c r="D302" s="299"/>
      <c r="E302" s="320">
        <f t="shared" ref="E302:E308" si="660">(L302-D302)/365</f>
        <v>0</v>
      </c>
      <c r="F302" s="320" t="str">
        <f t="shared" si="226"/>
        <v xml:space="preserve"> </v>
      </c>
      <c r="G302" s="298"/>
      <c r="H302" s="298"/>
      <c r="I302" s="298"/>
      <c r="J302" s="298"/>
      <c r="K302" s="298"/>
      <c r="L302" s="299"/>
      <c r="M302" s="285"/>
      <c r="N302" s="274"/>
      <c r="O302" s="274"/>
      <c r="P302" s="307" t="str">
        <f>IFERROR(VLOOKUP(O302,Références!$K$11:$N$19,2)," ")</f>
        <v xml:space="preserve"> </v>
      </c>
      <c r="Q302" s="307" t="str">
        <f>IFERROR(VLOOKUP(O302,Références!$K$11:$N$19,3)," ")</f>
        <v xml:space="preserve"> </v>
      </c>
      <c r="R302" s="307" t="str">
        <f>IFERROR(VLOOKUP(O302,Références!$K$11:$N$19,4)," ")</f>
        <v xml:space="preserve"> </v>
      </c>
      <c r="S302" s="298"/>
      <c r="T302" s="298"/>
      <c r="U302" s="298"/>
      <c r="V302" s="298"/>
      <c r="W302" s="298"/>
      <c r="X302" s="299"/>
      <c r="Y302" s="298"/>
      <c r="Z302" s="298"/>
      <c r="AA302" s="298"/>
      <c r="AB302" s="277"/>
      <c r="AC302" s="277"/>
      <c r="AD302" s="277"/>
      <c r="AE302" s="277"/>
      <c r="AF302" s="277"/>
      <c r="AG302" s="277"/>
      <c r="AH302" s="277"/>
      <c r="AI302" s="277">
        <f t="shared" ref="AI302:AI308" si="661">SUM(AF302,AH302)</f>
        <v>0</v>
      </c>
      <c r="AJ302" s="299"/>
      <c r="AK302" s="298">
        <f t="shared" ref="AK302:AK308" si="662">(AJ302-L302)</f>
        <v>0</v>
      </c>
      <c r="AL302" s="299"/>
      <c r="AM302" s="308">
        <f t="shared" ref="AM302:AM308" si="663">(AL302-L302)</f>
        <v>0</v>
      </c>
      <c r="AN302" s="298"/>
      <c r="AO302" s="318"/>
      <c r="AP302" s="303" t="str">
        <f t="shared" si="542"/>
        <v xml:space="preserve"> </v>
      </c>
      <c r="AQ302" s="298"/>
      <c r="AR302" s="337"/>
      <c r="AS302" s="337"/>
      <c r="AT302" s="305"/>
      <c r="AU302" s="319"/>
      <c r="AV302" s="305"/>
      <c r="AW302" s="272"/>
      <c r="AX302" s="342"/>
      <c r="AY302" s="343"/>
      <c r="AZ302" s="272"/>
      <c r="BA302" s="342"/>
      <c r="BB302" s="337"/>
      <c r="BC302" s="270">
        <f t="shared" ref="BC302:BC308" si="664">IF(BG302="Aucune",0,1)</f>
        <v>0</v>
      </c>
      <c r="BD302" s="270">
        <f t="shared" ref="BD302:BD308" si="665">IF(BH302="Aucune",0,1)</f>
        <v>0</v>
      </c>
      <c r="BE302" s="270">
        <f t="shared" si="219"/>
        <v>1</v>
      </c>
      <c r="BF302" s="270" t="str">
        <f t="shared" si="228"/>
        <v>ALIVE</v>
      </c>
      <c r="BG302" s="250" t="str">
        <f t="shared" si="220"/>
        <v>Aucune</v>
      </c>
      <c r="BH302" s="250" t="str">
        <f t="shared" si="221"/>
        <v>Aucune</v>
      </c>
      <c r="BI302" s="250" t="str">
        <f t="shared" si="222"/>
        <v>Aucune</v>
      </c>
      <c r="BJ302" s="250" t="str">
        <f t="shared" si="657"/>
        <v>NON</v>
      </c>
      <c r="BK302" s="250" t="str">
        <f t="shared" si="223"/>
        <v>NON</v>
      </c>
      <c r="BL302" s="250" t="str">
        <f t="shared" si="658"/>
        <v>Inconnu</v>
      </c>
      <c r="BM302" s="250" t="str">
        <f t="shared" ref="BM302:BM308" si="666">IF($O302&lt;&gt;"HTX",IF($O302&lt;&gt;"LVAD",BL302,"Inconnu"),"Inconnu")</f>
        <v>Inconnu</v>
      </c>
      <c r="BN302" s="250" t="str">
        <f t="shared" ref="BN302:BN308" si="667">IF($O302="HTX",BL302,IF($O302="LVAD",BL302,"Inconnu"))</f>
        <v>Inconnu</v>
      </c>
      <c r="BO302" s="250" t="str">
        <f t="shared" si="659"/>
        <v>Inconnu</v>
      </c>
      <c r="BP302" s="250" t="str">
        <f t="shared" ref="BP302:BP308" si="668">IF($O302&lt;&gt;"HTX",IF($O302&lt;&gt;"LVAD",BO302,"Inconnu"),"Inconnu")</f>
        <v>Inconnu</v>
      </c>
      <c r="BQ302" s="250" t="str">
        <f t="shared" ref="BQ302:BQ308" si="669">IF($O302="HTX",BO302,IF($O302="LVAD",BO302,"Inconnu"))</f>
        <v>Inconnu</v>
      </c>
      <c r="BR302" s="250" t="str">
        <f t="shared" ref="BR302:BR308" si="670">IF(BH302="Aucune",IF(BI302="Aucune","Aucune","Transfusé"),"Transfusé")</f>
        <v>Aucune</v>
      </c>
      <c r="BS302" s="250">
        <f t="shared" ref="BS302:BS308" si="671">AF302+AH302</f>
        <v>0</v>
      </c>
      <c r="BT302" s="271" t="e">
        <f>VLOOKUP($I302,Lieu_Activité!$A:$B,2,FALSE)</f>
        <v>#N/A</v>
      </c>
      <c r="BU302" s="250" t="str">
        <f t="shared" ref="BU302:BU308" si="672">IF(AB302="","Aucun","AVC")</f>
        <v>Aucun</v>
      </c>
      <c r="BV302" s="250" t="str">
        <f t="shared" si="225"/>
        <v>Aucun</v>
      </c>
      <c r="BW302" s="249" t="str">
        <f t="shared" ref="BW302:BW308" si="673">IF(M302="","NON","OUI")</f>
        <v>NON</v>
      </c>
      <c r="BX302" s="330"/>
    </row>
    <row r="303" spans="1:170" ht="12" customHeight="1" x14ac:dyDescent="0.2">
      <c r="A303" s="273" t="s">
        <v>259</v>
      </c>
      <c r="B303" s="276"/>
      <c r="C303" s="269"/>
      <c r="D303" s="299"/>
      <c r="E303" s="320">
        <f t="shared" si="660"/>
        <v>0</v>
      </c>
      <c r="F303" s="320" t="str">
        <f t="shared" si="226"/>
        <v xml:space="preserve"> </v>
      </c>
      <c r="G303" s="298"/>
      <c r="H303" s="298"/>
      <c r="I303" s="298"/>
      <c r="J303" s="298"/>
      <c r="K303" s="298"/>
      <c r="L303" s="299"/>
      <c r="M303" s="285"/>
      <c r="N303" s="274"/>
      <c r="O303" s="274"/>
      <c r="P303" s="307" t="str">
        <f>IFERROR(VLOOKUP(O303,Références!$K$11:$N$19,2)," ")</f>
        <v xml:space="preserve"> </v>
      </c>
      <c r="Q303" s="307" t="str">
        <f>IFERROR(VLOOKUP(O303,Références!$K$11:$N$19,3)," ")</f>
        <v xml:space="preserve"> </v>
      </c>
      <c r="R303" s="307" t="str">
        <f>IFERROR(VLOOKUP(O303,Références!$K$11:$N$19,4)," ")</f>
        <v xml:space="preserve"> </v>
      </c>
      <c r="S303" s="298"/>
      <c r="T303" s="298"/>
      <c r="U303" s="298"/>
      <c r="V303" s="298"/>
      <c r="W303" s="298"/>
      <c r="X303" s="299"/>
      <c r="Y303" s="298"/>
      <c r="Z303" s="298"/>
      <c r="AA303" s="298"/>
      <c r="AB303" s="277"/>
      <c r="AC303" s="277"/>
      <c r="AD303" s="277"/>
      <c r="AE303" s="277"/>
      <c r="AF303" s="277"/>
      <c r="AG303" s="277"/>
      <c r="AH303" s="277"/>
      <c r="AI303" s="277">
        <f t="shared" si="661"/>
        <v>0</v>
      </c>
      <c r="AJ303" s="299"/>
      <c r="AK303" s="298">
        <f t="shared" si="662"/>
        <v>0</v>
      </c>
      <c r="AL303" s="299"/>
      <c r="AM303" s="308">
        <f t="shared" si="663"/>
        <v>0</v>
      </c>
      <c r="AN303" s="298"/>
      <c r="AO303" s="318"/>
      <c r="AP303" s="303" t="str">
        <f t="shared" si="542"/>
        <v xml:space="preserve"> </v>
      </c>
      <c r="AQ303" s="298"/>
      <c r="AR303" s="337"/>
      <c r="AS303" s="337"/>
      <c r="AT303" s="305"/>
      <c r="AU303" s="319"/>
      <c r="AV303" s="305"/>
      <c r="AW303" s="272"/>
      <c r="AX303" s="342"/>
      <c r="AY303" s="343"/>
      <c r="AZ303" s="342"/>
      <c r="BA303" s="342"/>
      <c r="BB303" s="337"/>
      <c r="BC303" s="270">
        <f t="shared" si="664"/>
        <v>0</v>
      </c>
      <c r="BD303" s="270">
        <f t="shared" si="665"/>
        <v>0</v>
      </c>
      <c r="BE303" s="270">
        <f t="shared" si="219"/>
        <v>1</v>
      </c>
      <c r="BF303" s="270" t="str">
        <f t="shared" si="228"/>
        <v>ALIVE</v>
      </c>
      <c r="BG303" s="250" t="str">
        <f t="shared" si="220"/>
        <v>Aucune</v>
      </c>
      <c r="BH303" s="250" t="str">
        <f t="shared" si="221"/>
        <v>Aucune</v>
      </c>
      <c r="BI303" s="250" t="str">
        <f t="shared" si="222"/>
        <v>Aucune</v>
      </c>
      <c r="BJ303" s="250" t="str">
        <f t="shared" si="657"/>
        <v>NON</v>
      </c>
      <c r="BK303" s="250" t="str">
        <f t="shared" si="223"/>
        <v>NON</v>
      </c>
      <c r="BL303" s="250" t="str">
        <f t="shared" si="658"/>
        <v>Inconnu</v>
      </c>
      <c r="BM303" s="250" t="str">
        <f t="shared" si="666"/>
        <v>Inconnu</v>
      </c>
      <c r="BN303" s="250" t="str">
        <f t="shared" si="667"/>
        <v>Inconnu</v>
      </c>
      <c r="BO303" s="250" t="str">
        <f t="shared" si="659"/>
        <v>Inconnu</v>
      </c>
      <c r="BP303" s="250" t="str">
        <f t="shared" si="668"/>
        <v>Inconnu</v>
      </c>
      <c r="BQ303" s="250" t="str">
        <f t="shared" si="669"/>
        <v>Inconnu</v>
      </c>
      <c r="BR303" s="250" t="str">
        <f t="shared" si="670"/>
        <v>Aucune</v>
      </c>
      <c r="BS303" s="250">
        <f t="shared" si="671"/>
        <v>0</v>
      </c>
      <c r="BT303" s="271" t="e">
        <f>VLOOKUP($I303,Lieu_Activité!$A:$B,2,FALSE)</f>
        <v>#N/A</v>
      </c>
      <c r="BU303" s="250" t="str">
        <f t="shared" si="672"/>
        <v>Aucun</v>
      </c>
      <c r="BV303" s="250" t="str">
        <f t="shared" si="225"/>
        <v>Aucun</v>
      </c>
      <c r="BW303" s="249" t="str">
        <f t="shared" si="673"/>
        <v>NON</v>
      </c>
      <c r="BX303" s="330"/>
    </row>
    <row r="304" spans="1:170" s="1" customFormat="1" ht="12.75" customHeight="1" x14ac:dyDescent="0.2">
      <c r="A304" s="273" t="s">
        <v>259</v>
      </c>
      <c r="B304" s="276"/>
      <c r="C304" s="269"/>
      <c r="D304" s="299"/>
      <c r="E304" s="320">
        <f t="shared" si="660"/>
        <v>0</v>
      </c>
      <c r="F304" s="320" t="str">
        <f t="shared" si="226"/>
        <v xml:space="preserve"> </v>
      </c>
      <c r="G304" s="298"/>
      <c r="H304" s="298"/>
      <c r="I304" s="298"/>
      <c r="J304" s="298"/>
      <c r="K304" s="298"/>
      <c r="L304" s="299"/>
      <c r="M304" s="285"/>
      <c r="N304" s="274"/>
      <c r="O304" s="274"/>
      <c r="P304" s="307" t="str">
        <f>IFERROR(VLOOKUP(O304,Références!$K$11:$N$19,2)," ")</f>
        <v xml:space="preserve"> </v>
      </c>
      <c r="Q304" s="307" t="str">
        <f>IFERROR(VLOOKUP(O304,Références!$K$11:$N$19,3)," ")</f>
        <v xml:space="preserve"> </v>
      </c>
      <c r="R304" s="307" t="str">
        <f>IFERROR(VLOOKUP(O304,Références!$K$11:$N$19,4)," ")</f>
        <v xml:space="preserve"> </v>
      </c>
      <c r="S304" s="298"/>
      <c r="T304" s="298"/>
      <c r="U304" s="298"/>
      <c r="V304" s="298"/>
      <c r="W304" s="298"/>
      <c r="X304" s="299"/>
      <c r="Y304" s="298"/>
      <c r="Z304" s="298"/>
      <c r="AA304" s="298"/>
      <c r="AB304" s="277"/>
      <c r="AC304" s="277"/>
      <c r="AD304" s="277"/>
      <c r="AE304" s="277"/>
      <c r="AF304" s="277"/>
      <c r="AG304" s="277"/>
      <c r="AH304" s="277"/>
      <c r="AI304" s="277">
        <f t="shared" si="661"/>
        <v>0</v>
      </c>
      <c r="AJ304" s="299"/>
      <c r="AK304" s="298">
        <f t="shared" si="662"/>
        <v>0</v>
      </c>
      <c r="AL304" s="299"/>
      <c r="AM304" s="308">
        <f t="shared" si="663"/>
        <v>0</v>
      </c>
      <c r="AN304" s="298"/>
      <c r="AO304" s="318"/>
      <c r="AP304" s="303" t="str">
        <f t="shared" si="542"/>
        <v xml:space="preserve"> </v>
      </c>
      <c r="AQ304" s="298"/>
      <c r="AR304" s="337"/>
      <c r="AS304" s="337"/>
      <c r="AT304" s="305"/>
      <c r="AU304" s="319"/>
      <c r="AV304" s="305"/>
      <c r="AW304" s="272"/>
      <c r="AX304" s="342"/>
      <c r="AY304" s="343"/>
      <c r="AZ304" s="272"/>
      <c r="BA304" s="342"/>
      <c r="BB304" s="337"/>
      <c r="BC304" s="270">
        <f t="shared" si="664"/>
        <v>0</v>
      </c>
      <c r="BD304" s="270">
        <f t="shared" si="665"/>
        <v>0</v>
      </c>
      <c r="BE304" s="270">
        <f t="shared" si="219"/>
        <v>1</v>
      </c>
      <c r="BF304" s="270" t="str">
        <f t="shared" si="228"/>
        <v>ALIVE</v>
      </c>
      <c r="BG304" s="250" t="str">
        <f t="shared" si="220"/>
        <v>Aucune</v>
      </c>
      <c r="BH304" s="250" t="str">
        <f t="shared" si="221"/>
        <v>Aucune</v>
      </c>
      <c r="BI304" s="250" t="str">
        <f t="shared" si="222"/>
        <v>Aucune</v>
      </c>
      <c r="BJ304" s="250" t="str">
        <f t="shared" si="657"/>
        <v>NON</v>
      </c>
      <c r="BK304" s="250" t="str">
        <f t="shared" si="223"/>
        <v>NON</v>
      </c>
      <c r="BL304" s="250" t="str">
        <f t="shared" si="658"/>
        <v>Inconnu</v>
      </c>
      <c r="BM304" s="250" t="str">
        <f t="shared" si="666"/>
        <v>Inconnu</v>
      </c>
      <c r="BN304" s="250" t="str">
        <f t="shared" si="667"/>
        <v>Inconnu</v>
      </c>
      <c r="BO304" s="250" t="str">
        <f t="shared" si="659"/>
        <v>Inconnu</v>
      </c>
      <c r="BP304" s="250" t="str">
        <f t="shared" si="668"/>
        <v>Inconnu</v>
      </c>
      <c r="BQ304" s="250" t="str">
        <f t="shared" si="669"/>
        <v>Inconnu</v>
      </c>
      <c r="BR304" s="250" t="str">
        <f t="shared" si="670"/>
        <v>Aucune</v>
      </c>
      <c r="BS304" s="250">
        <f t="shared" si="671"/>
        <v>0</v>
      </c>
      <c r="BT304" s="271" t="e">
        <f>VLOOKUP($I304,Lieu_Activité!$A:$B,2,FALSE)</f>
        <v>#N/A</v>
      </c>
      <c r="BU304" s="250" t="str">
        <f t="shared" si="672"/>
        <v>Aucun</v>
      </c>
      <c r="BV304" s="250" t="str">
        <f t="shared" si="225"/>
        <v>Aucun</v>
      </c>
      <c r="BW304" s="249" t="str">
        <f t="shared" si="673"/>
        <v>NON</v>
      </c>
      <c r="BX304" s="330"/>
      <c r="BY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</row>
    <row r="305" spans="1:78" ht="12" customHeight="1" x14ac:dyDescent="0.2">
      <c r="A305" s="273" t="s">
        <v>259</v>
      </c>
      <c r="B305" s="276"/>
      <c r="C305" s="269"/>
      <c r="D305" s="299"/>
      <c r="E305" s="320">
        <f t="shared" si="660"/>
        <v>0</v>
      </c>
      <c r="F305" s="320" t="str">
        <f t="shared" si="226"/>
        <v xml:space="preserve"> </v>
      </c>
      <c r="G305" s="298"/>
      <c r="H305" s="298"/>
      <c r="I305" s="298"/>
      <c r="J305" s="298"/>
      <c r="K305" s="298"/>
      <c r="L305" s="299"/>
      <c r="M305" s="285"/>
      <c r="N305" s="274"/>
      <c r="O305" s="307"/>
      <c r="P305" s="307" t="str">
        <f>IFERROR(VLOOKUP(O305,Références!$K$11:$N$19,2)," ")</f>
        <v xml:space="preserve"> </v>
      </c>
      <c r="Q305" s="307" t="str">
        <f>IFERROR(VLOOKUP(O305,Références!$K$11:$N$19,3)," ")</f>
        <v xml:space="preserve"> </v>
      </c>
      <c r="R305" s="307" t="str">
        <f>IFERROR(VLOOKUP(O305,Références!$K$11:$N$19,4)," ")</f>
        <v xml:space="preserve"> </v>
      </c>
      <c r="S305" s="298"/>
      <c r="T305" s="298"/>
      <c r="U305" s="298"/>
      <c r="V305" s="298"/>
      <c r="W305" s="298"/>
      <c r="X305" s="299"/>
      <c r="Y305" s="298"/>
      <c r="Z305" s="298"/>
      <c r="AA305" s="298"/>
      <c r="AB305" s="277"/>
      <c r="AC305" s="277"/>
      <c r="AD305" s="277"/>
      <c r="AE305" s="277"/>
      <c r="AF305" s="277"/>
      <c r="AG305" s="277"/>
      <c r="AH305" s="277"/>
      <c r="AI305" s="277">
        <f t="shared" si="661"/>
        <v>0</v>
      </c>
      <c r="AJ305" s="299"/>
      <c r="AK305" s="298">
        <f t="shared" si="662"/>
        <v>0</v>
      </c>
      <c r="AL305" s="299"/>
      <c r="AM305" s="308">
        <f t="shared" si="663"/>
        <v>0</v>
      </c>
      <c r="AN305" s="298"/>
      <c r="AO305" s="318"/>
      <c r="AP305" s="303" t="str">
        <f t="shared" si="542"/>
        <v xml:space="preserve"> </v>
      </c>
      <c r="AQ305" s="298"/>
      <c r="AR305" s="337"/>
      <c r="AS305" s="337"/>
      <c r="AT305" s="305"/>
      <c r="AU305" s="319"/>
      <c r="AV305" s="305"/>
      <c r="AW305" s="272"/>
      <c r="AX305" s="342"/>
      <c r="AY305" s="343"/>
      <c r="AZ305" s="272"/>
      <c r="BA305" s="342"/>
      <c r="BB305" s="337"/>
      <c r="BC305" s="270">
        <f t="shared" si="664"/>
        <v>0</v>
      </c>
      <c r="BD305" s="270">
        <f t="shared" si="665"/>
        <v>0</v>
      </c>
      <c r="BE305" s="270">
        <f t="shared" si="219"/>
        <v>1</v>
      </c>
      <c r="BF305" s="270" t="str">
        <f t="shared" si="228"/>
        <v>ALIVE</v>
      </c>
      <c r="BG305" s="250" t="str">
        <f t="shared" si="220"/>
        <v>Aucune</v>
      </c>
      <c r="BH305" s="250" t="str">
        <f t="shared" si="221"/>
        <v>Aucune</v>
      </c>
      <c r="BI305" s="250" t="str">
        <f t="shared" si="222"/>
        <v>Aucune</v>
      </c>
      <c r="BJ305" s="250" t="str">
        <f t="shared" si="657"/>
        <v>NON</v>
      </c>
      <c r="BK305" s="250" t="str">
        <f t="shared" si="223"/>
        <v>NON</v>
      </c>
      <c r="BL305" s="250" t="str">
        <f t="shared" si="658"/>
        <v>Inconnu</v>
      </c>
      <c r="BM305" s="250" t="str">
        <f t="shared" si="666"/>
        <v>Inconnu</v>
      </c>
      <c r="BN305" s="250" t="str">
        <f t="shared" si="667"/>
        <v>Inconnu</v>
      </c>
      <c r="BO305" s="250" t="str">
        <f t="shared" si="659"/>
        <v>Inconnu</v>
      </c>
      <c r="BP305" s="250" t="str">
        <f t="shared" si="668"/>
        <v>Inconnu</v>
      </c>
      <c r="BQ305" s="250" t="str">
        <f t="shared" si="669"/>
        <v>Inconnu</v>
      </c>
      <c r="BR305" s="250" t="str">
        <f t="shared" si="670"/>
        <v>Aucune</v>
      </c>
      <c r="BS305" s="250">
        <f t="shared" si="671"/>
        <v>0</v>
      </c>
      <c r="BT305" s="271" t="e">
        <f>VLOOKUP($I305,Lieu_Activité!$A:$B,2,FALSE)</f>
        <v>#N/A</v>
      </c>
      <c r="BU305" s="250" t="str">
        <f t="shared" si="672"/>
        <v>Aucun</v>
      </c>
      <c r="BV305" s="250" t="str">
        <f t="shared" si="225"/>
        <v>Aucun</v>
      </c>
      <c r="BW305" s="249" t="str">
        <f t="shared" si="673"/>
        <v>NON</v>
      </c>
      <c r="BX305" s="330"/>
    </row>
    <row r="306" spans="1:78" ht="12" customHeight="1" x14ac:dyDescent="0.2">
      <c r="A306" s="273" t="s">
        <v>259</v>
      </c>
      <c r="B306" s="276"/>
      <c r="C306" s="269"/>
      <c r="D306" s="299"/>
      <c r="E306" s="320">
        <f t="shared" si="660"/>
        <v>0</v>
      </c>
      <c r="F306" s="320" t="str">
        <f t="shared" si="226"/>
        <v xml:space="preserve"> </v>
      </c>
      <c r="G306" s="298"/>
      <c r="H306" s="298"/>
      <c r="I306" s="298"/>
      <c r="J306" s="298"/>
      <c r="K306" s="298"/>
      <c r="L306" s="299"/>
      <c r="M306" s="285"/>
      <c r="N306" s="274"/>
      <c r="O306" s="274"/>
      <c r="P306" s="307" t="str">
        <f>IFERROR(VLOOKUP(O306,Références!$K$11:$N$19,2)," ")</f>
        <v xml:space="preserve"> </v>
      </c>
      <c r="Q306" s="307" t="str">
        <f>IFERROR(VLOOKUP(O306,Références!$K$11:$N$19,3)," ")</f>
        <v xml:space="preserve"> </v>
      </c>
      <c r="R306" s="307" t="str">
        <f>IFERROR(VLOOKUP(O306,Références!$K$11:$N$19,4)," ")</f>
        <v xml:space="preserve"> </v>
      </c>
      <c r="S306" s="298"/>
      <c r="T306" s="298"/>
      <c r="U306" s="298"/>
      <c r="V306" s="298"/>
      <c r="W306" s="298"/>
      <c r="X306" s="299"/>
      <c r="Y306" s="298"/>
      <c r="Z306" s="298"/>
      <c r="AA306" s="298"/>
      <c r="AB306" s="277"/>
      <c r="AC306" s="277"/>
      <c r="AD306" s="277"/>
      <c r="AE306" s="277"/>
      <c r="AF306" s="277"/>
      <c r="AG306" s="277"/>
      <c r="AH306" s="277"/>
      <c r="AI306" s="277">
        <f t="shared" si="661"/>
        <v>0</v>
      </c>
      <c r="AJ306" s="299"/>
      <c r="AK306" s="298">
        <f t="shared" si="662"/>
        <v>0</v>
      </c>
      <c r="AL306" s="299"/>
      <c r="AM306" s="308">
        <f t="shared" si="663"/>
        <v>0</v>
      </c>
      <c r="AN306" s="298"/>
      <c r="AO306" s="277"/>
      <c r="AP306" s="303" t="str">
        <f t="shared" si="542"/>
        <v xml:space="preserve"> </v>
      </c>
      <c r="AQ306" s="298"/>
      <c r="AR306" s="337"/>
      <c r="AS306" s="337"/>
      <c r="AT306" s="305"/>
      <c r="AU306" s="319"/>
      <c r="AV306" s="305"/>
      <c r="AW306" s="272"/>
      <c r="AX306" s="342"/>
      <c r="AY306" s="343"/>
      <c r="AZ306" s="272"/>
      <c r="BA306" s="342"/>
      <c r="BB306" s="337"/>
      <c r="BC306" s="270">
        <f t="shared" si="664"/>
        <v>0</v>
      </c>
      <c r="BD306" s="270">
        <f t="shared" si="665"/>
        <v>0</v>
      </c>
      <c r="BE306" s="270">
        <f t="shared" si="219"/>
        <v>1</v>
      </c>
      <c r="BF306" s="270" t="str">
        <f t="shared" si="228"/>
        <v>ALIVE</v>
      </c>
      <c r="BG306" s="250" t="str">
        <f t="shared" si="220"/>
        <v>Aucune</v>
      </c>
      <c r="BH306" s="250" t="str">
        <f t="shared" si="221"/>
        <v>Aucune</v>
      </c>
      <c r="BI306" s="250" t="str">
        <f t="shared" si="222"/>
        <v>Aucune</v>
      </c>
      <c r="BJ306" s="250" t="str">
        <f t="shared" si="657"/>
        <v>NON</v>
      </c>
      <c r="BK306" s="250" t="str">
        <f t="shared" si="223"/>
        <v>NON</v>
      </c>
      <c r="BL306" s="250" t="str">
        <f t="shared" si="658"/>
        <v>Inconnu</v>
      </c>
      <c r="BM306" s="250" t="str">
        <f t="shared" si="666"/>
        <v>Inconnu</v>
      </c>
      <c r="BN306" s="250" t="str">
        <f t="shared" si="667"/>
        <v>Inconnu</v>
      </c>
      <c r="BO306" s="250" t="str">
        <f t="shared" si="659"/>
        <v>Inconnu</v>
      </c>
      <c r="BP306" s="250" t="str">
        <f t="shared" si="668"/>
        <v>Inconnu</v>
      </c>
      <c r="BQ306" s="250" t="str">
        <f t="shared" si="669"/>
        <v>Inconnu</v>
      </c>
      <c r="BR306" s="250" t="str">
        <f t="shared" si="670"/>
        <v>Aucune</v>
      </c>
      <c r="BS306" s="250">
        <f t="shared" si="671"/>
        <v>0</v>
      </c>
      <c r="BT306" s="271" t="e">
        <f>VLOOKUP($I306,Lieu_Activité!$A:$B,2,FALSE)</f>
        <v>#N/A</v>
      </c>
      <c r="BU306" s="250" t="str">
        <f t="shared" si="672"/>
        <v>Aucun</v>
      </c>
      <c r="BV306" s="250" t="str">
        <f t="shared" si="225"/>
        <v>Aucun</v>
      </c>
      <c r="BW306" s="249" t="str">
        <f t="shared" si="673"/>
        <v>NON</v>
      </c>
      <c r="BX306" s="330"/>
    </row>
    <row r="307" spans="1:78" ht="12.75" customHeight="1" x14ac:dyDescent="0.2">
      <c r="A307" s="273" t="s">
        <v>259</v>
      </c>
      <c r="B307" s="276"/>
      <c r="C307" s="269"/>
      <c r="D307" s="299"/>
      <c r="E307" s="320">
        <f t="shared" si="660"/>
        <v>0</v>
      </c>
      <c r="F307" s="320" t="str">
        <f t="shared" si="226"/>
        <v xml:space="preserve"> </v>
      </c>
      <c r="G307" s="298"/>
      <c r="H307" s="298"/>
      <c r="I307" s="298"/>
      <c r="J307" s="298"/>
      <c r="K307" s="298"/>
      <c r="L307" s="299"/>
      <c r="M307" s="285"/>
      <c r="N307" s="274"/>
      <c r="O307" s="274"/>
      <c r="P307" s="307" t="str">
        <f>IFERROR(VLOOKUP(O307,Références!$K$11:$N$19,2)," ")</f>
        <v xml:space="preserve"> </v>
      </c>
      <c r="Q307" s="307" t="str">
        <f>IFERROR(VLOOKUP(O307,Références!$K$11:$N$19,3)," ")</f>
        <v xml:space="preserve"> </v>
      </c>
      <c r="R307" s="307" t="str">
        <f>IFERROR(VLOOKUP(O307,Références!$K$11:$N$19,4)," ")</f>
        <v xml:space="preserve"> </v>
      </c>
      <c r="S307" s="298"/>
      <c r="T307" s="298"/>
      <c r="U307" s="298"/>
      <c r="V307" s="298"/>
      <c r="W307" s="298"/>
      <c r="X307" s="299"/>
      <c r="Y307" s="298"/>
      <c r="Z307" s="298"/>
      <c r="AA307" s="298"/>
      <c r="AB307" s="277"/>
      <c r="AC307" s="277"/>
      <c r="AD307" s="277"/>
      <c r="AE307" s="277"/>
      <c r="AF307" s="277"/>
      <c r="AG307" s="277"/>
      <c r="AH307" s="277"/>
      <c r="AI307" s="277">
        <f t="shared" si="661"/>
        <v>0</v>
      </c>
      <c r="AJ307" s="299"/>
      <c r="AK307" s="298">
        <f t="shared" si="662"/>
        <v>0</v>
      </c>
      <c r="AL307" s="299"/>
      <c r="AM307" s="308">
        <f t="shared" si="663"/>
        <v>0</v>
      </c>
      <c r="AN307" s="298"/>
      <c r="AO307" s="277"/>
      <c r="AP307" s="303" t="str">
        <f t="shared" si="542"/>
        <v xml:space="preserve"> </v>
      </c>
      <c r="AQ307" s="298"/>
      <c r="AR307" s="337"/>
      <c r="AS307" s="337"/>
      <c r="AT307" s="305"/>
      <c r="AU307" s="319"/>
      <c r="AV307" s="347"/>
      <c r="AW307" s="272"/>
      <c r="AX307" s="342"/>
      <c r="AY307" s="343"/>
      <c r="AZ307" s="342"/>
      <c r="BA307" s="342"/>
      <c r="BB307" s="337"/>
      <c r="BC307" s="270">
        <f t="shared" si="664"/>
        <v>0</v>
      </c>
      <c r="BD307" s="270">
        <f t="shared" si="665"/>
        <v>0</v>
      </c>
      <c r="BE307" s="270">
        <f t="shared" si="219"/>
        <v>1</v>
      </c>
      <c r="BF307" s="270" t="str">
        <f t="shared" si="228"/>
        <v>ALIVE</v>
      </c>
      <c r="BG307" s="250" t="str">
        <f t="shared" si="220"/>
        <v>Aucune</v>
      </c>
      <c r="BH307" s="250" t="str">
        <f t="shared" si="221"/>
        <v>Aucune</v>
      </c>
      <c r="BI307" s="250" t="str">
        <f t="shared" si="222"/>
        <v>Aucune</v>
      </c>
      <c r="BJ307" s="250" t="str">
        <f t="shared" si="657"/>
        <v>NON</v>
      </c>
      <c r="BK307" s="250" t="str">
        <f t="shared" si="223"/>
        <v>NON</v>
      </c>
      <c r="BL307" s="250" t="str">
        <f t="shared" si="658"/>
        <v>Inconnu</v>
      </c>
      <c r="BM307" s="250" t="str">
        <f t="shared" si="666"/>
        <v>Inconnu</v>
      </c>
      <c r="BN307" s="250" t="str">
        <f t="shared" si="667"/>
        <v>Inconnu</v>
      </c>
      <c r="BO307" s="250" t="str">
        <f t="shared" si="659"/>
        <v>Inconnu</v>
      </c>
      <c r="BP307" s="250" t="str">
        <f t="shared" si="668"/>
        <v>Inconnu</v>
      </c>
      <c r="BQ307" s="250" t="str">
        <f t="shared" si="669"/>
        <v>Inconnu</v>
      </c>
      <c r="BR307" s="250" t="str">
        <f t="shared" si="670"/>
        <v>Aucune</v>
      </c>
      <c r="BS307" s="250">
        <f t="shared" si="671"/>
        <v>0</v>
      </c>
      <c r="BT307" s="271" t="e">
        <f>VLOOKUP($I307,Lieu_Activité!$A:$B,2,FALSE)</f>
        <v>#N/A</v>
      </c>
      <c r="BU307" s="250" t="str">
        <f t="shared" si="672"/>
        <v>Aucun</v>
      </c>
      <c r="BV307" s="250" t="str">
        <f t="shared" si="225"/>
        <v>Aucun</v>
      </c>
      <c r="BW307" s="249" t="str">
        <f t="shared" si="673"/>
        <v>NON</v>
      </c>
      <c r="BX307" s="330"/>
    </row>
    <row r="308" spans="1:78" x14ac:dyDescent="0.2">
      <c r="A308" s="273" t="s">
        <v>259</v>
      </c>
      <c r="B308" s="276"/>
      <c r="C308" s="269"/>
      <c r="D308" s="299"/>
      <c r="E308" s="320">
        <f t="shared" si="660"/>
        <v>0</v>
      </c>
      <c r="F308" s="320" t="str">
        <f t="shared" ref="F308" si="674">IF(E308&lt;80," ","1")</f>
        <v xml:space="preserve"> </v>
      </c>
      <c r="G308" s="298"/>
      <c r="H308" s="298"/>
      <c r="I308" s="298"/>
      <c r="J308" s="298"/>
      <c r="K308" s="298"/>
      <c r="L308" s="299"/>
      <c r="M308" s="285"/>
      <c r="N308" s="274"/>
      <c r="O308" s="274"/>
      <c r="P308" s="307" t="str">
        <f>IFERROR(VLOOKUP(O308,Références!$K$11:$N$19,2)," ")</f>
        <v xml:space="preserve"> </v>
      </c>
      <c r="Q308" s="307" t="str">
        <f>IFERROR(VLOOKUP(O308,Références!$K$11:$N$19,3)," ")</f>
        <v xml:space="preserve"> </v>
      </c>
      <c r="R308" s="307" t="str">
        <f>IFERROR(VLOOKUP(O308,Références!$K$11:$N$19,4)," ")</f>
        <v xml:space="preserve"> </v>
      </c>
      <c r="S308" s="298"/>
      <c r="T308" s="298"/>
      <c r="U308" s="298"/>
      <c r="V308" s="298"/>
      <c r="W308" s="298"/>
      <c r="X308" s="299"/>
      <c r="Y308" s="298"/>
      <c r="Z308" s="298"/>
      <c r="AA308" s="298"/>
      <c r="AB308" s="277"/>
      <c r="AC308" s="277"/>
      <c r="AD308" s="277"/>
      <c r="AE308" s="277"/>
      <c r="AF308" s="277"/>
      <c r="AG308" s="277"/>
      <c r="AH308" s="277"/>
      <c r="AI308" s="277">
        <f t="shared" si="661"/>
        <v>0</v>
      </c>
      <c r="AJ308" s="299"/>
      <c r="AK308" s="298">
        <f t="shared" si="662"/>
        <v>0</v>
      </c>
      <c r="AL308" s="299"/>
      <c r="AM308" s="308">
        <f t="shared" si="663"/>
        <v>0</v>
      </c>
      <c r="AN308" s="298"/>
      <c r="AO308" s="277"/>
      <c r="AP308" s="303" t="str">
        <f t="shared" si="542"/>
        <v xml:space="preserve"> </v>
      </c>
      <c r="AQ308" s="298"/>
      <c r="AR308" s="337"/>
      <c r="AS308" s="337"/>
      <c r="AT308" s="305"/>
      <c r="AU308" s="319"/>
      <c r="AV308" s="347"/>
      <c r="AW308" s="272"/>
      <c r="AX308" s="342"/>
      <c r="AY308" s="343"/>
      <c r="AZ308" s="272"/>
      <c r="BA308" s="342"/>
      <c r="BB308" s="337"/>
      <c r="BC308" s="270">
        <f t="shared" si="664"/>
        <v>0</v>
      </c>
      <c r="BD308" s="270">
        <f t="shared" si="665"/>
        <v>0</v>
      </c>
      <c r="BE308" s="270">
        <f t="shared" si="219"/>
        <v>1</v>
      </c>
      <c r="BF308" s="270" t="str">
        <f t="shared" si="228"/>
        <v>ALIVE</v>
      </c>
      <c r="BG308" s="250" t="str">
        <f t="shared" si="220"/>
        <v>Aucune</v>
      </c>
      <c r="BH308" s="250" t="str">
        <f t="shared" si="221"/>
        <v>Aucune</v>
      </c>
      <c r="BI308" s="250" t="str">
        <f t="shared" si="222"/>
        <v>Aucune</v>
      </c>
      <c r="BJ308" s="250" t="str">
        <f t="shared" si="657"/>
        <v>NON</v>
      </c>
      <c r="BK308" s="250" t="str">
        <f t="shared" si="223"/>
        <v>NON</v>
      </c>
      <c r="BL308" s="250" t="str">
        <f t="shared" si="658"/>
        <v>Inconnu</v>
      </c>
      <c r="BM308" s="250" t="str">
        <f t="shared" si="666"/>
        <v>Inconnu</v>
      </c>
      <c r="BN308" s="250" t="str">
        <f t="shared" si="667"/>
        <v>Inconnu</v>
      </c>
      <c r="BO308" s="250" t="str">
        <f t="shared" si="659"/>
        <v>Inconnu</v>
      </c>
      <c r="BP308" s="250" t="str">
        <f t="shared" si="668"/>
        <v>Inconnu</v>
      </c>
      <c r="BQ308" s="250" t="str">
        <f t="shared" si="669"/>
        <v>Inconnu</v>
      </c>
      <c r="BR308" s="250" t="str">
        <f t="shared" si="670"/>
        <v>Aucune</v>
      </c>
      <c r="BS308" s="250">
        <f t="shared" si="671"/>
        <v>0</v>
      </c>
      <c r="BT308" s="271" t="e">
        <f>VLOOKUP($I308,Lieu_Activité!$A:$B,2,FALSE)</f>
        <v>#N/A</v>
      </c>
      <c r="BU308" s="250" t="str">
        <f t="shared" si="672"/>
        <v>Aucun</v>
      </c>
      <c r="BV308" s="250" t="str">
        <f t="shared" si="225"/>
        <v>Aucun</v>
      </c>
      <c r="BW308" s="249" t="str">
        <f t="shared" si="673"/>
        <v>NON</v>
      </c>
      <c r="BX308" s="330"/>
    </row>
    <row r="309" spans="1:78" x14ac:dyDescent="0.2">
      <c r="A309" s="286"/>
      <c r="B309" s="287"/>
      <c r="C309" s="324"/>
      <c r="D309" s="325"/>
      <c r="E309" s="326">
        <f>(L309-D309)/365</f>
        <v>0</v>
      </c>
      <c r="F309" s="326" t="str">
        <f>IF(E309&lt;80," ","1")</f>
        <v xml:space="preserve"> </v>
      </c>
      <c r="G309" s="327"/>
      <c r="H309" s="327"/>
      <c r="I309" s="327"/>
      <c r="J309" s="327"/>
      <c r="K309" s="327"/>
      <c r="L309" s="325"/>
      <c r="M309" s="288"/>
      <c r="N309" s="289"/>
      <c r="O309" s="289"/>
      <c r="P309" s="307" t="str">
        <f>IFERROR(VLOOKUP(O309,Références!$K$11:$N$19,2)," ")</f>
        <v xml:space="preserve"> </v>
      </c>
      <c r="Q309" s="307" t="str">
        <f>IFERROR(VLOOKUP(O309,Références!$K$11:$N$19,3)," ")</f>
        <v xml:space="preserve"> </v>
      </c>
      <c r="R309" s="307" t="str">
        <f>IFERROR(VLOOKUP(O309,Références!$K$11:$N$19,4)," ")</f>
        <v xml:space="preserve"> </v>
      </c>
      <c r="S309" s="327"/>
      <c r="T309" s="327"/>
      <c r="U309" s="327"/>
      <c r="V309" s="327"/>
      <c r="W309" s="327"/>
      <c r="X309" s="325"/>
      <c r="Y309" s="327"/>
      <c r="Z309" s="327"/>
      <c r="AA309" s="327"/>
      <c r="AB309" s="290"/>
      <c r="AC309" s="290"/>
      <c r="AD309" s="290"/>
      <c r="AE309" s="290"/>
      <c r="AF309" s="290"/>
      <c r="AG309" s="290"/>
      <c r="AH309" s="290"/>
      <c r="AI309" s="290">
        <f>SUM(AF309,AH309)</f>
        <v>0</v>
      </c>
      <c r="AJ309" s="325"/>
      <c r="AK309" s="327">
        <f>(AJ309-L309)</f>
        <v>0</v>
      </c>
      <c r="AL309" s="325"/>
      <c r="AM309" s="336">
        <f>(AL309-L309)</f>
        <v>0</v>
      </c>
      <c r="AN309" s="327"/>
      <c r="AO309" s="290"/>
      <c r="AP309" s="304" t="str">
        <f t="shared" si="542"/>
        <v xml:space="preserve"> </v>
      </c>
      <c r="AQ309" s="327"/>
      <c r="AR309" s="340"/>
      <c r="AS309" s="340"/>
      <c r="AT309" s="341"/>
      <c r="AU309" s="287"/>
      <c r="AV309" s="348"/>
      <c r="AW309" s="349"/>
      <c r="AX309" s="350"/>
      <c r="AY309" s="351"/>
      <c r="AZ309" s="349"/>
      <c r="BA309" s="350"/>
      <c r="BB309" s="340"/>
      <c r="BC309" s="291">
        <f>IF(BG309="Aucune",0,1)</f>
        <v>0</v>
      </c>
      <c r="BD309" s="291">
        <f>IF(BH309="Aucune",0,1)</f>
        <v>0</v>
      </c>
      <c r="BE309" s="291">
        <f>IF(AG309="Aucune",0,1)</f>
        <v>1</v>
      </c>
      <c r="BF309" s="291" t="str">
        <f>IF(AO309=1,"ELECTIVE",IF(AO309=2,"URGENCY",IF(AO309=3,"EMERGENCY",IF(AO309=4,"SALVAGE","ALIVE"))))</f>
        <v>ALIVE</v>
      </c>
      <c r="BG309" s="248" t="str">
        <f>IF(AD309="","Aucune","Infection")</f>
        <v>Aucune</v>
      </c>
      <c r="BH309" s="248" t="str">
        <f>IF(AI309&gt;0,"Transfusion","Aucune")</f>
        <v>Aucune</v>
      </c>
      <c r="BI309" s="248" t="str">
        <f>IF(AG309="","Aucune","Transfusé")</f>
        <v>Aucune</v>
      </c>
      <c r="BJ309" s="248" t="str">
        <f>IF(X309&lt;&gt;"",IF(X309-L309&lt;2,"OUI","NON"),"NON")</f>
        <v>NON</v>
      </c>
      <c r="BK309" s="248" t="str">
        <f>IF(AS309="","NON","OUI")</f>
        <v>NON</v>
      </c>
      <c r="BL309" s="248" t="str">
        <f>IF(AL309-L309&gt;0,AL309-L309,"Inconnu")</f>
        <v>Inconnu</v>
      </c>
      <c r="BM309" s="248" t="str">
        <f>IF($O309&lt;&gt;"HTX",IF($O309&lt;&gt;"LVAD",BL309,"Inconnu"),"Inconnu")</f>
        <v>Inconnu</v>
      </c>
      <c r="BN309" s="248" t="str">
        <f>IF($O309="HTX",BL309,IF($O309="LVAD",BL309,"Inconnu"))</f>
        <v>Inconnu</v>
      </c>
      <c r="BO309" s="248" t="str">
        <f>IF(AJ309-L309&gt;0,AJ309-L309,"Inconnu")</f>
        <v>Inconnu</v>
      </c>
      <c r="BP309" s="248" t="str">
        <f>IF($O309&lt;&gt;"HTX",IF($O309&lt;&gt;"LVAD",BO309,"Inconnu"),"Inconnu")</f>
        <v>Inconnu</v>
      </c>
      <c r="BQ309" s="248" t="str">
        <f>IF($O309="HTX",BO309,IF($O309="LVAD",BO309,"Inconnu"))</f>
        <v>Inconnu</v>
      </c>
      <c r="BR309" s="248" t="str">
        <f>IF(BH309="Aucune",IF(BI309="Aucune","Aucune","Transfusé"),"Transfusé")</f>
        <v>Aucune</v>
      </c>
      <c r="BS309" s="248">
        <f>AF309+AH309</f>
        <v>0</v>
      </c>
      <c r="BT309" s="292" t="e">
        <f>VLOOKUP($I309,Lieu_Activité!$A:$B,2,FALSE)</f>
        <v>#N/A</v>
      </c>
      <c r="BU309" s="248" t="str">
        <f>IF(AB309="","Aucun","AVC")</f>
        <v>Aucun</v>
      </c>
      <c r="BV309" s="248" t="str">
        <f>IF(AC309="","Aucun","IM")</f>
        <v>Aucun</v>
      </c>
      <c r="BW309" s="25" t="str">
        <f>IF(M309="","NON","OUI")</f>
        <v>NON</v>
      </c>
      <c r="BX309" s="330"/>
    </row>
    <row r="310" spans="1:78" x14ac:dyDescent="0.25">
      <c r="A310" s="331"/>
      <c r="B310" s="328"/>
      <c r="C310" s="328"/>
      <c r="D310" s="329"/>
      <c r="E310" s="330"/>
      <c r="F310" s="330"/>
      <c r="G310" s="330"/>
      <c r="H310" s="330"/>
      <c r="I310" s="330"/>
      <c r="J310" s="330"/>
      <c r="K310" s="330"/>
      <c r="L310" s="329"/>
      <c r="M310" s="329"/>
      <c r="N310" s="330"/>
      <c r="O310" s="330"/>
      <c r="P310" s="330"/>
      <c r="Q310" s="330"/>
      <c r="R310" s="330"/>
      <c r="S310" s="330"/>
      <c r="T310" s="330"/>
      <c r="U310" s="330"/>
      <c r="V310" s="330"/>
      <c r="W310" s="330"/>
      <c r="X310" s="329"/>
      <c r="Y310" s="330"/>
      <c r="Z310" s="330"/>
      <c r="AA310" s="330"/>
      <c r="AB310" s="330"/>
      <c r="AC310" s="330"/>
      <c r="AD310" s="330"/>
      <c r="AE310" s="330"/>
      <c r="AF310" s="330"/>
      <c r="AG310" s="330"/>
      <c r="AH310" s="330"/>
      <c r="AI310" s="330"/>
      <c r="AJ310" s="330"/>
      <c r="AK310" s="330"/>
      <c r="AL310" s="329"/>
      <c r="AM310" s="329"/>
      <c r="AN310" s="330"/>
      <c r="AO310" s="330"/>
      <c r="AP310" s="332"/>
      <c r="AQ310" s="330"/>
      <c r="AR310" s="231"/>
      <c r="AS310" s="333"/>
      <c r="AT310" s="206"/>
      <c r="AU310" s="328"/>
      <c r="AV310" s="206"/>
      <c r="AW310" s="206"/>
      <c r="AX310" s="206"/>
      <c r="AY310" s="206"/>
      <c r="AZ310" s="206"/>
      <c r="BA310" s="206"/>
      <c r="BB310" s="334"/>
      <c r="BC310" s="206"/>
      <c r="BD310" s="206"/>
      <c r="BE310" s="206"/>
      <c r="BF310" s="206"/>
      <c r="BG310" s="330"/>
      <c r="BH310" s="330"/>
      <c r="BI310" s="330"/>
      <c r="BJ310" s="330"/>
      <c r="BK310" s="330"/>
      <c r="BL310" s="330"/>
      <c r="BM310" s="330"/>
      <c r="BN310" s="330"/>
      <c r="BO310" s="330"/>
      <c r="BP310" s="330"/>
      <c r="BQ310" s="330"/>
      <c r="BR310" s="330"/>
      <c r="BS310" s="330"/>
      <c r="BT310" s="330"/>
      <c r="BU310" s="330"/>
      <c r="BV310" s="330"/>
      <c r="BW310" s="330"/>
      <c r="BX310" s="330"/>
      <c r="BY310" s="330"/>
      <c r="BZ310" s="330"/>
    </row>
    <row r="311" spans="1:78" x14ac:dyDescent="0.25">
      <c r="A311" s="331"/>
      <c r="B311" s="328"/>
      <c r="C311" s="328"/>
      <c r="D311" s="329"/>
      <c r="E311" s="330"/>
      <c r="F311" s="330"/>
      <c r="G311" s="330"/>
      <c r="H311" s="330"/>
      <c r="I311" s="330"/>
      <c r="J311" s="330"/>
      <c r="K311" s="330"/>
      <c r="L311" s="329"/>
      <c r="M311" s="329"/>
      <c r="N311" s="330"/>
      <c r="O311" s="330"/>
      <c r="P311" s="330"/>
      <c r="Q311" s="330"/>
      <c r="R311" s="330"/>
      <c r="S311" s="330"/>
      <c r="T311" s="330"/>
      <c r="U311" s="330"/>
      <c r="V311" s="330"/>
      <c r="W311" s="330"/>
      <c r="X311" s="329"/>
      <c r="Y311" s="330"/>
      <c r="Z311" s="330"/>
      <c r="AA311" s="330"/>
      <c r="AB311" s="330"/>
      <c r="AC311" s="330"/>
      <c r="AD311" s="330"/>
      <c r="AE311" s="330"/>
      <c r="AF311" s="330"/>
      <c r="AG311" s="330"/>
      <c r="AH311" s="330"/>
      <c r="AI311" s="330"/>
      <c r="AJ311" s="330"/>
      <c r="AK311" s="330"/>
      <c r="AL311" s="329"/>
      <c r="AM311" s="329"/>
      <c r="AN311" s="330"/>
      <c r="AO311" s="330"/>
      <c r="AP311" s="330"/>
      <c r="AQ311" s="330"/>
      <c r="AR311" s="231"/>
      <c r="AS311" s="333"/>
      <c r="AT311" s="206"/>
      <c r="AU311" s="328"/>
      <c r="AV311" s="206"/>
      <c r="AW311" s="206"/>
      <c r="AX311" s="206"/>
      <c r="AY311" s="206"/>
      <c r="AZ311" s="206"/>
      <c r="BA311" s="206"/>
      <c r="BB311" s="334"/>
      <c r="BC311" s="206"/>
      <c r="BD311" s="206"/>
      <c r="BE311" s="206"/>
      <c r="BF311" s="206"/>
      <c r="BG311" s="330"/>
      <c r="BH311" s="330"/>
      <c r="BI311" s="330"/>
      <c r="BJ311" s="330"/>
      <c r="BK311" s="330"/>
      <c r="BL311" s="330"/>
      <c r="BM311" s="330"/>
      <c r="BN311" s="330"/>
      <c r="BO311" s="330"/>
      <c r="BP311" s="330"/>
      <c r="BQ311" s="330"/>
      <c r="BR311" s="330"/>
      <c r="BS311" s="330"/>
      <c r="BT311" s="330"/>
      <c r="BU311" s="330"/>
      <c r="BV311" s="330"/>
      <c r="BW311" s="330"/>
      <c r="BX311" s="330"/>
      <c r="BY311" s="330"/>
      <c r="BZ311" s="330"/>
    </row>
    <row r="312" spans="1:78" x14ac:dyDescent="0.25">
      <c r="A312" s="331"/>
      <c r="B312" s="328"/>
      <c r="C312" s="328"/>
      <c r="D312" s="329"/>
      <c r="E312" s="330"/>
      <c r="F312" s="330"/>
      <c r="G312" s="330"/>
      <c r="H312" s="330"/>
      <c r="I312" s="330"/>
      <c r="J312" s="330"/>
      <c r="K312" s="330"/>
      <c r="L312" s="329"/>
      <c r="M312" s="329"/>
      <c r="N312" s="330" t="s">
        <v>72</v>
      </c>
      <c r="O312" s="330" t="s">
        <v>2</v>
      </c>
      <c r="P312" s="330" t="s">
        <v>72</v>
      </c>
      <c r="Q312" s="330" t="s">
        <v>72</v>
      </c>
      <c r="R312" s="330"/>
      <c r="S312" s="330"/>
      <c r="T312" s="330"/>
      <c r="U312" s="330"/>
      <c r="V312" s="330"/>
      <c r="W312" s="330"/>
      <c r="X312" s="329"/>
      <c r="Y312" s="330"/>
      <c r="Z312" s="330"/>
      <c r="AA312" s="330"/>
      <c r="AB312" s="330"/>
      <c r="AC312" s="330"/>
      <c r="AD312" s="330"/>
      <c r="AE312" s="330"/>
      <c r="AF312" s="330"/>
      <c r="AG312" s="330"/>
      <c r="AH312" s="330"/>
      <c r="AI312" s="330"/>
      <c r="AJ312" s="330"/>
      <c r="AK312" s="330"/>
      <c r="AL312" s="329"/>
      <c r="AM312" s="329"/>
      <c r="AN312" s="330"/>
      <c r="AO312" s="330"/>
      <c r="AP312" s="330"/>
      <c r="AQ312" s="330"/>
      <c r="AR312" s="231"/>
      <c r="AS312" s="333"/>
      <c r="AT312" s="206"/>
      <c r="AU312" s="328"/>
      <c r="AV312" s="206"/>
      <c r="AW312" s="206"/>
      <c r="AX312" s="206"/>
      <c r="AY312" s="206"/>
      <c r="AZ312" s="206"/>
      <c r="BA312" s="206"/>
      <c r="BB312" s="206"/>
      <c r="BC312" s="206"/>
      <c r="BD312" s="206"/>
      <c r="BE312" s="206"/>
      <c r="BF312" s="206"/>
      <c r="BG312" s="330"/>
      <c r="BH312" s="330"/>
      <c r="BI312" s="330"/>
      <c r="BJ312" s="330"/>
      <c r="BK312" s="330"/>
      <c r="BL312" s="330"/>
      <c r="BM312" s="330"/>
      <c r="BN312" s="330"/>
      <c r="BO312" s="330"/>
      <c r="BP312" s="330"/>
      <c r="BQ312" s="330"/>
      <c r="BR312" s="330"/>
      <c r="BS312" s="330"/>
      <c r="BT312" s="330"/>
      <c r="BU312" s="330"/>
      <c r="BV312" s="330"/>
      <c r="BW312" s="330"/>
      <c r="BX312" s="330"/>
      <c r="BY312" s="330"/>
      <c r="BZ312" s="330"/>
    </row>
    <row r="313" spans="1:78" x14ac:dyDescent="0.25">
      <c r="A313" s="331"/>
      <c r="B313" s="328"/>
      <c r="C313" s="328"/>
      <c r="D313" s="329"/>
      <c r="E313" s="330"/>
      <c r="F313" s="330"/>
      <c r="G313" s="330"/>
      <c r="H313" s="330"/>
      <c r="I313" s="330"/>
      <c r="J313" s="330"/>
      <c r="K313" s="330"/>
      <c r="L313" s="329"/>
      <c r="M313" s="329"/>
      <c r="N313" s="330" t="s">
        <v>64</v>
      </c>
      <c r="O313" s="330" t="s">
        <v>2</v>
      </c>
      <c r="P313" s="330" t="s">
        <v>64</v>
      </c>
      <c r="Q313" s="330" t="s">
        <v>64</v>
      </c>
      <c r="R313" s="330"/>
      <c r="S313" s="330"/>
      <c r="T313" s="330"/>
      <c r="U313" s="330"/>
      <c r="V313" s="330"/>
      <c r="W313" s="330"/>
      <c r="X313" s="329"/>
      <c r="Y313" s="330"/>
      <c r="Z313" s="330"/>
      <c r="AA313" s="330"/>
      <c r="AB313" s="330"/>
      <c r="AC313" s="330"/>
      <c r="AD313" s="330"/>
      <c r="AE313" s="330"/>
      <c r="AF313" s="330"/>
      <c r="AG313" s="330"/>
      <c r="AH313" s="330"/>
      <c r="AI313" s="330"/>
      <c r="AJ313" s="330"/>
      <c r="AK313" s="330"/>
      <c r="AL313" s="329"/>
      <c r="AM313" s="329"/>
      <c r="AN313" s="330"/>
      <c r="AO313" s="330"/>
      <c r="AP313" s="330"/>
      <c r="AQ313" s="330"/>
      <c r="AR313" s="231"/>
      <c r="AS313" s="333"/>
      <c r="AT313" s="206"/>
      <c r="AU313" s="328"/>
      <c r="AV313" s="206"/>
      <c r="AW313" s="206"/>
      <c r="AX313" s="206"/>
      <c r="AY313" s="206"/>
      <c r="AZ313" s="206"/>
      <c r="BA313" s="206"/>
      <c r="BB313" s="206"/>
      <c r="BC313" s="206"/>
      <c r="BD313" s="206"/>
      <c r="BE313" s="206"/>
      <c r="BF313" s="206"/>
      <c r="BG313" s="330"/>
      <c r="BH313" s="330"/>
      <c r="BI313" s="330"/>
      <c r="BJ313" s="330"/>
      <c r="BK313" s="330"/>
      <c r="BL313" s="330"/>
      <c r="BM313" s="330"/>
      <c r="BN313" s="330"/>
      <c r="BO313" s="330"/>
      <c r="BP313" s="330"/>
      <c r="BQ313" s="330"/>
      <c r="BR313" s="330"/>
      <c r="BS313" s="330"/>
      <c r="BT313" s="330"/>
      <c r="BU313" s="330"/>
      <c r="BV313" s="330"/>
      <c r="BW313" s="330"/>
      <c r="BX313" s="330"/>
      <c r="BY313" s="330"/>
      <c r="BZ313" s="330"/>
    </row>
    <row r="314" spans="1:78" x14ac:dyDescent="0.25">
      <c r="A314" s="331"/>
      <c r="B314" s="328"/>
      <c r="C314" s="328"/>
      <c r="D314" s="329"/>
      <c r="E314" s="330"/>
      <c r="F314" s="330"/>
      <c r="G314" s="330"/>
      <c r="H314" s="330"/>
      <c r="I314" s="330"/>
      <c r="J314" s="330"/>
      <c r="K314" s="330"/>
      <c r="L314" s="329"/>
      <c r="M314" s="329"/>
      <c r="N314" s="330" t="s">
        <v>1</v>
      </c>
      <c r="O314" s="330" t="s">
        <v>2</v>
      </c>
      <c r="P314" s="330" t="s">
        <v>1</v>
      </c>
      <c r="Q314" s="330" t="s">
        <v>1</v>
      </c>
      <c r="R314" s="330"/>
      <c r="S314" s="330"/>
      <c r="T314" s="330"/>
      <c r="U314" s="330"/>
      <c r="V314" s="330"/>
      <c r="W314" s="330"/>
      <c r="X314" s="329"/>
      <c r="Y314" s="330"/>
      <c r="Z314" s="330"/>
      <c r="AA314" s="330"/>
      <c r="AB314" s="330"/>
      <c r="AC314" s="330"/>
      <c r="AD314" s="330"/>
      <c r="AE314" s="330"/>
      <c r="AF314" s="330"/>
      <c r="AG314" s="330"/>
      <c r="AH314" s="330"/>
      <c r="AI314" s="330"/>
      <c r="AJ314" s="330"/>
      <c r="AK314" s="330"/>
      <c r="AL314" s="329"/>
      <c r="AM314" s="329"/>
      <c r="AN314" s="330"/>
      <c r="AO314" s="330"/>
      <c r="AP314" s="330"/>
      <c r="AQ314" s="330"/>
      <c r="AR314" s="231"/>
      <c r="AS314" s="333"/>
      <c r="AT314" s="206"/>
      <c r="AU314" s="328"/>
      <c r="AV314" s="206"/>
      <c r="AW314" s="206"/>
      <c r="AX314" s="206"/>
      <c r="AY314" s="206"/>
      <c r="AZ314" s="206"/>
      <c r="BA314" s="206"/>
      <c r="BB314" s="206"/>
      <c r="BC314" s="206"/>
      <c r="BD314" s="206"/>
      <c r="BE314" s="206"/>
      <c r="BF314" s="206"/>
      <c r="BG314" s="330"/>
      <c r="BH314" s="330"/>
      <c r="BI314" s="330"/>
      <c r="BJ314" s="330"/>
      <c r="BK314" s="330"/>
      <c r="BL314" s="330"/>
      <c r="BM314" s="330"/>
      <c r="BN314" s="330"/>
      <c r="BO314" s="330"/>
      <c r="BP314" s="330"/>
      <c r="BQ314" s="330"/>
      <c r="BR314" s="330"/>
      <c r="BS314" s="330"/>
      <c r="BT314" s="330"/>
      <c r="BU314" s="330"/>
      <c r="BV314" s="330"/>
      <c r="BW314" s="330"/>
      <c r="BX314" s="330"/>
      <c r="BY314" s="330"/>
      <c r="BZ314" s="330"/>
    </row>
    <row r="315" spans="1:78" x14ac:dyDescent="0.25">
      <c r="A315" s="331"/>
      <c r="B315" s="328"/>
      <c r="C315" s="328"/>
      <c r="D315" s="329"/>
      <c r="E315" s="330"/>
      <c r="F315" s="330"/>
      <c r="G315" s="330"/>
      <c r="H315" s="330"/>
      <c r="I315" s="330"/>
      <c r="J315" s="330"/>
      <c r="K315" s="330"/>
      <c r="L315" s="329"/>
      <c r="M315" s="329"/>
      <c r="N315" s="330" t="s">
        <v>63</v>
      </c>
      <c r="O315" s="330" t="s">
        <v>3</v>
      </c>
      <c r="P315" s="330" t="s">
        <v>63</v>
      </c>
      <c r="Q315" s="330" t="s">
        <v>63</v>
      </c>
      <c r="R315" s="330"/>
      <c r="S315" s="330"/>
      <c r="T315" s="330"/>
      <c r="U315" s="330"/>
      <c r="V315" s="330"/>
      <c r="W315" s="330"/>
      <c r="X315" s="329"/>
      <c r="Y315" s="330"/>
      <c r="Z315" s="330"/>
      <c r="AA315" s="330"/>
      <c r="AB315" s="330"/>
      <c r="AC315" s="330"/>
      <c r="AD315" s="330"/>
      <c r="AE315" s="330"/>
      <c r="AF315" s="330"/>
      <c r="AG315" s="330"/>
      <c r="AH315" s="330"/>
      <c r="AI315" s="330"/>
      <c r="AJ315" s="330"/>
      <c r="AK315" s="330"/>
      <c r="AL315" s="329"/>
      <c r="AM315" s="329"/>
      <c r="AN315" s="330"/>
      <c r="AO315" s="330"/>
      <c r="AP315" s="330"/>
      <c r="AQ315" s="330"/>
      <c r="AR315" s="231"/>
      <c r="AS315" s="333"/>
      <c r="AT315" s="206"/>
      <c r="AU315" s="328"/>
      <c r="AV315" s="206"/>
      <c r="AW315" s="206"/>
      <c r="AX315" s="206"/>
      <c r="AY315" s="206"/>
      <c r="AZ315" s="206"/>
      <c r="BA315" s="206"/>
      <c r="BB315" s="206"/>
      <c r="BC315" s="206"/>
      <c r="BD315" s="206"/>
      <c r="BE315" s="206"/>
      <c r="BF315" s="206"/>
      <c r="BG315" s="330"/>
      <c r="BH315" s="330"/>
      <c r="BI315" s="330"/>
      <c r="BJ315" s="330"/>
      <c r="BK315" s="330"/>
      <c r="BL315" s="330"/>
      <c r="BM315" s="330"/>
      <c r="BN315" s="330"/>
      <c r="BO315" s="330"/>
      <c r="BP315" s="330"/>
      <c r="BQ315" s="330"/>
      <c r="BR315" s="330"/>
      <c r="BS315" s="330"/>
      <c r="BT315" s="330"/>
      <c r="BU315" s="330"/>
      <c r="BV315" s="330"/>
      <c r="BW315" s="330"/>
      <c r="BX315" s="330"/>
      <c r="BY315" s="330"/>
      <c r="BZ315" s="330"/>
    </row>
    <row r="316" spans="1:78" x14ac:dyDescent="0.25">
      <c r="A316" s="331"/>
      <c r="B316" s="328"/>
      <c r="C316" s="328"/>
      <c r="D316" s="329"/>
      <c r="E316" s="330"/>
      <c r="F316" s="330"/>
      <c r="G316" s="330"/>
      <c r="H316" s="330"/>
      <c r="I316" s="330"/>
      <c r="J316" s="330"/>
      <c r="K316" s="330"/>
      <c r="L316" s="329"/>
      <c r="M316" s="329"/>
      <c r="N316" s="330"/>
      <c r="O316" s="330"/>
      <c r="P316" s="330"/>
      <c r="Q316" s="330"/>
      <c r="R316" s="330"/>
      <c r="S316" s="330"/>
      <c r="T316" s="330"/>
      <c r="U316" s="330"/>
      <c r="V316" s="330"/>
      <c r="W316" s="330"/>
      <c r="X316" s="329"/>
      <c r="Y316" s="330"/>
      <c r="Z316" s="330"/>
      <c r="AA316" s="330"/>
      <c r="AB316" s="330"/>
      <c r="AC316" s="330"/>
      <c r="AD316" s="330"/>
      <c r="AE316" s="330"/>
      <c r="AF316" s="330"/>
      <c r="AG316" s="330"/>
      <c r="AH316" s="330"/>
      <c r="AI316" s="330"/>
      <c r="AJ316" s="330"/>
      <c r="AK316" s="330"/>
      <c r="AL316" s="329"/>
      <c r="AM316" s="329"/>
      <c r="AN316" s="330"/>
      <c r="AO316" s="330"/>
      <c r="AP316" s="330"/>
      <c r="AQ316" s="330"/>
      <c r="AR316" s="231"/>
      <c r="AS316" s="333"/>
      <c r="AT316" s="206"/>
      <c r="AU316" s="328"/>
      <c r="AV316" s="206"/>
      <c r="AW316" s="206"/>
      <c r="AX316" s="206"/>
      <c r="AY316" s="206"/>
      <c r="AZ316" s="206"/>
      <c r="BA316" s="206"/>
      <c r="BB316" s="206"/>
      <c r="BC316" s="206"/>
      <c r="BD316" s="206"/>
      <c r="BE316" s="206"/>
      <c r="BF316" s="206"/>
      <c r="BG316" s="330"/>
      <c r="BH316" s="330"/>
      <c r="BI316" s="330"/>
      <c r="BJ316" s="330"/>
      <c r="BK316" s="330"/>
      <c r="BL316" s="330"/>
      <c r="BM316" s="330"/>
      <c r="BN316" s="330"/>
      <c r="BO316" s="330"/>
      <c r="BP316" s="330"/>
      <c r="BQ316" s="330"/>
      <c r="BR316" s="330"/>
      <c r="BS316" s="330"/>
      <c r="BT316" s="330"/>
      <c r="BU316" s="330"/>
      <c r="BV316" s="330"/>
      <c r="BW316" s="330"/>
      <c r="BX316" s="330"/>
      <c r="BY316" s="330"/>
      <c r="BZ316" s="330"/>
    </row>
    <row r="317" spans="1:78" x14ac:dyDescent="0.25">
      <c r="A317" s="331"/>
      <c r="B317" s="328"/>
      <c r="C317" s="328"/>
      <c r="D317" s="329"/>
      <c r="E317" s="330"/>
      <c r="F317" s="330"/>
      <c r="G317" s="330"/>
      <c r="H317" s="330"/>
      <c r="I317" s="330"/>
      <c r="J317" s="330"/>
      <c r="K317" s="330"/>
      <c r="L317" s="329"/>
      <c r="M317" s="329"/>
      <c r="N317" s="330"/>
      <c r="O317" s="330"/>
      <c r="P317" s="330"/>
      <c r="Q317" s="330"/>
      <c r="R317" s="330"/>
      <c r="S317" s="330"/>
      <c r="T317" s="330"/>
      <c r="U317" s="330"/>
      <c r="V317" s="330"/>
      <c r="W317" s="330"/>
      <c r="X317" s="329"/>
      <c r="Y317" s="330"/>
      <c r="Z317" s="330"/>
      <c r="AA317" s="330"/>
      <c r="AB317" s="330"/>
      <c r="AC317" s="330"/>
      <c r="AD317" s="330"/>
      <c r="AE317" s="330"/>
      <c r="AF317" s="330"/>
      <c r="AG317" s="330"/>
      <c r="AH317" s="330"/>
      <c r="AI317" s="330"/>
      <c r="AJ317" s="330"/>
      <c r="AK317" s="330"/>
      <c r="AL317" s="329"/>
      <c r="AM317" s="329"/>
      <c r="AN317" s="330"/>
      <c r="AO317" s="330"/>
      <c r="AP317" s="330"/>
      <c r="AQ317" s="330"/>
      <c r="AR317" s="231"/>
      <c r="AS317" s="333"/>
      <c r="AT317" s="206"/>
      <c r="AU317" s="328"/>
      <c r="AV317" s="206"/>
      <c r="AW317" s="206"/>
      <c r="AX317" s="206"/>
      <c r="AY317" s="206"/>
      <c r="AZ317" s="206"/>
      <c r="BA317" s="206"/>
      <c r="BB317" s="206"/>
      <c r="BC317" s="206"/>
      <c r="BD317" s="206"/>
      <c r="BE317" s="206"/>
      <c r="BF317" s="206"/>
      <c r="BG317" s="330"/>
      <c r="BH317" s="330"/>
      <c r="BI317" s="330"/>
      <c r="BJ317" s="330"/>
      <c r="BK317" s="330"/>
      <c r="BL317" s="330"/>
      <c r="BM317" s="330"/>
      <c r="BN317" s="330"/>
      <c r="BO317" s="330"/>
      <c r="BP317" s="330"/>
      <c r="BQ317" s="330"/>
      <c r="BR317" s="330"/>
      <c r="BS317" s="330"/>
      <c r="BT317" s="330"/>
      <c r="BU317" s="330"/>
      <c r="BV317" s="330"/>
      <c r="BW317" s="330"/>
      <c r="BX317" s="330"/>
      <c r="BY317" s="330"/>
      <c r="BZ317" s="330"/>
    </row>
    <row r="318" spans="1:78" x14ac:dyDescent="0.25">
      <c r="A318" s="331"/>
      <c r="B318" s="328"/>
      <c r="C318" s="328"/>
      <c r="D318" s="329"/>
      <c r="E318" s="330"/>
      <c r="F318" s="330"/>
      <c r="G318" s="330"/>
      <c r="H318" s="330"/>
      <c r="I318" s="330"/>
      <c r="J318" s="330"/>
      <c r="K318" s="330"/>
      <c r="L318" s="329"/>
      <c r="M318" s="329"/>
      <c r="N318" s="330"/>
      <c r="O318" s="330"/>
      <c r="P318" s="330"/>
      <c r="Q318" s="330"/>
      <c r="R318" s="330"/>
      <c r="S318" s="330"/>
      <c r="T318" s="330"/>
      <c r="U318" s="330"/>
      <c r="V318" s="330"/>
      <c r="W318" s="330"/>
      <c r="X318" s="329"/>
      <c r="Y318" s="330"/>
      <c r="Z318" s="330"/>
      <c r="AA318" s="330"/>
      <c r="AB318" s="330"/>
      <c r="AC318" s="330"/>
      <c r="AD318" s="330"/>
      <c r="AE318" s="330"/>
      <c r="AF318" s="330"/>
      <c r="AG318" s="330"/>
      <c r="AH318" s="330"/>
      <c r="AI318" s="330"/>
      <c r="AJ318" s="330"/>
      <c r="AK318" s="330"/>
      <c r="AL318" s="329"/>
      <c r="AM318" s="329"/>
      <c r="AN318" s="330"/>
      <c r="AO318" s="330"/>
      <c r="AP318" s="330"/>
      <c r="AQ318" s="330"/>
      <c r="AR318" s="231"/>
      <c r="AS318" s="333"/>
      <c r="AT318" s="206"/>
      <c r="AU318" s="328"/>
      <c r="AV318" s="206"/>
      <c r="AW318" s="206"/>
      <c r="AX318" s="206"/>
      <c r="AY318" s="206"/>
      <c r="AZ318" s="206"/>
      <c r="BA318" s="206"/>
      <c r="BB318" s="206"/>
      <c r="BC318" s="206"/>
      <c r="BD318" s="206"/>
      <c r="BE318" s="206"/>
      <c r="BF318" s="206"/>
      <c r="BG318" s="330"/>
      <c r="BH318" s="330"/>
      <c r="BI318" s="330"/>
      <c r="BJ318" s="330"/>
      <c r="BK318" s="330"/>
      <c r="BL318" s="330"/>
      <c r="BM318" s="330"/>
      <c r="BN318" s="330"/>
      <c r="BO318" s="330"/>
      <c r="BP318" s="330"/>
      <c r="BQ318" s="330"/>
      <c r="BR318" s="330"/>
      <c r="BS318" s="330"/>
      <c r="BT318" s="330"/>
      <c r="BU318" s="330"/>
      <c r="BV318" s="330"/>
      <c r="BW318" s="330"/>
      <c r="BX318" s="330"/>
      <c r="BY318" s="330"/>
      <c r="BZ318" s="330"/>
    </row>
    <row r="319" spans="1:78" x14ac:dyDescent="0.25">
      <c r="A319" s="331"/>
      <c r="B319" s="328"/>
      <c r="C319" s="328"/>
      <c r="D319" s="329"/>
      <c r="E319" s="330"/>
      <c r="F319" s="330"/>
      <c r="G319" s="330"/>
      <c r="H319" s="330"/>
      <c r="I319" s="330"/>
      <c r="J319" s="330"/>
      <c r="K319" s="330"/>
      <c r="L319" s="329"/>
      <c r="M319" s="329"/>
      <c r="N319" s="330"/>
      <c r="O319" s="330"/>
      <c r="P319" s="330"/>
      <c r="Q319" s="330"/>
      <c r="R319" s="330"/>
      <c r="S319" s="330"/>
      <c r="T319" s="330"/>
      <c r="U319" s="330"/>
      <c r="V319" s="330"/>
      <c r="W319" s="330"/>
      <c r="X319" s="329"/>
      <c r="Y319" s="330"/>
      <c r="Z319" s="330"/>
      <c r="AA319" s="330"/>
      <c r="AB319" s="330"/>
      <c r="AC319" s="330"/>
      <c r="AD319" s="330"/>
      <c r="AE319" s="330"/>
      <c r="AF319" s="330"/>
      <c r="AG319" s="330"/>
      <c r="AH319" s="330"/>
      <c r="AI319" s="330"/>
      <c r="AJ319" s="330"/>
      <c r="AK319" s="330"/>
      <c r="AL319" s="329"/>
      <c r="AM319" s="329"/>
      <c r="AN319" s="330"/>
      <c r="AO319" s="330"/>
      <c r="AP319" s="330"/>
      <c r="AQ319" s="330"/>
      <c r="AR319" s="231"/>
      <c r="AS319" s="333"/>
      <c r="AT319" s="206"/>
      <c r="AU319" s="328"/>
      <c r="AV319" s="206"/>
      <c r="AW319" s="206"/>
      <c r="AX319" s="206"/>
      <c r="AY319" s="206"/>
      <c r="AZ319" s="206"/>
      <c r="BA319" s="206"/>
      <c r="BB319" s="206"/>
      <c r="BC319" s="206"/>
      <c r="BD319" s="206"/>
      <c r="BE319" s="206"/>
      <c r="BF319" s="206"/>
      <c r="BG319" s="330"/>
      <c r="BH319" s="330"/>
      <c r="BI319" s="330"/>
      <c r="BJ319" s="330"/>
      <c r="BK319" s="330"/>
      <c r="BL319" s="330"/>
      <c r="BM319" s="330"/>
      <c r="BN319" s="330"/>
      <c r="BO319" s="330"/>
      <c r="BP319" s="330"/>
      <c r="BQ319" s="330"/>
      <c r="BR319" s="330"/>
      <c r="BS319" s="330"/>
      <c r="BT319" s="330"/>
      <c r="BU319" s="330"/>
      <c r="BV319" s="330"/>
      <c r="BW319" s="330"/>
      <c r="BX319" s="330"/>
      <c r="BY319" s="330"/>
      <c r="BZ319" s="330"/>
    </row>
    <row r="320" spans="1:78" x14ac:dyDescent="0.25">
      <c r="A320" s="331"/>
      <c r="B320" s="328"/>
      <c r="C320" s="328"/>
      <c r="D320" s="329"/>
      <c r="E320" s="330"/>
      <c r="F320" s="330"/>
      <c r="G320" s="330"/>
      <c r="H320" s="330"/>
      <c r="I320" s="330"/>
      <c r="J320" s="330"/>
      <c r="K320" s="330"/>
      <c r="L320" s="329"/>
      <c r="M320" s="329"/>
      <c r="N320" s="330"/>
      <c r="O320" s="330"/>
      <c r="P320" s="330"/>
      <c r="Q320" s="330"/>
      <c r="R320" s="330"/>
      <c r="S320" s="330"/>
      <c r="T320" s="330"/>
      <c r="U320" s="330"/>
      <c r="V320" s="330"/>
      <c r="W320" s="330"/>
      <c r="X320" s="329"/>
      <c r="Y320" s="330"/>
      <c r="Z320" s="330"/>
      <c r="AA320" s="330"/>
      <c r="AB320" s="330"/>
      <c r="AC320" s="330"/>
      <c r="AD320" s="330"/>
      <c r="AE320" s="330"/>
      <c r="AF320" s="330"/>
      <c r="AG320" s="330"/>
      <c r="AH320" s="330"/>
      <c r="AI320" s="330"/>
      <c r="AJ320" s="330"/>
      <c r="AK320" s="330"/>
      <c r="AL320" s="329"/>
      <c r="AM320" s="329"/>
      <c r="AN320" s="330"/>
      <c r="AO320" s="330"/>
      <c r="AP320" s="330"/>
      <c r="AQ320" s="330"/>
      <c r="AR320" s="231"/>
      <c r="AS320" s="333"/>
      <c r="AT320" s="206"/>
      <c r="AU320" s="328"/>
      <c r="AV320" s="206"/>
      <c r="AW320" s="206"/>
      <c r="AX320" s="206"/>
      <c r="AY320" s="206"/>
      <c r="AZ320" s="206"/>
      <c r="BA320" s="206"/>
      <c r="BB320" s="206"/>
      <c r="BC320" s="206"/>
      <c r="BD320" s="206"/>
      <c r="BE320" s="206"/>
      <c r="BF320" s="206"/>
      <c r="BG320" s="330"/>
      <c r="BH320" s="330"/>
      <c r="BI320" s="330"/>
      <c r="BJ320" s="330"/>
      <c r="BK320" s="330"/>
      <c r="BL320" s="330"/>
      <c r="BM320" s="330"/>
      <c r="BN320" s="330"/>
      <c r="BO320" s="330"/>
      <c r="BP320" s="330"/>
      <c r="BQ320" s="330"/>
      <c r="BR320" s="330"/>
      <c r="BS320" s="330"/>
      <c r="BT320" s="330"/>
      <c r="BU320" s="330"/>
      <c r="BV320" s="330"/>
      <c r="BW320" s="330"/>
      <c r="BX320" s="330"/>
      <c r="BY320" s="330"/>
      <c r="BZ320" s="330"/>
    </row>
    <row r="321" spans="1:78" x14ac:dyDescent="0.25">
      <c r="A321" s="331"/>
      <c r="B321" s="328"/>
      <c r="C321" s="328"/>
      <c r="D321" s="329"/>
      <c r="E321" s="330"/>
      <c r="F321" s="330"/>
      <c r="G321" s="330"/>
      <c r="H321" s="330"/>
      <c r="I321" s="330"/>
      <c r="J321" s="330"/>
      <c r="K321" s="330"/>
      <c r="L321" s="329"/>
      <c r="M321" s="329"/>
      <c r="N321" s="330"/>
      <c r="O321" s="330"/>
      <c r="P321" s="330"/>
      <c r="Q321" s="330"/>
      <c r="R321" s="330"/>
      <c r="S321" s="330"/>
      <c r="T321" s="330"/>
      <c r="U321" s="330"/>
      <c r="V321" s="330"/>
      <c r="W321" s="330"/>
      <c r="X321" s="329"/>
      <c r="Y321" s="330"/>
      <c r="Z321" s="330"/>
      <c r="AA321" s="330"/>
      <c r="AB321" s="330"/>
      <c r="AC321" s="330"/>
      <c r="AD321" s="330"/>
      <c r="AE321" s="330"/>
      <c r="AF321" s="330"/>
      <c r="AG321" s="330"/>
      <c r="AH321" s="330"/>
      <c r="AI321" s="330"/>
      <c r="AJ321" s="330"/>
      <c r="AK321" s="330"/>
      <c r="AL321" s="329"/>
      <c r="AM321" s="329"/>
      <c r="AN321" s="330"/>
      <c r="AO321" s="330"/>
      <c r="AP321" s="330"/>
      <c r="AQ321" s="330"/>
      <c r="AR321" s="231"/>
      <c r="AS321" s="333"/>
      <c r="AT321" s="206"/>
      <c r="AU321" s="328"/>
      <c r="AV321" s="206"/>
      <c r="AW321" s="206"/>
      <c r="AX321" s="206"/>
      <c r="AY321" s="206"/>
      <c r="AZ321" s="206"/>
      <c r="BA321" s="206"/>
      <c r="BB321" s="206"/>
      <c r="BC321" s="206"/>
      <c r="BD321" s="206"/>
      <c r="BE321" s="206"/>
      <c r="BF321" s="206"/>
      <c r="BG321" s="330"/>
      <c r="BH321" s="330"/>
      <c r="BI321" s="330"/>
      <c r="BJ321" s="330"/>
      <c r="BK321" s="330"/>
      <c r="BL321" s="330"/>
      <c r="BM321" s="330"/>
      <c r="BN321" s="330"/>
      <c r="BO321" s="330"/>
      <c r="BP321" s="330"/>
      <c r="BQ321" s="330"/>
      <c r="BR321" s="330"/>
      <c r="BS321" s="330"/>
      <c r="BT321" s="330"/>
      <c r="BU321" s="330"/>
      <c r="BV321" s="330"/>
      <c r="BW321" s="330"/>
      <c r="BX321" s="330"/>
      <c r="BY321" s="330"/>
      <c r="BZ321" s="330"/>
    </row>
    <row r="322" spans="1:78" x14ac:dyDescent="0.25">
      <c r="A322" s="331"/>
      <c r="B322" s="328"/>
      <c r="C322" s="328"/>
      <c r="D322" s="329"/>
      <c r="E322" s="330"/>
      <c r="F322" s="330"/>
      <c r="G322" s="330"/>
      <c r="H322" s="330"/>
      <c r="I322" s="330"/>
      <c r="J322" s="330"/>
      <c r="K322" s="330"/>
      <c r="L322" s="329"/>
      <c r="M322" s="329"/>
      <c r="N322" s="330"/>
      <c r="O322" s="330"/>
      <c r="P322" s="330"/>
      <c r="Q322" s="330"/>
      <c r="R322" s="330"/>
      <c r="S322" s="330"/>
      <c r="T322" s="330"/>
      <c r="U322" s="330"/>
      <c r="V322" s="330"/>
      <c r="W322" s="330"/>
      <c r="X322" s="329"/>
      <c r="Y322" s="330"/>
      <c r="Z322" s="330"/>
      <c r="AA322" s="330"/>
      <c r="AB322" s="330"/>
      <c r="AC322" s="330"/>
      <c r="AD322" s="330"/>
      <c r="AE322" s="330"/>
      <c r="AF322" s="330"/>
      <c r="AG322" s="330"/>
      <c r="AH322" s="330"/>
      <c r="AI322" s="330"/>
      <c r="AJ322" s="330"/>
      <c r="AK322" s="330"/>
      <c r="AL322" s="329"/>
      <c r="AM322" s="329"/>
      <c r="AN322" s="330"/>
      <c r="AO322" s="330"/>
      <c r="AP322" s="330"/>
      <c r="AQ322" s="330"/>
      <c r="AR322" s="231"/>
      <c r="AS322" s="333"/>
      <c r="AT322" s="206"/>
      <c r="AU322" s="328"/>
      <c r="AV322" s="206"/>
      <c r="AW322" s="206"/>
      <c r="AX322" s="206"/>
      <c r="AY322" s="206"/>
      <c r="AZ322" s="206"/>
      <c r="BA322" s="206"/>
      <c r="BB322" s="206"/>
      <c r="BC322" s="206"/>
      <c r="BD322" s="206"/>
      <c r="BE322" s="206"/>
      <c r="BF322" s="206"/>
      <c r="BG322" s="330"/>
      <c r="BH322" s="330"/>
      <c r="BI322" s="330"/>
      <c r="BJ322" s="330"/>
      <c r="BK322" s="330"/>
      <c r="BL322" s="330"/>
      <c r="BM322" s="330"/>
      <c r="BN322" s="330"/>
      <c r="BO322" s="330"/>
      <c r="BP322" s="330"/>
      <c r="BQ322" s="330"/>
      <c r="BR322" s="330"/>
      <c r="BS322" s="330"/>
      <c r="BT322" s="330"/>
      <c r="BU322" s="330"/>
      <c r="BV322" s="330"/>
      <c r="BW322" s="330"/>
      <c r="BX322" s="330"/>
      <c r="BY322" s="330"/>
      <c r="BZ322" s="330"/>
    </row>
    <row r="323" spans="1:78" x14ac:dyDescent="0.25">
      <c r="A323" s="331"/>
      <c r="B323" s="328"/>
      <c r="C323" s="328"/>
      <c r="D323" s="329"/>
      <c r="E323" s="330"/>
      <c r="F323" s="330"/>
      <c r="G323" s="330"/>
      <c r="H323" s="330"/>
      <c r="I323" s="330"/>
      <c r="J323" s="330"/>
      <c r="K323" s="330"/>
      <c r="L323" s="329"/>
      <c r="M323" s="329"/>
      <c r="N323" s="330"/>
      <c r="O323" s="330"/>
      <c r="P323" s="330"/>
      <c r="Q323" s="330"/>
      <c r="R323" s="330"/>
      <c r="S323" s="330"/>
      <c r="T323" s="330"/>
      <c r="U323" s="330"/>
      <c r="V323" s="330"/>
      <c r="W323" s="330"/>
      <c r="X323" s="329"/>
      <c r="Y323" s="330"/>
      <c r="Z323" s="330"/>
      <c r="AA323" s="330"/>
      <c r="AB323" s="330"/>
      <c r="AC323" s="330"/>
      <c r="AD323" s="330"/>
      <c r="AE323" s="330"/>
      <c r="AF323" s="330"/>
      <c r="AG323" s="330"/>
      <c r="AH323" s="330"/>
      <c r="AI323" s="330"/>
      <c r="AJ323" s="330"/>
      <c r="AK323" s="330"/>
      <c r="AL323" s="329"/>
      <c r="AM323" s="329"/>
      <c r="AN323" s="330"/>
      <c r="AO323" s="330"/>
      <c r="AP323" s="330"/>
      <c r="AQ323" s="330"/>
      <c r="AR323" s="231"/>
      <c r="AS323" s="333"/>
      <c r="AT323" s="206"/>
      <c r="AU323" s="328"/>
      <c r="AV323" s="206"/>
      <c r="AW323" s="206"/>
      <c r="AX323" s="206"/>
      <c r="AY323" s="206"/>
      <c r="AZ323" s="206">
        <f>AZ326</f>
        <v>0</v>
      </c>
      <c r="BA323" s="206"/>
      <c r="BB323" s="206"/>
      <c r="BC323" s="206"/>
      <c r="BD323" s="206"/>
      <c r="BE323" s="206"/>
      <c r="BF323" s="206"/>
      <c r="BG323" s="330"/>
      <c r="BH323" s="330"/>
      <c r="BI323" s="330"/>
      <c r="BJ323" s="330"/>
      <c r="BK323" s="330"/>
      <c r="BL323" s="330"/>
      <c r="BM323" s="330"/>
      <c r="BN323" s="330"/>
      <c r="BO323" s="330"/>
      <c r="BP323" s="330"/>
      <c r="BQ323" s="330"/>
      <c r="BR323" s="330"/>
      <c r="BS323" s="330"/>
      <c r="BT323" s="330"/>
      <c r="BU323" s="330"/>
      <c r="BV323" s="330"/>
      <c r="BW323" s="330"/>
      <c r="BX323" s="330"/>
      <c r="BY323" s="330"/>
      <c r="BZ323" s="330"/>
    </row>
    <row r="324" spans="1:78" x14ac:dyDescent="0.25">
      <c r="A324" s="331"/>
      <c r="B324" s="328"/>
      <c r="C324" s="328"/>
      <c r="D324" s="329"/>
      <c r="E324" s="330"/>
      <c r="F324" s="330"/>
      <c r="G324" s="330"/>
      <c r="H324" s="330"/>
      <c r="I324" s="330"/>
      <c r="J324" s="330"/>
      <c r="K324" s="330"/>
      <c r="L324" s="329"/>
      <c r="M324" s="329"/>
      <c r="N324" s="330"/>
      <c r="O324" s="330"/>
      <c r="P324" s="330"/>
      <c r="Q324" s="330"/>
      <c r="R324" s="330"/>
      <c r="S324" s="330"/>
      <c r="T324" s="330"/>
      <c r="U324" s="330"/>
      <c r="V324" s="330"/>
      <c r="W324" s="330"/>
      <c r="X324" s="329"/>
      <c r="Y324" s="330"/>
      <c r="Z324" s="330"/>
      <c r="AA324" s="330"/>
      <c r="AB324" s="330"/>
      <c r="AC324" s="330"/>
      <c r="AD324" s="330"/>
      <c r="AE324" s="330"/>
      <c r="AF324" s="330"/>
      <c r="AG324" s="330"/>
      <c r="AH324" s="330"/>
      <c r="AI324" s="330"/>
      <c r="AJ324" s="330"/>
      <c r="AK324" s="330"/>
      <c r="AL324" s="329"/>
      <c r="AM324" s="329"/>
      <c r="AN324" s="330"/>
      <c r="AO324" s="330"/>
      <c r="AP324" s="330"/>
      <c r="AQ324" s="330"/>
      <c r="AR324" s="231"/>
      <c r="AS324" s="333"/>
      <c r="AT324" s="206"/>
      <c r="AU324" s="328"/>
      <c r="AV324" s="206"/>
      <c r="AW324" s="206"/>
      <c r="AX324" s="206"/>
      <c r="AY324" s="206"/>
      <c r="AZ324" s="206"/>
      <c r="BA324" s="206"/>
      <c r="BB324" s="206"/>
      <c r="BC324" s="206"/>
      <c r="BD324" s="206"/>
      <c r="BE324" s="206"/>
      <c r="BF324" s="206"/>
      <c r="BG324" s="330"/>
      <c r="BH324" s="330"/>
      <c r="BI324" s="330"/>
      <c r="BJ324" s="330"/>
      <c r="BK324" s="330"/>
      <c r="BL324" s="330"/>
      <c r="BM324" s="330"/>
      <c r="BN324" s="330"/>
      <c r="BO324" s="330"/>
      <c r="BP324" s="330"/>
      <c r="BQ324" s="330"/>
      <c r="BR324" s="330"/>
      <c r="BS324" s="330"/>
      <c r="BT324" s="330"/>
      <c r="BU324" s="330"/>
      <c r="BV324" s="330"/>
      <c r="BW324" s="330"/>
      <c r="BX324" s="330"/>
      <c r="BY324" s="330"/>
      <c r="BZ324" s="330"/>
    </row>
    <row r="325" spans="1:78" x14ac:dyDescent="0.25">
      <c r="A325" s="331"/>
      <c r="B325" s="328"/>
      <c r="C325" s="328"/>
      <c r="D325" s="329"/>
      <c r="E325" s="330"/>
      <c r="F325" s="330"/>
      <c r="G325" s="330"/>
      <c r="H325" s="330"/>
      <c r="I325" s="330"/>
      <c r="J325" s="330"/>
      <c r="K325" s="330"/>
      <c r="L325" s="329"/>
      <c r="M325" s="329"/>
      <c r="N325" s="330"/>
      <c r="O325" s="330"/>
      <c r="P325" s="330"/>
      <c r="Q325" s="330"/>
      <c r="R325" s="330"/>
      <c r="S325" s="330"/>
      <c r="T325" s="330"/>
      <c r="U325" s="330"/>
      <c r="V325" s="330"/>
      <c r="W325" s="330"/>
      <c r="X325" s="329"/>
      <c r="Y325" s="330"/>
      <c r="Z325" s="330"/>
      <c r="AA325" s="330"/>
      <c r="AB325" s="330"/>
      <c r="AC325" s="330"/>
      <c r="AD325" s="330"/>
      <c r="AE325" s="330"/>
      <c r="AF325" s="330"/>
      <c r="AG325" s="330"/>
      <c r="AH325" s="330"/>
      <c r="AI325" s="330"/>
      <c r="AJ325" s="330"/>
      <c r="AK325" s="330"/>
      <c r="AL325" s="329"/>
      <c r="AM325" s="329"/>
      <c r="AN325" s="330"/>
      <c r="AO325" s="330"/>
      <c r="AP325" s="330"/>
      <c r="AQ325" s="330"/>
      <c r="AR325" s="231"/>
      <c r="AS325" s="333"/>
      <c r="AT325" s="206"/>
      <c r="AU325" s="328"/>
      <c r="AV325" s="206"/>
      <c r="AW325" s="206"/>
      <c r="AX325" s="206"/>
      <c r="AY325" s="206"/>
      <c r="AZ325" s="206"/>
      <c r="BA325" s="206"/>
      <c r="BB325" s="206"/>
      <c r="BC325" s="206"/>
      <c r="BD325" s="206"/>
      <c r="BE325" s="206"/>
      <c r="BF325" s="206"/>
      <c r="BG325" s="330"/>
      <c r="BH325" s="330"/>
      <c r="BI325" s="330"/>
      <c r="BJ325" s="330"/>
      <c r="BK325" s="330"/>
      <c r="BL325" s="330"/>
      <c r="BM325" s="330"/>
      <c r="BN325" s="330"/>
      <c r="BO325" s="330"/>
      <c r="BP325" s="330"/>
      <c r="BQ325" s="330"/>
      <c r="BR325" s="330"/>
      <c r="BS325" s="330"/>
      <c r="BT325" s="330"/>
      <c r="BU325" s="330"/>
      <c r="BV325" s="330"/>
      <c r="BW325" s="330"/>
      <c r="BX325" s="330"/>
      <c r="BY325" s="330"/>
      <c r="BZ325" s="330"/>
    </row>
    <row r="326" spans="1:78" x14ac:dyDescent="0.25">
      <c r="A326" s="331"/>
      <c r="B326" s="328"/>
      <c r="C326" s="328"/>
      <c r="D326" s="329"/>
      <c r="E326" s="330"/>
      <c r="F326" s="330"/>
      <c r="G326" s="330"/>
      <c r="H326" s="330"/>
      <c r="I326" s="330"/>
      <c r="J326" s="330"/>
      <c r="K326" s="330"/>
      <c r="L326" s="329"/>
      <c r="M326" s="329"/>
      <c r="N326" s="330"/>
      <c r="O326" s="330"/>
      <c r="P326" s="330"/>
      <c r="Q326" s="330"/>
      <c r="R326" s="330"/>
      <c r="S326" s="330"/>
      <c r="T326" s="330"/>
      <c r="U326" s="330"/>
      <c r="V326" s="330"/>
      <c r="W326" s="330"/>
      <c r="X326" s="329"/>
      <c r="Y326" s="330"/>
      <c r="Z326" s="330"/>
      <c r="AA326" s="330"/>
      <c r="AB326" s="330"/>
      <c r="AC326" s="330"/>
      <c r="AD326" s="330"/>
      <c r="AE326" s="330"/>
      <c r="AF326" s="330"/>
      <c r="AG326" s="330"/>
      <c r="AH326" s="330"/>
      <c r="AI326" s="330"/>
      <c r="AJ326" s="330"/>
      <c r="AK326" s="330"/>
      <c r="AL326" s="329"/>
      <c r="AM326" s="329"/>
      <c r="AN326" s="330"/>
      <c r="AO326" s="330"/>
      <c r="AP326" s="330"/>
      <c r="AQ326" s="330"/>
      <c r="AR326" s="231"/>
      <c r="AS326" s="333"/>
      <c r="AT326" s="206"/>
      <c r="AU326" s="328"/>
      <c r="AV326" s="206"/>
      <c r="AW326" s="206"/>
      <c r="AX326" s="206"/>
      <c r="AY326" s="206"/>
      <c r="AZ326" s="206"/>
      <c r="BA326" s="206"/>
      <c r="BB326" s="206"/>
      <c r="BC326" s="206"/>
      <c r="BD326" s="206"/>
      <c r="BE326" s="206"/>
      <c r="BF326" s="206"/>
      <c r="BG326" s="330"/>
      <c r="BH326" s="330"/>
      <c r="BI326" s="330"/>
      <c r="BJ326" s="330"/>
      <c r="BK326" s="330"/>
      <c r="BL326" s="330"/>
      <c r="BM326" s="330"/>
      <c r="BN326" s="330"/>
      <c r="BO326" s="330"/>
      <c r="BP326" s="330"/>
      <c r="BQ326" s="330"/>
      <c r="BR326" s="330"/>
      <c r="BS326" s="330"/>
      <c r="BT326" s="330"/>
      <c r="BU326" s="330"/>
      <c r="BV326" s="330"/>
      <c r="BW326" s="330"/>
      <c r="BX326" s="330"/>
      <c r="BY326" s="330"/>
      <c r="BZ326" s="330"/>
    </row>
    <row r="327" spans="1:78" x14ac:dyDescent="0.25">
      <c r="A327" s="331"/>
      <c r="B327" s="328"/>
      <c r="C327" s="328"/>
      <c r="D327" s="329"/>
      <c r="E327" s="330"/>
      <c r="F327" s="330"/>
      <c r="G327" s="330"/>
      <c r="H327" s="330"/>
      <c r="I327" s="330"/>
      <c r="J327" s="330"/>
      <c r="K327" s="330"/>
      <c r="L327" s="329"/>
      <c r="M327" s="329"/>
      <c r="N327" s="330"/>
      <c r="O327" s="330"/>
      <c r="P327" s="330"/>
      <c r="Q327" s="330"/>
      <c r="R327" s="330"/>
      <c r="S327" s="330"/>
      <c r="T327" s="330"/>
      <c r="U327" s="330"/>
      <c r="V327" s="330"/>
      <c r="W327" s="330"/>
      <c r="X327" s="329"/>
      <c r="Y327" s="330"/>
      <c r="Z327" s="330"/>
      <c r="AA327" s="330"/>
      <c r="AB327" s="330"/>
      <c r="AC327" s="330"/>
      <c r="AD327" s="330"/>
      <c r="AE327" s="330"/>
      <c r="AF327" s="330"/>
      <c r="AG327" s="330"/>
      <c r="AH327" s="330"/>
      <c r="AI327" s="330"/>
      <c r="AJ327" s="330"/>
      <c r="AK327" s="330"/>
      <c r="AL327" s="329"/>
      <c r="AM327" s="329"/>
      <c r="AN327" s="330"/>
      <c r="AO327" s="330"/>
      <c r="AP327" s="330"/>
      <c r="AQ327" s="330"/>
      <c r="AR327" s="231"/>
      <c r="AS327" s="333"/>
      <c r="AT327" s="206"/>
      <c r="AU327" s="328"/>
      <c r="AV327" s="206"/>
      <c r="AW327" s="206"/>
      <c r="AX327" s="206"/>
      <c r="AY327" s="206"/>
      <c r="AZ327" s="206"/>
      <c r="BA327" s="206"/>
      <c r="BB327" s="206"/>
      <c r="BC327" s="206"/>
      <c r="BD327" s="206"/>
      <c r="BE327" s="206"/>
      <c r="BF327" s="206"/>
      <c r="BG327" s="330"/>
      <c r="BH327" s="330"/>
      <c r="BI327" s="330"/>
      <c r="BJ327" s="330"/>
      <c r="BK327" s="330"/>
      <c r="BL327" s="330"/>
      <c r="BM327" s="330"/>
      <c r="BN327" s="330"/>
      <c r="BO327" s="330"/>
      <c r="BP327" s="330"/>
      <c r="BQ327" s="330"/>
      <c r="BR327" s="330"/>
      <c r="BS327" s="330"/>
      <c r="BT327" s="330"/>
      <c r="BU327" s="330"/>
      <c r="BV327" s="330"/>
      <c r="BW327" s="330"/>
      <c r="BX327" s="330"/>
      <c r="BY327" s="330"/>
      <c r="BZ327" s="330"/>
    </row>
    <row r="328" spans="1:78" x14ac:dyDescent="0.25">
      <c r="A328" s="331"/>
      <c r="B328" s="328"/>
      <c r="C328" s="328"/>
      <c r="D328" s="329"/>
      <c r="E328" s="330"/>
      <c r="F328" s="330"/>
      <c r="G328" s="330"/>
      <c r="H328" s="330"/>
      <c r="I328" s="330"/>
      <c r="J328" s="330"/>
      <c r="K328" s="330"/>
      <c r="L328" s="329"/>
      <c r="M328" s="329"/>
      <c r="N328" s="330"/>
      <c r="O328" s="330"/>
      <c r="P328" s="330"/>
      <c r="Q328" s="330"/>
      <c r="R328" s="330"/>
      <c r="S328" s="330"/>
      <c r="T328" s="330"/>
      <c r="U328" s="330"/>
      <c r="V328" s="330"/>
      <c r="W328" s="330"/>
      <c r="X328" s="329"/>
      <c r="Y328" s="330"/>
      <c r="Z328" s="330"/>
      <c r="AA328" s="330"/>
      <c r="AB328" s="330"/>
      <c r="AC328" s="330"/>
      <c r="AD328" s="330"/>
      <c r="AE328" s="330"/>
      <c r="AF328" s="330"/>
      <c r="AG328" s="330"/>
      <c r="AH328" s="330"/>
      <c r="AI328" s="330"/>
      <c r="AJ328" s="330"/>
      <c r="AK328" s="330"/>
      <c r="AL328" s="329"/>
      <c r="AM328" s="329"/>
      <c r="AN328" s="330"/>
      <c r="AO328" s="330"/>
      <c r="AP328" s="330"/>
      <c r="AQ328" s="330"/>
      <c r="AR328" s="231"/>
      <c r="AS328" s="333"/>
      <c r="AT328" s="206"/>
      <c r="AU328" s="328"/>
      <c r="AV328" s="206"/>
      <c r="AW328" s="206"/>
      <c r="AX328" s="206"/>
      <c r="AY328" s="206"/>
      <c r="AZ328" s="206"/>
      <c r="BA328" s="206"/>
      <c r="BB328" s="206"/>
      <c r="BC328" s="206"/>
      <c r="BD328" s="206"/>
      <c r="BE328" s="206"/>
      <c r="BF328" s="206"/>
      <c r="BG328" s="330"/>
      <c r="BH328" s="330"/>
      <c r="BI328" s="330"/>
      <c r="BJ328" s="330"/>
      <c r="BK328" s="330"/>
      <c r="BL328" s="330"/>
      <c r="BM328" s="330"/>
      <c r="BN328" s="330"/>
      <c r="BO328" s="330"/>
      <c r="BP328" s="330"/>
      <c r="BQ328" s="330"/>
      <c r="BR328" s="330"/>
      <c r="BS328" s="330"/>
      <c r="BT328" s="330"/>
      <c r="BU328" s="330"/>
      <c r="BV328" s="330"/>
      <c r="BW328" s="330"/>
      <c r="BX328" s="330"/>
      <c r="BY328" s="330"/>
      <c r="BZ328" s="330"/>
    </row>
    <row r="329" spans="1:78" x14ac:dyDescent="0.25">
      <c r="A329" s="331"/>
      <c r="B329" s="328"/>
      <c r="C329" s="328"/>
      <c r="D329" s="329"/>
      <c r="E329" s="330"/>
      <c r="F329" s="330"/>
      <c r="G329" s="330"/>
      <c r="H329" s="330"/>
      <c r="I329" s="330"/>
      <c r="J329" s="330"/>
      <c r="K329" s="330"/>
      <c r="L329" s="329"/>
      <c r="M329" s="329"/>
      <c r="N329" s="330"/>
      <c r="O329" s="330"/>
      <c r="P329" s="330"/>
      <c r="Q329" s="330"/>
      <c r="R329" s="330"/>
      <c r="S329" s="330"/>
      <c r="T329" s="330"/>
      <c r="U329" s="330"/>
      <c r="V329" s="330"/>
      <c r="W329" s="330"/>
      <c r="X329" s="329"/>
      <c r="Y329" s="330"/>
      <c r="Z329" s="330"/>
      <c r="AA329" s="330"/>
      <c r="AB329" s="330"/>
      <c r="AC329" s="330"/>
      <c r="AD329" s="330"/>
      <c r="AE329" s="330"/>
      <c r="AF329" s="330"/>
      <c r="AG329" s="330"/>
      <c r="AH329" s="330"/>
      <c r="AI329" s="330"/>
      <c r="AJ329" s="330"/>
      <c r="AK329" s="330"/>
      <c r="AL329" s="329"/>
      <c r="AM329" s="329"/>
      <c r="AN329" s="330"/>
      <c r="AO329" s="330"/>
      <c r="AP329" s="330"/>
      <c r="AQ329" s="330"/>
      <c r="AR329" s="231"/>
      <c r="AS329" s="333"/>
      <c r="AT329" s="206"/>
      <c r="AU329" s="328"/>
      <c r="AV329" s="206"/>
      <c r="AW329" s="206"/>
      <c r="AX329" s="206"/>
      <c r="AY329" s="206"/>
      <c r="AZ329" s="206"/>
      <c r="BA329" s="206"/>
      <c r="BB329" s="206"/>
      <c r="BC329" s="206"/>
      <c r="BD329" s="206"/>
      <c r="BE329" s="206"/>
      <c r="BF329" s="206"/>
      <c r="BG329" s="330"/>
      <c r="BH329" s="330"/>
      <c r="BI329" s="330"/>
      <c r="BJ329" s="330"/>
      <c r="BK329" s="330"/>
      <c r="BL329" s="330"/>
      <c r="BM329" s="330"/>
      <c r="BN329" s="330"/>
      <c r="BO329" s="330"/>
      <c r="BP329" s="330"/>
      <c r="BQ329" s="330"/>
      <c r="BR329" s="330"/>
      <c r="BS329" s="330"/>
      <c r="BT329" s="330"/>
      <c r="BU329" s="330"/>
      <c r="BV329" s="330"/>
      <c r="BW329" s="330"/>
      <c r="BX329" s="330"/>
      <c r="BY329" s="330"/>
      <c r="BZ329" s="330"/>
    </row>
    <row r="330" spans="1:78" x14ac:dyDescent="0.25">
      <c r="A330" s="331"/>
      <c r="B330" s="328"/>
      <c r="C330" s="328"/>
      <c r="D330" s="329"/>
      <c r="E330" s="330"/>
      <c r="F330" s="330"/>
      <c r="G330" s="330"/>
      <c r="H330" s="330"/>
      <c r="I330" s="330"/>
      <c r="J330" s="330"/>
      <c r="K330" s="330"/>
      <c r="L330" s="329"/>
      <c r="M330" s="329"/>
      <c r="N330" s="330"/>
      <c r="O330" s="330"/>
      <c r="P330" s="330"/>
      <c r="Q330" s="330"/>
      <c r="R330" s="330"/>
      <c r="S330" s="330"/>
      <c r="T330" s="330"/>
      <c r="U330" s="330"/>
      <c r="V330" s="330"/>
      <c r="W330" s="330"/>
      <c r="X330" s="329"/>
      <c r="Y330" s="330"/>
      <c r="Z330" s="330"/>
      <c r="AA330" s="330"/>
      <c r="AB330" s="330"/>
      <c r="AC330" s="330"/>
      <c r="AD330" s="330"/>
      <c r="AE330" s="330"/>
      <c r="AF330" s="330"/>
      <c r="AG330" s="330"/>
      <c r="AH330" s="330"/>
      <c r="AI330" s="330"/>
      <c r="AJ330" s="330"/>
      <c r="AK330" s="330"/>
      <c r="AL330" s="329"/>
      <c r="AM330" s="329"/>
      <c r="AN330" s="330"/>
      <c r="AO330" s="330"/>
      <c r="AP330" s="330"/>
      <c r="AQ330" s="330"/>
      <c r="AR330" s="231"/>
      <c r="AS330" s="333"/>
      <c r="AT330" s="206"/>
      <c r="AU330" s="328"/>
      <c r="AV330" s="206"/>
      <c r="AW330" s="206"/>
      <c r="AX330" s="206"/>
      <c r="AY330" s="206"/>
      <c r="AZ330" s="206"/>
      <c r="BA330" s="206"/>
      <c r="BB330" s="206"/>
      <c r="BC330" s="206"/>
      <c r="BD330" s="206"/>
      <c r="BE330" s="206"/>
      <c r="BF330" s="206"/>
      <c r="BG330" s="330"/>
      <c r="BH330" s="330"/>
      <c r="BI330" s="330"/>
      <c r="BJ330" s="330"/>
      <c r="BK330" s="330"/>
      <c r="BL330" s="330"/>
      <c r="BM330" s="330"/>
      <c r="BN330" s="330"/>
      <c r="BO330" s="330"/>
      <c r="BP330" s="330"/>
      <c r="BQ330" s="330"/>
      <c r="BR330" s="330"/>
      <c r="BS330" s="330"/>
      <c r="BT330" s="330"/>
      <c r="BU330" s="330"/>
      <c r="BV330" s="330"/>
      <c r="BW330" s="330"/>
      <c r="BX330" s="330"/>
      <c r="BY330" s="330"/>
      <c r="BZ330" s="330"/>
    </row>
    <row r="331" spans="1:78" x14ac:dyDescent="0.25">
      <c r="A331" s="331"/>
      <c r="B331" s="328"/>
      <c r="C331" s="328"/>
      <c r="D331" s="329"/>
      <c r="E331" s="330"/>
      <c r="F331" s="330"/>
      <c r="G331" s="330"/>
      <c r="H331" s="330"/>
      <c r="I331" s="330"/>
      <c r="J331" s="330"/>
      <c r="K331" s="330"/>
      <c r="L331" s="329"/>
      <c r="M331" s="329"/>
      <c r="N331" s="330"/>
      <c r="O331" s="330"/>
      <c r="P331" s="330"/>
      <c r="Q331" s="330"/>
      <c r="R331" s="330"/>
      <c r="S331" s="330"/>
      <c r="T331" s="330"/>
      <c r="U331" s="330"/>
      <c r="V331" s="330"/>
      <c r="W331" s="330"/>
      <c r="X331" s="329"/>
      <c r="Y331" s="330"/>
      <c r="Z331" s="330"/>
      <c r="AA331" s="330"/>
      <c r="AB331" s="330"/>
      <c r="AC331" s="330"/>
      <c r="AD331" s="330"/>
      <c r="AE331" s="330"/>
      <c r="AF331" s="330"/>
      <c r="AG331" s="330"/>
      <c r="AH331" s="330"/>
      <c r="AI331" s="330"/>
      <c r="AJ331" s="330"/>
      <c r="AK331" s="330"/>
      <c r="AL331" s="329"/>
      <c r="AM331" s="329"/>
      <c r="AN331" s="330"/>
      <c r="AO331" s="330"/>
      <c r="AP331" s="330"/>
      <c r="AQ331" s="330"/>
      <c r="AR331" s="231"/>
      <c r="AS331" s="333"/>
      <c r="AT331" s="206"/>
      <c r="AU331" s="328"/>
      <c r="AV331" s="206"/>
      <c r="AW331" s="206"/>
      <c r="AX331" s="206"/>
      <c r="AY331" s="206"/>
      <c r="AZ331" s="206"/>
      <c r="BA331" s="206"/>
      <c r="BB331" s="206"/>
      <c r="BC331" s="206"/>
      <c r="BD331" s="206"/>
      <c r="BE331" s="206"/>
      <c r="BF331" s="206"/>
      <c r="BG331" s="330"/>
      <c r="BH331" s="330"/>
      <c r="BI331" s="330"/>
      <c r="BJ331" s="330"/>
      <c r="BK331" s="330"/>
      <c r="BL331" s="330"/>
      <c r="BM331" s="330"/>
      <c r="BN331" s="330"/>
      <c r="BO331" s="330"/>
      <c r="BP331" s="330"/>
      <c r="BQ331" s="330"/>
      <c r="BR331" s="330"/>
      <c r="BS331" s="330"/>
      <c r="BT331" s="330"/>
      <c r="BU331" s="330"/>
      <c r="BV331" s="330"/>
      <c r="BW331" s="330"/>
      <c r="BX331" s="330"/>
      <c r="BY331" s="330"/>
      <c r="BZ331" s="330"/>
    </row>
    <row r="332" spans="1:78" x14ac:dyDescent="0.25">
      <c r="A332" s="331"/>
      <c r="B332" s="328"/>
      <c r="C332" s="328"/>
      <c r="D332" s="329"/>
      <c r="E332" s="330"/>
      <c r="F332" s="330"/>
      <c r="G332" s="330"/>
      <c r="H332" s="330"/>
      <c r="I332" s="330"/>
      <c r="J332" s="330"/>
      <c r="K332" s="330"/>
      <c r="L332" s="329"/>
      <c r="M332" s="329"/>
      <c r="N332" s="330"/>
      <c r="O332" s="330"/>
      <c r="P332" s="330"/>
      <c r="Q332" s="330"/>
      <c r="R332" s="330"/>
      <c r="S332" s="330"/>
      <c r="T332" s="330"/>
      <c r="U332" s="330"/>
      <c r="V332" s="330"/>
      <c r="W332" s="330"/>
      <c r="X332" s="329"/>
      <c r="Y332" s="330"/>
      <c r="Z332" s="330"/>
      <c r="AA332" s="330"/>
      <c r="AB332" s="330"/>
      <c r="AC332" s="330"/>
      <c r="AD332" s="330"/>
      <c r="AE332" s="330"/>
      <c r="AF332" s="330"/>
      <c r="AG332" s="330"/>
      <c r="AH332" s="330"/>
      <c r="AI332" s="330"/>
      <c r="AJ332" s="330"/>
      <c r="AK332" s="330"/>
      <c r="AL332" s="329"/>
      <c r="AM332" s="329"/>
      <c r="AN332" s="330"/>
      <c r="AO332" s="330"/>
      <c r="AP332" s="330"/>
      <c r="AQ332" s="330"/>
      <c r="AR332" s="231"/>
      <c r="AS332" s="333"/>
      <c r="AT332" s="206"/>
      <c r="AU332" s="328"/>
      <c r="AV332" s="206"/>
      <c r="AW332" s="206"/>
      <c r="AX332" s="206"/>
      <c r="AY332" s="206"/>
      <c r="AZ332" s="206"/>
      <c r="BA332" s="206"/>
      <c r="BB332" s="206"/>
      <c r="BC332" s="206"/>
      <c r="BD332" s="206"/>
      <c r="BE332" s="206"/>
      <c r="BF332" s="206"/>
      <c r="BG332" s="330"/>
      <c r="BH332" s="330"/>
      <c r="BI332" s="330"/>
      <c r="BJ332" s="330"/>
      <c r="BK332" s="330"/>
      <c r="BL332" s="330"/>
      <c r="BM332" s="330"/>
      <c r="BN332" s="330"/>
      <c r="BO332" s="330"/>
      <c r="BP332" s="330"/>
      <c r="BQ332" s="330"/>
      <c r="BR332" s="330"/>
      <c r="BS332" s="330"/>
      <c r="BT332" s="330"/>
      <c r="BU332" s="330"/>
      <c r="BV332" s="330"/>
      <c r="BW332" s="330"/>
      <c r="BX332" s="330"/>
      <c r="BY332" s="330"/>
      <c r="BZ332" s="330"/>
    </row>
    <row r="333" spans="1:78" x14ac:dyDescent="0.25">
      <c r="A333" s="331"/>
      <c r="B333" s="328"/>
      <c r="C333" s="328"/>
      <c r="D333" s="329"/>
      <c r="E333" s="330"/>
      <c r="F333" s="330"/>
      <c r="G333" s="330"/>
      <c r="H333" s="330"/>
      <c r="I333" s="330"/>
      <c r="J333" s="330"/>
      <c r="K333" s="330"/>
      <c r="L333" s="329"/>
      <c r="M333" s="329"/>
      <c r="N333" s="330"/>
      <c r="O333" s="330"/>
      <c r="P333" s="330"/>
      <c r="Q333" s="330"/>
      <c r="R333" s="330"/>
      <c r="S333" s="330"/>
      <c r="T333" s="330"/>
      <c r="U333" s="330"/>
      <c r="V333" s="330"/>
      <c r="W333" s="330"/>
      <c r="X333" s="329"/>
      <c r="Y333" s="330"/>
      <c r="Z333" s="330"/>
      <c r="AA333" s="330"/>
      <c r="AB333" s="330"/>
      <c r="AC333" s="330"/>
      <c r="AD333" s="330"/>
      <c r="AE333" s="330"/>
      <c r="AF333" s="330"/>
      <c r="AG333" s="330"/>
      <c r="AH333" s="330"/>
      <c r="AI333" s="330"/>
      <c r="AJ333" s="330"/>
      <c r="AK333" s="330" t="s">
        <v>301</v>
      </c>
      <c r="AL333" s="329"/>
      <c r="AM333" s="329"/>
      <c r="AN333" s="330"/>
      <c r="AO333" s="330"/>
      <c r="AP333" s="330"/>
      <c r="AQ333" s="330"/>
      <c r="AR333" s="231"/>
      <c r="AS333" s="333"/>
      <c r="AT333" s="206"/>
      <c r="AU333" s="328"/>
      <c r="AV333" s="206"/>
      <c r="AW333" s="206"/>
      <c r="AX333" s="206"/>
      <c r="AY333" s="206"/>
      <c r="AZ333" s="206"/>
      <c r="BA333" s="206"/>
      <c r="BB333" s="206"/>
      <c r="BC333" s="206"/>
      <c r="BD333" s="206"/>
      <c r="BE333" s="206"/>
      <c r="BF333" s="206"/>
      <c r="BG333" s="330"/>
      <c r="BH333" s="330"/>
      <c r="BI333" s="330"/>
      <c r="BJ333" s="330"/>
      <c r="BK333" s="330"/>
      <c r="BL333" s="330"/>
      <c r="BM333" s="330"/>
      <c r="BN333" s="330"/>
      <c r="BO333" s="330"/>
      <c r="BP333" s="330"/>
      <c r="BQ333" s="330"/>
      <c r="BR333" s="330"/>
      <c r="BS333" s="330"/>
      <c r="BT333" s="330"/>
      <c r="BU333" s="330"/>
      <c r="BV333" s="330"/>
      <c r="BW333" s="330"/>
      <c r="BX333" s="330"/>
      <c r="BY333" s="330"/>
      <c r="BZ333" s="330"/>
    </row>
    <row r="334" spans="1:78" x14ac:dyDescent="0.25">
      <c r="A334" s="331"/>
      <c r="B334" s="328"/>
      <c r="C334" s="328"/>
      <c r="D334" s="329"/>
      <c r="E334" s="330"/>
      <c r="F334" s="330"/>
      <c r="G334" s="330"/>
      <c r="H334" s="330"/>
      <c r="I334" s="330"/>
      <c r="J334" s="330"/>
      <c r="K334" s="330"/>
      <c r="L334" s="329"/>
      <c r="M334" s="329"/>
      <c r="N334" s="330"/>
      <c r="O334" s="330"/>
      <c r="P334" s="330"/>
      <c r="Q334" s="330"/>
      <c r="R334" s="330"/>
      <c r="S334" s="330"/>
      <c r="T334" s="330"/>
      <c r="U334" s="330"/>
      <c r="V334" s="330"/>
      <c r="W334" s="330"/>
      <c r="X334" s="329"/>
      <c r="Y334" s="330"/>
      <c r="Z334" s="330"/>
      <c r="AA334" s="330"/>
      <c r="AB334" s="330"/>
      <c r="AC334" s="330"/>
      <c r="AD334" s="330"/>
      <c r="AE334" s="330"/>
      <c r="AF334" s="330"/>
      <c r="AG334" s="330"/>
      <c r="AH334" s="330"/>
      <c r="AI334" s="330"/>
      <c r="AJ334" s="330"/>
      <c r="AK334" s="330"/>
      <c r="AL334" s="329"/>
      <c r="AM334" s="329"/>
      <c r="AN334" s="330"/>
      <c r="AO334" s="330"/>
      <c r="AP334" s="330"/>
      <c r="AQ334" s="330"/>
      <c r="AR334" s="231"/>
      <c r="AS334" s="333"/>
      <c r="AT334" s="206"/>
      <c r="AU334" s="328"/>
      <c r="AV334" s="206"/>
      <c r="AW334" s="206"/>
      <c r="AX334" s="206"/>
      <c r="AY334" s="206"/>
      <c r="AZ334" s="206"/>
      <c r="BA334" s="206"/>
      <c r="BB334" s="206"/>
      <c r="BC334" s="206"/>
      <c r="BD334" s="206"/>
      <c r="BE334" s="206"/>
      <c r="BF334" s="206"/>
      <c r="BG334" s="330"/>
      <c r="BH334" s="330"/>
      <c r="BI334" s="330"/>
      <c r="BJ334" s="330"/>
      <c r="BK334" s="330"/>
      <c r="BL334" s="330"/>
      <c r="BM334" s="330"/>
      <c r="BN334" s="330"/>
      <c r="BO334" s="330"/>
      <c r="BP334" s="330"/>
      <c r="BQ334" s="330"/>
      <c r="BR334" s="330"/>
      <c r="BS334" s="330"/>
      <c r="BT334" s="330"/>
      <c r="BU334" s="330"/>
      <c r="BV334" s="330"/>
      <c r="BW334" s="330"/>
      <c r="BX334" s="330"/>
      <c r="BY334" s="330"/>
      <c r="BZ334" s="330"/>
    </row>
    <row r="335" spans="1:78" x14ac:dyDescent="0.25">
      <c r="A335" s="331"/>
      <c r="B335" s="328"/>
      <c r="C335" s="328"/>
      <c r="D335" s="329"/>
      <c r="E335" s="330"/>
      <c r="F335" s="330"/>
      <c r="G335" s="330"/>
      <c r="H335" s="330"/>
      <c r="I335" s="330"/>
      <c r="J335" s="330"/>
      <c r="K335" s="330"/>
      <c r="L335" s="329"/>
      <c r="M335" s="329"/>
      <c r="N335" s="330"/>
      <c r="O335" s="330"/>
      <c r="P335" s="330"/>
      <c r="Q335" s="330"/>
      <c r="R335" s="330"/>
      <c r="S335" s="330"/>
      <c r="T335" s="330"/>
      <c r="U335" s="330"/>
      <c r="V335" s="330"/>
      <c r="W335" s="330"/>
      <c r="X335" s="329"/>
      <c r="Y335" s="330"/>
      <c r="Z335" s="330"/>
      <c r="AA335" s="330"/>
      <c r="AB335" s="330"/>
      <c r="AC335" s="330"/>
      <c r="AD335" s="330"/>
      <c r="AE335" s="330"/>
      <c r="AF335" s="330"/>
      <c r="AG335" s="330"/>
      <c r="AH335" s="330"/>
      <c r="AI335" s="330"/>
      <c r="AJ335" s="330"/>
      <c r="AK335" s="330"/>
      <c r="AL335" s="329"/>
      <c r="AM335" s="329"/>
      <c r="AN335" s="330"/>
      <c r="AO335" s="330"/>
      <c r="AP335" s="330"/>
      <c r="AQ335" s="330"/>
      <c r="AR335" s="231"/>
      <c r="AS335" s="333"/>
      <c r="AT335" s="206"/>
      <c r="AU335" s="328"/>
      <c r="AV335" s="206"/>
      <c r="AW335" s="206"/>
      <c r="AX335" s="206"/>
      <c r="AY335" s="206"/>
      <c r="AZ335" s="206"/>
      <c r="BA335" s="206"/>
      <c r="BB335" s="206"/>
      <c r="BC335" s="206"/>
      <c r="BD335" s="206"/>
      <c r="BE335" s="206"/>
      <c r="BF335" s="206"/>
      <c r="BG335" s="330"/>
      <c r="BH335" s="330"/>
      <c r="BI335" s="330"/>
      <c r="BJ335" s="330"/>
      <c r="BK335" s="330"/>
      <c r="BL335" s="330"/>
      <c r="BM335" s="330"/>
      <c r="BN335" s="330"/>
      <c r="BO335" s="330"/>
      <c r="BP335" s="330"/>
      <c r="BQ335" s="330"/>
      <c r="BR335" s="330"/>
      <c r="BS335" s="330"/>
      <c r="BT335" s="330"/>
      <c r="BU335" s="330"/>
      <c r="BV335" s="330"/>
      <c r="BW335" s="330"/>
      <c r="BX335" s="330"/>
      <c r="BY335" s="330"/>
      <c r="BZ335" s="330"/>
    </row>
    <row r="336" spans="1:78" x14ac:dyDescent="0.25">
      <c r="A336" s="331"/>
      <c r="B336" s="328"/>
      <c r="C336" s="328"/>
      <c r="D336" s="329"/>
      <c r="E336" s="330"/>
      <c r="F336" s="330"/>
      <c r="G336" s="330"/>
      <c r="H336" s="330"/>
      <c r="I336" s="330"/>
      <c r="J336" s="330"/>
      <c r="K336" s="330"/>
      <c r="L336" s="329"/>
      <c r="M336" s="329"/>
      <c r="N336" s="330"/>
      <c r="O336" s="330"/>
      <c r="P336" s="330"/>
      <c r="Q336" s="330"/>
      <c r="R336" s="330"/>
      <c r="S336" s="330"/>
      <c r="T336" s="330"/>
      <c r="U336" s="330"/>
      <c r="V336" s="330"/>
      <c r="W336" s="330"/>
      <c r="X336" s="329"/>
      <c r="Y336" s="330"/>
      <c r="Z336" s="330"/>
      <c r="AA336" s="330"/>
      <c r="AB336" s="330"/>
      <c r="AC336" s="330"/>
      <c r="AD336" s="330"/>
      <c r="AE336" s="330"/>
      <c r="AF336" s="330"/>
      <c r="AG336" s="330"/>
      <c r="AH336" s="330"/>
      <c r="AI336" s="330"/>
      <c r="AJ336" s="330"/>
      <c r="AK336" s="330"/>
      <c r="AL336" s="329"/>
      <c r="AM336" s="329"/>
      <c r="AN336" s="330"/>
      <c r="AO336" s="330"/>
      <c r="AP336" s="330"/>
      <c r="AQ336" s="330"/>
      <c r="AR336" s="231"/>
      <c r="AS336" s="333"/>
      <c r="AT336" s="206"/>
      <c r="AU336" s="328"/>
      <c r="AV336" s="206"/>
      <c r="AW336" s="206"/>
      <c r="AX336" s="206"/>
      <c r="AY336" s="206"/>
      <c r="AZ336" s="206"/>
      <c r="BA336" s="206"/>
      <c r="BB336" s="206"/>
      <c r="BC336" s="206"/>
      <c r="BD336" s="206"/>
      <c r="BE336" s="206"/>
      <c r="BF336" s="206"/>
      <c r="BG336" s="330"/>
      <c r="BH336" s="330"/>
      <c r="BI336" s="330"/>
      <c r="BJ336" s="330"/>
      <c r="BK336" s="330"/>
      <c r="BL336" s="330"/>
      <c r="BM336" s="330"/>
      <c r="BN336" s="330"/>
      <c r="BO336" s="330"/>
      <c r="BP336" s="330"/>
      <c r="BQ336" s="330"/>
      <c r="BR336" s="330"/>
      <c r="BS336" s="330"/>
      <c r="BT336" s="330"/>
      <c r="BU336" s="330"/>
      <c r="BV336" s="330"/>
      <c r="BW336" s="330"/>
      <c r="BX336" s="330"/>
      <c r="BY336" s="330"/>
      <c r="BZ336" s="330"/>
    </row>
    <row r="337" spans="1:78" x14ac:dyDescent="0.25">
      <c r="A337" s="331"/>
      <c r="B337" s="328"/>
      <c r="C337" s="328"/>
      <c r="D337" s="329"/>
      <c r="E337" s="330"/>
      <c r="F337" s="330"/>
      <c r="G337" s="330"/>
      <c r="H337" s="330"/>
      <c r="I337" s="330"/>
      <c r="J337" s="330"/>
      <c r="K337" s="330"/>
      <c r="L337" s="329"/>
      <c r="M337" s="329"/>
      <c r="N337" s="330"/>
      <c r="O337" s="330"/>
      <c r="P337" s="330"/>
      <c r="Q337" s="330"/>
      <c r="R337" s="330"/>
      <c r="S337" s="330"/>
      <c r="T337" s="330"/>
      <c r="U337" s="330"/>
      <c r="V337" s="330"/>
      <c r="W337" s="330"/>
      <c r="X337" s="329"/>
      <c r="Y337" s="330"/>
      <c r="Z337" s="330"/>
      <c r="AA337" s="330"/>
      <c r="AB337" s="330"/>
      <c r="AC337" s="330"/>
      <c r="AD337" s="330"/>
      <c r="AE337" s="330"/>
      <c r="AF337" s="330"/>
      <c r="AG337" s="330"/>
      <c r="AH337" s="330"/>
      <c r="AI337" s="330"/>
      <c r="AJ337" s="330"/>
      <c r="AK337" s="330"/>
      <c r="AL337" s="329"/>
      <c r="AM337" s="329"/>
      <c r="AN337" s="330"/>
      <c r="AO337" s="330"/>
      <c r="AP337" s="330"/>
      <c r="AQ337" s="330"/>
      <c r="AR337" s="231"/>
      <c r="AS337" s="333"/>
      <c r="AT337" s="206"/>
      <c r="AU337" s="328"/>
      <c r="AV337" s="206"/>
      <c r="AW337" s="206"/>
      <c r="AX337" s="206"/>
      <c r="AY337" s="206"/>
      <c r="AZ337" s="206"/>
      <c r="BA337" s="206"/>
      <c r="BB337" s="206"/>
      <c r="BC337" s="206"/>
      <c r="BD337" s="206"/>
      <c r="BE337" s="206"/>
      <c r="BF337" s="206"/>
      <c r="BG337" s="330"/>
      <c r="BH337" s="330"/>
      <c r="BI337" s="330"/>
      <c r="BJ337" s="330"/>
      <c r="BK337" s="330"/>
      <c r="BL337" s="330"/>
      <c r="BM337" s="330"/>
      <c r="BN337" s="330"/>
      <c r="BO337" s="330"/>
      <c r="BP337" s="330"/>
      <c r="BQ337" s="330"/>
      <c r="BR337" s="330"/>
      <c r="BS337" s="330"/>
      <c r="BT337" s="330"/>
      <c r="BU337" s="330"/>
      <c r="BV337" s="330"/>
      <c r="BW337" s="330"/>
      <c r="BX337" s="330"/>
      <c r="BY337" s="330"/>
      <c r="BZ337" s="330"/>
    </row>
    <row r="338" spans="1:78" x14ac:dyDescent="0.25">
      <c r="A338" s="331"/>
      <c r="B338" s="328"/>
      <c r="C338" s="328"/>
      <c r="D338" s="329"/>
      <c r="E338" s="330"/>
      <c r="F338" s="330"/>
      <c r="G338" s="330"/>
      <c r="H338" s="330"/>
      <c r="I338" s="330"/>
      <c r="J338" s="330"/>
      <c r="K338" s="330"/>
      <c r="L338" s="329"/>
      <c r="M338" s="329"/>
      <c r="N338" s="330"/>
      <c r="O338" s="330"/>
      <c r="P338" s="330"/>
      <c r="Q338" s="330"/>
      <c r="R338" s="330"/>
      <c r="S338" s="330"/>
      <c r="T338" s="330"/>
      <c r="U338" s="330"/>
      <c r="V338" s="330"/>
      <c r="W338" s="330"/>
      <c r="X338" s="329"/>
      <c r="Y338" s="330"/>
      <c r="Z338" s="330"/>
      <c r="AA338" s="330"/>
      <c r="AB338" s="330"/>
      <c r="AC338" s="330"/>
      <c r="AD338" s="330"/>
      <c r="AE338" s="330"/>
      <c r="AF338" s="330"/>
      <c r="AG338" s="330"/>
      <c r="AH338" s="330"/>
      <c r="AI338" s="330"/>
      <c r="AJ338" s="330"/>
      <c r="AK338" s="330"/>
      <c r="AL338" s="329"/>
      <c r="AM338" s="329"/>
      <c r="AN338" s="330"/>
      <c r="AO338" s="330"/>
      <c r="AP338" s="330"/>
      <c r="AQ338" s="330"/>
      <c r="AR338" s="231"/>
      <c r="AS338" s="333"/>
      <c r="AT338" s="206"/>
      <c r="AU338" s="328"/>
      <c r="AV338" s="206"/>
      <c r="AW338" s="206"/>
      <c r="AX338" s="206"/>
      <c r="AY338" s="206"/>
      <c r="AZ338" s="206"/>
      <c r="BA338" s="206"/>
      <c r="BB338" s="206"/>
      <c r="BC338" s="206"/>
      <c r="BD338" s="206"/>
      <c r="BE338" s="206"/>
      <c r="BF338" s="206"/>
      <c r="BG338" s="330"/>
      <c r="BH338" s="330"/>
      <c r="BI338" s="330"/>
      <c r="BJ338" s="330"/>
      <c r="BK338" s="330"/>
      <c r="BL338" s="330"/>
      <c r="BM338" s="330"/>
      <c r="BN338" s="330"/>
      <c r="BO338" s="330"/>
      <c r="BP338" s="330"/>
      <c r="BQ338" s="330"/>
      <c r="BR338" s="330"/>
      <c r="BS338" s="330"/>
      <c r="BT338" s="330"/>
      <c r="BU338" s="330"/>
      <c r="BV338" s="330"/>
      <c r="BW338" s="330"/>
      <c r="BX338" s="330"/>
      <c r="BY338" s="330"/>
      <c r="BZ338" s="330"/>
    </row>
    <row r="339" spans="1:78" x14ac:dyDescent="0.25">
      <c r="A339" s="331"/>
      <c r="B339" s="328"/>
      <c r="C339" s="328"/>
      <c r="D339" s="329"/>
      <c r="E339" s="330"/>
      <c r="F339" s="330"/>
      <c r="G339" s="330"/>
      <c r="H339" s="330"/>
      <c r="I339" s="330"/>
      <c r="J339" s="330"/>
      <c r="K339" s="330"/>
      <c r="L339" s="329"/>
      <c r="M339" s="329"/>
      <c r="N339" s="330"/>
      <c r="O339" s="330"/>
      <c r="P339" s="330"/>
      <c r="Q339" s="330"/>
      <c r="R339" s="330"/>
      <c r="S339" s="330"/>
      <c r="T339" s="330"/>
      <c r="U339" s="330"/>
      <c r="V339" s="330"/>
      <c r="W339" s="330"/>
      <c r="X339" s="329"/>
      <c r="Y339" s="330"/>
      <c r="Z339" s="330"/>
      <c r="AA339" s="330"/>
      <c r="AB339" s="330"/>
      <c r="AC339" s="330"/>
      <c r="AD339" s="330"/>
      <c r="AE339" s="330"/>
      <c r="AF339" s="330"/>
      <c r="AG339" s="330"/>
      <c r="AH339" s="330"/>
      <c r="AI339" s="330"/>
      <c r="AJ339" s="330"/>
      <c r="AK339" s="330"/>
      <c r="AL339" s="329"/>
      <c r="AM339" s="329"/>
      <c r="AN339" s="330"/>
      <c r="AO339" s="330"/>
      <c r="AP339" s="330"/>
      <c r="AQ339" s="330"/>
      <c r="AR339" s="231"/>
      <c r="AS339" s="333"/>
      <c r="AT339" s="206"/>
      <c r="AU339" s="328"/>
      <c r="AV339" s="206"/>
      <c r="AW339" s="206"/>
      <c r="AX339" s="206"/>
      <c r="AY339" s="206"/>
      <c r="AZ339" s="206"/>
      <c r="BA339" s="206"/>
      <c r="BB339" s="206"/>
      <c r="BC339" s="206"/>
      <c r="BD339" s="206"/>
      <c r="BE339" s="206"/>
      <c r="BF339" s="206"/>
      <c r="BG339" s="330"/>
      <c r="BH339" s="330"/>
      <c r="BI339" s="330"/>
      <c r="BJ339" s="330"/>
      <c r="BK339" s="330"/>
      <c r="BL339" s="330"/>
      <c r="BM339" s="330"/>
      <c r="BN339" s="330"/>
      <c r="BO339" s="330"/>
      <c r="BP339" s="330"/>
      <c r="BQ339" s="330"/>
      <c r="BR339" s="330"/>
      <c r="BS339" s="330"/>
      <c r="BT339" s="330"/>
      <c r="BU339" s="330"/>
      <c r="BV339" s="330"/>
      <c r="BW339" s="330"/>
      <c r="BX339" s="330"/>
      <c r="BY339" s="330"/>
      <c r="BZ339" s="330"/>
    </row>
    <row r="340" spans="1:78" x14ac:dyDescent="0.25">
      <c r="A340" s="331"/>
      <c r="B340" s="328"/>
      <c r="C340" s="328"/>
      <c r="D340" s="329"/>
      <c r="E340" s="330"/>
      <c r="F340" s="330"/>
      <c r="G340" s="330"/>
      <c r="H340" s="330"/>
      <c r="I340" s="330"/>
      <c r="J340" s="330"/>
      <c r="K340" s="330"/>
      <c r="L340" s="329"/>
      <c r="M340" s="329"/>
      <c r="N340" s="330"/>
      <c r="O340" s="330"/>
      <c r="P340" s="330"/>
      <c r="Q340" s="330"/>
      <c r="R340" s="330"/>
      <c r="S340" s="330"/>
      <c r="T340" s="330"/>
      <c r="U340" s="330"/>
      <c r="V340" s="330"/>
      <c r="W340" s="330"/>
      <c r="X340" s="329"/>
      <c r="Y340" s="330"/>
      <c r="Z340" s="330"/>
      <c r="AA340" s="330"/>
      <c r="AB340" s="330"/>
      <c r="AC340" s="330"/>
      <c r="AD340" s="330"/>
      <c r="AE340" s="330"/>
      <c r="AF340" s="330"/>
      <c r="AG340" s="330"/>
      <c r="AH340" s="330"/>
      <c r="AI340" s="330"/>
      <c r="AJ340" s="330"/>
      <c r="AK340" s="330"/>
      <c r="AL340" s="329"/>
      <c r="AM340" s="329"/>
      <c r="AN340" s="330"/>
      <c r="AO340" s="330"/>
      <c r="AP340" s="330"/>
      <c r="AQ340" s="330"/>
      <c r="AR340" s="231"/>
      <c r="AS340" s="333"/>
      <c r="AT340" s="206"/>
      <c r="AU340" s="328"/>
      <c r="AV340" s="206"/>
      <c r="AW340" s="206"/>
      <c r="AX340" s="206"/>
      <c r="AY340" s="206"/>
      <c r="AZ340" s="206"/>
      <c r="BA340" s="206"/>
      <c r="BB340" s="206"/>
      <c r="BC340" s="206"/>
      <c r="BD340" s="206"/>
      <c r="BE340" s="206"/>
      <c r="BF340" s="206"/>
      <c r="BG340" s="330"/>
      <c r="BH340" s="330"/>
      <c r="BI340" s="330"/>
      <c r="BJ340" s="330"/>
      <c r="BK340" s="330"/>
      <c r="BL340" s="330"/>
      <c r="BM340" s="330"/>
      <c r="BN340" s="330"/>
      <c r="BO340" s="330"/>
      <c r="BP340" s="330"/>
      <c r="BQ340" s="330"/>
      <c r="BR340" s="330"/>
      <c r="BS340" s="330"/>
      <c r="BT340" s="330"/>
      <c r="BU340" s="330"/>
      <c r="BV340" s="330"/>
      <c r="BW340" s="330"/>
      <c r="BX340" s="330"/>
      <c r="BY340" s="330"/>
      <c r="BZ340" s="330"/>
    </row>
    <row r="341" spans="1:78" x14ac:dyDescent="0.25">
      <c r="A341" s="331"/>
      <c r="B341" s="328"/>
      <c r="C341" s="328"/>
      <c r="D341" s="329"/>
      <c r="E341" s="330"/>
      <c r="F341" s="330"/>
      <c r="G341" s="330"/>
      <c r="H341" s="330"/>
      <c r="I341" s="330"/>
      <c r="J341" s="330"/>
      <c r="K341" s="330"/>
      <c r="L341" s="329"/>
      <c r="M341" s="329"/>
      <c r="N341" s="330"/>
      <c r="O341" s="330"/>
      <c r="P341" s="330"/>
      <c r="Q341" s="330"/>
      <c r="R341" s="330"/>
      <c r="S341" s="330"/>
      <c r="T341" s="330"/>
      <c r="U341" s="330"/>
      <c r="V341" s="330"/>
      <c r="W341" s="330"/>
      <c r="X341" s="329"/>
      <c r="Y341" s="330"/>
      <c r="Z341" s="330"/>
      <c r="AA341" s="330"/>
      <c r="AB341" s="330"/>
      <c r="AC341" s="330"/>
      <c r="AD341" s="330"/>
      <c r="AE341" s="330"/>
      <c r="AF341" s="330"/>
      <c r="AG341" s="330"/>
      <c r="AH341" s="330"/>
      <c r="AI341" s="330"/>
      <c r="AJ341" s="330"/>
      <c r="AK341" s="330"/>
      <c r="AL341" s="329"/>
      <c r="AM341" s="329"/>
      <c r="AN341" s="330"/>
      <c r="AO341" s="330"/>
      <c r="AP341" s="330"/>
      <c r="AQ341" s="330"/>
      <c r="AR341" s="231"/>
      <c r="AS341" s="333"/>
      <c r="AT341" s="206"/>
      <c r="AU341" s="328"/>
      <c r="AV341" s="206"/>
      <c r="AW341" s="206"/>
      <c r="AX341" s="206"/>
      <c r="AY341" s="206"/>
      <c r="AZ341" s="206"/>
      <c r="BA341" s="206"/>
      <c r="BB341" s="206"/>
      <c r="BC341" s="206"/>
      <c r="BD341" s="206"/>
      <c r="BE341" s="206"/>
      <c r="BF341" s="206"/>
      <c r="BG341" s="330"/>
      <c r="BH341" s="330"/>
      <c r="BI341" s="330"/>
      <c r="BJ341" s="330"/>
      <c r="BK341" s="330"/>
      <c r="BL341" s="330"/>
      <c r="BM341" s="330"/>
      <c r="BN341" s="330"/>
      <c r="BO341" s="330"/>
      <c r="BP341" s="330"/>
      <c r="BQ341" s="330"/>
      <c r="BR341" s="330"/>
      <c r="BS341" s="330"/>
      <c r="BT341" s="330"/>
      <c r="BU341" s="330"/>
      <c r="BV341" s="330"/>
      <c r="BW341" s="330"/>
      <c r="BX341" s="330"/>
      <c r="BY341" s="330"/>
      <c r="BZ341" s="330"/>
    </row>
    <row r="342" spans="1:78" x14ac:dyDescent="0.25">
      <c r="A342" s="331"/>
      <c r="B342" s="328"/>
      <c r="C342" s="328"/>
      <c r="D342" s="329"/>
      <c r="E342" s="330"/>
      <c r="F342" s="330"/>
      <c r="G342" s="330"/>
      <c r="H342" s="330"/>
      <c r="I342" s="330"/>
      <c r="J342" s="330"/>
      <c r="K342" s="330"/>
      <c r="L342" s="329"/>
      <c r="M342" s="329"/>
      <c r="N342" s="330"/>
      <c r="O342" s="330"/>
      <c r="P342" s="330"/>
      <c r="Q342" s="330"/>
      <c r="R342" s="330"/>
      <c r="S342" s="330"/>
      <c r="T342" s="330"/>
      <c r="U342" s="330"/>
      <c r="V342" s="330"/>
      <c r="W342" s="330"/>
      <c r="X342" s="329"/>
      <c r="Y342" s="330"/>
      <c r="Z342" s="330"/>
      <c r="AA342" s="330"/>
      <c r="AB342" s="330"/>
      <c r="AC342" s="330"/>
      <c r="AD342" s="330"/>
      <c r="AE342" s="330"/>
      <c r="AF342" s="330"/>
      <c r="AG342" s="330"/>
      <c r="AH342" s="330"/>
      <c r="AI342" s="330"/>
      <c r="AJ342" s="330"/>
      <c r="AK342" s="330"/>
      <c r="AL342" s="329"/>
      <c r="AM342" s="329"/>
      <c r="AN342" s="330"/>
      <c r="AO342" s="330"/>
      <c r="AP342" s="330"/>
      <c r="AQ342" s="330"/>
      <c r="AR342" s="231"/>
      <c r="AS342" s="333"/>
      <c r="AT342" s="206"/>
      <c r="AU342" s="328"/>
      <c r="AV342" s="206"/>
      <c r="AW342" s="206"/>
      <c r="AX342" s="206"/>
      <c r="AY342" s="206"/>
      <c r="AZ342" s="206"/>
      <c r="BA342" s="206"/>
      <c r="BB342" s="206"/>
      <c r="BC342" s="206"/>
      <c r="BD342" s="206"/>
      <c r="BE342" s="206"/>
      <c r="BF342" s="206"/>
      <c r="BG342" s="330"/>
      <c r="BH342" s="330"/>
      <c r="BI342" s="330"/>
      <c r="BJ342" s="330"/>
      <c r="BK342" s="330"/>
      <c r="BL342" s="330"/>
      <c r="BM342" s="330"/>
      <c r="BN342" s="330"/>
      <c r="BO342" s="330"/>
      <c r="BP342" s="330"/>
      <c r="BQ342" s="330"/>
      <c r="BR342" s="330"/>
      <c r="BS342" s="330"/>
      <c r="BT342" s="330"/>
      <c r="BU342" s="330"/>
      <c r="BV342" s="330"/>
      <c r="BW342" s="330"/>
      <c r="BX342" s="330"/>
      <c r="BY342" s="330"/>
      <c r="BZ342" s="330"/>
    </row>
    <row r="343" spans="1:78" x14ac:dyDescent="0.25">
      <c r="A343" s="331"/>
      <c r="B343" s="328"/>
      <c r="C343" s="328"/>
      <c r="D343" s="329"/>
      <c r="E343" s="330"/>
      <c r="F343" s="330"/>
      <c r="G343" s="330"/>
      <c r="H343" s="330"/>
      <c r="I343" s="330"/>
      <c r="J343" s="330"/>
      <c r="K343" s="330"/>
      <c r="L343" s="329"/>
      <c r="M343" s="329"/>
      <c r="N343" s="330"/>
      <c r="O343" s="330"/>
      <c r="P343" s="330"/>
      <c r="Q343" s="330"/>
      <c r="R343" s="330"/>
      <c r="S343" s="330"/>
      <c r="T343" s="330"/>
      <c r="U343" s="330"/>
      <c r="V343" s="330"/>
      <c r="W343" s="330"/>
      <c r="X343" s="329"/>
      <c r="Y343" s="330"/>
      <c r="Z343" s="330"/>
      <c r="AA343" s="330"/>
      <c r="AB343" s="330"/>
      <c r="AC343" s="330"/>
      <c r="AD343" s="330"/>
      <c r="AE343" s="330"/>
      <c r="AF343" s="330"/>
      <c r="AG343" s="330"/>
      <c r="AH343" s="330"/>
      <c r="AI343" s="330"/>
      <c r="AJ343" s="330"/>
      <c r="AK343" s="330"/>
      <c r="AL343" s="329"/>
      <c r="AM343" s="329"/>
      <c r="AN343" s="330"/>
      <c r="AO343" s="330"/>
      <c r="AP343" s="330"/>
      <c r="AQ343" s="330"/>
      <c r="AR343" s="231"/>
      <c r="AS343" s="333"/>
      <c r="AT343" s="206"/>
      <c r="AU343" s="328"/>
      <c r="AV343" s="206"/>
      <c r="AW343" s="206"/>
      <c r="AX343" s="206"/>
      <c r="AY343" s="206"/>
      <c r="AZ343" s="206"/>
      <c r="BA343" s="206"/>
      <c r="BB343" s="206"/>
      <c r="BC343" s="206"/>
      <c r="BD343" s="206"/>
      <c r="BE343" s="206"/>
      <c r="BF343" s="206"/>
      <c r="BG343" s="330"/>
      <c r="BH343" s="330"/>
      <c r="BI343" s="330"/>
      <c r="BJ343" s="330"/>
      <c r="BK343" s="330"/>
      <c r="BL343" s="330"/>
      <c r="BM343" s="330"/>
      <c r="BN343" s="330"/>
      <c r="BO343" s="330"/>
      <c r="BP343" s="330"/>
      <c r="BQ343" s="330"/>
      <c r="BR343" s="330"/>
      <c r="BS343" s="330"/>
      <c r="BT343" s="330"/>
      <c r="BU343" s="330"/>
      <c r="BV343" s="330"/>
      <c r="BW343" s="330"/>
      <c r="BX343" s="330"/>
      <c r="BY343" s="330"/>
      <c r="BZ343" s="330"/>
    </row>
    <row r="344" spans="1:78" x14ac:dyDescent="0.25">
      <c r="A344" s="331"/>
      <c r="B344" s="328"/>
      <c r="C344" s="328"/>
      <c r="D344" s="329"/>
      <c r="E344" s="330"/>
      <c r="F344" s="330"/>
      <c r="G344" s="330"/>
      <c r="H344" s="330"/>
      <c r="I344" s="330"/>
      <c r="J344" s="330"/>
      <c r="K344" s="330"/>
      <c r="L344" s="329"/>
      <c r="M344" s="329"/>
      <c r="N344" s="330"/>
      <c r="O344" s="330"/>
      <c r="P344" s="330"/>
      <c r="Q344" s="330"/>
      <c r="R344" s="330"/>
      <c r="S344" s="330"/>
      <c r="T344" s="330"/>
      <c r="U344" s="330"/>
      <c r="V344" s="330"/>
      <c r="W344" s="330"/>
      <c r="X344" s="329"/>
      <c r="Y344" s="330"/>
      <c r="Z344" s="330"/>
      <c r="AA344" s="330"/>
      <c r="AB344" s="330"/>
      <c r="AC344" s="330"/>
      <c r="AD344" s="330"/>
      <c r="AE344" s="330"/>
      <c r="AF344" s="330"/>
      <c r="AG344" s="330"/>
      <c r="AH344" s="330"/>
      <c r="AI344" s="330"/>
      <c r="AJ344" s="330"/>
      <c r="AK344" s="330"/>
      <c r="AL344" s="329"/>
      <c r="AM344" s="329"/>
      <c r="AN344" s="330"/>
      <c r="AO344" s="330"/>
      <c r="AP344" s="330"/>
      <c r="AQ344" s="330"/>
      <c r="AR344" s="231"/>
      <c r="AS344" s="333"/>
      <c r="AT344" s="206"/>
      <c r="AU344" s="328"/>
      <c r="AV344" s="206"/>
      <c r="AW344" s="206"/>
      <c r="AX344" s="206"/>
      <c r="AY344" s="206"/>
      <c r="AZ344" s="206"/>
      <c r="BA344" s="206"/>
      <c r="BB344" s="206"/>
      <c r="BC344" s="206"/>
      <c r="BD344" s="206"/>
      <c r="BE344" s="206"/>
      <c r="BF344" s="206"/>
      <c r="BG344" s="330"/>
      <c r="BH344" s="330"/>
      <c r="BI344" s="330"/>
      <c r="BJ344" s="330"/>
      <c r="BK344" s="330"/>
      <c r="BL344" s="330"/>
      <c r="BM344" s="330"/>
      <c r="BN344" s="330"/>
      <c r="BO344" s="330"/>
      <c r="BP344" s="330"/>
      <c r="BQ344" s="330"/>
      <c r="BR344" s="330"/>
      <c r="BS344" s="330"/>
      <c r="BT344" s="330"/>
      <c r="BU344" s="330"/>
      <c r="BV344" s="330"/>
      <c r="BW344" s="330"/>
      <c r="BX344" s="330"/>
      <c r="BY344" s="330"/>
      <c r="BZ344" s="330"/>
    </row>
    <row r="345" spans="1:78" x14ac:dyDescent="0.25">
      <c r="A345" s="331"/>
      <c r="B345" s="328"/>
      <c r="C345" s="328"/>
      <c r="D345" s="329"/>
      <c r="E345" s="330"/>
      <c r="F345" s="330"/>
      <c r="G345" s="330"/>
      <c r="H345" s="330"/>
      <c r="I345" s="330"/>
      <c r="J345" s="330"/>
      <c r="K345" s="330"/>
      <c r="L345" s="329"/>
      <c r="M345" s="329"/>
      <c r="N345" s="330"/>
      <c r="O345" s="330"/>
      <c r="P345" s="330"/>
      <c r="Q345" s="330"/>
      <c r="R345" s="330"/>
      <c r="S345" s="330"/>
      <c r="T345" s="330"/>
      <c r="U345" s="330"/>
      <c r="V345" s="330"/>
      <c r="W345" s="330"/>
      <c r="X345" s="329"/>
      <c r="Y345" s="330"/>
      <c r="Z345" s="330"/>
      <c r="AA345" s="330"/>
      <c r="AB345" s="330"/>
      <c r="AC345" s="330"/>
      <c r="AD345" s="330"/>
      <c r="AE345" s="330"/>
      <c r="AF345" s="330"/>
      <c r="AG345" s="330"/>
      <c r="AH345" s="330"/>
      <c r="AI345" s="330"/>
      <c r="AJ345" s="330"/>
      <c r="AK345" s="330"/>
      <c r="AL345" s="329"/>
      <c r="AM345" s="329"/>
      <c r="AN345" s="330"/>
      <c r="AO345" s="330"/>
      <c r="AP345" s="330"/>
      <c r="AQ345" s="330"/>
      <c r="AR345" s="231"/>
      <c r="AS345" s="333"/>
      <c r="AT345" s="206"/>
      <c r="AU345" s="328"/>
      <c r="AV345" s="206"/>
      <c r="AW345" s="206"/>
      <c r="AX345" s="206"/>
      <c r="AY345" s="206"/>
      <c r="AZ345" s="206"/>
      <c r="BA345" s="206"/>
      <c r="BB345" s="206"/>
      <c r="BC345" s="206"/>
      <c r="BD345" s="206"/>
      <c r="BE345" s="206"/>
      <c r="BF345" s="206"/>
      <c r="BG345" s="330"/>
      <c r="BH345" s="330"/>
      <c r="BI345" s="330"/>
      <c r="BJ345" s="330"/>
      <c r="BK345" s="330"/>
      <c r="BL345" s="330"/>
      <c r="BM345" s="330"/>
      <c r="BN345" s="330"/>
      <c r="BO345" s="330"/>
      <c r="BP345" s="330"/>
      <c r="BQ345" s="330"/>
      <c r="BR345" s="330"/>
      <c r="BS345" s="330"/>
      <c r="BT345" s="330"/>
      <c r="BU345" s="330"/>
      <c r="BV345" s="330"/>
      <c r="BW345" s="330"/>
      <c r="BX345" s="330"/>
      <c r="BY345" s="330"/>
      <c r="BZ345" s="330"/>
    </row>
    <row r="346" spans="1:78" x14ac:dyDescent="0.25">
      <c r="A346" s="331"/>
      <c r="B346" s="328"/>
      <c r="C346" s="328"/>
      <c r="D346" s="329"/>
      <c r="E346" s="330"/>
      <c r="F346" s="330"/>
      <c r="G346" s="330"/>
      <c r="H346" s="330"/>
      <c r="I346" s="330"/>
      <c r="J346" s="330"/>
      <c r="K346" s="330"/>
      <c r="L346" s="329"/>
      <c r="M346" s="329"/>
      <c r="N346" s="330"/>
      <c r="O346" s="330"/>
      <c r="P346" s="330"/>
      <c r="Q346" s="330"/>
      <c r="R346" s="330"/>
      <c r="S346" s="330"/>
      <c r="T346" s="330"/>
      <c r="U346" s="330"/>
      <c r="V346" s="330"/>
      <c r="W346" s="330"/>
      <c r="X346" s="329"/>
      <c r="Y346" s="330"/>
      <c r="Z346" s="330"/>
      <c r="AA346" s="330"/>
      <c r="AB346" s="330"/>
      <c r="AC346" s="330"/>
      <c r="AD346" s="330"/>
      <c r="AE346" s="330"/>
      <c r="AF346" s="330"/>
      <c r="AG346" s="330"/>
      <c r="AH346" s="330"/>
      <c r="AI346" s="330"/>
      <c r="AJ346" s="330"/>
      <c r="AK346" s="330"/>
      <c r="AL346" s="329"/>
      <c r="AM346" s="329"/>
      <c r="AN346" s="330"/>
      <c r="AO346" s="330"/>
      <c r="AP346" s="330"/>
      <c r="AQ346" s="330"/>
      <c r="AR346" s="231"/>
      <c r="AS346" s="333"/>
      <c r="AT346" s="206"/>
      <c r="AU346" s="328"/>
      <c r="AV346" s="206"/>
      <c r="AW346" s="206"/>
      <c r="AX346" s="206"/>
      <c r="AY346" s="206"/>
      <c r="AZ346" s="206"/>
      <c r="BA346" s="206"/>
      <c r="BB346" s="206"/>
      <c r="BC346" s="206"/>
      <c r="BD346" s="206"/>
      <c r="BE346" s="206"/>
      <c r="BF346" s="206"/>
      <c r="BG346" s="330"/>
      <c r="BH346" s="330"/>
      <c r="BI346" s="330"/>
      <c r="BJ346" s="330"/>
      <c r="BK346" s="330"/>
      <c r="BL346" s="330"/>
      <c r="BM346" s="330"/>
      <c r="BN346" s="330"/>
      <c r="BO346" s="330"/>
      <c r="BP346" s="330"/>
      <c r="BQ346" s="330"/>
      <c r="BR346" s="330"/>
      <c r="BS346" s="330"/>
      <c r="BT346" s="330"/>
      <c r="BU346" s="330"/>
      <c r="BV346" s="330"/>
      <c r="BW346" s="330"/>
      <c r="BX346" s="330"/>
      <c r="BY346" s="330"/>
      <c r="BZ346" s="330"/>
    </row>
    <row r="347" spans="1:78" x14ac:dyDescent="0.25">
      <c r="A347" s="331"/>
      <c r="B347" s="328"/>
      <c r="C347" s="328"/>
      <c r="D347" s="329"/>
      <c r="E347" s="330"/>
      <c r="F347" s="330"/>
      <c r="G347" s="330"/>
      <c r="H347" s="330"/>
      <c r="I347" s="330"/>
      <c r="J347" s="330"/>
      <c r="K347" s="330"/>
      <c r="L347" s="329"/>
      <c r="M347" s="329"/>
      <c r="N347" s="330"/>
      <c r="O347" s="330"/>
      <c r="P347" s="330"/>
      <c r="Q347" s="330"/>
      <c r="R347" s="330"/>
      <c r="S347" s="330"/>
      <c r="T347" s="330"/>
      <c r="U347" s="330"/>
      <c r="V347" s="330"/>
      <c r="W347" s="330"/>
      <c r="X347" s="329"/>
      <c r="Y347" s="330"/>
      <c r="Z347" s="330"/>
      <c r="AA347" s="330"/>
      <c r="AB347" s="330"/>
      <c r="AC347" s="330"/>
      <c r="AD347" s="330"/>
      <c r="AE347" s="330"/>
      <c r="AF347" s="330"/>
      <c r="AG347" s="330"/>
      <c r="AH347" s="330"/>
      <c r="AI347" s="330"/>
      <c r="AJ347" s="330"/>
      <c r="AK347" s="330"/>
      <c r="AL347" s="329"/>
      <c r="AM347" s="329"/>
      <c r="AN347" s="330"/>
      <c r="AO347" s="330"/>
      <c r="AP347" s="330"/>
      <c r="AQ347" s="330"/>
      <c r="AR347" s="231"/>
      <c r="AS347" s="333"/>
      <c r="AT347" s="206"/>
      <c r="AU347" s="328"/>
      <c r="AV347" s="206"/>
      <c r="AW347" s="206"/>
      <c r="AX347" s="206"/>
      <c r="AY347" s="206"/>
      <c r="AZ347" s="206"/>
      <c r="BA347" s="206"/>
      <c r="BB347" s="206"/>
      <c r="BC347" s="206"/>
      <c r="BD347" s="206"/>
      <c r="BE347" s="206"/>
      <c r="BF347" s="206"/>
      <c r="BG347" s="330"/>
      <c r="BH347" s="330"/>
      <c r="BI347" s="330"/>
      <c r="BJ347" s="330"/>
      <c r="BK347" s="330"/>
      <c r="BL347" s="330"/>
      <c r="BM347" s="330"/>
      <c r="BN347" s="330"/>
      <c r="BO347" s="330"/>
      <c r="BP347" s="330"/>
      <c r="BQ347" s="330"/>
      <c r="BR347" s="330"/>
      <c r="BS347" s="330"/>
      <c r="BT347" s="330"/>
      <c r="BU347" s="330"/>
      <c r="BV347" s="330"/>
      <c r="BW347" s="330"/>
      <c r="BX347" s="330"/>
      <c r="BY347" s="330"/>
      <c r="BZ347" s="330"/>
    </row>
    <row r="348" spans="1:78" x14ac:dyDescent="0.25">
      <c r="A348" s="331"/>
      <c r="B348" s="328"/>
      <c r="C348" s="328"/>
      <c r="D348" s="329"/>
      <c r="E348" s="330"/>
      <c r="F348" s="330"/>
      <c r="G348" s="330"/>
      <c r="H348" s="330"/>
      <c r="I348" s="330"/>
      <c r="J348" s="330"/>
      <c r="K348" s="330"/>
      <c r="L348" s="329"/>
      <c r="M348" s="329"/>
      <c r="N348" s="330"/>
      <c r="O348" s="330"/>
      <c r="P348" s="330"/>
      <c r="Q348" s="330"/>
      <c r="R348" s="330"/>
      <c r="S348" s="330"/>
      <c r="T348" s="330"/>
      <c r="U348" s="330"/>
      <c r="V348" s="330"/>
      <c r="W348" s="330"/>
      <c r="X348" s="329"/>
      <c r="Y348" s="330"/>
      <c r="Z348" s="330"/>
      <c r="AA348" s="330"/>
      <c r="AB348" s="330"/>
      <c r="AC348" s="330"/>
      <c r="AD348" s="330"/>
      <c r="AE348" s="330"/>
      <c r="AF348" s="330"/>
      <c r="AG348" s="330"/>
      <c r="AH348" s="330"/>
      <c r="AI348" s="330"/>
      <c r="AJ348" s="330"/>
      <c r="AK348" s="330"/>
      <c r="AL348" s="329"/>
      <c r="AM348" s="329"/>
      <c r="AN348" s="330"/>
      <c r="AO348" s="330"/>
      <c r="AP348" s="330"/>
      <c r="AQ348" s="330"/>
      <c r="AR348" s="231"/>
      <c r="AS348" s="333"/>
      <c r="AT348" s="206"/>
      <c r="AU348" s="328"/>
      <c r="AV348" s="206"/>
      <c r="AW348" s="206"/>
      <c r="AX348" s="206"/>
      <c r="AY348" s="206"/>
      <c r="AZ348" s="206"/>
      <c r="BA348" s="206"/>
      <c r="BB348" s="206"/>
      <c r="BC348" s="206"/>
      <c r="BD348" s="206"/>
      <c r="BE348" s="206"/>
      <c r="BF348" s="206"/>
      <c r="BG348" s="330"/>
      <c r="BH348" s="330"/>
      <c r="BI348" s="330"/>
      <c r="BJ348" s="330"/>
      <c r="BK348" s="330"/>
      <c r="BL348" s="330"/>
      <c r="BM348" s="330"/>
      <c r="BN348" s="330"/>
      <c r="BO348" s="330"/>
      <c r="BP348" s="330"/>
      <c r="BQ348" s="330"/>
      <c r="BR348" s="330"/>
      <c r="BS348" s="330"/>
      <c r="BT348" s="330"/>
      <c r="BU348" s="330"/>
      <c r="BV348" s="330"/>
      <c r="BW348" s="330"/>
      <c r="BX348" s="330"/>
      <c r="BY348" s="330"/>
      <c r="BZ348" s="330"/>
    </row>
    <row r="349" spans="1:78" x14ac:dyDescent="0.25">
      <c r="A349" s="331"/>
      <c r="B349" s="328"/>
      <c r="C349" s="328"/>
      <c r="D349" s="329"/>
      <c r="E349" s="330"/>
      <c r="F349" s="330"/>
      <c r="G349" s="330"/>
      <c r="H349" s="330"/>
      <c r="I349" s="330"/>
      <c r="J349" s="330"/>
      <c r="K349" s="330"/>
      <c r="L349" s="329"/>
      <c r="M349" s="329"/>
      <c r="N349" s="330"/>
      <c r="O349" s="330"/>
      <c r="P349" s="330"/>
      <c r="Q349" s="330"/>
      <c r="R349" s="330"/>
      <c r="S349" s="330"/>
      <c r="T349" s="330"/>
      <c r="U349" s="330"/>
      <c r="V349" s="330"/>
      <c r="W349" s="330"/>
      <c r="X349" s="329"/>
      <c r="Y349" s="330"/>
      <c r="Z349" s="330"/>
      <c r="AA349" s="330"/>
      <c r="AB349" s="330"/>
      <c r="AC349" s="330"/>
      <c r="AD349" s="330"/>
      <c r="AE349" s="330"/>
      <c r="AF349" s="330"/>
      <c r="AG349" s="330"/>
      <c r="AH349" s="330"/>
      <c r="AI349" s="330"/>
      <c r="AJ349" s="330"/>
      <c r="AK349" s="330"/>
      <c r="AL349" s="329"/>
      <c r="AM349" s="329"/>
      <c r="AN349" s="330"/>
      <c r="AO349" s="330"/>
      <c r="AP349" s="330"/>
      <c r="AQ349" s="330"/>
      <c r="AR349" s="231"/>
      <c r="AS349" s="333"/>
      <c r="AT349" s="206"/>
      <c r="AU349" s="328"/>
      <c r="AV349" s="206"/>
      <c r="AW349" s="206"/>
      <c r="AX349" s="206"/>
      <c r="AY349" s="206"/>
      <c r="AZ349" s="206"/>
      <c r="BA349" s="206"/>
      <c r="BB349" s="206"/>
      <c r="BC349" s="206"/>
      <c r="BD349" s="206"/>
      <c r="BE349" s="206"/>
      <c r="BF349" s="206"/>
      <c r="BG349" s="330"/>
      <c r="BH349" s="330"/>
      <c r="BI349" s="330"/>
      <c r="BJ349" s="330"/>
      <c r="BK349" s="330"/>
      <c r="BL349" s="330"/>
      <c r="BM349" s="330"/>
      <c r="BN349" s="330"/>
      <c r="BO349" s="330"/>
      <c r="BP349" s="330"/>
      <c r="BQ349" s="330"/>
      <c r="BR349" s="330"/>
      <c r="BS349" s="330"/>
      <c r="BT349" s="330"/>
      <c r="BU349" s="330"/>
      <c r="BV349" s="330"/>
      <c r="BW349" s="330"/>
      <c r="BX349" s="330"/>
      <c r="BY349" s="330"/>
      <c r="BZ349" s="330"/>
    </row>
    <row r="350" spans="1:78" x14ac:dyDescent="0.25">
      <c r="A350" s="331"/>
      <c r="B350" s="328"/>
      <c r="C350" s="328"/>
      <c r="D350" s="329"/>
      <c r="E350" s="330"/>
      <c r="F350" s="330"/>
      <c r="G350" s="330"/>
      <c r="H350" s="330"/>
      <c r="I350" s="330"/>
      <c r="J350" s="330"/>
      <c r="K350" s="330"/>
      <c r="L350" s="329"/>
      <c r="M350" s="329"/>
      <c r="N350" s="330"/>
      <c r="O350" s="330"/>
      <c r="P350" s="330"/>
      <c r="Q350" s="330"/>
      <c r="R350" s="330"/>
      <c r="S350" s="330"/>
      <c r="T350" s="330"/>
      <c r="U350" s="330"/>
      <c r="V350" s="330"/>
      <c r="W350" s="330"/>
      <c r="X350" s="329"/>
      <c r="Y350" s="330"/>
      <c r="Z350" s="330"/>
      <c r="AA350" s="330"/>
      <c r="AB350" s="330"/>
      <c r="AC350" s="330"/>
      <c r="AD350" s="330"/>
      <c r="AE350" s="330"/>
      <c r="AF350" s="330"/>
      <c r="AG350" s="330"/>
      <c r="AH350" s="330"/>
      <c r="AI350" s="330"/>
      <c r="AJ350" s="330"/>
      <c r="AK350" s="330"/>
      <c r="AL350" s="329"/>
      <c r="AM350" s="329"/>
      <c r="AN350" s="330"/>
      <c r="AO350" s="330"/>
      <c r="AP350" s="330"/>
      <c r="AQ350" s="330"/>
      <c r="AR350" s="231"/>
      <c r="AS350" s="333"/>
      <c r="AT350" s="206"/>
      <c r="AU350" s="328"/>
      <c r="AV350" s="206"/>
      <c r="AW350" s="206"/>
      <c r="AX350" s="206"/>
      <c r="AY350" s="206"/>
      <c r="AZ350" s="206"/>
      <c r="BA350" s="206"/>
      <c r="BB350" s="206"/>
      <c r="BC350" s="206"/>
      <c r="BD350" s="206"/>
      <c r="BE350" s="206"/>
      <c r="BF350" s="206"/>
      <c r="BG350" s="330"/>
      <c r="BH350" s="330"/>
      <c r="BI350" s="330"/>
      <c r="BJ350" s="330"/>
      <c r="BK350" s="330"/>
      <c r="BL350" s="330"/>
      <c r="BM350" s="330"/>
      <c r="BN350" s="330"/>
      <c r="BO350" s="330"/>
      <c r="BP350" s="330"/>
      <c r="BQ350" s="330"/>
      <c r="BR350" s="330"/>
      <c r="BS350" s="330"/>
      <c r="BT350" s="330"/>
      <c r="BU350" s="330"/>
      <c r="BV350" s="330"/>
      <c r="BW350" s="330"/>
      <c r="BX350" s="330"/>
      <c r="BY350" s="330"/>
      <c r="BZ350" s="330"/>
    </row>
    <row r="351" spans="1:78" x14ac:dyDescent="0.25">
      <c r="A351" s="331"/>
      <c r="B351" s="328"/>
      <c r="C351" s="328"/>
      <c r="D351" s="329"/>
      <c r="E351" s="330"/>
      <c r="F351" s="330"/>
      <c r="G351" s="330"/>
      <c r="H351" s="330"/>
      <c r="I351" s="330"/>
      <c r="J351" s="330"/>
      <c r="K351" s="330"/>
      <c r="L351" s="329"/>
      <c r="M351" s="329"/>
      <c r="N351" s="330"/>
      <c r="O351" s="330"/>
      <c r="P351" s="330"/>
      <c r="Q351" s="330"/>
      <c r="R351" s="330"/>
      <c r="S351" s="330"/>
      <c r="T351" s="330"/>
      <c r="U351" s="330"/>
      <c r="V351" s="330"/>
      <c r="W351" s="330"/>
      <c r="X351" s="329"/>
      <c r="Y351" s="330"/>
      <c r="Z351" s="330"/>
      <c r="AA351" s="330"/>
      <c r="AB351" s="330"/>
      <c r="AC351" s="330"/>
      <c r="AD351" s="330"/>
      <c r="AE351" s="330"/>
      <c r="AF351" s="330"/>
      <c r="AG351" s="330"/>
      <c r="AH351" s="330"/>
      <c r="AI351" s="330"/>
      <c r="AJ351" s="330"/>
      <c r="AK351" s="330"/>
      <c r="AL351" s="329"/>
      <c r="AM351" s="329"/>
      <c r="AN351" s="330"/>
      <c r="AO351" s="330"/>
      <c r="AP351" s="330"/>
      <c r="AQ351" s="330"/>
      <c r="AR351" s="231"/>
      <c r="AS351" s="333"/>
      <c r="AT351" s="206"/>
      <c r="AU351" s="328"/>
      <c r="AV351" s="206"/>
      <c r="AW351" s="206"/>
      <c r="AX351" s="206"/>
      <c r="AY351" s="206"/>
      <c r="AZ351" s="206"/>
      <c r="BA351" s="206"/>
      <c r="BB351" s="206"/>
      <c r="BC351" s="206"/>
      <c r="BD351" s="206"/>
      <c r="BE351" s="206"/>
      <c r="BF351" s="206"/>
      <c r="BG351" s="330"/>
      <c r="BH351" s="330"/>
      <c r="BI351" s="330"/>
      <c r="BJ351" s="330"/>
      <c r="BK351" s="330"/>
      <c r="BL351" s="330"/>
      <c r="BM351" s="330"/>
      <c r="BN351" s="330"/>
      <c r="BO351" s="330"/>
      <c r="BP351" s="330"/>
      <c r="BQ351" s="330"/>
      <c r="BR351" s="330"/>
      <c r="BS351" s="330"/>
      <c r="BT351" s="330"/>
      <c r="BU351" s="330"/>
      <c r="BV351" s="330"/>
      <c r="BW351" s="330"/>
      <c r="BX351" s="330"/>
      <c r="BY351" s="330"/>
      <c r="BZ351" s="330"/>
    </row>
    <row r="352" spans="1:78" x14ac:dyDescent="0.25">
      <c r="A352" s="331"/>
      <c r="B352" s="328"/>
      <c r="C352" s="328"/>
      <c r="D352" s="329"/>
      <c r="E352" s="330"/>
      <c r="F352" s="330"/>
      <c r="G352" s="330"/>
      <c r="H352" s="330"/>
      <c r="I352" s="330"/>
      <c r="J352" s="330"/>
      <c r="K352" s="330"/>
      <c r="L352" s="329"/>
      <c r="M352" s="329"/>
      <c r="N352" s="330"/>
      <c r="O352" s="330"/>
      <c r="P352" s="330"/>
      <c r="Q352" s="330"/>
      <c r="R352" s="330"/>
      <c r="S352" s="330"/>
      <c r="T352" s="330"/>
      <c r="U352" s="330"/>
      <c r="V352" s="330"/>
      <c r="W352" s="330"/>
      <c r="X352" s="329"/>
      <c r="Y352" s="330"/>
      <c r="Z352" s="330"/>
      <c r="AA352" s="330"/>
      <c r="AB352" s="330"/>
      <c r="AC352" s="330"/>
      <c r="AD352" s="330"/>
      <c r="AE352" s="330"/>
      <c r="AF352" s="330"/>
      <c r="AG352" s="330"/>
      <c r="AH352" s="330"/>
      <c r="AI352" s="330"/>
      <c r="AJ352" s="330"/>
      <c r="AK352" s="330"/>
      <c r="AL352" s="329"/>
      <c r="AM352" s="329"/>
      <c r="AN352" s="330"/>
      <c r="AO352" s="330"/>
      <c r="AP352" s="330"/>
      <c r="AQ352" s="330"/>
      <c r="AR352" s="231"/>
      <c r="AS352" s="333"/>
      <c r="AT352" s="206"/>
      <c r="AU352" s="328"/>
      <c r="AV352" s="206"/>
      <c r="AW352" s="206"/>
      <c r="AX352" s="206"/>
      <c r="AY352" s="206"/>
      <c r="AZ352" s="206"/>
      <c r="BA352" s="206"/>
      <c r="BB352" s="206"/>
      <c r="BC352" s="206"/>
      <c r="BD352" s="206"/>
      <c r="BE352" s="206"/>
      <c r="BF352" s="206"/>
      <c r="BG352" s="330"/>
      <c r="BH352" s="330"/>
      <c r="BI352" s="330"/>
      <c r="BJ352" s="330"/>
      <c r="BK352" s="330"/>
      <c r="BL352" s="330"/>
      <c r="BM352" s="330"/>
      <c r="BN352" s="330"/>
      <c r="BO352" s="330"/>
      <c r="BP352" s="330"/>
      <c r="BQ352" s="330"/>
      <c r="BR352" s="330"/>
      <c r="BS352" s="330"/>
      <c r="BT352" s="330"/>
      <c r="BU352" s="330"/>
      <c r="BV352" s="330"/>
      <c r="BW352" s="330"/>
      <c r="BX352" s="330"/>
      <c r="BY352" s="330"/>
      <c r="BZ352" s="330"/>
    </row>
    <row r="353" spans="1:78" x14ac:dyDescent="0.25">
      <c r="A353" s="331"/>
      <c r="B353" s="328"/>
      <c r="C353" s="328"/>
      <c r="D353" s="329"/>
      <c r="E353" s="330"/>
      <c r="F353" s="330"/>
      <c r="G353" s="330"/>
      <c r="H353" s="330"/>
      <c r="I353" s="330"/>
      <c r="J353" s="330"/>
      <c r="K353" s="330"/>
      <c r="L353" s="329"/>
      <c r="M353" s="329"/>
      <c r="N353" s="330"/>
      <c r="O353" s="330"/>
      <c r="P353" s="330"/>
      <c r="Q353" s="330"/>
      <c r="R353" s="330"/>
      <c r="S353" s="330"/>
      <c r="T353" s="330"/>
      <c r="U353" s="330"/>
      <c r="V353" s="330"/>
      <c r="W353" s="330"/>
      <c r="X353" s="329"/>
      <c r="Y353" s="330"/>
      <c r="Z353" s="330"/>
      <c r="AA353" s="330"/>
      <c r="AB353" s="330"/>
      <c r="AC353" s="330"/>
      <c r="AD353" s="330"/>
      <c r="AE353" s="330"/>
      <c r="AF353" s="330"/>
      <c r="AG353" s="330"/>
      <c r="AH353" s="330"/>
      <c r="AI353" s="330"/>
      <c r="AJ353" s="330"/>
      <c r="AK353" s="330"/>
      <c r="AL353" s="329"/>
      <c r="AM353" s="329"/>
      <c r="AN353" s="330"/>
      <c r="AO353" s="330"/>
      <c r="AP353" s="330"/>
      <c r="AQ353" s="330"/>
      <c r="AR353" s="231"/>
      <c r="AS353" s="333"/>
      <c r="AT353" s="206"/>
      <c r="AU353" s="328"/>
      <c r="AV353" s="206"/>
      <c r="AW353" s="206"/>
      <c r="AX353" s="206"/>
      <c r="AY353" s="206"/>
      <c r="AZ353" s="206"/>
      <c r="BA353" s="206"/>
      <c r="BB353" s="206"/>
      <c r="BC353" s="206"/>
      <c r="BD353" s="206"/>
      <c r="BE353" s="206"/>
      <c r="BF353" s="206"/>
      <c r="BG353" s="330"/>
      <c r="BH353" s="330"/>
      <c r="BI353" s="330"/>
      <c r="BJ353" s="330"/>
      <c r="BK353" s="330"/>
      <c r="BL353" s="330"/>
      <c r="BM353" s="330"/>
      <c r="BN353" s="330"/>
      <c r="BO353" s="330"/>
      <c r="BP353" s="330"/>
      <c r="BQ353" s="330"/>
      <c r="BR353" s="330"/>
      <c r="BS353" s="330"/>
      <c r="BT353" s="330"/>
      <c r="BU353" s="330"/>
      <c r="BV353" s="330"/>
      <c r="BW353" s="330"/>
      <c r="BX353" s="330"/>
      <c r="BY353" s="330"/>
      <c r="BZ353" s="330"/>
    </row>
    <row r="354" spans="1:78" x14ac:dyDescent="0.25">
      <c r="A354" s="331"/>
      <c r="B354" s="328"/>
      <c r="C354" s="328"/>
      <c r="D354" s="329"/>
      <c r="E354" s="330"/>
      <c r="F354" s="330"/>
      <c r="G354" s="330"/>
      <c r="H354" s="330"/>
      <c r="I354" s="330"/>
      <c r="J354" s="330"/>
      <c r="K354" s="330"/>
      <c r="L354" s="329"/>
      <c r="M354" s="329"/>
      <c r="N354" s="330"/>
      <c r="O354" s="330"/>
      <c r="P354" s="330"/>
      <c r="Q354" s="330"/>
      <c r="R354" s="330"/>
      <c r="S354" s="330"/>
      <c r="T354" s="330"/>
      <c r="U354" s="330"/>
      <c r="V354" s="330"/>
      <c r="W354" s="330"/>
      <c r="X354" s="329"/>
      <c r="Y354" s="330"/>
      <c r="Z354" s="330"/>
      <c r="AA354" s="330"/>
      <c r="AB354" s="330"/>
      <c r="AC354" s="330"/>
      <c r="AD354" s="330"/>
      <c r="AE354" s="330"/>
      <c r="AF354" s="330"/>
      <c r="AG354" s="330"/>
      <c r="AH354" s="330"/>
      <c r="AI354" s="330"/>
      <c r="AJ354" s="330"/>
      <c r="AK354" s="330"/>
      <c r="AL354" s="329"/>
      <c r="AM354" s="329"/>
      <c r="AN354" s="330"/>
      <c r="AO354" s="330"/>
      <c r="AP354" s="330"/>
      <c r="AQ354" s="330"/>
      <c r="AR354" s="231"/>
      <c r="AS354" s="333"/>
      <c r="AT354" s="206"/>
      <c r="AU354" s="328"/>
      <c r="AV354" s="206"/>
      <c r="AW354" s="206"/>
      <c r="AX354" s="206"/>
      <c r="AY354" s="206"/>
      <c r="AZ354" s="206"/>
      <c r="BA354" s="206"/>
      <c r="BB354" s="206"/>
      <c r="BC354" s="206"/>
      <c r="BD354" s="206"/>
      <c r="BE354" s="206"/>
      <c r="BF354" s="206"/>
      <c r="BG354" s="330"/>
      <c r="BH354" s="330"/>
      <c r="BI354" s="330"/>
      <c r="BJ354" s="330"/>
      <c r="BK354" s="330"/>
      <c r="BL354" s="330"/>
      <c r="BM354" s="330"/>
      <c r="BN354" s="330"/>
      <c r="BO354" s="330"/>
      <c r="BP354" s="330"/>
      <c r="BQ354" s="330"/>
      <c r="BR354" s="330"/>
      <c r="BS354" s="330"/>
      <c r="BT354" s="330"/>
      <c r="BU354" s="330"/>
      <c r="BV354" s="330"/>
      <c r="BW354" s="330"/>
      <c r="BX354" s="330"/>
      <c r="BY354" s="330"/>
      <c r="BZ354" s="330"/>
    </row>
    <row r="355" spans="1:78" x14ac:dyDescent="0.25">
      <c r="A355" s="331"/>
      <c r="B355" s="328"/>
      <c r="C355" s="328"/>
      <c r="D355" s="329"/>
      <c r="E355" s="330"/>
      <c r="F355" s="330"/>
      <c r="G355" s="330"/>
      <c r="H355" s="330"/>
      <c r="I355" s="330"/>
      <c r="J355" s="330"/>
      <c r="K355" s="330"/>
      <c r="L355" s="329"/>
      <c r="M355" s="329"/>
      <c r="N355" s="330"/>
      <c r="O355" s="330"/>
      <c r="P355" s="330"/>
      <c r="Q355" s="330"/>
      <c r="R355" s="330"/>
      <c r="S355" s="330"/>
      <c r="T355" s="330"/>
      <c r="U355" s="330"/>
      <c r="V355" s="330"/>
      <c r="W355" s="330"/>
      <c r="X355" s="329"/>
      <c r="Y355" s="330"/>
      <c r="Z355" s="330"/>
      <c r="AA355" s="330"/>
      <c r="AB355" s="330"/>
      <c r="AC355" s="330"/>
      <c r="AD355" s="330"/>
      <c r="AE355" s="330"/>
      <c r="AF355" s="330"/>
      <c r="AG355" s="330"/>
      <c r="AH355" s="330"/>
      <c r="AI355" s="330"/>
      <c r="AJ355" s="330"/>
      <c r="AK355" s="330"/>
      <c r="AL355" s="329"/>
      <c r="AM355" s="329"/>
      <c r="AN355" s="330"/>
      <c r="AO355" s="330"/>
      <c r="AP355" s="330"/>
      <c r="AQ355" s="330"/>
      <c r="AR355" s="231"/>
      <c r="AS355" s="333"/>
      <c r="AT355" s="206"/>
      <c r="AU355" s="328"/>
      <c r="AV355" s="206"/>
      <c r="AW355" s="206"/>
      <c r="AX355" s="206"/>
      <c r="AY355" s="206"/>
      <c r="AZ355" s="206"/>
      <c r="BA355" s="206"/>
      <c r="BB355" s="206"/>
      <c r="BC355" s="206"/>
      <c r="BD355" s="206"/>
      <c r="BE355" s="206"/>
      <c r="BF355" s="206"/>
      <c r="BG355" s="330"/>
      <c r="BH355" s="330"/>
      <c r="BI355" s="330"/>
      <c r="BJ355" s="330"/>
      <c r="BK355" s="330"/>
      <c r="BL355" s="330"/>
      <c r="BM355" s="330"/>
      <c r="BN355" s="330"/>
      <c r="BO355" s="330"/>
      <c r="BP355" s="330"/>
      <c r="BQ355" s="330"/>
      <c r="BR355" s="330"/>
      <c r="BS355" s="330"/>
      <c r="BT355" s="330"/>
      <c r="BU355" s="330"/>
      <c r="BV355" s="330"/>
      <c r="BW355" s="330"/>
      <c r="BX355" s="330"/>
      <c r="BY355" s="330"/>
      <c r="BZ355" s="330"/>
    </row>
    <row r="356" spans="1:78" x14ac:dyDescent="0.25">
      <c r="A356" s="331"/>
      <c r="B356" s="328"/>
      <c r="C356" s="328"/>
      <c r="D356" s="329"/>
      <c r="E356" s="330"/>
      <c r="F356" s="330"/>
      <c r="G356" s="330"/>
      <c r="H356" s="330"/>
      <c r="I356" s="330"/>
      <c r="J356" s="330"/>
      <c r="K356" s="330"/>
      <c r="L356" s="329"/>
      <c r="M356" s="329"/>
      <c r="N356" s="330"/>
      <c r="O356" s="330"/>
      <c r="P356" s="330"/>
      <c r="Q356" s="330"/>
      <c r="R356" s="330"/>
      <c r="S356" s="330"/>
      <c r="T356" s="330"/>
      <c r="U356" s="330"/>
      <c r="V356" s="330"/>
      <c r="W356" s="330"/>
      <c r="X356" s="329"/>
      <c r="Y356" s="330"/>
      <c r="Z356" s="330"/>
      <c r="AA356" s="330"/>
      <c r="AB356" s="330"/>
      <c r="AC356" s="330"/>
      <c r="AD356" s="330"/>
      <c r="AE356" s="330"/>
      <c r="AF356" s="330"/>
      <c r="AG356" s="330"/>
      <c r="AH356" s="330"/>
      <c r="AI356" s="330"/>
      <c r="AJ356" s="330"/>
      <c r="AK356" s="330"/>
      <c r="AL356" s="329"/>
      <c r="AM356" s="329"/>
      <c r="AN356" s="330"/>
      <c r="AO356" s="330"/>
      <c r="AP356" s="330"/>
      <c r="AQ356" s="330"/>
      <c r="AR356" s="231"/>
      <c r="AS356" s="333"/>
      <c r="AT356" s="206"/>
      <c r="AU356" s="328"/>
      <c r="AV356" s="206"/>
      <c r="AW356" s="206"/>
      <c r="AX356" s="206"/>
      <c r="AY356" s="206"/>
      <c r="AZ356" s="206"/>
      <c r="BA356" s="206"/>
      <c r="BB356" s="206"/>
      <c r="BC356" s="206"/>
      <c r="BD356" s="206"/>
      <c r="BE356" s="206"/>
      <c r="BF356" s="206"/>
      <c r="BG356" s="330"/>
      <c r="BH356" s="330"/>
      <c r="BI356" s="330"/>
      <c r="BJ356" s="330"/>
      <c r="BK356" s="330"/>
      <c r="BL356" s="330"/>
      <c r="BM356" s="330"/>
      <c r="BN356" s="330"/>
      <c r="BO356" s="330"/>
      <c r="BP356" s="330"/>
      <c r="BQ356" s="330"/>
      <c r="BR356" s="330"/>
      <c r="BS356" s="330"/>
      <c r="BT356" s="330"/>
      <c r="BU356" s="330"/>
      <c r="BV356" s="330"/>
      <c r="BW356" s="330"/>
      <c r="BX356" s="330"/>
      <c r="BY356" s="330"/>
      <c r="BZ356" s="330"/>
    </row>
    <row r="357" spans="1:78" x14ac:dyDescent="0.25">
      <c r="A357" s="331"/>
      <c r="B357" s="328"/>
      <c r="C357" s="328"/>
      <c r="D357" s="329"/>
      <c r="E357" s="330"/>
      <c r="F357" s="330"/>
      <c r="G357" s="330"/>
      <c r="H357" s="330"/>
      <c r="I357" s="330"/>
      <c r="J357" s="330"/>
      <c r="K357" s="330"/>
      <c r="L357" s="329"/>
      <c r="M357" s="329"/>
      <c r="N357" s="330"/>
      <c r="O357" s="330"/>
      <c r="P357" s="330"/>
      <c r="Q357" s="330"/>
      <c r="R357" s="330"/>
      <c r="S357" s="330"/>
      <c r="T357" s="330"/>
      <c r="U357" s="330"/>
      <c r="V357" s="330"/>
      <c r="W357" s="330"/>
      <c r="X357" s="329"/>
      <c r="Y357" s="330"/>
      <c r="Z357" s="330"/>
      <c r="AA357" s="330"/>
      <c r="AB357" s="330"/>
      <c r="AC357" s="330"/>
      <c r="AD357" s="330"/>
      <c r="AE357" s="330"/>
      <c r="AF357" s="330"/>
      <c r="AG357" s="330"/>
      <c r="AH357" s="330"/>
      <c r="AI357" s="330"/>
      <c r="AJ357" s="330"/>
      <c r="AK357" s="330"/>
      <c r="AL357" s="329"/>
      <c r="AM357" s="329"/>
      <c r="AN357" s="330"/>
      <c r="AO357" s="330"/>
      <c r="AP357" s="330"/>
      <c r="AQ357" s="330"/>
      <c r="AR357" s="231"/>
      <c r="AS357" s="333"/>
      <c r="AT357" s="206"/>
      <c r="AU357" s="328"/>
      <c r="AV357" s="206"/>
      <c r="AW357" s="206"/>
      <c r="AX357" s="206"/>
      <c r="AY357" s="206"/>
      <c r="AZ357" s="206"/>
      <c r="BA357" s="206"/>
      <c r="BB357" s="206"/>
      <c r="BC357" s="206"/>
      <c r="BD357" s="206"/>
      <c r="BE357" s="206"/>
      <c r="BF357" s="206"/>
      <c r="BG357" s="330"/>
      <c r="BH357" s="330"/>
      <c r="BI357" s="330"/>
      <c r="BJ357" s="330"/>
      <c r="BK357" s="330"/>
      <c r="BL357" s="330"/>
      <c r="BM357" s="330"/>
      <c r="BN357" s="330"/>
      <c r="BO357" s="330"/>
      <c r="BP357" s="330"/>
      <c r="BQ357" s="330"/>
      <c r="BR357" s="330"/>
      <c r="BS357" s="330"/>
      <c r="BT357" s="330"/>
      <c r="BU357" s="330"/>
      <c r="BV357" s="330"/>
      <c r="BW357" s="330"/>
      <c r="BX357" s="330"/>
      <c r="BY357" s="330"/>
      <c r="BZ357" s="330"/>
    </row>
    <row r="358" spans="1:78" x14ac:dyDescent="0.25">
      <c r="A358" s="331"/>
      <c r="B358" s="328"/>
      <c r="C358" s="328"/>
      <c r="D358" s="329"/>
      <c r="E358" s="330"/>
      <c r="F358" s="330"/>
      <c r="G358" s="330"/>
      <c r="H358" s="330"/>
      <c r="I358" s="330"/>
      <c r="J358" s="330"/>
      <c r="K358" s="330"/>
      <c r="L358" s="329"/>
      <c r="M358" s="329"/>
      <c r="N358" s="330"/>
      <c r="O358" s="330"/>
      <c r="P358" s="330"/>
      <c r="Q358" s="330"/>
      <c r="R358" s="330"/>
      <c r="S358" s="330"/>
      <c r="T358" s="330"/>
      <c r="U358" s="330"/>
      <c r="V358" s="330"/>
      <c r="W358" s="330"/>
      <c r="X358" s="329"/>
      <c r="Y358" s="330"/>
      <c r="Z358" s="330"/>
      <c r="AA358" s="330"/>
      <c r="AB358" s="330"/>
      <c r="AC358" s="330"/>
      <c r="AD358" s="330"/>
      <c r="AE358" s="330"/>
      <c r="AF358" s="330"/>
      <c r="AG358" s="330"/>
      <c r="AH358" s="330"/>
      <c r="AI358" s="330"/>
      <c r="AJ358" s="330"/>
      <c r="AK358" s="330"/>
      <c r="AL358" s="329"/>
      <c r="AM358" s="329"/>
      <c r="AN358" s="330"/>
      <c r="AO358" s="330"/>
      <c r="AP358" s="330"/>
      <c r="AQ358" s="330"/>
      <c r="AR358" s="231"/>
      <c r="AS358" s="333"/>
      <c r="AT358" s="206"/>
      <c r="AU358" s="328"/>
      <c r="AV358" s="206"/>
      <c r="AW358" s="206"/>
      <c r="AX358" s="206"/>
      <c r="AY358" s="206"/>
      <c r="AZ358" s="206"/>
      <c r="BA358" s="206"/>
      <c r="BB358" s="206"/>
      <c r="BC358" s="206"/>
      <c r="BD358" s="206"/>
      <c r="BE358" s="206"/>
      <c r="BF358" s="206"/>
      <c r="BG358" s="330"/>
      <c r="BH358" s="330"/>
      <c r="BI358" s="330"/>
      <c r="BJ358" s="330"/>
      <c r="BK358" s="330"/>
      <c r="BL358" s="330"/>
      <c r="BM358" s="330"/>
      <c r="BN358" s="330"/>
      <c r="BO358" s="330"/>
      <c r="BP358" s="330"/>
      <c r="BQ358" s="330"/>
      <c r="BR358" s="330"/>
      <c r="BS358" s="330"/>
      <c r="BT358" s="330"/>
      <c r="BU358" s="330"/>
      <c r="BV358" s="330"/>
      <c r="BW358" s="330"/>
      <c r="BX358" s="330"/>
      <c r="BY358" s="330"/>
      <c r="BZ358" s="330"/>
    </row>
    <row r="359" spans="1:78" x14ac:dyDescent="0.25">
      <c r="A359" s="331"/>
      <c r="B359" s="328"/>
      <c r="C359" s="328"/>
      <c r="D359" s="329"/>
      <c r="E359" s="330"/>
      <c r="F359" s="330"/>
      <c r="G359" s="330"/>
      <c r="H359" s="330"/>
      <c r="I359" s="330"/>
      <c r="J359" s="330"/>
      <c r="K359" s="330"/>
      <c r="L359" s="329"/>
      <c r="M359" s="329"/>
      <c r="N359" s="330"/>
      <c r="O359" s="330"/>
      <c r="P359" s="330"/>
      <c r="Q359" s="330"/>
      <c r="R359" s="330"/>
      <c r="S359" s="330"/>
      <c r="T359" s="330"/>
      <c r="U359" s="330"/>
      <c r="V359" s="330"/>
      <c r="W359" s="330"/>
      <c r="X359" s="329"/>
      <c r="Y359" s="330"/>
      <c r="Z359" s="330"/>
      <c r="AA359" s="330"/>
      <c r="AB359" s="330"/>
      <c r="AC359" s="330"/>
      <c r="AD359" s="330"/>
      <c r="AE359" s="330"/>
      <c r="AF359" s="330"/>
      <c r="AG359" s="330"/>
      <c r="AH359" s="330"/>
      <c r="AI359" s="330"/>
      <c r="AJ359" s="330"/>
      <c r="AK359" s="330"/>
      <c r="AL359" s="329"/>
      <c r="AM359" s="329"/>
      <c r="AN359" s="330"/>
      <c r="AO359" s="330"/>
      <c r="AP359" s="330"/>
      <c r="AQ359" s="330"/>
      <c r="AR359" s="231"/>
      <c r="AS359" s="333"/>
      <c r="AT359" s="206"/>
      <c r="AU359" s="328"/>
      <c r="AV359" s="206"/>
      <c r="AW359" s="206"/>
      <c r="AX359" s="206"/>
      <c r="AY359" s="206"/>
      <c r="AZ359" s="206"/>
      <c r="BA359" s="206"/>
      <c r="BB359" s="206"/>
      <c r="BC359" s="206"/>
      <c r="BD359" s="206"/>
      <c r="BE359" s="206"/>
      <c r="BF359" s="206"/>
      <c r="BG359" s="330"/>
      <c r="BH359" s="330"/>
      <c r="BI359" s="330"/>
      <c r="BJ359" s="330"/>
      <c r="BK359" s="330"/>
      <c r="BL359" s="330"/>
      <c r="BM359" s="330"/>
      <c r="BN359" s="330"/>
      <c r="BO359" s="330"/>
      <c r="BP359" s="330"/>
      <c r="BQ359" s="330"/>
      <c r="BR359" s="330"/>
      <c r="BS359" s="330"/>
      <c r="BT359" s="330"/>
      <c r="BU359" s="330"/>
      <c r="BV359" s="330"/>
      <c r="BW359" s="330"/>
      <c r="BX359" s="330"/>
      <c r="BY359" s="330"/>
      <c r="BZ359" s="330"/>
    </row>
    <row r="360" spans="1:78" x14ac:dyDescent="0.25">
      <c r="A360" s="331"/>
      <c r="B360" s="328"/>
      <c r="C360" s="328"/>
      <c r="D360" s="329"/>
      <c r="E360" s="330"/>
      <c r="F360" s="330"/>
      <c r="G360" s="330"/>
      <c r="H360" s="330"/>
      <c r="I360" s="330"/>
      <c r="J360" s="330"/>
      <c r="K360" s="330"/>
      <c r="L360" s="329"/>
      <c r="M360" s="329"/>
      <c r="N360" s="330"/>
      <c r="O360" s="330"/>
      <c r="P360" s="330"/>
      <c r="Q360" s="330"/>
      <c r="R360" s="330"/>
      <c r="S360" s="330"/>
      <c r="T360" s="330"/>
      <c r="U360" s="330"/>
      <c r="V360" s="330"/>
      <c r="W360" s="330"/>
      <c r="X360" s="329"/>
      <c r="Y360" s="330"/>
      <c r="Z360" s="330"/>
      <c r="AA360" s="330"/>
      <c r="AB360" s="330"/>
      <c r="AC360" s="330"/>
      <c r="AD360" s="330"/>
      <c r="AE360" s="330"/>
      <c r="AF360" s="330"/>
      <c r="AG360" s="330"/>
      <c r="AH360" s="330"/>
      <c r="AI360" s="330"/>
      <c r="AJ360" s="330"/>
      <c r="AK360" s="330"/>
      <c r="AL360" s="329"/>
      <c r="AM360" s="329"/>
      <c r="AN360" s="330"/>
      <c r="AO360" s="330"/>
      <c r="AP360" s="330"/>
      <c r="AQ360" s="330"/>
      <c r="AR360" s="231"/>
      <c r="AS360" s="333"/>
      <c r="AT360" s="206"/>
      <c r="AU360" s="328"/>
      <c r="AV360" s="206"/>
      <c r="AW360" s="206"/>
      <c r="AX360" s="206"/>
      <c r="AY360" s="206"/>
      <c r="AZ360" s="206"/>
      <c r="BA360" s="206"/>
      <c r="BB360" s="206"/>
      <c r="BC360" s="206"/>
      <c r="BD360" s="206"/>
      <c r="BE360" s="206"/>
      <c r="BF360" s="206"/>
      <c r="BG360" s="330"/>
      <c r="BH360" s="330"/>
      <c r="BI360" s="330"/>
      <c r="BJ360" s="330"/>
      <c r="BK360" s="330"/>
      <c r="BL360" s="330"/>
      <c r="BM360" s="330"/>
      <c r="BN360" s="330"/>
      <c r="BO360" s="330"/>
      <c r="BP360" s="330"/>
      <c r="BQ360" s="330"/>
      <c r="BR360" s="330"/>
      <c r="BS360" s="330"/>
      <c r="BT360" s="330"/>
      <c r="BU360" s="330"/>
      <c r="BV360" s="330"/>
      <c r="BW360" s="330"/>
      <c r="BX360" s="330"/>
      <c r="BY360" s="330"/>
      <c r="BZ360" s="330"/>
    </row>
    <row r="361" spans="1:78" x14ac:dyDescent="0.25">
      <c r="A361" s="331"/>
      <c r="B361" s="328"/>
      <c r="C361" s="328"/>
      <c r="D361" s="329"/>
      <c r="E361" s="330"/>
      <c r="F361" s="330"/>
      <c r="G361" s="330"/>
      <c r="H361" s="330"/>
      <c r="I361" s="330"/>
      <c r="J361" s="330"/>
      <c r="K361" s="330"/>
      <c r="L361" s="329"/>
      <c r="M361" s="329"/>
      <c r="N361" s="330"/>
      <c r="O361" s="330"/>
      <c r="P361" s="330"/>
      <c r="Q361" s="330"/>
      <c r="R361" s="330"/>
      <c r="S361" s="330"/>
      <c r="T361" s="330"/>
      <c r="U361" s="330"/>
      <c r="V361" s="330"/>
      <c r="W361" s="330"/>
      <c r="X361" s="329"/>
      <c r="Y361" s="330"/>
      <c r="Z361" s="330"/>
      <c r="AA361" s="330"/>
      <c r="AB361" s="330"/>
      <c r="AC361" s="330"/>
      <c r="AD361" s="330"/>
      <c r="AE361" s="330"/>
      <c r="AF361" s="330"/>
      <c r="AG361" s="330"/>
      <c r="AH361" s="330"/>
      <c r="AI361" s="330"/>
      <c r="AJ361" s="330"/>
      <c r="AK361" s="330"/>
      <c r="AL361" s="329"/>
      <c r="AM361" s="329"/>
      <c r="AN361" s="330"/>
      <c r="AO361" s="330"/>
      <c r="AP361" s="330"/>
      <c r="AQ361" s="330"/>
      <c r="AR361" s="231"/>
      <c r="AS361" s="333"/>
      <c r="AT361" s="206"/>
      <c r="AU361" s="328"/>
      <c r="AV361" s="206"/>
      <c r="AW361" s="206"/>
      <c r="AX361" s="206"/>
      <c r="AY361" s="206"/>
      <c r="AZ361" s="206"/>
      <c r="BA361" s="206"/>
      <c r="BB361" s="206"/>
      <c r="BC361" s="206"/>
      <c r="BD361" s="206"/>
      <c r="BE361" s="206"/>
      <c r="BF361" s="206"/>
      <c r="BG361" s="330"/>
      <c r="BH361" s="330"/>
      <c r="BI361" s="330"/>
      <c r="BJ361" s="330"/>
      <c r="BK361" s="330"/>
      <c r="BL361" s="330"/>
      <c r="BM361" s="330"/>
      <c r="BN361" s="330"/>
      <c r="BO361" s="330"/>
      <c r="BP361" s="330"/>
      <c r="BQ361" s="330"/>
      <c r="BR361" s="330"/>
      <c r="BS361" s="330"/>
      <c r="BT361" s="330"/>
      <c r="BU361" s="330"/>
      <c r="BV361" s="330"/>
      <c r="BW361" s="330"/>
      <c r="BX361" s="330"/>
      <c r="BY361" s="330"/>
      <c r="BZ361" s="330"/>
    </row>
    <row r="362" spans="1:78" x14ac:dyDescent="0.25">
      <c r="A362" s="331"/>
      <c r="B362" s="328"/>
      <c r="C362" s="328"/>
      <c r="D362" s="329"/>
      <c r="E362" s="330"/>
      <c r="F362" s="330"/>
      <c r="G362" s="330"/>
      <c r="H362" s="330"/>
      <c r="I362" s="330"/>
      <c r="J362" s="330"/>
      <c r="K362" s="330"/>
      <c r="L362" s="329"/>
      <c r="M362" s="329"/>
      <c r="N362" s="330"/>
      <c r="O362" s="330"/>
      <c r="P362" s="330"/>
      <c r="Q362" s="330"/>
      <c r="R362" s="330"/>
      <c r="S362" s="330"/>
      <c r="T362" s="330"/>
      <c r="U362" s="330"/>
      <c r="V362" s="330"/>
      <c r="W362" s="330"/>
      <c r="X362" s="329"/>
      <c r="Y362" s="330"/>
      <c r="Z362" s="330"/>
      <c r="AA362" s="330"/>
      <c r="AB362" s="330"/>
      <c r="AC362" s="330"/>
      <c r="AD362" s="330"/>
      <c r="AE362" s="330"/>
      <c r="AF362" s="330"/>
      <c r="AG362" s="330"/>
      <c r="AH362" s="330"/>
      <c r="AI362" s="330"/>
      <c r="AJ362" s="330"/>
      <c r="AK362" s="330"/>
      <c r="AL362" s="329"/>
      <c r="AM362" s="329"/>
      <c r="AN362" s="330"/>
      <c r="AO362" s="330"/>
      <c r="AP362" s="330"/>
      <c r="AQ362" s="330"/>
      <c r="AR362" s="231"/>
      <c r="AS362" s="333"/>
      <c r="AT362" s="206"/>
      <c r="AU362" s="328"/>
      <c r="AV362" s="206"/>
      <c r="AW362" s="206"/>
      <c r="AX362" s="206"/>
      <c r="AY362" s="206"/>
      <c r="AZ362" s="206"/>
      <c r="BA362" s="206"/>
      <c r="BB362" s="206"/>
      <c r="BC362" s="206"/>
      <c r="BD362" s="206"/>
      <c r="BE362" s="206"/>
      <c r="BF362" s="206"/>
      <c r="BG362" s="330"/>
      <c r="BH362" s="330"/>
      <c r="BI362" s="330"/>
      <c r="BJ362" s="330"/>
      <c r="BK362" s="330"/>
      <c r="BL362" s="330"/>
      <c r="BM362" s="330"/>
      <c r="BN362" s="330"/>
      <c r="BO362" s="330"/>
      <c r="BP362" s="330"/>
      <c r="BQ362" s="330"/>
      <c r="BR362" s="330"/>
      <c r="BS362" s="330"/>
      <c r="BT362" s="330"/>
      <c r="BU362" s="330"/>
      <c r="BV362" s="330"/>
      <c r="BW362" s="330"/>
      <c r="BX362" s="330"/>
      <c r="BY362" s="330"/>
      <c r="BZ362" s="330"/>
    </row>
    <row r="363" spans="1:78" x14ac:dyDescent="0.25">
      <c r="A363" s="331"/>
      <c r="B363" s="328"/>
      <c r="C363" s="328"/>
      <c r="D363" s="329"/>
      <c r="E363" s="330"/>
      <c r="F363" s="330"/>
      <c r="G363" s="330"/>
      <c r="H363" s="330"/>
      <c r="I363" s="330"/>
      <c r="J363" s="330"/>
      <c r="K363" s="330"/>
      <c r="L363" s="329"/>
      <c r="M363" s="329"/>
      <c r="N363" s="330"/>
      <c r="O363" s="330"/>
      <c r="P363" s="330"/>
      <c r="Q363" s="330"/>
      <c r="R363" s="330"/>
      <c r="S363" s="330"/>
      <c r="T363" s="330"/>
      <c r="U363" s="330"/>
      <c r="V363" s="330"/>
      <c r="W363" s="330"/>
      <c r="X363" s="329"/>
      <c r="Y363" s="330"/>
      <c r="Z363" s="330"/>
      <c r="AA363" s="330"/>
      <c r="AB363" s="330"/>
      <c r="AC363" s="330"/>
      <c r="AD363" s="330"/>
      <c r="AE363" s="330"/>
      <c r="AF363" s="330"/>
      <c r="AG363" s="330"/>
      <c r="AH363" s="330"/>
      <c r="AI363" s="330"/>
      <c r="AJ363" s="330"/>
      <c r="AK363" s="330"/>
      <c r="AL363" s="329"/>
      <c r="AM363" s="329"/>
      <c r="AN363" s="330"/>
      <c r="AO363" s="330"/>
      <c r="AP363" s="330"/>
      <c r="AQ363" s="330"/>
      <c r="AR363" s="231"/>
      <c r="AS363" s="333"/>
      <c r="AT363" s="206"/>
      <c r="AU363" s="328"/>
      <c r="AV363" s="206"/>
      <c r="AW363" s="206"/>
      <c r="AX363" s="206"/>
      <c r="AY363" s="206"/>
      <c r="AZ363" s="206"/>
      <c r="BA363" s="206"/>
      <c r="BB363" s="206"/>
      <c r="BC363" s="206"/>
      <c r="BD363" s="206"/>
      <c r="BE363" s="206"/>
      <c r="BF363" s="206"/>
      <c r="BG363" s="330"/>
      <c r="BH363" s="330"/>
      <c r="BI363" s="330"/>
      <c r="BJ363" s="330"/>
      <c r="BK363" s="330"/>
      <c r="BL363" s="330"/>
      <c r="BM363" s="330"/>
      <c r="BN363" s="330"/>
      <c r="BO363" s="330"/>
      <c r="BP363" s="330"/>
      <c r="BQ363" s="330"/>
      <c r="BR363" s="330"/>
      <c r="BS363" s="330"/>
      <c r="BT363" s="330"/>
      <c r="BU363" s="330"/>
      <c r="BV363" s="330"/>
      <c r="BW363" s="330"/>
      <c r="BX363" s="330"/>
      <c r="BY363" s="330"/>
      <c r="BZ363" s="330"/>
    </row>
    <row r="364" spans="1:78" x14ac:dyDescent="0.25">
      <c r="A364" s="331"/>
      <c r="B364" s="328"/>
      <c r="C364" s="328"/>
      <c r="D364" s="329"/>
      <c r="E364" s="330"/>
      <c r="F364" s="330"/>
      <c r="G364" s="330"/>
      <c r="H364" s="330"/>
      <c r="I364" s="330"/>
      <c r="J364" s="330"/>
      <c r="K364" s="330"/>
      <c r="L364" s="329"/>
      <c r="M364" s="329"/>
      <c r="N364" s="330"/>
      <c r="O364" s="330"/>
      <c r="P364" s="330"/>
      <c r="Q364" s="330"/>
      <c r="R364" s="330"/>
      <c r="S364" s="330"/>
      <c r="T364" s="330"/>
      <c r="U364" s="330"/>
      <c r="V364" s="330"/>
      <c r="W364" s="330"/>
      <c r="X364" s="329"/>
      <c r="Y364" s="330"/>
      <c r="Z364" s="330"/>
      <c r="AA364" s="330"/>
      <c r="AB364" s="330"/>
      <c r="AC364" s="330"/>
      <c r="AD364" s="330"/>
      <c r="AE364" s="330"/>
      <c r="AF364" s="330"/>
      <c r="AG364" s="330"/>
      <c r="AH364" s="330"/>
      <c r="AI364" s="330"/>
      <c r="AJ364" s="330"/>
      <c r="AK364" s="330"/>
      <c r="AL364" s="329"/>
      <c r="AM364" s="329"/>
      <c r="AN364" s="330"/>
      <c r="AO364" s="330"/>
      <c r="AP364" s="330"/>
      <c r="AQ364" s="330"/>
      <c r="AR364" s="231"/>
      <c r="AS364" s="333"/>
      <c r="AT364" s="206"/>
      <c r="AU364" s="328"/>
      <c r="AV364" s="206"/>
      <c r="AW364" s="206"/>
      <c r="AX364" s="206"/>
      <c r="AY364" s="206"/>
      <c r="AZ364" s="206"/>
      <c r="BA364" s="206"/>
      <c r="BB364" s="206"/>
      <c r="BC364" s="206"/>
      <c r="BD364" s="206"/>
      <c r="BE364" s="206"/>
      <c r="BF364" s="206"/>
      <c r="BG364" s="330"/>
      <c r="BH364" s="330"/>
      <c r="BI364" s="330"/>
      <c r="BJ364" s="330"/>
      <c r="BK364" s="330"/>
      <c r="BL364" s="330"/>
      <c r="BM364" s="330"/>
      <c r="BN364" s="330"/>
      <c r="BO364" s="330"/>
      <c r="BP364" s="330"/>
      <c r="BQ364" s="330"/>
      <c r="BR364" s="330"/>
      <c r="BS364" s="330"/>
      <c r="BT364" s="330"/>
      <c r="BU364" s="330"/>
      <c r="BV364" s="330"/>
      <c r="BW364" s="330"/>
      <c r="BX364" s="330"/>
      <c r="BY364" s="330"/>
      <c r="BZ364" s="330"/>
    </row>
    <row r="365" spans="1:78" x14ac:dyDescent="0.25">
      <c r="A365" s="331"/>
      <c r="B365" s="328"/>
      <c r="C365" s="328"/>
      <c r="D365" s="329"/>
      <c r="E365" s="330"/>
      <c r="F365" s="330"/>
      <c r="G365" s="330"/>
      <c r="H365" s="330"/>
      <c r="I365" s="330"/>
      <c r="J365" s="330"/>
      <c r="K365" s="330"/>
      <c r="L365" s="329"/>
      <c r="M365" s="329"/>
      <c r="N365" s="330"/>
      <c r="O365" s="330"/>
      <c r="P365" s="330"/>
      <c r="Q365" s="330"/>
      <c r="R365" s="330"/>
      <c r="S365" s="330"/>
      <c r="T365" s="330"/>
      <c r="U365" s="330"/>
      <c r="V365" s="330"/>
      <c r="W365" s="330"/>
      <c r="X365" s="329"/>
      <c r="Y365" s="330"/>
      <c r="Z365" s="330"/>
      <c r="AA365" s="330"/>
      <c r="AB365" s="330"/>
      <c r="AC365" s="330"/>
      <c r="AD365" s="330"/>
      <c r="AE365" s="330"/>
      <c r="AF365" s="330"/>
      <c r="AG365" s="330"/>
      <c r="AH365" s="330"/>
      <c r="AI365" s="330"/>
      <c r="AJ365" s="330"/>
      <c r="AK365" s="330"/>
      <c r="AL365" s="329"/>
      <c r="AM365" s="329"/>
      <c r="AN365" s="330"/>
      <c r="AO365" s="330"/>
      <c r="AP365" s="330"/>
      <c r="AQ365" s="330"/>
      <c r="AR365" s="231"/>
      <c r="AS365" s="333"/>
      <c r="AT365" s="206"/>
      <c r="AU365" s="328"/>
      <c r="AV365" s="206"/>
      <c r="AW365" s="206"/>
      <c r="AX365" s="206"/>
      <c r="AY365" s="206"/>
      <c r="AZ365" s="206"/>
      <c r="BA365" s="206"/>
      <c r="BB365" s="206"/>
      <c r="BC365" s="206"/>
      <c r="BD365" s="206"/>
      <c r="BE365" s="206"/>
      <c r="BF365" s="206"/>
      <c r="BG365" s="330"/>
      <c r="BH365" s="330"/>
      <c r="BI365" s="330"/>
      <c r="BJ365" s="330"/>
      <c r="BK365" s="330"/>
      <c r="BL365" s="330"/>
      <c r="BM365" s="330"/>
      <c r="BN365" s="330"/>
      <c r="BO365" s="330"/>
      <c r="BP365" s="330"/>
      <c r="BQ365" s="330"/>
      <c r="BR365" s="330"/>
      <c r="BS365" s="330"/>
      <c r="BT365" s="330"/>
      <c r="BU365" s="330"/>
      <c r="BV365" s="330"/>
      <c r="BW365" s="330"/>
      <c r="BX365" s="330"/>
      <c r="BY365" s="330"/>
      <c r="BZ365" s="330"/>
    </row>
    <row r="366" spans="1:78" x14ac:dyDescent="0.25">
      <c r="A366" s="331"/>
      <c r="B366" s="328"/>
      <c r="C366" s="328"/>
      <c r="D366" s="329"/>
      <c r="E366" s="330"/>
      <c r="F366" s="330"/>
      <c r="G366" s="330"/>
      <c r="H366" s="330"/>
      <c r="I366" s="330"/>
      <c r="J366" s="330"/>
      <c r="K366" s="330"/>
      <c r="L366" s="329"/>
      <c r="M366" s="329"/>
      <c r="N366" s="330"/>
      <c r="O366" s="330"/>
      <c r="P366" s="330"/>
      <c r="Q366" s="330"/>
      <c r="R366" s="330"/>
      <c r="S366" s="330"/>
      <c r="T366" s="330"/>
      <c r="U366" s="330"/>
      <c r="V366" s="330"/>
      <c r="W366" s="330"/>
      <c r="X366" s="329"/>
      <c r="Y366" s="330"/>
      <c r="Z366" s="330"/>
      <c r="AA366" s="330"/>
      <c r="AB366" s="330"/>
      <c r="AC366" s="330"/>
      <c r="AD366" s="330"/>
      <c r="AE366" s="330"/>
      <c r="AF366" s="330"/>
      <c r="AG366" s="330"/>
      <c r="AH366" s="330"/>
      <c r="AI366" s="330"/>
      <c r="AJ366" s="330"/>
      <c r="AK366" s="330"/>
      <c r="AL366" s="329"/>
      <c r="AM366" s="329"/>
      <c r="AN366" s="330"/>
      <c r="AO366" s="330"/>
      <c r="AP366" s="330"/>
      <c r="AQ366" s="330"/>
      <c r="AR366" s="231"/>
      <c r="AS366" s="333"/>
      <c r="AT366" s="206"/>
      <c r="AU366" s="328"/>
      <c r="AV366" s="206"/>
      <c r="AW366" s="206"/>
      <c r="AX366" s="206"/>
      <c r="AY366" s="206"/>
      <c r="AZ366" s="206"/>
      <c r="BA366" s="206"/>
      <c r="BB366" s="206"/>
      <c r="BC366" s="206"/>
      <c r="BD366" s="206"/>
      <c r="BE366" s="206"/>
      <c r="BF366" s="206"/>
      <c r="BG366" s="330"/>
      <c r="BH366" s="330"/>
      <c r="BI366" s="330"/>
      <c r="BJ366" s="330"/>
      <c r="BK366" s="330"/>
      <c r="BL366" s="330"/>
      <c r="BM366" s="330"/>
      <c r="BN366" s="330"/>
      <c r="BO366" s="330"/>
      <c r="BP366" s="330"/>
      <c r="BQ366" s="330"/>
      <c r="BR366" s="330"/>
      <c r="BS366" s="330"/>
      <c r="BT366" s="330"/>
      <c r="BU366" s="330"/>
      <c r="BV366" s="330"/>
      <c r="BW366" s="330"/>
      <c r="BX366" s="330"/>
      <c r="BY366" s="330"/>
      <c r="BZ366" s="330"/>
    </row>
    <row r="367" spans="1:78" x14ac:dyDescent="0.25">
      <c r="A367" s="331"/>
      <c r="B367" s="328"/>
      <c r="C367" s="328"/>
      <c r="D367" s="329"/>
      <c r="E367" s="330"/>
      <c r="F367" s="330"/>
      <c r="G367" s="330"/>
      <c r="H367" s="330"/>
      <c r="I367" s="330"/>
      <c r="J367" s="330"/>
      <c r="K367" s="330"/>
      <c r="L367" s="329"/>
      <c r="M367" s="329"/>
      <c r="N367" s="330"/>
      <c r="O367" s="330"/>
      <c r="P367" s="330"/>
      <c r="Q367" s="330"/>
      <c r="R367" s="330"/>
      <c r="S367" s="330"/>
      <c r="T367" s="330"/>
      <c r="U367" s="330"/>
      <c r="V367" s="330"/>
      <c r="W367" s="330"/>
      <c r="X367" s="329"/>
      <c r="Y367" s="330"/>
      <c r="Z367" s="330"/>
      <c r="AA367" s="330"/>
      <c r="AB367" s="330"/>
      <c r="AC367" s="330"/>
      <c r="AD367" s="330"/>
      <c r="AE367" s="330"/>
      <c r="AF367" s="330"/>
      <c r="AG367" s="330"/>
      <c r="AH367" s="330"/>
      <c r="AI367" s="330"/>
      <c r="AJ367" s="330"/>
      <c r="AK367" s="330"/>
      <c r="AL367" s="329"/>
      <c r="AM367" s="329"/>
      <c r="AN367" s="330"/>
      <c r="AO367" s="330"/>
      <c r="AP367" s="330"/>
      <c r="AQ367" s="330"/>
      <c r="AR367" s="231"/>
      <c r="AS367" s="333"/>
      <c r="AT367" s="206"/>
      <c r="AU367" s="328"/>
      <c r="AV367" s="206"/>
      <c r="AW367" s="206"/>
      <c r="AX367" s="206"/>
      <c r="AY367" s="206"/>
      <c r="AZ367" s="206"/>
      <c r="BA367" s="206"/>
      <c r="BB367" s="206"/>
      <c r="BC367" s="206"/>
      <c r="BD367" s="206"/>
      <c r="BE367" s="206"/>
      <c r="BF367" s="206"/>
      <c r="BG367" s="330"/>
      <c r="BH367" s="330"/>
      <c r="BI367" s="330"/>
      <c r="BJ367" s="330"/>
      <c r="BK367" s="330"/>
      <c r="BL367" s="330"/>
      <c r="BM367" s="330"/>
      <c r="BN367" s="330"/>
      <c r="BO367" s="330"/>
      <c r="BP367" s="330"/>
      <c r="BQ367" s="330"/>
      <c r="BR367" s="330"/>
      <c r="BS367" s="330"/>
      <c r="BT367" s="330"/>
      <c r="BU367" s="330"/>
      <c r="BV367" s="330"/>
      <c r="BW367" s="330"/>
      <c r="BX367" s="330"/>
      <c r="BY367" s="330"/>
      <c r="BZ367" s="330"/>
    </row>
    <row r="368" spans="1:78" x14ac:dyDescent="0.25">
      <c r="A368" s="331"/>
      <c r="B368" s="328"/>
      <c r="C368" s="328"/>
      <c r="D368" s="329"/>
      <c r="E368" s="330"/>
      <c r="F368" s="330"/>
      <c r="G368" s="330"/>
      <c r="H368" s="330"/>
      <c r="I368" s="330"/>
      <c r="J368" s="330"/>
      <c r="K368" s="330"/>
      <c r="L368" s="329"/>
      <c r="M368" s="329"/>
      <c r="N368" s="330"/>
      <c r="O368" s="330"/>
      <c r="P368" s="330"/>
      <c r="Q368" s="330"/>
      <c r="R368" s="330"/>
      <c r="S368" s="330"/>
      <c r="T368" s="330"/>
      <c r="U368" s="330"/>
      <c r="V368" s="330"/>
      <c r="W368" s="330"/>
      <c r="X368" s="329"/>
      <c r="Y368" s="330"/>
      <c r="Z368" s="330"/>
      <c r="AA368" s="330"/>
      <c r="AB368" s="330"/>
      <c r="AC368" s="330"/>
      <c r="AD368" s="330"/>
      <c r="AE368" s="330"/>
      <c r="AF368" s="330"/>
      <c r="AG368" s="330"/>
      <c r="AH368" s="330"/>
      <c r="AI368" s="330"/>
      <c r="AJ368" s="330"/>
      <c r="AK368" s="330"/>
      <c r="AL368" s="329"/>
      <c r="AM368" s="329"/>
      <c r="AN368" s="330"/>
      <c r="AO368" s="330"/>
      <c r="AP368" s="330"/>
      <c r="AQ368" s="330"/>
      <c r="AR368" s="231"/>
      <c r="AS368" s="333"/>
      <c r="AT368" s="206"/>
      <c r="AU368" s="328"/>
      <c r="AV368" s="206"/>
      <c r="AW368" s="206"/>
      <c r="AX368" s="206"/>
      <c r="AY368" s="206"/>
      <c r="AZ368" s="206"/>
      <c r="BA368" s="206"/>
      <c r="BB368" s="206"/>
      <c r="BC368" s="206"/>
      <c r="BD368" s="206"/>
      <c r="BE368" s="206"/>
      <c r="BF368" s="206"/>
      <c r="BG368" s="330"/>
      <c r="BH368" s="330"/>
      <c r="BI368" s="330"/>
      <c r="BJ368" s="330"/>
      <c r="BK368" s="330"/>
      <c r="BL368" s="330"/>
      <c r="BM368" s="330"/>
      <c r="BN368" s="330"/>
      <c r="BO368" s="330"/>
      <c r="BP368" s="330"/>
      <c r="BQ368" s="330"/>
      <c r="BR368" s="330"/>
      <c r="BS368" s="330"/>
      <c r="BT368" s="330"/>
      <c r="BU368" s="330"/>
      <c r="BV368" s="330"/>
      <c r="BW368" s="330"/>
      <c r="BX368" s="330"/>
      <c r="BY368" s="330"/>
      <c r="BZ368" s="330"/>
    </row>
    <row r="369" spans="1:78" x14ac:dyDescent="0.25">
      <c r="A369" s="331"/>
      <c r="B369" s="328"/>
      <c r="C369" s="328"/>
      <c r="D369" s="329"/>
      <c r="E369" s="330"/>
      <c r="F369" s="330"/>
      <c r="G369" s="330"/>
      <c r="H369" s="330"/>
      <c r="I369" s="330"/>
      <c r="J369" s="330"/>
      <c r="K369" s="330"/>
      <c r="L369" s="329"/>
      <c r="M369" s="329"/>
      <c r="N369" s="330"/>
      <c r="O369" s="330"/>
      <c r="P369" s="330"/>
      <c r="Q369" s="330"/>
      <c r="R369" s="330"/>
      <c r="S369" s="330"/>
      <c r="T369" s="330"/>
      <c r="U369" s="330"/>
      <c r="V369" s="330"/>
      <c r="W369" s="330"/>
      <c r="X369" s="329"/>
      <c r="Y369" s="330"/>
      <c r="Z369" s="330"/>
      <c r="AA369" s="330"/>
      <c r="AB369" s="330"/>
      <c r="AC369" s="330"/>
      <c r="AD369" s="330"/>
      <c r="AE369" s="330"/>
      <c r="AF369" s="330"/>
      <c r="AG369" s="330"/>
      <c r="AH369" s="330"/>
      <c r="AI369" s="330"/>
      <c r="AJ369" s="330"/>
      <c r="AK369" s="330"/>
      <c r="AL369" s="329"/>
      <c r="AM369" s="329"/>
      <c r="AN369" s="330"/>
      <c r="AO369" s="330"/>
      <c r="AP369" s="330"/>
      <c r="AQ369" s="330"/>
      <c r="AR369" s="231"/>
      <c r="AS369" s="333"/>
      <c r="AT369" s="206"/>
      <c r="AU369" s="328"/>
      <c r="AV369" s="206"/>
      <c r="AW369" s="206"/>
      <c r="AX369" s="206"/>
      <c r="AY369" s="206"/>
      <c r="AZ369" s="206"/>
      <c r="BA369" s="206"/>
      <c r="BB369" s="206"/>
      <c r="BC369" s="206"/>
      <c r="BD369" s="206"/>
      <c r="BE369" s="206"/>
      <c r="BF369" s="206"/>
      <c r="BG369" s="330"/>
      <c r="BH369" s="330"/>
      <c r="BI369" s="330"/>
      <c r="BJ369" s="330"/>
      <c r="BK369" s="330"/>
      <c r="BL369" s="330"/>
      <c r="BM369" s="330"/>
      <c r="BN369" s="330"/>
      <c r="BO369" s="330"/>
      <c r="BP369" s="330"/>
      <c r="BQ369" s="330"/>
      <c r="BR369" s="330"/>
      <c r="BS369" s="330"/>
      <c r="BT369" s="330"/>
      <c r="BU369" s="330"/>
      <c r="BV369" s="330"/>
      <c r="BW369" s="330"/>
      <c r="BX369" s="330"/>
      <c r="BY369" s="330"/>
      <c r="BZ369" s="330"/>
    </row>
    <row r="370" spans="1:78" x14ac:dyDescent="0.25">
      <c r="A370" s="331"/>
      <c r="B370" s="328"/>
      <c r="C370" s="328"/>
      <c r="D370" s="329"/>
      <c r="E370" s="330"/>
      <c r="F370" s="330"/>
      <c r="G370" s="330"/>
      <c r="H370" s="330"/>
      <c r="I370" s="330"/>
      <c r="J370" s="330"/>
      <c r="K370" s="330"/>
      <c r="L370" s="329"/>
      <c r="M370" s="329"/>
      <c r="N370" s="330"/>
      <c r="O370" s="330"/>
      <c r="P370" s="330"/>
      <c r="Q370" s="330"/>
      <c r="R370" s="330"/>
      <c r="S370" s="330"/>
      <c r="T370" s="330"/>
      <c r="U370" s="330"/>
      <c r="V370" s="330"/>
      <c r="W370" s="330"/>
      <c r="X370" s="329"/>
      <c r="Y370" s="330"/>
      <c r="Z370" s="330"/>
      <c r="AA370" s="330"/>
      <c r="AB370" s="330"/>
      <c r="AC370" s="330"/>
      <c r="AD370" s="330"/>
      <c r="AE370" s="330"/>
      <c r="AF370" s="330"/>
      <c r="AG370" s="330"/>
      <c r="AH370" s="330"/>
      <c r="AI370" s="330"/>
      <c r="AJ370" s="330"/>
      <c r="AK370" s="330"/>
      <c r="AL370" s="329"/>
      <c r="AM370" s="329"/>
      <c r="AN370" s="330"/>
      <c r="AO370" s="330"/>
      <c r="AP370" s="330"/>
      <c r="AQ370" s="330"/>
      <c r="AR370" s="231"/>
      <c r="AS370" s="333"/>
      <c r="AT370" s="206"/>
      <c r="AU370" s="328"/>
      <c r="AV370" s="206"/>
      <c r="AW370" s="206"/>
      <c r="AX370" s="206"/>
      <c r="AY370" s="206"/>
      <c r="AZ370" s="206"/>
      <c r="BA370" s="206"/>
      <c r="BB370" s="206"/>
      <c r="BC370" s="206"/>
      <c r="BD370" s="206"/>
      <c r="BE370" s="206"/>
      <c r="BF370" s="206"/>
      <c r="BG370" s="330"/>
      <c r="BH370" s="330"/>
      <c r="BI370" s="330"/>
      <c r="BJ370" s="330"/>
      <c r="BK370" s="330"/>
      <c r="BL370" s="330"/>
      <c r="BM370" s="330"/>
      <c r="BN370" s="330"/>
      <c r="BO370" s="330"/>
      <c r="BP370" s="330"/>
      <c r="BQ370" s="330"/>
      <c r="BR370" s="330"/>
      <c r="BS370" s="330"/>
      <c r="BT370" s="330"/>
      <c r="BU370" s="330"/>
      <c r="BV370" s="330"/>
      <c r="BW370" s="330"/>
      <c r="BX370" s="330"/>
      <c r="BY370" s="330"/>
      <c r="BZ370" s="330"/>
    </row>
    <row r="371" spans="1:78" x14ac:dyDescent="0.25">
      <c r="A371" s="331"/>
      <c r="B371" s="328"/>
      <c r="C371" s="328"/>
      <c r="D371" s="329"/>
      <c r="E371" s="330"/>
      <c r="F371" s="330"/>
      <c r="G371" s="330"/>
      <c r="H371" s="330"/>
      <c r="I371" s="330"/>
      <c r="J371" s="330"/>
      <c r="K371" s="330"/>
      <c r="L371" s="329"/>
      <c r="M371" s="329"/>
      <c r="N371" s="330"/>
      <c r="O371" s="330"/>
      <c r="P371" s="330"/>
      <c r="Q371" s="330"/>
      <c r="R371" s="330"/>
      <c r="S371" s="330"/>
      <c r="T371" s="330"/>
      <c r="U371" s="330"/>
      <c r="V371" s="330"/>
      <c r="W371" s="330"/>
      <c r="X371" s="329"/>
      <c r="Y371" s="330"/>
      <c r="Z371" s="330"/>
      <c r="AA371" s="330"/>
      <c r="AB371" s="330"/>
      <c r="AC371" s="330"/>
      <c r="AD371" s="330"/>
      <c r="AE371" s="330"/>
      <c r="AF371" s="330"/>
      <c r="AG371" s="330"/>
      <c r="AH371" s="330"/>
      <c r="AI371" s="330"/>
      <c r="AJ371" s="330"/>
      <c r="AK371" s="330"/>
      <c r="AL371" s="329"/>
      <c r="AM371" s="329"/>
      <c r="AN371" s="330"/>
      <c r="AO371" s="330"/>
      <c r="AP371" s="330"/>
      <c r="AQ371" s="330"/>
      <c r="AR371" s="231"/>
      <c r="AS371" s="333"/>
      <c r="AT371" s="206"/>
      <c r="AU371" s="328"/>
      <c r="AV371" s="206"/>
      <c r="AW371" s="206"/>
      <c r="AX371" s="206"/>
      <c r="AY371" s="206"/>
      <c r="AZ371" s="206"/>
      <c r="BA371" s="206"/>
      <c r="BB371" s="206"/>
      <c r="BC371" s="206"/>
      <c r="BD371" s="206"/>
      <c r="BE371" s="206"/>
      <c r="BF371" s="206"/>
      <c r="BG371" s="330"/>
      <c r="BH371" s="330"/>
      <c r="BI371" s="330"/>
      <c r="BJ371" s="330"/>
      <c r="BK371" s="330"/>
      <c r="BL371" s="330"/>
      <c r="BM371" s="330"/>
      <c r="BN371" s="330"/>
      <c r="BO371" s="330"/>
      <c r="BP371" s="330"/>
      <c r="BQ371" s="330"/>
      <c r="BR371" s="330"/>
      <c r="BS371" s="330"/>
      <c r="BT371" s="330"/>
      <c r="BU371" s="330"/>
      <c r="BV371" s="330"/>
      <c r="BW371" s="330"/>
      <c r="BX371" s="330"/>
      <c r="BY371" s="330"/>
      <c r="BZ371" s="330"/>
    </row>
    <row r="372" spans="1:78" x14ac:dyDescent="0.25">
      <c r="A372" s="331"/>
      <c r="B372" s="328"/>
      <c r="C372" s="328"/>
      <c r="D372" s="329"/>
      <c r="E372" s="330"/>
      <c r="F372" s="330"/>
      <c r="G372" s="330"/>
      <c r="H372" s="330"/>
      <c r="I372" s="330"/>
      <c r="J372" s="330"/>
      <c r="K372" s="330"/>
      <c r="L372" s="329"/>
      <c r="M372" s="329"/>
      <c r="N372" s="330"/>
      <c r="O372" s="330"/>
      <c r="P372" s="330"/>
      <c r="Q372" s="330"/>
      <c r="R372" s="330"/>
      <c r="S372" s="330"/>
      <c r="T372" s="330"/>
      <c r="U372" s="330"/>
      <c r="V372" s="330"/>
      <c r="W372" s="330"/>
      <c r="X372" s="329"/>
      <c r="Y372" s="330"/>
      <c r="Z372" s="330"/>
      <c r="AA372" s="330"/>
      <c r="AB372" s="330"/>
      <c r="AC372" s="330"/>
      <c r="AD372" s="330"/>
      <c r="AE372" s="330"/>
      <c r="AF372" s="330"/>
      <c r="AG372" s="330"/>
      <c r="AH372" s="330"/>
      <c r="AI372" s="330"/>
      <c r="AJ372" s="330"/>
      <c r="AK372" s="330"/>
      <c r="AL372" s="329"/>
      <c r="AM372" s="329"/>
      <c r="AN372" s="330"/>
      <c r="AO372" s="330"/>
      <c r="AP372" s="330"/>
      <c r="AQ372" s="330"/>
      <c r="AR372" s="231"/>
      <c r="AS372" s="333"/>
      <c r="AT372" s="206"/>
      <c r="AU372" s="328"/>
      <c r="AV372" s="206"/>
      <c r="AW372" s="206"/>
      <c r="AX372" s="206"/>
      <c r="AY372" s="206"/>
      <c r="AZ372" s="206"/>
      <c r="BA372" s="206"/>
      <c r="BB372" s="206"/>
      <c r="BC372" s="206"/>
      <c r="BD372" s="206"/>
      <c r="BE372" s="206"/>
      <c r="BF372" s="206"/>
      <c r="BG372" s="330"/>
      <c r="BH372" s="330"/>
      <c r="BI372" s="330"/>
      <c r="BJ372" s="330"/>
      <c r="BK372" s="330"/>
      <c r="BL372" s="330"/>
      <c r="BM372" s="330"/>
      <c r="BN372" s="330"/>
      <c r="BO372" s="330"/>
      <c r="BP372" s="330"/>
      <c r="BQ372" s="330"/>
      <c r="BR372" s="330"/>
      <c r="BS372" s="330"/>
      <c r="BT372" s="330"/>
      <c r="BU372" s="330"/>
      <c r="BV372" s="330"/>
      <c r="BW372" s="330"/>
      <c r="BX372" s="330"/>
      <c r="BY372" s="330"/>
      <c r="BZ372" s="330"/>
    </row>
    <row r="373" spans="1:78" x14ac:dyDescent="0.25">
      <c r="A373" s="331"/>
      <c r="B373" s="328"/>
      <c r="C373" s="328"/>
      <c r="D373" s="329"/>
      <c r="E373" s="330"/>
      <c r="F373" s="330"/>
      <c r="G373" s="330"/>
      <c r="H373" s="330"/>
      <c r="I373" s="330"/>
      <c r="J373" s="330"/>
      <c r="K373" s="330"/>
      <c r="L373" s="329"/>
      <c r="M373" s="329"/>
      <c r="N373" s="330"/>
      <c r="O373" s="330"/>
      <c r="P373" s="330"/>
      <c r="Q373" s="330"/>
      <c r="R373" s="330"/>
      <c r="S373" s="330"/>
      <c r="T373" s="330"/>
      <c r="U373" s="330"/>
      <c r="V373" s="330"/>
      <c r="W373" s="330"/>
      <c r="X373" s="329"/>
      <c r="Y373" s="330"/>
      <c r="Z373" s="330"/>
      <c r="AA373" s="330"/>
      <c r="AB373" s="330"/>
      <c r="AC373" s="330"/>
      <c r="AD373" s="330"/>
      <c r="AE373" s="330"/>
      <c r="AF373" s="330"/>
      <c r="AG373" s="330"/>
      <c r="AH373" s="330"/>
      <c r="AI373" s="330"/>
      <c r="AJ373" s="330"/>
      <c r="AK373" s="330"/>
      <c r="AL373" s="329"/>
      <c r="AM373" s="329"/>
      <c r="AN373" s="330"/>
      <c r="AO373" s="330"/>
      <c r="AP373" s="330"/>
      <c r="AQ373" s="330"/>
      <c r="AR373" s="231"/>
      <c r="AS373" s="333"/>
      <c r="AT373" s="206"/>
      <c r="AU373" s="328"/>
      <c r="AV373" s="206"/>
      <c r="AW373" s="206"/>
      <c r="AX373" s="206"/>
      <c r="AY373" s="206"/>
      <c r="AZ373" s="206"/>
      <c r="BA373" s="206"/>
      <c r="BB373" s="206"/>
      <c r="BC373" s="206"/>
      <c r="BD373" s="206"/>
      <c r="BE373" s="206"/>
      <c r="BF373" s="206"/>
      <c r="BG373" s="330"/>
      <c r="BH373" s="330"/>
      <c r="BI373" s="330"/>
      <c r="BJ373" s="330"/>
      <c r="BK373" s="330"/>
      <c r="BL373" s="330"/>
      <c r="BM373" s="330"/>
      <c r="BN373" s="330"/>
      <c r="BO373" s="330"/>
      <c r="BP373" s="330"/>
      <c r="BQ373" s="330"/>
      <c r="BR373" s="330"/>
      <c r="BS373" s="330"/>
      <c r="BT373" s="330"/>
      <c r="BU373" s="330"/>
      <c r="BV373" s="330"/>
      <c r="BW373" s="330"/>
      <c r="BX373" s="330"/>
      <c r="BY373" s="330"/>
      <c r="BZ373" s="330"/>
    </row>
    <row r="374" spans="1:78" x14ac:dyDescent="0.25">
      <c r="A374" s="331"/>
      <c r="B374" s="328"/>
      <c r="C374" s="328"/>
      <c r="D374" s="329"/>
      <c r="E374" s="330"/>
      <c r="F374" s="330"/>
      <c r="G374" s="330"/>
      <c r="H374" s="330"/>
      <c r="I374" s="330"/>
      <c r="J374" s="330"/>
      <c r="K374" s="330"/>
      <c r="L374" s="329"/>
      <c r="M374" s="329"/>
      <c r="N374" s="330"/>
      <c r="O374" s="330"/>
      <c r="P374" s="330"/>
      <c r="Q374" s="330"/>
      <c r="R374" s="330"/>
      <c r="S374" s="330"/>
      <c r="T374" s="330"/>
      <c r="U374" s="330"/>
      <c r="V374" s="330"/>
      <c r="W374" s="330"/>
      <c r="X374" s="329"/>
      <c r="Y374" s="330"/>
      <c r="Z374" s="330"/>
      <c r="AA374" s="330"/>
      <c r="AB374" s="330"/>
      <c r="AC374" s="330"/>
      <c r="AD374" s="330"/>
      <c r="AE374" s="330"/>
      <c r="AF374" s="330"/>
      <c r="AG374" s="330"/>
      <c r="AH374" s="330"/>
      <c r="AI374" s="330"/>
      <c r="AJ374" s="330"/>
      <c r="AK374" s="330"/>
      <c r="AL374" s="329"/>
      <c r="AM374" s="329"/>
      <c r="AN374" s="330"/>
      <c r="AO374" s="330"/>
      <c r="AP374" s="330"/>
      <c r="AQ374" s="330"/>
      <c r="AR374" s="231"/>
      <c r="AS374" s="333"/>
      <c r="AT374" s="206"/>
      <c r="AU374" s="328"/>
      <c r="AV374" s="206"/>
      <c r="AW374" s="206"/>
      <c r="AX374" s="206"/>
      <c r="AY374" s="206"/>
      <c r="AZ374" s="206"/>
      <c r="BA374" s="206"/>
      <c r="BB374" s="206"/>
      <c r="BC374" s="206"/>
      <c r="BD374" s="206"/>
      <c r="BE374" s="206"/>
      <c r="BF374" s="206"/>
      <c r="BG374" s="330"/>
      <c r="BH374" s="330"/>
      <c r="BI374" s="330"/>
      <c r="BJ374" s="330"/>
      <c r="BK374" s="330"/>
      <c r="BL374" s="330"/>
      <c r="BM374" s="330"/>
      <c r="BN374" s="330"/>
      <c r="BO374" s="330"/>
      <c r="BP374" s="330"/>
      <c r="BQ374" s="330"/>
      <c r="BR374" s="330"/>
      <c r="BS374" s="330"/>
      <c r="BT374" s="330"/>
      <c r="BU374" s="330"/>
      <c r="BV374" s="330"/>
      <c r="BW374" s="330"/>
      <c r="BX374" s="330"/>
      <c r="BY374" s="330"/>
      <c r="BZ374" s="330"/>
    </row>
    <row r="375" spans="1:78" x14ac:dyDescent="0.25">
      <c r="A375" s="331"/>
      <c r="B375" s="328"/>
      <c r="C375" s="328"/>
      <c r="D375" s="329"/>
      <c r="E375" s="330"/>
      <c r="F375" s="330"/>
      <c r="G375" s="330"/>
      <c r="H375" s="330"/>
      <c r="I375" s="330"/>
      <c r="J375" s="330"/>
      <c r="K375" s="330"/>
      <c r="L375" s="329"/>
      <c r="M375" s="329"/>
      <c r="N375" s="330"/>
      <c r="O375" s="330"/>
      <c r="P375" s="330"/>
      <c r="Q375" s="330"/>
      <c r="R375" s="330"/>
      <c r="S375" s="330"/>
      <c r="T375" s="330"/>
      <c r="U375" s="330"/>
      <c r="V375" s="330"/>
      <c r="W375" s="330"/>
      <c r="X375" s="329"/>
      <c r="Y375" s="330"/>
      <c r="Z375" s="330"/>
      <c r="AA375" s="330"/>
      <c r="AB375" s="330"/>
      <c r="AC375" s="330"/>
      <c r="AD375" s="330"/>
      <c r="AE375" s="330"/>
      <c r="AF375" s="330"/>
      <c r="AG375" s="330"/>
      <c r="AH375" s="330"/>
      <c r="AI375" s="330"/>
      <c r="AJ375" s="330"/>
      <c r="AK375" s="330"/>
      <c r="AL375" s="329"/>
      <c r="AM375" s="329"/>
      <c r="AN375" s="330"/>
      <c r="AO375" s="330"/>
      <c r="AP375" s="330"/>
      <c r="AQ375" s="330"/>
      <c r="AR375" s="231"/>
      <c r="AS375" s="333"/>
      <c r="AT375" s="206"/>
      <c r="AU375" s="328"/>
      <c r="AV375" s="206"/>
      <c r="AW375" s="206"/>
      <c r="AX375" s="206"/>
      <c r="AY375" s="206"/>
      <c r="AZ375" s="206"/>
      <c r="BA375" s="206"/>
      <c r="BB375" s="206"/>
      <c r="BC375" s="206"/>
      <c r="BD375" s="206"/>
      <c r="BE375" s="206"/>
      <c r="BF375" s="206"/>
      <c r="BG375" s="330"/>
      <c r="BH375" s="330"/>
      <c r="BI375" s="330"/>
      <c r="BJ375" s="330"/>
      <c r="BK375" s="330"/>
      <c r="BL375" s="330"/>
      <c r="BM375" s="330"/>
      <c r="BN375" s="330"/>
      <c r="BO375" s="330"/>
      <c r="BP375" s="330"/>
      <c r="BQ375" s="330"/>
      <c r="BR375" s="330"/>
      <c r="BS375" s="330"/>
      <c r="BT375" s="330"/>
      <c r="BU375" s="330"/>
      <c r="BV375" s="330"/>
      <c r="BW375" s="330"/>
      <c r="BX375" s="330"/>
      <c r="BY375" s="330"/>
      <c r="BZ375" s="330"/>
    </row>
    <row r="376" spans="1:78" x14ac:dyDescent="0.25">
      <c r="A376" s="331"/>
      <c r="B376" s="328"/>
      <c r="C376" s="328"/>
      <c r="D376" s="329"/>
      <c r="E376" s="330"/>
      <c r="F376" s="330"/>
      <c r="G376" s="330"/>
      <c r="H376" s="330"/>
      <c r="I376" s="330"/>
      <c r="J376" s="330"/>
      <c r="K376" s="330"/>
      <c r="L376" s="329"/>
      <c r="M376" s="329"/>
      <c r="N376" s="330"/>
      <c r="O376" s="330"/>
      <c r="P376" s="330"/>
      <c r="Q376" s="330"/>
      <c r="R376" s="330"/>
      <c r="S376" s="330"/>
      <c r="T376" s="330"/>
      <c r="U376" s="330"/>
      <c r="V376" s="330"/>
      <c r="W376" s="330"/>
      <c r="X376" s="329"/>
      <c r="Y376" s="330"/>
      <c r="Z376" s="330"/>
      <c r="AA376" s="330"/>
      <c r="AB376" s="330"/>
      <c r="AC376" s="330"/>
      <c r="AD376" s="330"/>
      <c r="AE376" s="330"/>
      <c r="AF376" s="330"/>
      <c r="AG376" s="330"/>
      <c r="AH376" s="330"/>
      <c r="AI376" s="330"/>
      <c r="AJ376" s="330"/>
      <c r="AK376" s="330"/>
      <c r="AL376" s="329"/>
      <c r="AM376" s="329"/>
      <c r="AN376" s="330"/>
      <c r="AO376" s="330"/>
      <c r="AP376" s="330"/>
      <c r="AQ376" s="330"/>
      <c r="AR376" s="231"/>
      <c r="AS376" s="333"/>
      <c r="AT376" s="206"/>
      <c r="AU376" s="328"/>
      <c r="AV376" s="206"/>
      <c r="AW376" s="206"/>
      <c r="AX376" s="206"/>
      <c r="AY376" s="206"/>
      <c r="AZ376" s="206"/>
      <c r="BA376" s="206"/>
      <c r="BB376" s="206"/>
      <c r="BC376" s="206"/>
      <c r="BD376" s="206"/>
      <c r="BE376" s="206"/>
      <c r="BF376" s="206"/>
      <c r="BG376" s="330"/>
      <c r="BH376" s="330"/>
      <c r="BI376" s="330"/>
      <c r="BJ376" s="330"/>
      <c r="BK376" s="330"/>
      <c r="BL376" s="330"/>
      <c r="BM376" s="330"/>
      <c r="BN376" s="330"/>
      <c r="BO376" s="330"/>
      <c r="BP376" s="330"/>
      <c r="BQ376" s="330"/>
      <c r="BR376" s="330"/>
      <c r="BS376" s="330"/>
      <c r="BT376" s="330"/>
      <c r="BU376" s="330"/>
      <c r="BV376" s="330"/>
      <c r="BW376" s="330"/>
      <c r="BX376" s="330"/>
      <c r="BY376" s="330"/>
      <c r="BZ376" s="330"/>
    </row>
    <row r="377" spans="1:78" x14ac:dyDescent="0.25">
      <c r="A377" s="331"/>
      <c r="B377" s="328"/>
      <c r="C377" s="328"/>
      <c r="D377" s="329"/>
      <c r="E377" s="330"/>
      <c r="F377" s="330"/>
      <c r="G377" s="330"/>
      <c r="H377" s="330"/>
      <c r="I377" s="330"/>
      <c r="J377" s="330"/>
      <c r="K377" s="330"/>
      <c r="L377" s="329"/>
      <c r="M377" s="329"/>
      <c r="N377" s="330"/>
      <c r="O377" s="330"/>
      <c r="P377" s="330"/>
      <c r="Q377" s="330"/>
      <c r="R377" s="330"/>
      <c r="S377" s="330"/>
      <c r="T377" s="330"/>
      <c r="U377" s="330"/>
      <c r="V377" s="330"/>
      <c r="W377" s="330"/>
      <c r="X377" s="329"/>
      <c r="Y377" s="330"/>
      <c r="Z377" s="330"/>
      <c r="AA377" s="330"/>
      <c r="AB377" s="330"/>
      <c r="AC377" s="330"/>
      <c r="AD377" s="330"/>
      <c r="AE377" s="330"/>
      <c r="AF377" s="330"/>
      <c r="AG377" s="330"/>
      <c r="AH377" s="330"/>
      <c r="AI377" s="330"/>
      <c r="AJ377" s="330"/>
      <c r="AK377" s="330"/>
      <c r="AL377" s="329"/>
      <c r="AM377" s="329"/>
      <c r="AN377" s="330"/>
      <c r="AO377" s="330"/>
      <c r="AP377" s="330"/>
      <c r="AQ377" s="330"/>
      <c r="AR377" s="231"/>
      <c r="AS377" s="333"/>
      <c r="AT377" s="206"/>
      <c r="AU377" s="328"/>
      <c r="AV377" s="206"/>
      <c r="AW377" s="206"/>
      <c r="AX377" s="206"/>
      <c r="AY377" s="206"/>
      <c r="AZ377" s="206"/>
      <c r="BA377" s="206"/>
      <c r="BB377" s="206"/>
      <c r="BC377" s="206"/>
      <c r="BD377" s="206"/>
      <c r="BE377" s="206"/>
      <c r="BF377" s="206"/>
      <c r="BG377" s="330"/>
      <c r="BH377" s="330"/>
      <c r="BI377" s="330"/>
      <c r="BJ377" s="330"/>
      <c r="BK377" s="330"/>
      <c r="BL377" s="330"/>
      <c r="BM377" s="330"/>
      <c r="BN377" s="330"/>
      <c r="BO377" s="330"/>
      <c r="BP377" s="330"/>
      <c r="BQ377" s="330"/>
      <c r="BR377" s="330"/>
      <c r="BS377" s="330"/>
      <c r="BT377" s="330"/>
      <c r="BU377" s="330"/>
      <c r="BV377" s="330"/>
      <c r="BW377" s="330"/>
      <c r="BX377" s="330"/>
      <c r="BY377" s="330"/>
      <c r="BZ377" s="330"/>
    </row>
    <row r="378" spans="1:78" x14ac:dyDescent="0.25">
      <c r="A378" s="331"/>
      <c r="B378" s="328"/>
      <c r="C378" s="328"/>
      <c r="D378" s="329"/>
      <c r="E378" s="330"/>
      <c r="F378" s="330"/>
      <c r="G378" s="330"/>
      <c r="H378" s="330"/>
      <c r="I378" s="330"/>
      <c r="J378" s="330"/>
      <c r="K378" s="330"/>
      <c r="L378" s="329"/>
      <c r="M378" s="329"/>
      <c r="N378" s="330"/>
      <c r="O378" s="330"/>
      <c r="P378" s="330"/>
      <c r="Q378" s="330"/>
      <c r="R378" s="330"/>
      <c r="S378" s="330"/>
      <c r="T378" s="330"/>
      <c r="U378" s="330"/>
      <c r="V378" s="330"/>
      <c r="W378" s="330"/>
      <c r="X378" s="329"/>
      <c r="Y378" s="330"/>
      <c r="Z378" s="330"/>
      <c r="AA378" s="330"/>
      <c r="AB378" s="330"/>
      <c r="AC378" s="330"/>
      <c r="AD378" s="330"/>
      <c r="AE378" s="330"/>
      <c r="AF378" s="330"/>
      <c r="AG378" s="330"/>
      <c r="AH378" s="330"/>
      <c r="AI378" s="330"/>
      <c r="AJ378" s="330"/>
      <c r="AK378" s="330"/>
      <c r="AL378" s="329"/>
      <c r="AM378" s="329"/>
      <c r="AN378" s="330"/>
      <c r="AO378" s="330"/>
      <c r="AP378" s="330"/>
      <c r="AQ378" s="330"/>
      <c r="AR378" s="231"/>
      <c r="AS378" s="333"/>
      <c r="AT378" s="206"/>
      <c r="AU378" s="328"/>
      <c r="AV378" s="206"/>
      <c r="AW378" s="206"/>
      <c r="AX378" s="206"/>
      <c r="AY378" s="206"/>
      <c r="AZ378" s="206"/>
      <c r="BA378" s="206"/>
      <c r="BB378" s="206"/>
      <c r="BC378" s="206"/>
      <c r="BD378" s="206"/>
      <c r="BE378" s="206"/>
      <c r="BF378" s="206"/>
      <c r="BG378" s="330"/>
      <c r="BH378" s="330"/>
      <c r="BI378" s="330"/>
      <c r="BJ378" s="330"/>
      <c r="BK378" s="330"/>
      <c r="BL378" s="330"/>
      <c r="BM378" s="330"/>
      <c r="BN378" s="330"/>
      <c r="BO378" s="330"/>
      <c r="BP378" s="330"/>
      <c r="BQ378" s="330"/>
      <c r="BR378" s="330"/>
      <c r="BS378" s="330"/>
      <c r="BT378" s="330"/>
      <c r="BU378" s="330"/>
      <c r="BV378" s="330"/>
      <c r="BW378" s="330"/>
      <c r="BX378" s="330"/>
      <c r="BY378" s="330"/>
      <c r="BZ378" s="330"/>
    </row>
    <row r="379" spans="1:78" x14ac:dyDescent="0.25">
      <c r="A379" s="331"/>
      <c r="B379" s="328"/>
      <c r="C379" s="328"/>
      <c r="D379" s="329"/>
      <c r="E379" s="330"/>
      <c r="F379" s="330"/>
      <c r="G379" s="330"/>
      <c r="H379" s="330"/>
      <c r="I379" s="330"/>
      <c r="J379" s="330"/>
      <c r="K379" s="330"/>
      <c r="L379" s="329"/>
      <c r="M379" s="329"/>
      <c r="N379" s="330"/>
      <c r="O379" s="330"/>
      <c r="P379" s="330"/>
      <c r="Q379" s="330"/>
      <c r="R379" s="330"/>
      <c r="S379" s="330"/>
      <c r="T379" s="330"/>
      <c r="U379" s="330"/>
      <c r="V379" s="330"/>
      <c r="W379" s="330"/>
      <c r="X379" s="329"/>
      <c r="Y379" s="330"/>
      <c r="Z379" s="330"/>
      <c r="AA379" s="330"/>
      <c r="AB379" s="330"/>
      <c r="AC379" s="330"/>
      <c r="AD379" s="330"/>
      <c r="AE379" s="330"/>
      <c r="AF379" s="330"/>
      <c r="AG379" s="330"/>
      <c r="AH379" s="330"/>
      <c r="AI379" s="330"/>
      <c r="AJ379" s="330"/>
      <c r="AK379" s="330"/>
      <c r="AL379" s="329"/>
      <c r="AM379" s="329"/>
      <c r="AN379" s="330"/>
      <c r="AO379" s="330"/>
      <c r="AP379" s="330"/>
      <c r="AQ379" s="330"/>
      <c r="AR379" s="231"/>
      <c r="AS379" s="333"/>
      <c r="AT379" s="206"/>
      <c r="AU379" s="328"/>
      <c r="AV379" s="206"/>
      <c r="AW379" s="206"/>
      <c r="AX379" s="206"/>
      <c r="AY379" s="206"/>
      <c r="AZ379" s="206"/>
      <c r="BA379" s="206"/>
      <c r="BB379" s="206"/>
      <c r="BC379" s="206"/>
      <c r="BD379" s="206"/>
      <c r="BE379" s="206"/>
      <c r="BF379" s="206"/>
      <c r="BG379" s="330"/>
      <c r="BH379" s="330"/>
      <c r="BI379" s="330"/>
      <c r="BJ379" s="330"/>
      <c r="BK379" s="330"/>
      <c r="BL379" s="330"/>
      <c r="BM379" s="330"/>
      <c r="BN379" s="330"/>
      <c r="BO379" s="330"/>
      <c r="BP379" s="330"/>
      <c r="BQ379" s="330"/>
      <c r="BR379" s="330"/>
      <c r="BS379" s="330"/>
      <c r="BT379" s="330"/>
      <c r="BU379" s="330"/>
      <c r="BV379" s="330"/>
      <c r="BW379" s="330"/>
      <c r="BX379" s="330"/>
      <c r="BY379" s="330"/>
      <c r="BZ379" s="330"/>
    </row>
    <row r="380" spans="1:78" x14ac:dyDescent="0.25">
      <c r="A380" s="331"/>
      <c r="B380" s="328"/>
      <c r="C380" s="328"/>
      <c r="D380" s="329"/>
      <c r="E380" s="330"/>
      <c r="F380" s="330"/>
      <c r="G380" s="330"/>
      <c r="H380" s="330"/>
      <c r="I380" s="330"/>
      <c r="J380" s="330"/>
      <c r="K380" s="330"/>
      <c r="L380" s="329"/>
      <c r="M380" s="329"/>
      <c r="N380" s="330"/>
      <c r="O380" s="330"/>
      <c r="P380" s="330"/>
      <c r="Q380" s="330"/>
      <c r="R380" s="330"/>
      <c r="S380" s="330"/>
      <c r="T380" s="330"/>
      <c r="U380" s="330"/>
      <c r="V380" s="330"/>
      <c r="W380" s="330"/>
      <c r="X380" s="329"/>
      <c r="Y380" s="330"/>
      <c r="Z380" s="330"/>
      <c r="AA380" s="330"/>
      <c r="AB380" s="330"/>
      <c r="AC380" s="330"/>
      <c r="AD380" s="330"/>
      <c r="AE380" s="330"/>
      <c r="AF380" s="330"/>
      <c r="AG380" s="330"/>
      <c r="AH380" s="330"/>
      <c r="AI380" s="330"/>
      <c r="AJ380" s="330"/>
      <c r="AK380" s="330"/>
      <c r="AL380" s="329"/>
      <c r="AM380" s="329"/>
      <c r="AN380" s="330"/>
      <c r="AO380" s="330"/>
      <c r="AP380" s="330"/>
      <c r="AQ380" s="330"/>
      <c r="AR380" s="231"/>
      <c r="AS380" s="333"/>
      <c r="AT380" s="206"/>
      <c r="AU380" s="328"/>
      <c r="AV380" s="206"/>
      <c r="AW380" s="206"/>
      <c r="AX380" s="206"/>
      <c r="AY380" s="206"/>
      <c r="AZ380" s="206"/>
      <c r="BA380" s="206"/>
      <c r="BB380" s="206"/>
      <c r="BC380" s="206"/>
      <c r="BD380" s="206"/>
      <c r="BE380" s="206"/>
      <c r="BF380" s="206"/>
      <c r="BG380" s="330"/>
      <c r="BH380" s="330"/>
      <c r="BI380" s="330"/>
      <c r="BJ380" s="330"/>
      <c r="BK380" s="330"/>
      <c r="BL380" s="330"/>
      <c r="BM380" s="330"/>
      <c r="BN380" s="330"/>
      <c r="BO380" s="330"/>
      <c r="BP380" s="330"/>
      <c r="BQ380" s="330"/>
      <c r="BR380" s="330"/>
      <c r="BS380" s="330"/>
      <c r="BT380" s="330"/>
      <c r="BU380" s="330"/>
      <c r="BV380" s="330"/>
      <c r="BW380" s="330"/>
      <c r="BX380" s="330"/>
      <c r="BY380" s="330"/>
      <c r="BZ380" s="330"/>
    </row>
    <row r="381" spans="1:78" x14ac:dyDescent="0.25">
      <c r="A381" s="331"/>
      <c r="B381" s="328"/>
      <c r="C381" s="328"/>
      <c r="D381" s="329"/>
      <c r="E381" s="330"/>
      <c r="F381" s="330"/>
      <c r="G381" s="330"/>
      <c r="H381" s="330"/>
      <c r="I381" s="330"/>
      <c r="J381" s="330"/>
      <c r="K381" s="330"/>
      <c r="L381" s="329"/>
      <c r="M381" s="329"/>
      <c r="N381" s="330"/>
      <c r="O381" s="330"/>
      <c r="P381" s="330"/>
      <c r="Q381" s="330"/>
      <c r="R381" s="330"/>
      <c r="S381" s="330"/>
      <c r="T381" s="330"/>
      <c r="U381" s="330"/>
      <c r="V381" s="330"/>
      <c r="W381" s="330"/>
      <c r="X381" s="329"/>
      <c r="Y381" s="330"/>
      <c r="Z381" s="330"/>
      <c r="AA381" s="330"/>
      <c r="AB381" s="330"/>
      <c r="AC381" s="330"/>
      <c r="AD381" s="330"/>
      <c r="AE381" s="330"/>
      <c r="AF381" s="330"/>
      <c r="AG381" s="330"/>
      <c r="AH381" s="330"/>
      <c r="AI381" s="330"/>
      <c r="AJ381" s="330"/>
      <c r="AK381" s="330"/>
      <c r="AL381" s="329"/>
      <c r="AM381" s="329"/>
      <c r="AN381" s="330"/>
      <c r="AO381" s="330"/>
      <c r="AP381" s="330"/>
      <c r="AQ381" s="330"/>
      <c r="AR381" s="231"/>
      <c r="AS381" s="333"/>
      <c r="AT381" s="206"/>
      <c r="AU381" s="328"/>
      <c r="AV381" s="206"/>
      <c r="AW381" s="206"/>
      <c r="AX381" s="206"/>
      <c r="AY381" s="206"/>
      <c r="AZ381" s="206"/>
      <c r="BA381" s="206"/>
      <c r="BB381" s="206"/>
      <c r="BC381" s="206"/>
      <c r="BD381" s="206"/>
      <c r="BE381" s="206"/>
      <c r="BF381" s="206"/>
      <c r="BG381" s="330"/>
      <c r="BH381" s="330"/>
      <c r="BI381" s="330"/>
      <c r="BJ381" s="330"/>
      <c r="BK381" s="330"/>
      <c r="BL381" s="330"/>
      <c r="BM381" s="330"/>
      <c r="BN381" s="330"/>
      <c r="BO381" s="330"/>
      <c r="BP381" s="330"/>
      <c r="BQ381" s="330"/>
      <c r="BR381" s="330"/>
      <c r="BS381" s="330"/>
      <c r="BT381" s="330"/>
      <c r="BU381" s="330"/>
      <c r="BV381" s="330"/>
      <c r="BW381" s="330"/>
      <c r="BX381" s="330"/>
      <c r="BY381" s="330"/>
      <c r="BZ381" s="330"/>
    </row>
    <row r="382" spans="1:78" x14ac:dyDescent="0.25">
      <c r="A382" s="331"/>
      <c r="B382" s="328"/>
      <c r="C382" s="328"/>
      <c r="D382" s="329"/>
      <c r="E382" s="330"/>
      <c r="F382" s="330"/>
      <c r="G382" s="330"/>
      <c r="H382" s="330"/>
      <c r="I382" s="330"/>
      <c r="J382" s="330"/>
      <c r="K382" s="330"/>
      <c r="L382" s="329"/>
      <c r="M382" s="329"/>
      <c r="N382" s="330"/>
      <c r="O382" s="330"/>
      <c r="P382" s="330"/>
      <c r="Q382" s="330"/>
      <c r="R382" s="330"/>
      <c r="S382" s="330"/>
      <c r="T382" s="330"/>
      <c r="U382" s="330"/>
      <c r="V382" s="330"/>
      <c r="W382" s="330"/>
      <c r="X382" s="329"/>
      <c r="Y382" s="330"/>
      <c r="Z382" s="330"/>
      <c r="AA382" s="330"/>
      <c r="AB382" s="330"/>
      <c r="AC382" s="330"/>
      <c r="AD382" s="330"/>
      <c r="AE382" s="330"/>
      <c r="AF382" s="330"/>
      <c r="AG382" s="330"/>
      <c r="AH382" s="330"/>
      <c r="AI382" s="330"/>
      <c r="AJ382" s="330"/>
      <c r="AK382" s="330"/>
      <c r="AL382" s="329"/>
      <c r="AM382" s="329"/>
      <c r="AN382" s="330"/>
      <c r="AO382" s="330"/>
      <c r="AP382" s="330"/>
      <c r="AQ382" s="330"/>
      <c r="AR382" s="231"/>
      <c r="AS382" s="333"/>
      <c r="AT382" s="206"/>
      <c r="AU382" s="328"/>
      <c r="AV382" s="206"/>
      <c r="AW382" s="206"/>
      <c r="AX382" s="206"/>
      <c r="AY382" s="206"/>
      <c r="AZ382" s="206"/>
      <c r="BA382" s="206"/>
      <c r="BB382" s="206"/>
      <c r="BC382" s="206"/>
      <c r="BD382" s="206"/>
      <c r="BE382" s="206"/>
      <c r="BF382" s="206"/>
      <c r="BG382" s="330"/>
      <c r="BH382" s="330"/>
      <c r="BI382" s="330"/>
      <c r="BJ382" s="330"/>
      <c r="BK382" s="330"/>
      <c r="BL382" s="330"/>
      <c r="BM382" s="330"/>
      <c r="BN382" s="330"/>
      <c r="BO382" s="330"/>
      <c r="BP382" s="330"/>
      <c r="BQ382" s="330"/>
      <c r="BR382" s="330"/>
      <c r="BS382" s="330"/>
      <c r="BT382" s="330"/>
      <c r="BU382" s="330"/>
      <c r="BV382" s="330"/>
      <c r="BW382" s="330"/>
      <c r="BX382" s="330"/>
      <c r="BY382" s="330"/>
      <c r="BZ382" s="330"/>
    </row>
    <row r="383" spans="1:78" x14ac:dyDescent="0.25">
      <c r="A383" s="331"/>
      <c r="B383" s="328"/>
      <c r="C383" s="328"/>
      <c r="D383" s="329"/>
      <c r="E383" s="330"/>
      <c r="F383" s="330"/>
      <c r="G383" s="330"/>
      <c r="H383" s="330"/>
      <c r="I383" s="330"/>
      <c r="J383" s="330"/>
      <c r="K383" s="330"/>
      <c r="L383" s="329"/>
      <c r="M383" s="329"/>
      <c r="N383" s="330"/>
      <c r="O383" s="330"/>
      <c r="P383" s="330"/>
      <c r="Q383" s="330"/>
      <c r="R383" s="330"/>
      <c r="S383" s="330"/>
      <c r="T383" s="330"/>
      <c r="U383" s="330"/>
      <c r="V383" s="330"/>
      <c r="W383" s="330"/>
      <c r="X383" s="329"/>
      <c r="Y383" s="330"/>
      <c r="Z383" s="330"/>
      <c r="AA383" s="330"/>
      <c r="AB383" s="330"/>
      <c r="AC383" s="330"/>
      <c r="AD383" s="330"/>
      <c r="AE383" s="330"/>
      <c r="AF383" s="330"/>
      <c r="AG383" s="330"/>
      <c r="AH383" s="330"/>
      <c r="AI383" s="330"/>
      <c r="AJ383" s="330"/>
      <c r="AK383" s="330"/>
      <c r="AL383" s="329"/>
      <c r="AM383" s="329"/>
      <c r="AN383" s="330"/>
      <c r="AO383" s="330"/>
      <c r="AP383" s="330"/>
      <c r="AQ383" s="330"/>
      <c r="AR383" s="231"/>
      <c r="AS383" s="333"/>
      <c r="AT383" s="206"/>
      <c r="AU383" s="328"/>
      <c r="AV383" s="206"/>
      <c r="AW383" s="206"/>
      <c r="AX383" s="206"/>
      <c r="AY383" s="206"/>
      <c r="AZ383" s="206"/>
      <c r="BA383" s="206"/>
      <c r="BB383" s="206"/>
      <c r="BC383" s="206"/>
      <c r="BD383" s="206"/>
      <c r="BE383" s="206"/>
      <c r="BF383" s="206"/>
      <c r="BG383" s="330"/>
      <c r="BH383" s="330"/>
      <c r="BI383" s="330"/>
      <c r="BJ383" s="330"/>
      <c r="BK383" s="330"/>
      <c r="BL383" s="330"/>
      <c r="BM383" s="330"/>
      <c r="BN383" s="330"/>
      <c r="BO383" s="330"/>
      <c r="BP383" s="330"/>
      <c r="BQ383" s="330"/>
      <c r="BR383" s="330"/>
      <c r="BS383" s="330"/>
      <c r="BT383" s="330"/>
      <c r="BU383" s="330"/>
      <c r="BV383" s="330"/>
      <c r="BW383" s="330"/>
      <c r="BX383" s="330"/>
      <c r="BY383" s="330"/>
      <c r="BZ383" s="330"/>
    </row>
    <row r="384" spans="1:78" x14ac:dyDescent="0.25">
      <c r="A384" s="331"/>
      <c r="B384" s="328"/>
      <c r="C384" s="328"/>
      <c r="D384" s="329"/>
      <c r="E384" s="330"/>
      <c r="F384" s="330"/>
      <c r="G384" s="330"/>
      <c r="H384" s="330"/>
      <c r="I384" s="330"/>
      <c r="J384" s="330"/>
      <c r="K384" s="330"/>
      <c r="L384" s="329"/>
      <c r="M384" s="329"/>
      <c r="N384" s="330"/>
      <c r="O384" s="330"/>
      <c r="P384" s="330"/>
      <c r="Q384" s="330"/>
      <c r="R384" s="330"/>
      <c r="S384" s="330"/>
      <c r="T384" s="330"/>
      <c r="U384" s="330"/>
      <c r="V384" s="330"/>
      <c r="W384" s="330"/>
      <c r="X384" s="329"/>
      <c r="Y384" s="330"/>
      <c r="Z384" s="330"/>
      <c r="AA384" s="330"/>
      <c r="AB384" s="330"/>
      <c r="AC384" s="330"/>
      <c r="AD384" s="330"/>
      <c r="AE384" s="330"/>
      <c r="AF384" s="330"/>
      <c r="AG384" s="330"/>
      <c r="AH384" s="330"/>
      <c r="AI384" s="330"/>
      <c r="AJ384" s="330"/>
      <c r="AK384" s="330"/>
      <c r="AL384" s="329"/>
      <c r="AM384" s="329"/>
      <c r="AN384" s="330"/>
      <c r="AO384" s="330"/>
      <c r="AP384" s="330"/>
      <c r="AQ384" s="330"/>
      <c r="AR384" s="231"/>
      <c r="AS384" s="333"/>
      <c r="AT384" s="206"/>
      <c r="AU384" s="328"/>
      <c r="AV384" s="206"/>
      <c r="AW384" s="206"/>
      <c r="AX384" s="206"/>
      <c r="AY384" s="206"/>
      <c r="AZ384" s="206"/>
      <c r="BA384" s="206"/>
      <c r="BB384" s="206"/>
      <c r="BC384" s="206"/>
      <c r="BD384" s="206"/>
      <c r="BE384" s="206"/>
      <c r="BF384" s="206"/>
      <c r="BG384" s="330"/>
      <c r="BH384" s="330"/>
      <c r="BI384" s="330"/>
      <c r="BJ384" s="330"/>
      <c r="BK384" s="330"/>
      <c r="BL384" s="330"/>
      <c r="BM384" s="330"/>
      <c r="BN384" s="330"/>
      <c r="BO384" s="330"/>
      <c r="BP384" s="330"/>
      <c r="BQ384" s="330"/>
      <c r="BR384" s="330"/>
      <c r="BS384" s="330"/>
      <c r="BT384" s="330"/>
      <c r="BU384" s="330"/>
      <c r="BV384" s="330"/>
      <c r="BW384" s="330"/>
      <c r="BX384" s="330"/>
      <c r="BY384" s="330"/>
      <c r="BZ384" s="330"/>
    </row>
    <row r="385" spans="1:78" x14ac:dyDescent="0.25">
      <c r="A385" s="331"/>
      <c r="B385" s="328"/>
      <c r="C385" s="328"/>
      <c r="D385" s="329"/>
      <c r="E385" s="330"/>
      <c r="F385" s="330"/>
      <c r="G385" s="330"/>
      <c r="H385" s="330"/>
      <c r="I385" s="330"/>
      <c r="J385" s="330"/>
      <c r="K385" s="330"/>
      <c r="L385" s="329"/>
      <c r="M385" s="329"/>
      <c r="N385" s="330"/>
      <c r="O385" s="330"/>
      <c r="P385" s="330"/>
      <c r="Q385" s="330"/>
      <c r="R385" s="330"/>
      <c r="S385" s="330"/>
      <c r="T385" s="330"/>
      <c r="U385" s="330"/>
      <c r="V385" s="330"/>
      <c r="W385" s="330"/>
      <c r="X385" s="329"/>
      <c r="Y385" s="330"/>
      <c r="Z385" s="330"/>
      <c r="AA385" s="330"/>
      <c r="AB385" s="330"/>
      <c r="AC385" s="330"/>
      <c r="AD385" s="330"/>
      <c r="AE385" s="330"/>
      <c r="AF385" s="330"/>
      <c r="AG385" s="330"/>
      <c r="AH385" s="330"/>
      <c r="AI385" s="330"/>
      <c r="AJ385" s="330"/>
      <c r="AK385" s="330"/>
      <c r="AL385" s="329"/>
      <c r="AM385" s="329"/>
      <c r="AN385" s="330"/>
      <c r="AO385" s="330"/>
      <c r="AP385" s="330"/>
      <c r="AQ385" s="330"/>
      <c r="AR385" s="231"/>
      <c r="AS385" s="333"/>
      <c r="AT385" s="206"/>
      <c r="AU385" s="328"/>
      <c r="AV385" s="206"/>
      <c r="AW385" s="206"/>
      <c r="AX385" s="206"/>
      <c r="AY385" s="206"/>
      <c r="AZ385" s="206"/>
      <c r="BA385" s="206"/>
      <c r="BB385" s="206"/>
      <c r="BC385" s="206"/>
      <c r="BD385" s="206"/>
      <c r="BE385" s="206"/>
      <c r="BF385" s="206"/>
      <c r="BG385" s="330"/>
      <c r="BH385" s="330"/>
      <c r="BI385" s="330"/>
      <c r="BJ385" s="330"/>
      <c r="BK385" s="330"/>
      <c r="BL385" s="330"/>
      <c r="BM385" s="330"/>
      <c r="BN385" s="330"/>
      <c r="BO385" s="330"/>
      <c r="BP385" s="330"/>
      <c r="BQ385" s="330"/>
      <c r="BR385" s="330"/>
      <c r="BS385" s="330"/>
      <c r="BT385" s="330"/>
      <c r="BU385" s="330"/>
      <c r="BV385" s="330"/>
      <c r="BW385" s="330"/>
      <c r="BX385" s="330"/>
      <c r="BY385" s="330"/>
      <c r="BZ385" s="330"/>
    </row>
    <row r="386" spans="1:78" x14ac:dyDescent="0.25">
      <c r="A386" s="331"/>
      <c r="B386" s="328"/>
      <c r="C386" s="328"/>
      <c r="D386" s="329"/>
      <c r="E386" s="330"/>
      <c r="F386" s="330"/>
      <c r="G386" s="330"/>
      <c r="H386" s="330"/>
      <c r="I386" s="330"/>
      <c r="J386" s="330"/>
      <c r="K386" s="330"/>
      <c r="L386" s="329"/>
      <c r="M386" s="329"/>
      <c r="N386" s="330"/>
      <c r="O386" s="330"/>
      <c r="P386" s="330"/>
      <c r="Q386" s="330"/>
      <c r="R386" s="330"/>
      <c r="S386" s="330"/>
      <c r="T386" s="330"/>
      <c r="U386" s="330"/>
      <c r="V386" s="330"/>
      <c r="W386" s="330"/>
      <c r="X386" s="329"/>
      <c r="Y386" s="330"/>
      <c r="Z386" s="330"/>
      <c r="AA386" s="330"/>
      <c r="AB386" s="330"/>
      <c r="AC386" s="330"/>
      <c r="AD386" s="330"/>
      <c r="AE386" s="330"/>
      <c r="AF386" s="330"/>
      <c r="AG386" s="330"/>
      <c r="AH386" s="330"/>
      <c r="AI386" s="330"/>
      <c r="AJ386" s="330"/>
      <c r="AK386" s="330"/>
      <c r="AL386" s="329"/>
      <c r="AM386" s="329"/>
      <c r="AN386" s="330"/>
      <c r="AO386" s="330"/>
      <c r="AP386" s="330"/>
      <c r="AQ386" s="330"/>
      <c r="AR386" s="231"/>
      <c r="AS386" s="333"/>
      <c r="AT386" s="206"/>
      <c r="AU386" s="328"/>
      <c r="AV386" s="206"/>
      <c r="AW386" s="206"/>
      <c r="AX386" s="206"/>
      <c r="AY386" s="206"/>
      <c r="AZ386" s="206"/>
      <c r="BA386" s="206"/>
      <c r="BB386" s="206"/>
      <c r="BC386" s="206"/>
      <c r="BD386" s="206"/>
      <c r="BE386" s="206"/>
      <c r="BF386" s="206"/>
      <c r="BG386" s="330"/>
      <c r="BH386" s="330"/>
      <c r="BI386" s="330"/>
      <c r="BJ386" s="330"/>
      <c r="BK386" s="330"/>
      <c r="BL386" s="330"/>
      <c r="BM386" s="330"/>
      <c r="BN386" s="330"/>
      <c r="BO386" s="330"/>
      <c r="BP386" s="330"/>
      <c r="BQ386" s="330"/>
      <c r="BR386" s="330"/>
      <c r="BS386" s="330"/>
      <c r="BT386" s="330"/>
      <c r="BU386" s="330"/>
      <c r="BV386" s="330"/>
      <c r="BW386" s="330"/>
      <c r="BX386" s="330"/>
      <c r="BY386" s="330"/>
      <c r="BZ386" s="330"/>
    </row>
    <row r="387" spans="1:78" x14ac:dyDescent="0.25">
      <c r="A387" s="331"/>
      <c r="B387" s="328"/>
      <c r="C387" s="328"/>
      <c r="D387" s="329"/>
      <c r="E387" s="330"/>
      <c r="F387" s="330"/>
      <c r="G387" s="330"/>
      <c r="H387" s="330"/>
      <c r="I387" s="330"/>
      <c r="J387" s="330"/>
      <c r="K387" s="330"/>
      <c r="L387" s="329"/>
      <c r="M387" s="329"/>
      <c r="N387" s="330"/>
      <c r="O387" s="330"/>
      <c r="P387" s="330"/>
      <c r="Q387" s="330"/>
      <c r="R387" s="330"/>
      <c r="S387" s="330"/>
      <c r="T387" s="330"/>
      <c r="U387" s="330"/>
      <c r="V387" s="330"/>
      <c r="W387" s="330"/>
      <c r="X387" s="329"/>
      <c r="Y387" s="330"/>
      <c r="Z387" s="330"/>
      <c r="AA387" s="330"/>
      <c r="AB387" s="330"/>
      <c r="AC387" s="330"/>
      <c r="AD387" s="330"/>
      <c r="AE387" s="330"/>
      <c r="AF387" s="330"/>
      <c r="AG387" s="330"/>
      <c r="AH387" s="330"/>
      <c r="AI387" s="330"/>
      <c r="AJ387" s="330"/>
      <c r="AK387" s="330"/>
      <c r="AL387" s="329"/>
      <c r="AM387" s="329"/>
      <c r="AN387" s="330"/>
      <c r="AO387" s="330"/>
      <c r="AP387" s="330"/>
      <c r="AQ387" s="330"/>
      <c r="AR387" s="231"/>
      <c r="AS387" s="333"/>
      <c r="AT387" s="206"/>
      <c r="AU387" s="328"/>
      <c r="AV387" s="206"/>
      <c r="AW387" s="206"/>
      <c r="AX387" s="206"/>
      <c r="AY387" s="206"/>
      <c r="AZ387" s="206"/>
      <c r="BA387" s="206"/>
      <c r="BB387" s="206"/>
      <c r="BC387" s="206"/>
      <c r="BD387" s="206"/>
      <c r="BE387" s="206"/>
      <c r="BF387" s="206"/>
      <c r="BG387" s="330"/>
      <c r="BH387" s="330"/>
      <c r="BI387" s="330"/>
      <c r="BJ387" s="330"/>
      <c r="BK387" s="330"/>
      <c r="BL387" s="330"/>
      <c r="BM387" s="330"/>
      <c r="BN387" s="330"/>
      <c r="BO387" s="330"/>
      <c r="BP387" s="330"/>
      <c r="BQ387" s="330"/>
      <c r="BR387" s="330"/>
      <c r="BS387" s="330"/>
      <c r="BT387" s="330"/>
      <c r="BU387" s="330"/>
      <c r="BV387" s="330"/>
      <c r="BW387" s="330"/>
      <c r="BX387" s="330"/>
      <c r="BY387" s="330"/>
      <c r="BZ387" s="330"/>
    </row>
    <row r="388" spans="1:78" x14ac:dyDescent="0.25">
      <c r="A388" s="331"/>
      <c r="B388" s="328"/>
      <c r="C388" s="328"/>
      <c r="D388" s="329"/>
      <c r="E388" s="330"/>
      <c r="F388" s="330"/>
      <c r="G388" s="330"/>
      <c r="H388" s="330"/>
      <c r="I388" s="330"/>
      <c r="J388" s="330"/>
      <c r="K388" s="330"/>
      <c r="L388" s="329"/>
      <c r="M388" s="329"/>
      <c r="N388" s="330"/>
      <c r="O388" s="330"/>
      <c r="P388" s="330"/>
      <c r="Q388" s="330"/>
      <c r="R388" s="330"/>
      <c r="S388" s="330"/>
      <c r="T388" s="330"/>
      <c r="U388" s="330"/>
      <c r="V388" s="330"/>
      <c r="W388" s="330"/>
      <c r="X388" s="329"/>
      <c r="Y388" s="330"/>
      <c r="Z388" s="330"/>
      <c r="AA388" s="330"/>
      <c r="AB388" s="330"/>
      <c r="AC388" s="330"/>
      <c r="AD388" s="330"/>
      <c r="AE388" s="330"/>
      <c r="AF388" s="330"/>
      <c r="AG388" s="330"/>
      <c r="AH388" s="330"/>
      <c r="AI388" s="330"/>
      <c r="AJ388" s="330"/>
      <c r="AK388" s="330"/>
      <c r="AL388" s="329"/>
      <c r="AM388" s="329"/>
      <c r="AN388" s="330"/>
      <c r="AO388" s="330"/>
      <c r="AP388" s="330"/>
      <c r="AQ388" s="330"/>
      <c r="AR388" s="231"/>
      <c r="AS388" s="333"/>
      <c r="AT388" s="206"/>
      <c r="AU388" s="328"/>
      <c r="AV388" s="206"/>
      <c r="AW388" s="206"/>
      <c r="AX388" s="206"/>
      <c r="AY388" s="206"/>
      <c r="AZ388" s="206"/>
      <c r="BA388" s="206"/>
      <c r="BB388" s="206"/>
      <c r="BC388" s="206"/>
      <c r="BD388" s="206"/>
      <c r="BE388" s="206"/>
      <c r="BF388" s="206"/>
      <c r="BG388" s="330"/>
      <c r="BH388" s="330"/>
      <c r="BI388" s="330"/>
      <c r="BJ388" s="330"/>
      <c r="BK388" s="330"/>
      <c r="BL388" s="330"/>
      <c r="BM388" s="330"/>
      <c r="BN388" s="330"/>
      <c r="BO388" s="330"/>
      <c r="BP388" s="330"/>
      <c r="BQ388" s="330"/>
      <c r="BR388" s="330"/>
      <c r="BS388" s="330"/>
      <c r="BT388" s="330"/>
      <c r="BU388" s="330"/>
      <c r="BV388" s="330"/>
      <c r="BW388" s="330"/>
      <c r="BX388" s="330"/>
      <c r="BY388" s="330"/>
      <c r="BZ388" s="330"/>
    </row>
    <row r="389" spans="1:78" x14ac:dyDescent="0.25">
      <c r="A389" s="331"/>
      <c r="B389" s="328"/>
      <c r="C389" s="328"/>
      <c r="D389" s="329"/>
      <c r="E389" s="330"/>
      <c r="F389" s="330"/>
      <c r="G389" s="330"/>
      <c r="H389" s="330"/>
      <c r="I389" s="330"/>
      <c r="J389" s="330"/>
      <c r="K389" s="330"/>
      <c r="L389" s="329"/>
      <c r="M389" s="329"/>
      <c r="N389" s="330"/>
      <c r="O389" s="330"/>
      <c r="P389" s="330"/>
      <c r="Q389" s="330"/>
      <c r="R389" s="330"/>
      <c r="S389" s="330"/>
      <c r="T389" s="330"/>
      <c r="U389" s="330"/>
      <c r="V389" s="330"/>
      <c r="W389" s="330"/>
      <c r="X389" s="329"/>
      <c r="Y389" s="330"/>
      <c r="Z389" s="330"/>
      <c r="AA389" s="330"/>
      <c r="AB389" s="330"/>
      <c r="AC389" s="330"/>
      <c r="AD389" s="330"/>
      <c r="AE389" s="330"/>
      <c r="AF389" s="330"/>
      <c r="AG389" s="330"/>
      <c r="AH389" s="330"/>
      <c r="AI389" s="330"/>
      <c r="AJ389" s="330"/>
      <c r="AK389" s="330"/>
      <c r="AL389" s="329"/>
      <c r="AM389" s="329"/>
      <c r="AN389" s="330"/>
      <c r="AO389" s="330"/>
      <c r="AP389" s="330"/>
      <c r="AQ389" s="330"/>
      <c r="AR389" s="231"/>
      <c r="AS389" s="333"/>
      <c r="AT389" s="206"/>
      <c r="AU389" s="328"/>
      <c r="AV389" s="206"/>
      <c r="AW389" s="206"/>
      <c r="AX389" s="206"/>
      <c r="AY389" s="206"/>
      <c r="AZ389" s="206"/>
      <c r="BA389" s="206"/>
      <c r="BB389" s="206"/>
      <c r="BC389" s="206"/>
      <c r="BD389" s="206"/>
      <c r="BE389" s="206"/>
      <c r="BF389" s="206"/>
      <c r="BG389" s="330"/>
      <c r="BH389" s="330"/>
      <c r="BI389" s="330"/>
      <c r="BJ389" s="330"/>
      <c r="BK389" s="330"/>
      <c r="BL389" s="330"/>
      <c r="BM389" s="330"/>
      <c r="BN389" s="330"/>
      <c r="BO389" s="330"/>
      <c r="BP389" s="330"/>
      <c r="BQ389" s="330"/>
      <c r="BR389" s="330"/>
      <c r="BS389" s="330"/>
      <c r="BT389" s="330"/>
      <c r="BU389" s="330"/>
      <c r="BV389" s="330"/>
      <c r="BW389" s="330"/>
      <c r="BX389" s="330"/>
      <c r="BY389" s="330"/>
      <c r="BZ389" s="330"/>
    </row>
    <row r="390" spans="1:78" x14ac:dyDescent="0.25">
      <c r="A390" s="331"/>
      <c r="B390" s="328"/>
      <c r="C390" s="328"/>
      <c r="D390" s="329"/>
      <c r="E390" s="330"/>
      <c r="F390" s="330"/>
      <c r="G390" s="330"/>
      <c r="H390" s="330"/>
      <c r="I390" s="330"/>
      <c r="J390" s="330"/>
      <c r="K390" s="330"/>
      <c r="L390" s="329"/>
      <c r="M390" s="329"/>
      <c r="N390" s="330"/>
      <c r="O390" s="330"/>
      <c r="P390" s="330"/>
      <c r="Q390" s="330"/>
      <c r="R390" s="330"/>
      <c r="S390" s="330"/>
      <c r="T390" s="330"/>
      <c r="U390" s="330"/>
      <c r="V390" s="330"/>
      <c r="W390" s="330"/>
      <c r="X390" s="329"/>
      <c r="Y390" s="330"/>
      <c r="Z390" s="330"/>
      <c r="AA390" s="330"/>
      <c r="AB390" s="330"/>
      <c r="AC390" s="330"/>
      <c r="AD390" s="330"/>
      <c r="AE390" s="330"/>
      <c r="AF390" s="330"/>
      <c r="AG390" s="330"/>
      <c r="AH390" s="330"/>
      <c r="AI390" s="330"/>
      <c r="AJ390" s="330"/>
      <c r="AK390" s="330"/>
      <c r="AL390" s="329"/>
      <c r="AM390" s="329"/>
      <c r="AN390" s="330"/>
      <c r="AO390" s="330"/>
      <c r="AP390" s="330"/>
      <c r="AQ390" s="330"/>
      <c r="AR390" s="231"/>
      <c r="AS390" s="333"/>
      <c r="AT390" s="206"/>
      <c r="AU390" s="328"/>
      <c r="AV390" s="206"/>
      <c r="AW390" s="206"/>
      <c r="AX390" s="206"/>
      <c r="AY390" s="206"/>
      <c r="AZ390" s="206"/>
      <c r="BA390" s="206"/>
      <c r="BB390" s="206"/>
      <c r="BC390" s="206"/>
      <c r="BD390" s="206"/>
      <c r="BE390" s="206"/>
      <c r="BF390" s="206"/>
      <c r="BG390" s="330"/>
      <c r="BH390" s="330"/>
      <c r="BI390" s="330"/>
      <c r="BJ390" s="330"/>
      <c r="BK390" s="330"/>
      <c r="BL390" s="330"/>
      <c r="BM390" s="330"/>
      <c r="BN390" s="330"/>
      <c r="BO390" s="330"/>
      <c r="BP390" s="330"/>
      <c r="BQ390" s="330"/>
      <c r="BR390" s="330"/>
      <c r="BS390" s="330"/>
      <c r="BT390" s="330"/>
      <c r="BU390" s="330"/>
      <c r="BV390" s="330"/>
      <c r="BW390" s="330"/>
      <c r="BX390" s="330"/>
      <c r="BY390" s="330"/>
      <c r="BZ390" s="330"/>
    </row>
    <row r="391" spans="1:78" x14ac:dyDescent="0.25">
      <c r="A391" s="331"/>
      <c r="B391" s="328"/>
      <c r="C391" s="328"/>
      <c r="D391" s="329"/>
      <c r="E391" s="330"/>
      <c r="F391" s="330"/>
      <c r="G391" s="330"/>
      <c r="H391" s="330"/>
      <c r="I391" s="330"/>
      <c r="J391" s="330"/>
      <c r="K391" s="330"/>
      <c r="L391" s="329"/>
      <c r="M391" s="329"/>
      <c r="N391" s="330"/>
      <c r="O391" s="330"/>
      <c r="P391" s="330"/>
      <c r="Q391" s="330"/>
      <c r="R391" s="330"/>
      <c r="S391" s="330"/>
      <c r="T391" s="330"/>
      <c r="U391" s="330"/>
      <c r="V391" s="330"/>
      <c r="W391" s="330"/>
      <c r="X391" s="329"/>
      <c r="Y391" s="330"/>
      <c r="Z391" s="330"/>
      <c r="AA391" s="330"/>
      <c r="AB391" s="330"/>
      <c r="AC391" s="330"/>
      <c r="AD391" s="330"/>
      <c r="AE391" s="330"/>
      <c r="AF391" s="330"/>
      <c r="AG391" s="330"/>
      <c r="AH391" s="330"/>
      <c r="AI391" s="330"/>
      <c r="AJ391" s="330"/>
      <c r="AK391" s="330"/>
      <c r="AL391" s="329"/>
      <c r="AM391" s="329"/>
      <c r="AN391" s="330"/>
      <c r="AO391" s="330"/>
      <c r="AP391" s="330"/>
      <c r="AQ391" s="330"/>
      <c r="AR391" s="231"/>
      <c r="AS391" s="333"/>
      <c r="AT391" s="206"/>
      <c r="AU391" s="328"/>
      <c r="AV391" s="206"/>
      <c r="AW391" s="206"/>
      <c r="AX391" s="206"/>
      <c r="AY391" s="206"/>
      <c r="AZ391" s="206"/>
      <c r="BA391" s="206"/>
      <c r="BB391" s="206"/>
      <c r="BC391" s="206"/>
      <c r="BD391" s="206"/>
      <c r="BE391" s="206"/>
      <c r="BF391" s="206"/>
      <c r="BG391" s="330"/>
      <c r="BH391" s="330"/>
      <c r="BI391" s="330"/>
      <c r="BJ391" s="330"/>
      <c r="BK391" s="330"/>
      <c r="BL391" s="330"/>
      <c r="BM391" s="330"/>
      <c r="BN391" s="330"/>
      <c r="BO391" s="330"/>
      <c r="BP391" s="330"/>
      <c r="BQ391" s="330"/>
      <c r="BR391" s="330"/>
      <c r="BS391" s="330"/>
      <c r="BT391" s="330"/>
      <c r="BU391" s="330"/>
      <c r="BV391" s="330"/>
      <c r="BW391" s="330"/>
      <c r="BX391" s="330"/>
      <c r="BY391" s="330"/>
      <c r="BZ391" s="330"/>
    </row>
    <row r="392" spans="1:78" x14ac:dyDescent="0.25">
      <c r="A392" s="331"/>
      <c r="B392" s="328"/>
      <c r="C392" s="328"/>
      <c r="D392" s="329"/>
      <c r="E392" s="330"/>
      <c r="F392" s="330"/>
      <c r="G392" s="330"/>
      <c r="H392" s="330"/>
      <c r="I392" s="330"/>
      <c r="J392" s="330"/>
      <c r="K392" s="330"/>
      <c r="L392" s="329"/>
      <c r="M392" s="329"/>
      <c r="N392" s="330"/>
      <c r="O392" s="330"/>
      <c r="P392" s="330"/>
      <c r="Q392" s="330"/>
      <c r="R392" s="330"/>
      <c r="S392" s="330"/>
      <c r="T392" s="330"/>
      <c r="U392" s="330"/>
      <c r="V392" s="330"/>
      <c r="W392" s="330"/>
      <c r="X392" s="329"/>
      <c r="Y392" s="330"/>
      <c r="Z392" s="330"/>
      <c r="AA392" s="330"/>
      <c r="AB392" s="330"/>
      <c r="AC392" s="330"/>
      <c r="AD392" s="330"/>
      <c r="AE392" s="330"/>
      <c r="AF392" s="330"/>
      <c r="AG392" s="330"/>
      <c r="AH392" s="330"/>
      <c r="AI392" s="330"/>
      <c r="AJ392" s="330"/>
      <c r="AK392" s="330"/>
      <c r="AL392" s="329"/>
      <c r="AM392" s="329"/>
      <c r="AN392" s="330"/>
      <c r="AO392" s="330"/>
      <c r="AP392" s="330"/>
      <c r="AQ392" s="330"/>
      <c r="AR392" s="231"/>
      <c r="AS392" s="333"/>
      <c r="AT392" s="206"/>
      <c r="AU392" s="328"/>
      <c r="AV392" s="206"/>
      <c r="AW392" s="206"/>
      <c r="AX392" s="206"/>
      <c r="AY392" s="206"/>
      <c r="AZ392" s="206"/>
      <c r="BA392" s="206"/>
      <c r="BB392" s="206"/>
      <c r="BC392" s="206"/>
      <c r="BD392" s="206"/>
      <c r="BE392" s="206"/>
      <c r="BF392" s="206"/>
      <c r="BG392" s="330"/>
      <c r="BH392" s="330"/>
      <c r="BI392" s="330"/>
      <c r="BJ392" s="330"/>
      <c r="BK392" s="330"/>
      <c r="BL392" s="330"/>
      <c r="BM392" s="330"/>
      <c r="BN392" s="330"/>
      <c r="BO392" s="330"/>
      <c r="BP392" s="330"/>
      <c r="BQ392" s="330"/>
      <c r="BR392" s="330"/>
      <c r="BS392" s="330"/>
      <c r="BT392" s="330"/>
      <c r="BU392" s="330"/>
      <c r="BV392" s="330"/>
      <c r="BW392" s="330"/>
      <c r="BX392" s="330"/>
      <c r="BY392" s="330"/>
      <c r="BZ392" s="330"/>
    </row>
    <row r="393" spans="1:78" x14ac:dyDescent="0.25">
      <c r="A393" s="331"/>
      <c r="B393" s="328"/>
      <c r="C393" s="328"/>
      <c r="D393" s="329"/>
      <c r="E393" s="330"/>
      <c r="F393" s="330"/>
      <c r="G393" s="330"/>
      <c r="H393" s="330"/>
      <c r="I393" s="330"/>
      <c r="J393" s="330"/>
      <c r="K393" s="330"/>
      <c r="L393" s="329"/>
      <c r="M393" s="329"/>
      <c r="N393" s="330"/>
      <c r="O393" s="330"/>
      <c r="P393" s="330"/>
      <c r="Q393" s="330"/>
      <c r="R393" s="330"/>
      <c r="S393" s="330"/>
      <c r="T393" s="330"/>
      <c r="U393" s="330"/>
      <c r="V393" s="330"/>
      <c r="W393" s="330"/>
      <c r="X393" s="329"/>
      <c r="Y393" s="330"/>
      <c r="Z393" s="330"/>
      <c r="AA393" s="330"/>
      <c r="AB393" s="330"/>
      <c r="AC393" s="330"/>
      <c r="AD393" s="330"/>
      <c r="AE393" s="330"/>
      <c r="AF393" s="330"/>
      <c r="AG393" s="330"/>
      <c r="AH393" s="330"/>
      <c r="AI393" s="330"/>
      <c r="AJ393" s="330"/>
      <c r="AK393" s="330"/>
      <c r="AL393" s="329"/>
      <c r="AM393" s="329"/>
      <c r="AN393" s="330"/>
      <c r="AO393" s="330"/>
      <c r="AP393" s="330"/>
      <c r="AQ393" s="330"/>
      <c r="AR393" s="231"/>
      <c r="AS393" s="333"/>
      <c r="AT393" s="206"/>
      <c r="AU393" s="328"/>
      <c r="AV393" s="206"/>
      <c r="AW393" s="206"/>
      <c r="AX393" s="206"/>
      <c r="AY393" s="206"/>
      <c r="AZ393" s="206"/>
      <c r="BA393" s="206"/>
      <c r="BB393" s="206"/>
      <c r="BC393" s="206"/>
      <c r="BD393" s="206"/>
      <c r="BE393" s="206"/>
      <c r="BF393" s="206"/>
      <c r="BG393" s="330"/>
      <c r="BH393" s="330"/>
      <c r="BI393" s="330"/>
      <c r="BJ393" s="330"/>
      <c r="BK393" s="330"/>
      <c r="BL393" s="330"/>
      <c r="BM393" s="330"/>
      <c r="BN393" s="330"/>
      <c r="BO393" s="330"/>
      <c r="BP393" s="330"/>
      <c r="BQ393" s="330"/>
      <c r="BR393" s="330"/>
      <c r="BS393" s="330"/>
      <c r="BT393" s="330"/>
      <c r="BU393" s="330"/>
      <c r="BV393" s="330"/>
      <c r="BW393" s="330"/>
      <c r="BX393" s="330"/>
      <c r="BY393" s="330"/>
      <c r="BZ393" s="330"/>
    </row>
    <row r="394" spans="1:78" x14ac:dyDescent="0.25">
      <c r="A394" s="331"/>
      <c r="B394" s="328"/>
      <c r="C394" s="328"/>
      <c r="D394" s="329"/>
      <c r="E394" s="330"/>
      <c r="F394" s="330"/>
      <c r="G394" s="330"/>
      <c r="H394" s="330"/>
      <c r="I394" s="330"/>
      <c r="J394" s="330"/>
      <c r="K394" s="330"/>
      <c r="L394" s="329"/>
      <c r="M394" s="329"/>
      <c r="N394" s="330"/>
      <c r="O394" s="330"/>
      <c r="P394" s="330"/>
      <c r="Q394" s="330"/>
      <c r="R394" s="330"/>
      <c r="S394" s="330"/>
      <c r="T394" s="330"/>
      <c r="U394" s="330"/>
      <c r="V394" s="330"/>
      <c r="W394" s="330"/>
      <c r="X394" s="329"/>
      <c r="Y394" s="330"/>
      <c r="Z394" s="330"/>
      <c r="AA394" s="330"/>
      <c r="AB394" s="330"/>
      <c r="AC394" s="330"/>
      <c r="AD394" s="330"/>
      <c r="AE394" s="330"/>
      <c r="AF394" s="330"/>
      <c r="AG394" s="330"/>
      <c r="AH394" s="330"/>
      <c r="AI394" s="330"/>
      <c r="AJ394" s="330"/>
      <c r="AK394" s="330"/>
      <c r="AL394" s="329"/>
      <c r="AM394" s="329"/>
      <c r="AN394" s="330"/>
      <c r="AO394" s="330"/>
      <c r="AP394" s="330"/>
      <c r="AQ394" s="330"/>
      <c r="AR394" s="231"/>
      <c r="AS394" s="333"/>
      <c r="AT394" s="206"/>
      <c r="AU394" s="328"/>
      <c r="AV394" s="206"/>
      <c r="AW394" s="206"/>
      <c r="AX394" s="206"/>
      <c r="AY394" s="206"/>
      <c r="AZ394" s="206"/>
      <c r="BA394" s="206"/>
      <c r="BB394" s="206"/>
      <c r="BC394" s="206"/>
      <c r="BD394" s="206"/>
      <c r="BE394" s="206"/>
      <c r="BF394" s="206"/>
      <c r="BG394" s="330"/>
      <c r="BH394" s="330"/>
      <c r="BI394" s="330"/>
      <c r="BJ394" s="330"/>
      <c r="BK394" s="330"/>
      <c r="BL394" s="330"/>
      <c r="BM394" s="330"/>
      <c r="BN394" s="330"/>
      <c r="BO394" s="330"/>
      <c r="BP394" s="330"/>
      <c r="BQ394" s="330"/>
      <c r="BR394" s="330"/>
      <c r="BS394" s="330"/>
      <c r="BT394" s="330"/>
      <c r="BU394" s="330"/>
      <c r="BV394" s="330"/>
      <c r="BW394" s="330"/>
      <c r="BX394" s="330"/>
      <c r="BY394" s="330"/>
      <c r="BZ394" s="330"/>
    </row>
    <row r="395" spans="1:78" x14ac:dyDescent="0.25">
      <c r="A395" s="331"/>
      <c r="B395" s="328"/>
      <c r="C395" s="328"/>
      <c r="D395" s="329"/>
      <c r="E395" s="330"/>
      <c r="F395" s="330"/>
      <c r="G395" s="330"/>
      <c r="H395" s="330"/>
      <c r="I395" s="330"/>
      <c r="J395" s="330"/>
      <c r="K395" s="330"/>
      <c r="L395" s="329"/>
      <c r="M395" s="329"/>
      <c r="N395" s="330"/>
      <c r="O395" s="330"/>
      <c r="P395" s="330"/>
      <c r="Q395" s="330"/>
      <c r="R395" s="330"/>
      <c r="S395" s="330"/>
      <c r="T395" s="330"/>
      <c r="U395" s="330"/>
      <c r="V395" s="330"/>
      <c r="W395" s="330"/>
      <c r="X395" s="329"/>
      <c r="Y395" s="330"/>
      <c r="Z395" s="330"/>
      <c r="AA395" s="330"/>
      <c r="AB395" s="330"/>
      <c r="AC395" s="330"/>
      <c r="AD395" s="330"/>
      <c r="AE395" s="330"/>
      <c r="AF395" s="330"/>
      <c r="AG395" s="330"/>
      <c r="AH395" s="330"/>
      <c r="AI395" s="330"/>
      <c r="AJ395" s="330"/>
      <c r="AK395" s="330"/>
      <c r="AL395" s="329"/>
      <c r="AM395" s="329"/>
      <c r="AN395" s="330"/>
      <c r="AO395" s="330"/>
      <c r="AP395" s="330"/>
      <c r="AQ395" s="330"/>
      <c r="AR395" s="231"/>
      <c r="AS395" s="333"/>
      <c r="AT395" s="206"/>
      <c r="AU395" s="328"/>
      <c r="AV395" s="206"/>
      <c r="AW395" s="206"/>
      <c r="AX395" s="206"/>
      <c r="AY395" s="206"/>
      <c r="AZ395" s="206"/>
      <c r="BA395" s="206"/>
      <c r="BB395" s="206"/>
      <c r="BC395" s="206"/>
      <c r="BD395" s="206"/>
      <c r="BE395" s="206"/>
      <c r="BF395" s="206"/>
      <c r="BG395" s="330"/>
      <c r="BH395" s="330"/>
      <c r="BI395" s="330"/>
      <c r="BJ395" s="330"/>
      <c r="BK395" s="330"/>
      <c r="BL395" s="330"/>
      <c r="BM395" s="330"/>
      <c r="BN395" s="330"/>
      <c r="BO395" s="330"/>
      <c r="BP395" s="330"/>
      <c r="BQ395" s="330"/>
      <c r="BR395" s="330"/>
      <c r="BS395" s="330"/>
      <c r="BT395" s="330"/>
      <c r="BU395" s="330"/>
      <c r="BV395" s="330"/>
      <c r="BW395" s="330"/>
      <c r="BX395" s="330"/>
      <c r="BY395" s="330"/>
      <c r="BZ395" s="330"/>
    </row>
    <row r="396" spans="1:78" x14ac:dyDescent="0.25">
      <c r="A396" s="331"/>
      <c r="B396" s="328"/>
      <c r="C396" s="328"/>
      <c r="D396" s="329"/>
      <c r="E396" s="330"/>
      <c r="F396" s="330"/>
      <c r="G396" s="330"/>
      <c r="H396" s="330"/>
      <c r="I396" s="330"/>
      <c r="J396" s="330"/>
      <c r="K396" s="330"/>
      <c r="L396" s="329"/>
      <c r="M396" s="329"/>
      <c r="N396" s="330"/>
      <c r="O396" s="330"/>
      <c r="P396" s="330"/>
      <c r="Q396" s="330"/>
      <c r="R396" s="330"/>
      <c r="S396" s="330"/>
      <c r="T396" s="330"/>
      <c r="U396" s="330"/>
      <c r="V396" s="330"/>
      <c r="W396" s="330"/>
      <c r="X396" s="329"/>
      <c r="Y396" s="330"/>
      <c r="Z396" s="330"/>
      <c r="AA396" s="330"/>
      <c r="AB396" s="330"/>
      <c r="AC396" s="330"/>
      <c r="AD396" s="330"/>
      <c r="AE396" s="330"/>
      <c r="AF396" s="330"/>
      <c r="AG396" s="330"/>
      <c r="AH396" s="330"/>
      <c r="AI396" s="330"/>
      <c r="AJ396" s="330"/>
      <c r="AK396" s="330"/>
      <c r="AL396" s="329"/>
      <c r="AM396" s="329"/>
      <c r="AN396" s="330"/>
      <c r="AO396" s="330"/>
      <c r="AP396" s="330"/>
      <c r="AQ396" s="330"/>
      <c r="AR396" s="231"/>
      <c r="AS396" s="333"/>
      <c r="AT396" s="206"/>
      <c r="AU396" s="328"/>
      <c r="AV396" s="206"/>
      <c r="AW396" s="206"/>
      <c r="AX396" s="206"/>
      <c r="AY396" s="206"/>
      <c r="AZ396" s="206"/>
      <c r="BA396" s="206"/>
      <c r="BB396" s="206"/>
      <c r="BC396" s="206"/>
      <c r="BD396" s="206"/>
      <c r="BE396" s="206"/>
      <c r="BF396" s="206"/>
      <c r="BG396" s="330"/>
      <c r="BH396" s="330"/>
      <c r="BI396" s="330"/>
      <c r="BJ396" s="330"/>
      <c r="BK396" s="330"/>
      <c r="BL396" s="330"/>
      <c r="BM396" s="330"/>
      <c r="BN396" s="330"/>
      <c r="BO396" s="330"/>
      <c r="BP396" s="330"/>
      <c r="BQ396" s="330"/>
      <c r="BR396" s="330"/>
      <c r="BS396" s="330"/>
      <c r="BT396" s="330"/>
      <c r="BU396" s="330"/>
      <c r="BV396" s="330"/>
      <c r="BW396" s="330"/>
      <c r="BX396" s="330"/>
      <c r="BY396" s="330"/>
      <c r="BZ396" s="330"/>
    </row>
    <row r="397" spans="1:78" x14ac:dyDescent="0.25">
      <c r="A397" s="331"/>
      <c r="B397" s="328"/>
      <c r="C397" s="328"/>
      <c r="D397" s="329"/>
      <c r="E397" s="330"/>
      <c r="F397" s="330"/>
      <c r="G397" s="330"/>
      <c r="H397" s="330"/>
      <c r="I397" s="330"/>
      <c r="J397" s="330"/>
      <c r="K397" s="330"/>
      <c r="L397" s="329"/>
      <c r="M397" s="329"/>
      <c r="N397" s="330"/>
      <c r="O397" s="330"/>
      <c r="P397" s="330"/>
      <c r="Q397" s="330"/>
      <c r="R397" s="330"/>
      <c r="S397" s="330"/>
      <c r="T397" s="330"/>
      <c r="U397" s="330"/>
      <c r="V397" s="330"/>
      <c r="W397" s="330"/>
      <c r="X397" s="329"/>
      <c r="Y397" s="330"/>
      <c r="Z397" s="330"/>
      <c r="AA397" s="330"/>
      <c r="AB397" s="330"/>
      <c r="AC397" s="330"/>
      <c r="AD397" s="330"/>
      <c r="AE397" s="330"/>
      <c r="AF397" s="330"/>
      <c r="AG397" s="330"/>
      <c r="AH397" s="330"/>
      <c r="AI397" s="330"/>
      <c r="AJ397" s="330"/>
      <c r="AK397" s="330"/>
      <c r="AL397" s="329"/>
      <c r="AM397" s="329"/>
      <c r="AN397" s="330"/>
      <c r="AO397" s="330"/>
      <c r="AP397" s="330"/>
      <c r="AQ397" s="330"/>
      <c r="AR397" s="231"/>
      <c r="AS397" s="333"/>
      <c r="AT397" s="206"/>
      <c r="AU397" s="328"/>
      <c r="AV397" s="206"/>
      <c r="AW397" s="206"/>
      <c r="AX397" s="206"/>
      <c r="AY397" s="206"/>
      <c r="AZ397" s="206"/>
      <c r="BA397" s="206"/>
      <c r="BB397" s="206"/>
      <c r="BC397" s="206"/>
      <c r="BD397" s="206"/>
      <c r="BE397" s="206"/>
      <c r="BF397" s="206"/>
      <c r="BG397" s="330"/>
      <c r="BH397" s="330"/>
      <c r="BI397" s="330"/>
      <c r="BJ397" s="330"/>
      <c r="BK397" s="330"/>
      <c r="BL397" s="330"/>
      <c r="BM397" s="330"/>
      <c r="BN397" s="330"/>
      <c r="BO397" s="330"/>
      <c r="BP397" s="330"/>
      <c r="BQ397" s="330"/>
      <c r="BR397" s="330"/>
      <c r="BS397" s="330"/>
      <c r="BT397" s="330"/>
      <c r="BU397" s="330"/>
      <c r="BV397" s="330"/>
      <c r="BW397" s="330"/>
      <c r="BX397" s="330"/>
      <c r="BY397" s="330"/>
      <c r="BZ397" s="330"/>
    </row>
    <row r="398" spans="1:78" x14ac:dyDescent="0.25">
      <c r="A398" s="331"/>
      <c r="B398" s="328"/>
      <c r="C398" s="328"/>
      <c r="D398" s="329"/>
      <c r="E398" s="330"/>
      <c r="F398" s="330"/>
      <c r="G398" s="330"/>
      <c r="H398" s="330"/>
      <c r="I398" s="330"/>
      <c r="J398" s="330"/>
      <c r="K398" s="330"/>
      <c r="L398" s="329"/>
      <c r="M398" s="329"/>
      <c r="N398" s="330"/>
      <c r="O398" s="330"/>
      <c r="P398" s="330"/>
      <c r="Q398" s="330"/>
      <c r="R398" s="330"/>
      <c r="S398" s="330"/>
      <c r="T398" s="330"/>
      <c r="U398" s="330"/>
      <c r="V398" s="330"/>
      <c r="W398" s="330"/>
      <c r="X398" s="329"/>
      <c r="Y398" s="330"/>
      <c r="Z398" s="330"/>
      <c r="AA398" s="330"/>
      <c r="AB398" s="330"/>
      <c r="AC398" s="330"/>
      <c r="AD398" s="330"/>
      <c r="AE398" s="330"/>
      <c r="AF398" s="330"/>
      <c r="AG398" s="330"/>
      <c r="AH398" s="330"/>
      <c r="AI398" s="330"/>
      <c r="AJ398" s="330"/>
      <c r="AK398" s="330"/>
      <c r="AL398" s="329"/>
      <c r="AM398" s="329"/>
      <c r="AN398" s="330"/>
      <c r="AO398" s="330"/>
      <c r="AP398" s="330"/>
      <c r="AQ398" s="330"/>
      <c r="AR398" s="231"/>
      <c r="AS398" s="333"/>
      <c r="AT398" s="206"/>
      <c r="AU398" s="328"/>
      <c r="AV398" s="206"/>
      <c r="AW398" s="206"/>
      <c r="AX398" s="206"/>
      <c r="AY398" s="206"/>
      <c r="AZ398" s="206"/>
      <c r="BA398" s="206"/>
      <c r="BB398" s="206"/>
      <c r="BC398" s="206"/>
      <c r="BD398" s="206"/>
      <c r="BE398" s="206"/>
      <c r="BF398" s="206"/>
      <c r="BG398" s="330"/>
      <c r="BH398" s="330"/>
      <c r="BI398" s="330"/>
      <c r="BJ398" s="330"/>
      <c r="BK398" s="330"/>
      <c r="BL398" s="330"/>
      <c r="BM398" s="330"/>
      <c r="BN398" s="330"/>
      <c r="BO398" s="330"/>
      <c r="BP398" s="330"/>
      <c r="BQ398" s="330"/>
      <c r="BR398" s="330"/>
      <c r="BS398" s="330"/>
      <c r="BT398" s="330"/>
      <c r="BU398" s="330"/>
      <c r="BV398" s="330"/>
      <c r="BW398" s="330"/>
      <c r="BX398" s="330"/>
      <c r="BY398" s="330"/>
      <c r="BZ398" s="330"/>
    </row>
    <row r="399" spans="1:78" x14ac:dyDescent="0.25">
      <c r="A399" s="331"/>
      <c r="B399" s="328"/>
      <c r="C399" s="328"/>
      <c r="D399" s="329"/>
      <c r="E399" s="330"/>
      <c r="F399" s="330"/>
      <c r="G399" s="330"/>
      <c r="H399" s="330"/>
      <c r="I399" s="330"/>
      <c r="J399" s="330"/>
      <c r="K399" s="330"/>
      <c r="L399" s="329"/>
      <c r="M399" s="329"/>
      <c r="N399" s="330"/>
      <c r="O399" s="330"/>
      <c r="P399" s="330"/>
      <c r="Q399" s="330"/>
      <c r="R399" s="330"/>
      <c r="S399" s="330"/>
      <c r="T399" s="330"/>
      <c r="U399" s="330"/>
      <c r="V399" s="330"/>
      <c r="W399" s="330"/>
      <c r="X399" s="329"/>
      <c r="Y399" s="330"/>
      <c r="Z399" s="330"/>
      <c r="AA399" s="330"/>
      <c r="AB399" s="330"/>
      <c r="AC399" s="330"/>
      <c r="AD399" s="330"/>
      <c r="AE399" s="330"/>
      <c r="AF399" s="330"/>
      <c r="AG399" s="330"/>
      <c r="AH399" s="330"/>
      <c r="AI399" s="330"/>
      <c r="AJ399" s="330"/>
      <c r="AK399" s="330"/>
      <c r="AL399" s="329"/>
      <c r="AM399" s="329"/>
      <c r="AN399" s="330"/>
      <c r="AO399" s="330"/>
      <c r="AP399" s="330"/>
      <c r="AQ399" s="330"/>
      <c r="AR399" s="231"/>
      <c r="AS399" s="333"/>
      <c r="AT399" s="206"/>
      <c r="AU399" s="328"/>
      <c r="AV399" s="206"/>
      <c r="AW399" s="206"/>
      <c r="AX399" s="206"/>
      <c r="AY399" s="206"/>
      <c r="AZ399" s="206"/>
      <c r="BA399" s="206"/>
      <c r="BB399" s="206"/>
      <c r="BC399" s="206"/>
      <c r="BD399" s="206"/>
      <c r="BE399" s="206"/>
      <c r="BF399" s="206"/>
      <c r="BG399" s="330"/>
      <c r="BH399" s="330"/>
      <c r="BI399" s="330"/>
      <c r="BJ399" s="330"/>
      <c r="BK399" s="330"/>
      <c r="BL399" s="330"/>
      <c r="BM399" s="330"/>
      <c r="BN399" s="330"/>
      <c r="BO399" s="330"/>
      <c r="BP399" s="330"/>
      <c r="BQ399" s="330"/>
      <c r="BR399" s="330"/>
      <c r="BS399" s="330"/>
      <c r="BT399" s="330"/>
      <c r="BU399" s="330"/>
      <c r="BV399" s="330"/>
      <c r="BW399" s="330"/>
      <c r="BX399" s="330"/>
      <c r="BY399" s="330"/>
      <c r="BZ399" s="330"/>
    </row>
    <row r="400" spans="1:78" x14ac:dyDescent="0.25">
      <c r="A400" s="331"/>
      <c r="B400" s="328"/>
      <c r="C400" s="328"/>
      <c r="D400" s="329"/>
      <c r="E400" s="330"/>
      <c r="F400" s="330"/>
      <c r="G400" s="330"/>
      <c r="H400" s="330"/>
      <c r="I400" s="330"/>
      <c r="J400" s="330"/>
      <c r="K400" s="330"/>
      <c r="L400" s="329"/>
      <c r="M400" s="329"/>
      <c r="N400" s="330"/>
      <c r="O400" s="330"/>
      <c r="P400" s="330"/>
      <c r="Q400" s="330"/>
      <c r="R400" s="330"/>
      <c r="S400" s="330"/>
      <c r="T400" s="330"/>
      <c r="U400" s="330"/>
      <c r="V400" s="330"/>
      <c r="W400" s="330"/>
      <c r="X400" s="329"/>
      <c r="Y400" s="330"/>
      <c r="Z400" s="330"/>
      <c r="AA400" s="330"/>
      <c r="AB400" s="330"/>
      <c r="AC400" s="330"/>
      <c r="AD400" s="330"/>
      <c r="AE400" s="330"/>
      <c r="AF400" s="330"/>
      <c r="AG400" s="330"/>
      <c r="AH400" s="330"/>
      <c r="AI400" s="330"/>
      <c r="AJ400" s="330"/>
      <c r="AK400" s="330"/>
      <c r="AL400" s="329"/>
      <c r="AM400" s="329"/>
      <c r="AN400" s="330"/>
      <c r="AO400" s="330"/>
      <c r="AP400" s="330"/>
      <c r="AQ400" s="330"/>
      <c r="AR400" s="231"/>
      <c r="AS400" s="333"/>
      <c r="AT400" s="206"/>
      <c r="AU400" s="328"/>
      <c r="AV400" s="206"/>
      <c r="AW400" s="206"/>
      <c r="AX400" s="206"/>
      <c r="AY400" s="206"/>
      <c r="AZ400" s="206"/>
      <c r="BA400" s="206"/>
      <c r="BB400" s="206"/>
      <c r="BC400" s="206"/>
      <c r="BD400" s="206"/>
      <c r="BE400" s="206"/>
      <c r="BF400" s="206"/>
      <c r="BG400" s="330"/>
      <c r="BH400" s="330"/>
      <c r="BI400" s="330"/>
      <c r="BJ400" s="330"/>
      <c r="BK400" s="330"/>
      <c r="BL400" s="330"/>
      <c r="BM400" s="330"/>
      <c r="BN400" s="330"/>
      <c r="BO400" s="330"/>
      <c r="BP400" s="330"/>
      <c r="BQ400" s="330"/>
      <c r="BR400" s="330"/>
      <c r="BS400" s="330"/>
      <c r="BT400" s="330"/>
      <c r="BU400" s="330"/>
      <c r="BV400" s="330"/>
      <c r="BW400" s="330"/>
      <c r="BX400" s="330"/>
      <c r="BY400" s="330"/>
      <c r="BZ400" s="330"/>
    </row>
    <row r="401" spans="1:78" x14ac:dyDescent="0.25">
      <c r="A401" s="331"/>
      <c r="B401" s="328"/>
      <c r="C401" s="328"/>
      <c r="D401" s="329"/>
      <c r="E401" s="330"/>
      <c r="F401" s="330"/>
      <c r="G401" s="330"/>
      <c r="H401" s="330"/>
      <c r="I401" s="330"/>
      <c r="J401" s="330"/>
      <c r="K401" s="330"/>
      <c r="L401" s="329"/>
      <c r="M401" s="329"/>
      <c r="N401" s="330"/>
      <c r="O401" s="330"/>
      <c r="P401" s="330"/>
      <c r="Q401" s="330"/>
      <c r="R401" s="330"/>
      <c r="S401" s="330"/>
      <c r="T401" s="330"/>
      <c r="U401" s="330"/>
      <c r="V401" s="330"/>
      <c r="W401" s="330"/>
      <c r="X401" s="329"/>
      <c r="Y401" s="330"/>
      <c r="Z401" s="330"/>
      <c r="AA401" s="330"/>
      <c r="AB401" s="330"/>
      <c r="AC401" s="330"/>
      <c r="AD401" s="330"/>
      <c r="AE401" s="330"/>
      <c r="AF401" s="330"/>
      <c r="AG401" s="330"/>
      <c r="AH401" s="330"/>
      <c r="AI401" s="330"/>
      <c r="AJ401" s="330"/>
      <c r="AK401" s="330"/>
      <c r="AL401" s="329"/>
      <c r="AM401" s="329"/>
      <c r="AN401" s="330"/>
      <c r="AO401" s="330"/>
      <c r="AP401" s="330"/>
      <c r="AQ401" s="330"/>
      <c r="AR401" s="231"/>
      <c r="AS401" s="333"/>
      <c r="AT401" s="206"/>
      <c r="AU401" s="328"/>
      <c r="AV401" s="206"/>
      <c r="AW401" s="206"/>
      <c r="AX401" s="206"/>
      <c r="AY401" s="206"/>
      <c r="AZ401" s="206"/>
      <c r="BA401" s="206"/>
      <c r="BB401" s="206"/>
      <c r="BC401" s="206"/>
      <c r="BD401" s="206"/>
      <c r="BE401" s="206"/>
      <c r="BF401" s="206"/>
      <c r="BG401" s="330"/>
      <c r="BH401" s="330"/>
      <c r="BI401" s="330"/>
      <c r="BJ401" s="330"/>
      <c r="BK401" s="330"/>
      <c r="BL401" s="330"/>
      <c r="BM401" s="330"/>
      <c r="BN401" s="330"/>
      <c r="BO401" s="330"/>
      <c r="BP401" s="330"/>
      <c r="BQ401" s="330"/>
      <c r="BR401" s="330"/>
      <c r="BS401" s="330"/>
      <c r="BT401" s="330"/>
      <c r="BU401" s="330"/>
      <c r="BV401" s="330"/>
      <c r="BW401" s="330"/>
      <c r="BX401" s="330"/>
      <c r="BY401" s="330"/>
      <c r="BZ401" s="330"/>
    </row>
    <row r="402" spans="1:78" x14ac:dyDescent="0.25">
      <c r="A402" s="331"/>
      <c r="B402" s="328"/>
      <c r="C402" s="328"/>
      <c r="D402" s="329"/>
      <c r="E402" s="330"/>
      <c r="F402" s="330"/>
      <c r="G402" s="330"/>
      <c r="H402" s="330"/>
      <c r="I402" s="330"/>
      <c r="J402" s="330"/>
      <c r="K402" s="330"/>
      <c r="L402" s="329"/>
      <c r="M402" s="329"/>
      <c r="N402" s="330"/>
      <c r="O402" s="330"/>
      <c r="P402" s="330"/>
      <c r="Q402" s="330"/>
      <c r="R402" s="330"/>
      <c r="S402" s="330"/>
      <c r="T402" s="330"/>
      <c r="U402" s="330"/>
      <c r="V402" s="330"/>
      <c r="W402" s="330"/>
      <c r="X402" s="329"/>
      <c r="Y402" s="330"/>
      <c r="Z402" s="330"/>
      <c r="AA402" s="330"/>
      <c r="AB402" s="330"/>
      <c r="AC402" s="330"/>
      <c r="AD402" s="330"/>
      <c r="AE402" s="330"/>
      <c r="AF402" s="330"/>
      <c r="AG402" s="330"/>
      <c r="AH402" s="330"/>
      <c r="AI402" s="330"/>
      <c r="AJ402" s="330"/>
      <c r="AK402" s="330"/>
      <c r="AL402" s="329"/>
      <c r="AM402" s="329"/>
      <c r="AN402" s="330"/>
      <c r="AO402" s="330"/>
      <c r="AP402" s="330"/>
      <c r="AQ402" s="330"/>
      <c r="AR402" s="231"/>
      <c r="AS402" s="333"/>
      <c r="AT402" s="206"/>
      <c r="AU402" s="328"/>
      <c r="AV402" s="206"/>
      <c r="AW402" s="206"/>
      <c r="AX402" s="206"/>
      <c r="AY402" s="206"/>
      <c r="AZ402" s="206"/>
      <c r="BA402" s="206"/>
      <c r="BB402" s="206"/>
      <c r="BC402" s="206"/>
      <c r="BD402" s="206"/>
      <c r="BE402" s="206"/>
      <c r="BF402" s="206"/>
      <c r="BG402" s="330"/>
      <c r="BH402" s="330"/>
      <c r="BI402" s="330"/>
      <c r="BJ402" s="330"/>
      <c r="BK402" s="330"/>
      <c r="BL402" s="330"/>
      <c r="BM402" s="330"/>
      <c r="BN402" s="330"/>
      <c r="BO402" s="330"/>
      <c r="BP402" s="330"/>
      <c r="BQ402" s="330"/>
      <c r="BR402" s="330"/>
      <c r="BS402" s="330"/>
      <c r="BT402" s="330"/>
      <c r="BU402" s="330"/>
      <c r="BV402" s="330"/>
      <c r="BW402" s="330"/>
      <c r="BX402" s="330"/>
      <c r="BY402" s="330"/>
      <c r="BZ402" s="330"/>
    </row>
    <row r="403" spans="1:78" x14ac:dyDescent="0.25">
      <c r="A403" s="331"/>
      <c r="B403" s="328"/>
      <c r="C403" s="328"/>
      <c r="D403" s="329"/>
      <c r="E403" s="330"/>
      <c r="F403" s="330"/>
      <c r="G403" s="330"/>
      <c r="H403" s="330"/>
      <c r="I403" s="330"/>
      <c r="J403" s="330"/>
      <c r="K403" s="330"/>
      <c r="L403" s="329"/>
      <c r="M403" s="329"/>
      <c r="N403" s="330"/>
      <c r="O403" s="330"/>
      <c r="P403" s="330"/>
      <c r="Q403" s="330"/>
      <c r="R403" s="330"/>
      <c r="S403" s="330"/>
      <c r="T403" s="330"/>
      <c r="U403" s="330"/>
      <c r="V403" s="330"/>
      <c r="W403" s="330"/>
      <c r="X403" s="329"/>
      <c r="Y403" s="330"/>
      <c r="Z403" s="330"/>
      <c r="AA403" s="330"/>
      <c r="AB403" s="330"/>
      <c r="AC403" s="330"/>
      <c r="AD403" s="330"/>
      <c r="AE403" s="330"/>
      <c r="AF403" s="330"/>
      <c r="AG403" s="330"/>
      <c r="AH403" s="330"/>
      <c r="AI403" s="330"/>
      <c r="AJ403" s="330"/>
      <c r="AK403" s="330"/>
      <c r="AL403" s="329"/>
      <c r="AM403" s="329"/>
      <c r="AN403" s="330"/>
      <c r="AO403" s="330"/>
      <c r="AP403" s="330"/>
      <c r="AQ403" s="330"/>
      <c r="AR403" s="231"/>
      <c r="AS403" s="333"/>
      <c r="AT403" s="206"/>
      <c r="AU403" s="328"/>
      <c r="AV403" s="206"/>
      <c r="AW403" s="206"/>
      <c r="AX403" s="206"/>
      <c r="AY403" s="206"/>
      <c r="AZ403" s="206"/>
      <c r="BA403" s="206"/>
      <c r="BB403" s="206"/>
      <c r="BC403" s="206"/>
      <c r="BD403" s="206"/>
      <c r="BE403" s="206"/>
      <c r="BF403" s="206"/>
      <c r="BG403" s="330"/>
      <c r="BH403" s="330"/>
      <c r="BI403" s="330"/>
      <c r="BJ403" s="330"/>
      <c r="BK403" s="330"/>
      <c r="BL403" s="330"/>
      <c r="BM403" s="330"/>
      <c r="BN403" s="330"/>
      <c r="BO403" s="330"/>
      <c r="BP403" s="330"/>
      <c r="BQ403" s="330"/>
      <c r="BR403" s="330"/>
      <c r="BS403" s="330"/>
      <c r="BT403" s="330"/>
      <c r="BU403" s="330"/>
      <c r="BV403" s="330"/>
      <c r="BW403" s="330"/>
      <c r="BX403" s="330"/>
      <c r="BY403" s="330"/>
      <c r="BZ403" s="330"/>
    </row>
    <row r="404" spans="1:78" x14ac:dyDescent="0.25">
      <c r="A404" s="331"/>
      <c r="B404" s="328"/>
      <c r="C404" s="328"/>
      <c r="D404" s="329"/>
      <c r="E404" s="330"/>
      <c r="F404" s="330"/>
      <c r="G404" s="330"/>
      <c r="H404" s="330"/>
      <c r="I404" s="330"/>
      <c r="J404" s="330"/>
      <c r="K404" s="330"/>
      <c r="L404" s="329"/>
      <c r="M404" s="329"/>
      <c r="N404" s="330"/>
      <c r="O404" s="330"/>
      <c r="P404" s="330"/>
      <c r="Q404" s="330"/>
      <c r="R404" s="330"/>
      <c r="S404" s="330"/>
      <c r="T404" s="330"/>
      <c r="U404" s="330"/>
      <c r="V404" s="330"/>
      <c r="W404" s="330"/>
      <c r="X404" s="329"/>
      <c r="Y404" s="330"/>
      <c r="Z404" s="330"/>
      <c r="AA404" s="330"/>
      <c r="AB404" s="330"/>
      <c r="AC404" s="330"/>
      <c r="AD404" s="330"/>
      <c r="AE404" s="330"/>
      <c r="AF404" s="330"/>
      <c r="AG404" s="330"/>
      <c r="AH404" s="330"/>
      <c r="AI404" s="330"/>
      <c r="AJ404" s="330"/>
      <c r="AK404" s="330"/>
      <c r="AL404" s="329"/>
      <c r="AM404" s="329"/>
      <c r="AN404" s="330"/>
      <c r="AO404" s="330"/>
      <c r="AP404" s="330"/>
      <c r="AQ404" s="330"/>
      <c r="AR404" s="231"/>
      <c r="AS404" s="333"/>
      <c r="AT404" s="206"/>
      <c r="AU404" s="328"/>
      <c r="AV404" s="206"/>
      <c r="AW404" s="206"/>
      <c r="AX404" s="206"/>
      <c r="AY404" s="206"/>
      <c r="AZ404" s="206"/>
      <c r="BA404" s="206"/>
      <c r="BB404" s="206"/>
      <c r="BC404" s="206"/>
      <c r="BD404" s="206"/>
      <c r="BE404" s="206"/>
      <c r="BF404" s="206"/>
      <c r="BG404" s="330"/>
      <c r="BH404" s="330"/>
      <c r="BI404" s="330"/>
      <c r="BJ404" s="330"/>
      <c r="BK404" s="330"/>
      <c r="BL404" s="330"/>
      <c r="BM404" s="330"/>
      <c r="BN404" s="330"/>
      <c r="BO404" s="330"/>
      <c r="BP404" s="330"/>
      <c r="BQ404" s="330"/>
      <c r="BR404" s="330"/>
      <c r="BS404" s="330"/>
      <c r="BT404" s="330"/>
      <c r="BU404" s="330"/>
      <c r="BV404" s="330"/>
      <c r="BW404" s="330"/>
      <c r="BX404" s="330"/>
      <c r="BY404" s="330"/>
      <c r="BZ404" s="330"/>
    </row>
    <row r="405" spans="1:78" x14ac:dyDescent="0.25">
      <c r="A405" s="331"/>
      <c r="B405" s="328"/>
      <c r="C405" s="328"/>
      <c r="D405" s="329"/>
      <c r="E405" s="330"/>
      <c r="F405" s="330"/>
      <c r="G405" s="330"/>
      <c r="H405" s="330"/>
      <c r="I405" s="330"/>
      <c r="J405" s="330"/>
      <c r="K405" s="330"/>
      <c r="L405" s="329"/>
      <c r="M405" s="329"/>
      <c r="N405" s="330"/>
      <c r="O405" s="330"/>
      <c r="P405" s="330"/>
      <c r="Q405" s="330"/>
      <c r="R405" s="330"/>
      <c r="S405" s="330"/>
      <c r="T405" s="330"/>
      <c r="U405" s="330"/>
      <c r="V405" s="330"/>
      <c r="W405" s="330"/>
      <c r="X405" s="329"/>
      <c r="Y405" s="330"/>
      <c r="Z405" s="330"/>
      <c r="AA405" s="330"/>
      <c r="AB405" s="330"/>
      <c r="AC405" s="330"/>
      <c r="AD405" s="330"/>
      <c r="AE405" s="330"/>
      <c r="AF405" s="330"/>
      <c r="AG405" s="330"/>
      <c r="AH405" s="330"/>
      <c r="AI405" s="330"/>
      <c r="AJ405" s="330"/>
      <c r="AK405" s="330"/>
      <c r="AL405" s="329"/>
      <c r="AM405" s="329"/>
      <c r="AN405" s="330"/>
      <c r="AO405" s="330"/>
      <c r="AP405" s="330"/>
      <c r="AQ405" s="330"/>
      <c r="AR405" s="231"/>
      <c r="AS405" s="333"/>
      <c r="AT405" s="206"/>
      <c r="AU405" s="328"/>
      <c r="AV405" s="206"/>
      <c r="AW405" s="206"/>
      <c r="AX405" s="206"/>
      <c r="AY405" s="206"/>
      <c r="AZ405" s="206"/>
      <c r="BA405" s="206"/>
      <c r="BB405" s="206"/>
      <c r="BC405" s="206"/>
      <c r="BD405" s="206"/>
      <c r="BE405" s="206"/>
      <c r="BF405" s="206"/>
      <c r="BG405" s="330"/>
      <c r="BH405" s="330"/>
      <c r="BI405" s="330"/>
      <c r="BJ405" s="330"/>
      <c r="BK405" s="330"/>
      <c r="BL405" s="330"/>
      <c r="BM405" s="330"/>
      <c r="BN405" s="330"/>
      <c r="BO405" s="330"/>
      <c r="BP405" s="330"/>
      <c r="BQ405" s="330"/>
      <c r="BR405" s="330"/>
      <c r="BS405" s="330"/>
      <c r="BT405" s="330"/>
      <c r="BU405" s="330"/>
      <c r="BV405" s="330"/>
      <c r="BW405" s="330"/>
      <c r="BX405" s="330"/>
      <c r="BY405" s="330"/>
      <c r="BZ405" s="330"/>
    </row>
    <row r="406" spans="1:78" x14ac:dyDescent="0.25">
      <c r="A406" s="331"/>
      <c r="B406" s="328"/>
      <c r="C406" s="328"/>
      <c r="D406" s="329"/>
      <c r="E406" s="330"/>
      <c r="F406" s="330"/>
      <c r="G406" s="330"/>
      <c r="H406" s="330"/>
      <c r="I406" s="330"/>
      <c r="J406" s="330"/>
      <c r="K406" s="330"/>
      <c r="L406" s="329"/>
      <c r="M406" s="329"/>
      <c r="N406" s="330"/>
      <c r="O406" s="330"/>
      <c r="P406" s="330"/>
      <c r="Q406" s="330"/>
      <c r="R406" s="330"/>
      <c r="S406" s="330"/>
      <c r="T406" s="330"/>
      <c r="U406" s="330"/>
      <c r="V406" s="330"/>
      <c r="W406" s="330"/>
      <c r="X406" s="329"/>
      <c r="Y406" s="330"/>
      <c r="Z406" s="330"/>
      <c r="AA406" s="330"/>
      <c r="AB406" s="330"/>
      <c r="AC406" s="330"/>
      <c r="AD406" s="330"/>
      <c r="AE406" s="330"/>
      <c r="AF406" s="330"/>
      <c r="AG406" s="330"/>
      <c r="AH406" s="330"/>
      <c r="AI406" s="330"/>
      <c r="AJ406" s="330"/>
      <c r="AK406" s="330"/>
      <c r="AL406" s="329"/>
      <c r="AM406" s="329"/>
      <c r="AN406" s="330"/>
      <c r="AO406" s="330"/>
      <c r="AP406" s="330"/>
      <c r="AQ406" s="330"/>
      <c r="AR406" s="231"/>
      <c r="AS406" s="333"/>
      <c r="AT406" s="206"/>
      <c r="AU406" s="328"/>
      <c r="AV406" s="206"/>
      <c r="AW406" s="206"/>
      <c r="AX406" s="206"/>
      <c r="AY406" s="206"/>
      <c r="AZ406" s="206"/>
      <c r="BA406" s="206"/>
      <c r="BB406" s="206"/>
      <c r="BC406" s="206"/>
      <c r="BD406" s="206"/>
      <c r="BE406" s="206"/>
      <c r="BF406" s="206"/>
      <c r="BG406" s="330"/>
      <c r="BH406" s="330"/>
      <c r="BI406" s="330"/>
      <c r="BJ406" s="330"/>
      <c r="BK406" s="330"/>
      <c r="BL406" s="330"/>
      <c r="BM406" s="330"/>
      <c r="BN406" s="330"/>
      <c r="BO406" s="330"/>
      <c r="BP406" s="330"/>
      <c r="BQ406" s="330"/>
      <c r="BR406" s="330"/>
      <c r="BS406" s="330"/>
      <c r="BT406" s="330"/>
      <c r="BU406" s="330"/>
      <c r="BV406" s="330"/>
      <c r="BW406" s="330"/>
      <c r="BX406" s="330"/>
      <c r="BY406" s="330"/>
      <c r="BZ406" s="330"/>
    </row>
    <row r="407" spans="1:78" x14ac:dyDescent="0.25">
      <c r="A407" s="331"/>
      <c r="B407" s="328"/>
      <c r="C407" s="328"/>
      <c r="D407" s="329"/>
      <c r="E407" s="330"/>
      <c r="F407" s="330"/>
      <c r="G407" s="330"/>
      <c r="H407" s="330"/>
      <c r="I407" s="330"/>
      <c r="J407" s="330"/>
      <c r="K407" s="330"/>
      <c r="L407" s="329"/>
      <c r="M407" s="329"/>
      <c r="N407" s="330"/>
      <c r="O407" s="330"/>
      <c r="P407" s="330"/>
      <c r="Q407" s="330"/>
      <c r="R407" s="330"/>
      <c r="S407" s="330"/>
      <c r="T407" s="330"/>
      <c r="U407" s="330"/>
      <c r="V407" s="330"/>
      <c r="W407" s="330"/>
      <c r="X407" s="329"/>
      <c r="Y407" s="330"/>
      <c r="Z407" s="330"/>
      <c r="AA407" s="330"/>
      <c r="AB407" s="330"/>
      <c r="AC407" s="330"/>
      <c r="AD407" s="330"/>
      <c r="AE407" s="330"/>
      <c r="AF407" s="330"/>
      <c r="AG407" s="330"/>
      <c r="AH407" s="330"/>
      <c r="AI407" s="330"/>
      <c r="AJ407" s="330"/>
      <c r="AK407" s="330"/>
      <c r="AL407" s="329"/>
      <c r="AM407" s="329"/>
      <c r="AN407" s="330"/>
      <c r="AO407" s="330"/>
      <c r="AP407" s="330"/>
      <c r="AQ407" s="330"/>
      <c r="AR407" s="231"/>
      <c r="AS407" s="333"/>
      <c r="AT407" s="206"/>
      <c r="AU407" s="328"/>
      <c r="AV407" s="206"/>
      <c r="AW407" s="206"/>
      <c r="AX407" s="206"/>
      <c r="AY407" s="206"/>
      <c r="AZ407" s="206"/>
      <c r="BA407" s="206"/>
      <c r="BB407" s="206"/>
      <c r="BC407" s="206"/>
      <c r="BD407" s="206"/>
      <c r="BE407" s="206"/>
      <c r="BF407" s="206"/>
      <c r="BG407" s="330"/>
      <c r="BH407" s="330"/>
      <c r="BI407" s="330"/>
      <c r="BJ407" s="330"/>
      <c r="BK407" s="330"/>
      <c r="BL407" s="330"/>
      <c r="BM407" s="330"/>
      <c r="BN407" s="330"/>
      <c r="BO407" s="330"/>
      <c r="BP407" s="330"/>
      <c r="BQ407" s="330"/>
      <c r="BR407" s="330"/>
      <c r="BS407" s="330"/>
      <c r="BT407" s="330"/>
      <c r="BU407" s="330"/>
      <c r="BV407" s="330"/>
      <c r="BW407" s="330"/>
      <c r="BX407" s="330"/>
      <c r="BY407" s="330"/>
      <c r="BZ407" s="330"/>
    </row>
    <row r="408" spans="1:78" x14ac:dyDescent="0.25">
      <c r="A408" s="331"/>
      <c r="B408" s="328"/>
      <c r="C408" s="328"/>
      <c r="D408" s="329"/>
      <c r="E408" s="330"/>
      <c r="F408" s="330"/>
      <c r="G408" s="330"/>
      <c r="H408" s="330"/>
      <c r="I408" s="330"/>
      <c r="J408" s="330"/>
      <c r="K408" s="330"/>
      <c r="L408" s="329"/>
      <c r="M408" s="329"/>
      <c r="N408" s="330"/>
      <c r="O408" s="330"/>
      <c r="P408" s="330"/>
      <c r="Q408" s="330"/>
      <c r="R408" s="330"/>
      <c r="S408" s="330"/>
      <c r="T408" s="330"/>
      <c r="U408" s="330"/>
      <c r="V408" s="330"/>
      <c r="W408" s="330"/>
      <c r="X408" s="329"/>
      <c r="Y408" s="330"/>
      <c r="Z408" s="330"/>
      <c r="AA408" s="330"/>
      <c r="AB408" s="330"/>
      <c r="AC408" s="330"/>
      <c r="AD408" s="330"/>
      <c r="AE408" s="330"/>
      <c r="AF408" s="330"/>
      <c r="AG408" s="330"/>
      <c r="AH408" s="330"/>
      <c r="AI408" s="330"/>
      <c r="AJ408" s="330"/>
      <c r="AK408" s="330"/>
      <c r="AL408" s="329"/>
      <c r="AM408" s="329"/>
      <c r="AN408" s="330"/>
      <c r="AO408" s="330"/>
      <c r="AP408" s="330"/>
      <c r="AQ408" s="330"/>
      <c r="AR408" s="231"/>
      <c r="AS408" s="333"/>
      <c r="AT408" s="206"/>
      <c r="AU408" s="328"/>
      <c r="AV408" s="206"/>
      <c r="AW408" s="206"/>
      <c r="AX408" s="206"/>
      <c r="AY408" s="206"/>
      <c r="AZ408" s="206"/>
      <c r="BA408" s="206"/>
      <c r="BB408" s="206"/>
      <c r="BC408" s="206"/>
      <c r="BD408" s="206"/>
      <c r="BE408" s="206"/>
      <c r="BF408" s="206"/>
      <c r="BG408" s="330"/>
      <c r="BH408" s="330"/>
      <c r="BI408" s="330"/>
      <c r="BJ408" s="330"/>
      <c r="BK408" s="330"/>
      <c r="BL408" s="330"/>
      <c r="BM408" s="330"/>
      <c r="BN408" s="330"/>
      <c r="BO408" s="330"/>
      <c r="BP408" s="330"/>
      <c r="BQ408" s="330"/>
      <c r="BR408" s="330"/>
      <c r="BS408" s="330"/>
      <c r="BT408" s="330"/>
      <c r="BU408" s="330"/>
      <c r="BV408" s="330"/>
      <c r="BW408" s="330"/>
      <c r="BX408" s="330"/>
      <c r="BY408" s="330"/>
      <c r="BZ408" s="330"/>
    </row>
    <row r="409" spans="1:78" x14ac:dyDescent="0.25">
      <c r="A409" s="331"/>
      <c r="B409" s="328"/>
      <c r="C409" s="328"/>
      <c r="D409" s="329"/>
      <c r="E409" s="330"/>
      <c r="F409" s="330"/>
      <c r="G409" s="330"/>
      <c r="H409" s="330"/>
      <c r="I409" s="330"/>
      <c r="J409" s="330"/>
      <c r="K409" s="330"/>
      <c r="L409" s="329"/>
      <c r="M409" s="329"/>
      <c r="N409" s="330"/>
      <c r="O409" s="330"/>
      <c r="P409" s="330"/>
      <c r="Q409" s="330"/>
      <c r="R409" s="330"/>
      <c r="S409" s="330"/>
      <c r="T409" s="330"/>
      <c r="U409" s="330"/>
      <c r="V409" s="330"/>
      <c r="W409" s="330"/>
      <c r="X409" s="329"/>
      <c r="Y409" s="330"/>
      <c r="Z409" s="330"/>
      <c r="AA409" s="330"/>
      <c r="AB409" s="330"/>
      <c r="AC409" s="330"/>
      <c r="AD409" s="330"/>
      <c r="AE409" s="330"/>
      <c r="AF409" s="330"/>
      <c r="AG409" s="330"/>
      <c r="AH409" s="330"/>
      <c r="AI409" s="330"/>
      <c r="AJ409" s="330"/>
      <c r="AK409" s="330"/>
      <c r="AL409" s="329"/>
      <c r="AM409" s="329"/>
      <c r="AN409" s="330"/>
      <c r="AO409" s="330"/>
      <c r="AP409" s="330"/>
      <c r="AQ409" s="330"/>
      <c r="AR409" s="231"/>
      <c r="AS409" s="333"/>
      <c r="AT409" s="206"/>
      <c r="AU409" s="328"/>
      <c r="AV409" s="206"/>
      <c r="AW409" s="206"/>
      <c r="AX409" s="206"/>
      <c r="AY409" s="206"/>
      <c r="AZ409" s="206"/>
      <c r="BA409" s="206"/>
      <c r="BB409" s="206"/>
      <c r="BC409" s="206"/>
      <c r="BD409" s="206"/>
      <c r="BE409" s="206"/>
      <c r="BF409" s="206"/>
      <c r="BG409" s="330"/>
      <c r="BH409" s="330"/>
      <c r="BI409" s="330"/>
      <c r="BJ409" s="330"/>
      <c r="BK409" s="330"/>
      <c r="BL409" s="330"/>
      <c r="BM409" s="330"/>
      <c r="BN409" s="330"/>
      <c r="BO409" s="330"/>
      <c r="BP409" s="330"/>
      <c r="BQ409" s="330"/>
      <c r="BR409" s="330"/>
      <c r="BS409" s="330"/>
      <c r="BT409" s="330"/>
      <c r="BU409" s="330"/>
      <c r="BV409" s="330"/>
      <c r="BW409" s="330"/>
      <c r="BX409" s="330"/>
      <c r="BY409" s="330"/>
      <c r="BZ409" s="330"/>
    </row>
    <row r="410" spans="1:78" x14ac:dyDescent="0.25">
      <c r="A410" s="331"/>
      <c r="B410" s="328"/>
      <c r="C410" s="328"/>
      <c r="D410" s="329"/>
      <c r="E410" s="330"/>
      <c r="F410" s="330"/>
      <c r="G410" s="330"/>
      <c r="H410" s="330"/>
      <c r="I410" s="330"/>
      <c r="J410" s="330"/>
      <c r="K410" s="330"/>
      <c r="L410" s="329"/>
      <c r="M410" s="329"/>
      <c r="N410" s="330"/>
      <c r="O410" s="330"/>
      <c r="P410" s="330"/>
      <c r="Q410" s="330"/>
      <c r="R410" s="330"/>
      <c r="S410" s="330"/>
      <c r="T410" s="330"/>
      <c r="U410" s="330"/>
      <c r="V410" s="330"/>
      <c r="W410" s="330"/>
      <c r="X410" s="329"/>
      <c r="Y410" s="330"/>
      <c r="Z410" s="330"/>
      <c r="AA410" s="330"/>
      <c r="AB410" s="330"/>
      <c r="AC410" s="330"/>
      <c r="AD410" s="330"/>
      <c r="AE410" s="330"/>
      <c r="AF410" s="330"/>
      <c r="AG410" s="330"/>
      <c r="AH410" s="330"/>
      <c r="AI410" s="330"/>
      <c r="AJ410" s="330"/>
      <c r="AK410" s="330"/>
      <c r="AL410" s="329"/>
      <c r="AM410" s="329"/>
      <c r="AN410" s="330"/>
      <c r="AO410" s="330"/>
      <c r="AP410" s="330"/>
      <c r="AQ410" s="330"/>
      <c r="AR410" s="231"/>
      <c r="AS410" s="333"/>
      <c r="AT410" s="206"/>
      <c r="AU410" s="328"/>
      <c r="AV410" s="206"/>
      <c r="AW410" s="206"/>
      <c r="AX410" s="206"/>
      <c r="AY410" s="206"/>
      <c r="AZ410" s="206"/>
      <c r="BA410" s="206"/>
      <c r="BB410" s="206"/>
      <c r="BC410" s="206"/>
      <c r="BD410" s="206"/>
      <c r="BE410" s="206"/>
      <c r="BF410" s="206"/>
      <c r="BG410" s="330"/>
      <c r="BH410" s="330"/>
      <c r="BI410" s="330"/>
      <c r="BJ410" s="330"/>
      <c r="BK410" s="330"/>
      <c r="BL410" s="330"/>
      <c r="BM410" s="330"/>
      <c r="BN410" s="330"/>
      <c r="BO410" s="330"/>
      <c r="BP410" s="330"/>
      <c r="BQ410" s="330"/>
      <c r="BR410" s="330"/>
      <c r="BS410" s="330"/>
      <c r="BT410" s="330"/>
      <c r="BU410" s="330"/>
      <c r="BV410" s="330"/>
      <c r="BW410" s="330"/>
      <c r="BX410" s="330"/>
      <c r="BY410" s="330"/>
      <c r="BZ410" s="330"/>
    </row>
    <row r="411" spans="1:78" x14ac:dyDescent="0.25">
      <c r="A411" s="331"/>
      <c r="B411" s="328"/>
      <c r="C411" s="328"/>
      <c r="D411" s="329"/>
      <c r="E411" s="330"/>
      <c r="F411" s="330"/>
      <c r="G411" s="330"/>
      <c r="H411" s="330"/>
      <c r="I411" s="330"/>
      <c r="J411" s="330"/>
      <c r="K411" s="330"/>
      <c r="L411" s="329"/>
      <c r="M411" s="329"/>
      <c r="N411" s="330"/>
      <c r="O411" s="330"/>
      <c r="P411" s="330"/>
      <c r="Q411" s="330"/>
      <c r="R411" s="330"/>
      <c r="S411" s="330"/>
      <c r="T411" s="330"/>
      <c r="U411" s="330"/>
      <c r="V411" s="330"/>
      <c r="W411" s="330"/>
      <c r="X411" s="329"/>
      <c r="Y411" s="330"/>
      <c r="Z411" s="330"/>
      <c r="AA411" s="330"/>
      <c r="AB411" s="330"/>
      <c r="AC411" s="330"/>
      <c r="AD411" s="330"/>
      <c r="AE411" s="330"/>
      <c r="AF411" s="330"/>
      <c r="AG411" s="330"/>
      <c r="AH411" s="330"/>
      <c r="AI411" s="330"/>
      <c r="AJ411" s="330"/>
      <c r="AK411" s="330"/>
      <c r="AL411" s="329"/>
      <c r="AM411" s="329"/>
      <c r="AN411" s="330"/>
      <c r="AO411" s="330"/>
      <c r="AP411" s="330"/>
      <c r="AQ411" s="330"/>
      <c r="AR411" s="231"/>
      <c r="AS411" s="333"/>
      <c r="AT411" s="206"/>
      <c r="AU411" s="328"/>
      <c r="AV411" s="206"/>
      <c r="AW411" s="206"/>
      <c r="AX411" s="206"/>
      <c r="AY411" s="206"/>
      <c r="AZ411" s="206"/>
      <c r="BA411" s="206"/>
      <c r="BB411" s="206"/>
      <c r="BC411" s="206"/>
      <c r="BD411" s="206"/>
      <c r="BE411" s="206"/>
      <c r="BF411" s="206"/>
      <c r="BG411" s="330"/>
      <c r="BH411" s="330"/>
      <c r="BI411" s="330"/>
      <c r="BJ411" s="330"/>
      <c r="BK411" s="330"/>
      <c r="BL411" s="330"/>
      <c r="BM411" s="330"/>
      <c r="BN411" s="330"/>
      <c r="BO411" s="330"/>
      <c r="BP411" s="330"/>
      <c r="BQ411" s="330"/>
      <c r="BR411" s="330"/>
      <c r="BS411" s="330"/>
      <c r="BT411" s="330"/>
      <c r="BU411" s="330"/>
      <c r="BV411" s="330"/>
      <c r="BW411" s="330"/>
      <c r="BX411" s="330"/>
      <c r="BY411" s="330"/>
      <c r="BZ411" s="330"/>
    </row>
    <row r="412" spans="1:78" x14ac:dyDescent="0.25">
      <c r="A412" s="331"/>
      <c r="B412" s="328"/>
      <c r="C412" s="328"/>
      <c r="D412" s="329"/>
      <c r="E412" s="330"/>
      <c r="F412" s="330"/>
      <c r="G412" s="330"/>
      <c r="H412" s="330"/>
      <c r="I412" s="330"/>
      <c r="J412" s="330"/>
      <c r="K412" s="330"/>
      <c r="L412" s="329"/>
      <c r="M412" s="329"/>
      <c r="N412" s="330"/>
      <c r="O412" s="330"/>
      <c r="P412" s="330"/>
      <c r="Q412" s="330"/>
      <c r="R412" s="330"/>
      <c r="S412" s="330"/>
      <c r="T412" s="330"/>
      <c r="U412" s="330"/>
      <c r="V412" s="330"/>
      <c r="W412" s="330"/>
      <c r="X412" s="329"/>
      <c r="Y412" s="330"/>
      <c r="Z412" s="330"/>
      <c r="AA412" s="330"/>
      <c r="AB412" s="330"/>
      <c r="AC412" s="330"/>
      <c r="AD412" s="330"/>
      <c r="AE412" s="330"/>
      <c r="AF412" s="330"/>
      <c r="AG412" s="330"/>
      <c r="AH412" s="330"/>
      <c r="AI412" s="330"/>
      <c r="AJ412" s="330"/>
      <c r="AK412" s="330"/>
      <c r="AL412" s="329"/>
      <c r="AM412" s="329"/>
      <c r="AN412" s="330"/>
      <c r="AO412" s="330"/>
      <c r="AP412" s="330"/>
      <c r="AQ412" s="330"/>
      <c r="AR412" s="231"/>
      <c r="AS412" s="333"/>
      <c r="AT412" s="206"/>
      <c r="AU412" s="328"/>
      <c r="AV412" s="206"/>
      <c r="AW412" s="206"/>
      <c r="AX412" s="206"/>
      <c r="AY412" s="206"/>
      <c r="AZ412" s="206"/>
      <c r="BA412" s="206"/>
      <c r="BB412" s="206"/>
      <c r="BC412" s="206"/>
      <c r="BD412" s="206"/>
      <c r="BE412" s="206"/>
      <c r="BF412" s="206"/>
      <c r="BG412" s="330"/>
      <c r="BH412" s="330"/>
      <c r="BI412" s="330"/>
      <c r="BJ412" s="330"/>
      <c r="BK412" s="330"/>
      <c r="BL412" s="330"/>
      <c r="BM412" s="330"/>
      <c r="BN412" s="330"/>
      <c r="BO412" s="330"/>
      <c r="BP412" s="330"/>
      <c r="BQ412" s="330"/>
      <c r="BR412" s="330"/>
      <c r="BS412" s="330"/>
      <c r="BT412" s="330"/>
      <c r="BU412" s="330"/>
      <c r="BV412" s="330"/>
      <c r="BW412" s="330"/>
      <c r="BX412" s="330"/>
      <c r="BY412" s="330"/>
      <c r="BZ412" s="330"/>
    </row>
    <row r="413" spans="1:78" x14ac:dyDescent="0.25">
      <c r="A413" s="331"/>
      <c r="B413" s="328"/>
      <c r="C413" s="328"/>
      <c r="D413" s="329"/>
      <c r="E413" s="330"/>
      <c r="F413" s="330"/>
      <c r="G413" s="330"/>
      <c r="H413" s="330"/>
      <c r="I413" s="330"/>
      <c r="J413" s="330"/>
      <c r="K413" s="330"/>
      <c r="L413" s="329"/>
      <c r="M413" s="329"/>
      <c r="N413" s="330"/>
      <c r="O413" s="330"/>
      <c r="P413" s="330"/>
      <c r="Q413" s="330"/>
      <c r="R413" s="330"/>
      <c r="S413" s="330"/>
      <c r="T413" s="330"/>
      <c r="U413" s="330"/>
      <c r="V413" s="330"/>
      <c r="W413" s="330"/>
      <c r="X413" s="329"/>
      <c r="Y413" s="330"/>
      <c r="Z413" s="330"/>
      <c r="AA413" s="330"/>
      <c r="AB413" s="330"/>
      <c r="AC413" s="330"/>
      <c r="AD413" s="330"/>
      <c r="AE413" s="330"/>
      <c r="AF413" s="330"/>
      <c r="AG413" s="330"/>
      <c r="AH413" s="330"/>
      <c r="AI413" s="330"/>
      <c r="AJ413" s="330"/>
      <c r="AK413" s="330"/>
      <c r="AL413" s="329"/>
      <c r="AM413" s="329"/>
      <c r="AN413" s="330"/>
      <c r="AO413" s="330"/>
      <c r="AP413" s="330"/>
      <c r="AQ413" s="330"/>
      <c r="AR413" s="231"/>
      <c r="AS413" s="333"/>
      <c r="AT413" s="206"/>
      <c r="AU413" s="328"/>
      <c r="AV413" s="206"/>
      <c r="AW413" s="206"/>
      <c r="AX413" s="206"/>
      <c r="AY413" s="206"/>
      <c r="AZ413" s="206"/>
      <c r="BA413" s="206"/>
      <c r="BB413" s="206"/>
      <c r="BC413" s="206"/>
      <c r="BD413" s="206"/>
      <c r="BE413" s="206"/>
      <c r="BF413" s="206"/>
      <c r="BG413" s="330"/>
      <c r="BH413" s="330"/>
      <c r="BI413" s="330"/>
      <c r="BJ413" s="330"/>
      <c r="BK413" s="330"/>
      <c r="BL413" s="330"/>
      <c r="BM413" s="330"/>
      <c r="BN413" s="330"/>
      <c r="BO413" s="330"/>
      <c r="BP413" s="330"/>
      <c r="BQ413" s="330"/>
      <c r="BR413" s="330"/>
      <c r="BS413" s="330"/>
      <c r="BT413" s="330"/>
      <c r="BU413" s="330"/>
      <c r="BV413" s="330"/>
      <c r="BW413" s="330"/>
      <c r="BX413" s="330"/>
      <c r="BY413" s="330"/>
      <c r="BZ413" s="330"/>
    </row>
    <row r="414" spans="1:78" x14ac:dyDescent="0.25">
      <c r="A414" s="331"/>
      <c r="B414" s="328"/>
      <c r="C414" s="328"/>
      <c r="D414" s="329"/>
      <c r="E414" s="330"/>
      <c r="F414" s="330"/>
      <c r="G414" s="330"/>
      <c r="H414" s="330"/>
      <c r="I414" s="330"/>
      <c r="J414" s="330"/>
      <c r="K414" s="330"/>
      <c r="L414" s="329"/>
      <c r="M414" s="329"/>
      <c r="N414" s="330"/>
      <c r="O414" s="330"/>
      <c r="P414" s="330"/>
      <c r="Q414" s="330"/>
      <c r="R414" s="330"/>
      <c r="S414" s="330"/>
      <c r="T414" s="330"/>
      <c r="U414" s="330"/>
      <c r="V414" s="330"/>
      <c r="W414" s="330"/>
      <c r="X414" s="329"/>
      <c r="Y414" s="330"/>
      <c r="Z414" s="330"/>
      <c r="AA414" s="330"/>
      <c r="AB414" s="330"/>
      <c r="AC414" s="330"/>
      <c r="AD414" s="330"/>
      <c r="AE414" s="330"/>
      <c r="AF414" s="330"/>
      <c r="AG414" s="330"/>
      <c r="AH414" s="330"/>
      <c r="AI414" s="330"/>
      <c r="AJ414" s="330"/>
      <c r="AK414" s="330"/>
      <c r="AL414" s="329"/>
      <c r="AM414" s="329"/>
      <c r="AN414" s="330"/>
      <c r="AO414" s="330"/>
      <c r="AP414" s="330"/>
      <c r="AQ414" s="330"/>
      <c r="AR414" s="231"/>
      <c r="AS414" s="333"/>
      <c r="AT414" s="206"/>
      <c r="AU414" s="328"/>
      <c r="AV414" s="206"/>
      <c r="AW414" s="206"/>
      <c r="AX414" s="206"/>
      <c r="AY414" s="206"/>
      <c r="AZ414" s="206"/>
      <c r="BA414" s="206"/>
      <c r="BB414" s="206"/>
      <c r="BC414" s="206"/>
      <c r="BD414" s="206"/>
      <c r="BE414" s="206"/>
      <c r="BF414" s="206"/>
      <c r="BG414" s="330"/>
      <c r="BH414" s="330"/>
      <c r="BI414" s="330"/>
      <c r="BJ414" s="330"/>
      <c r="BK414" s="330"/>
      <c r="BL414" s="330"/>
      <c r="BM414" s="330"/>
      <c r="BN414" s="330"/>
      <c r="BO414" s="330"/>
      <c r="BP414" s="330"/>
      <c r="BQ414" s="330"/>
      <c r="BR414" s="330"/>
      <c r="BS414" s="330"/>
      <c r="BT414" s="330"/>
      <c r="BU414" s="330"/>
      <c r="BV414" s="330"/>
      <c r="BW414" s="330"/>
      <c r="BX414" s="330"/>
      <c r="BY414" s="330"/>
      <c r="BZ414" s="330"/>
    </row>
    <row r="415" spans="1:78" x14ac:dyDescent="0.25">
      <c r="A415" s="331"/>
      <c r="B415" s="328"/>
      <c r="C415" s="328"/>
      <c r="D415" s="329"/>
      <c r="E415" s="330"/>
      <c r="F415" s="330"/>
      <c r="G415" s="330"/>
      <c r="H415" s="330"/>
      <c r="I415" s="330"/>
      <c r="J415" s="330"/>
      <c r="K415" s="330"/>
      <c r="L415" s="329"/>
      <c r="M415" s="329"/>
      <c r="N415" s="330"/>
      <c r="O415" s="330"/>
      <c r="P415" s="330"/>
      <c r="Q415" s="330"/>
      <c r="R415" s="330"/>
      <c r="S415" s="330"/>
      <c r="T415" s="330"/>
      <c r="U415" s="330"/>
      <c r="V415" s="330"/>
      <c r="W415" s="330"/>
      <c r="X415" s="329"/>
      <c r="Y415" s="330"/>
      <c r="Z415" s="330"/>
      <c r="AA415" s="330"/>
      <c r="AB415" s="330"/>
      <c r="AC415" s="330"/>
      <c r="AD415" s="330"/>
      <c r="AE415" s="330"/>
      <c r="AF415" s="330"/>
      <c r="AG415" s="330"/>
      <c r="AH415" s="330"/>
      <c r="AI415" s="330"/>
      <c r="AJ415" s="330"/>
      <c r="AK415" s="330"/>
      <c r="AL415" s="329"/>
      <c r="AM415" s="329"/>
      <c r="AN415" s="330"/>
      <c r="AO415" s="330"/>
      <c r="AP415" s="330"/>
      <c r="AQ415" s="330"/>
      <c r="AR415" s="231"/>
      <c r="AS415" s="333"/>
      <c r="AT415" s="206"/>
      <c r="AU415" s="328"/>
      <c r="AV415" s="206"/>
      <c r="AW415" s="206"/>
      <c r="AX415" s="206"/>
      <c r="AY415" s="206"/>
      <c r="AZ415" s="206"/>
      <c r="BA415" s="206"/>
      <c r="BB415" s="206"/>
      <c r="BC415" s="206"/>
      <c r="BD415" s="206"/>
      <c r="BE415" s="206"/>
      <c r="BF415" s="206"/>
      <c r="BG415" s="330"/>
      <c r="BH415" s="330"/>
      <c r="BI415" s="330"/>
      <c r="BJ415" s="330"/>
      <c r="BK415" s="330"/>
      <c r="BL415" s="330"/>
      <c r="BM415" s="330"/>
      <c r="BN415" s="330"/>
      <c r="BO415" s="330"/>
      <c r="BP415" s="330"/>
      <c r="BQ415" s="330"/>
      <c r="BR415" s="330"/>
      <c r="BS415" s="330"/>
      <c r="BT415" s="330"/>
      <c r="BU415" s="330"/>
      <c r="BV415" s="330"/>
      <c r="BW415" s="330"/>
      <c r="BX415" s="330"/>
      <c r="BY415" s="330"/>
      <c r="BZ415" s="330"/>
    </row>
    <row r="416" spans="1:78" x14ac:dyDescent="0.25">
      <c r="A416" s="331"/>
      <c r="B416" s="328"/>
      <c r="C416" s="328"/>
      <c r="D416" s="329"/>
      <c r="E416" s="330"/>
      <c r="F416" s="330"/>
      <c r="G416" s="330"/>
      <c r="H416" s="330"/>
      <c r="I416" s="330"/>
      <c r="J416" s="330"/>
      <c r="K416" s="330"/>
      <c r="L416" s="329"/>
      <c r="M416" s="329"/>
      <c r="N416" s="330"/>
      <c r="O416" s="330"/>
      <c r="P416" s="330"/>
      <c r="Q416" s="330"/>
      <c r="R416" s="330"/>
      <c r="S416" s="330"/>
      <c r="T416" s="330"/>
      <c r="U416" s="330"/>
      <c r="V416" s="330"/>
      <c r="W416" s="330"/>
      <c r="X416" s="329"/>
      <c r="Y416" s="330"/>
      <c r="Z416" s="330"/>
      <c r="AA416" s="330"/>
      <c r="AB416" s="330"/>
      <c r="AC416" s="330"/>
      <c r="AD416" s="330"/>
      <c r="AE416" s="330"/>
      <c r="AF416" s="330"/>
      <c r="AG416" s="330"/>
      <c r="AH416" s="330"/>
      <c r="AI416" s="330"/>
      <c r="AJ416" s="330"/>
      <c r="AK416" s="330"/>
      <c r="AL416" s="329"/>
      <c r="AM416" s="329"/>
      <c r="AN416" s="330"/>
      <c r="AO416" s="330"/>
      <c r="AP416" s="330"/>
      <c r="AQ416" s="330"/>
      <c r="AR416" s="231"/>
      <c r="AS416" s="333"/>
      <c r="AT416" s="206"/>
      <c r="AU416" s="328"/>
      <c r="AV416" s="206"/>
      <c r="AW416" s="206"/>
      <c r="AX416" s="206"/>
      <c r="AY416" s="206"/>
      <c r="AZ416" s="206"/>
      <c r="BA416" s="206"/>
      <c r="BB416" s="206"/>
      <c r="BC416" s="206"/>
      <c r="BD416" s="206"/>
      <c r="BE416" s="206"/>
      <c r="BF416" s="206"/>
      <c r="BG416" s="330"/>
      <c r="BH416" s="330"/>
      <c r="BI416" s="330"/>
      <c r="BJ416" s="330"/>
      <c r="BK416" s="330"/>
      <c r="BL416" s="330"/>
      <c r="BM416" s="330"/>
      <c r="BN416" s="330"/>
      <c r="BO416" s="330"/>
      <c r="BP416" s="330"/>
      <c r="BQ416" s="330"/>
      <c r="BR416" s="330"/>
      <c r="BS416" s="330"/>
      <c r="BT416" s="330"/>
      <c r="BU416" s="330"/>
      <c r="BV416" s="330"/>
      <c r="BW416" s="330"/>
      <c r="BX416" s="330"/>
      <c r="BY416" s="330"/>
      <c r="BZ416" s="330"/>
    </row>
    <row r="417" spans="1:78" x14ac:dyDescent="0.25">
      <c r="A417" s="331"/>
      <c r="B417" s="328"/>
      <c r="C417" s="328"/>
      <c r="D417" s="329"/>
      <c r="E417" s="330"/>
      <c r="F417" s="330"/>
      <c r="G417" s="330"/>
      <c r="H417" s="330"/>
      <c r="I417" s="330"/>
      <c r="J417" s="330"/>
      <c r="K417" s="330"/>
      <c r="L417" s="329"/>
      <c r="M417" s="329"/>
      <c r="N417" s="330"/>
      <c r="O417" s="330"/>
      <c r="P417" s="330"/>
      <c r="Q417" s="330"/>
      <c r="R417" s="330"/>
      <c r="S417" s="330"/>
      <c r="T417" s="330"/>
      <c r="U417" s="330"/>
      <c r="V417" s="330"/>
      <c r="W417" s="330"/>
      <c r="X417" s="329"/>
      <c r="Y417" s="330"/>
      <c r="Z417" s="330"/>
      <c r="AA417" s="330"/>
      <c r="AB417" s="330"/>
      <c r="AC417" s="330"/>
      <c r="AD417" s="330"/>
      <c r="AE417" s="330"/>
      <c r="AF417" s="330"/>
      <c r="AG417" s="330"/>
      <c r="AH417" s="330"/>
      <c r="AI417" s="330"/>
      <c r="AJ417" s="330"/>
      <c r="AK417" s="330"/>
      <c r="AL417" s="329"/>
      <c r="AM417" s="329"/>
      <c r="AN417" s="330"/>
      <c r="AO417" s="330"/>
      <c r="AP417" s="330"/>
      <c r="AQ417" s="330"/>
      <c r="AR417" s="231"/>
      <c r="AS417" s="333"/>
      <c r="AT417" s="206"/>
      <c r="AU417" s="328"/>
      <c r="AV417" s="206"/>
      <c r="AW417" s="206"/>
      <c r="AX417" s="206"/>
      <c r="AY417" s="206"/>
      <c r="AZ417" s="206"/>
      <c r="BA417" s="206"/>
      <c r="BB417" s="206"/>
      <c r="BC417" s="206"/>
      <c r="BD417" s="206"/>
      <c r="BE417" s="206"/>
      <c r="BF417" s="206"/>
      <c r="BG417" s="330"/>
      <c r="BH417" s="330"/>
      <c r="BI417" s="330"/>
      <c r="BJ417" s="330"/>
      <c r="BK417" s="330"/>
      <c r="BL417" s="330"/>
      <c r="BM417" s="330"/>
      <c r="BN417" s="330"/>
      <c r="BO417" s="330"/>
      <c r="BP417" s="330"/>
      <c r="BQ417" s="330"/>
      <c r="BR417" s="330"/>
      <c r="BS417" s="330"/>
      <c r="BT417" s="330"/>
      <c r="BU417" s="330"/>
      <c r="BV417" s="330"/>
      <c r="BW417" s="330"/>
      <c r="BX417" s="330"/>
      <c r="BY417" s="330"/>
      <c r="BZ417" s="330"/>
    </row>
    <row r="418" spans="1:78" x14ac:dyDescent="0.25">
      <c r="A418" s="331"/>
      <c r="B418" s="328"/>
      <c r="C418" s="328"/>
      <c r="D418" s="329"/>
      <c r="E418" s="330"/>
      <c r="F418" s="330"/>
      <c r="G418" s="330"/>
      <c r="H418" s="330"/>
      <c r="I418" s="330"/>
      <c r="J418" s="330"/>
      <c r="K418" s="330"/>
      <c r="L418" s="329"/>
      <c r="M418" s="329"/>
      <c r="N418" s="330"/>
      <c r="O418" s="330"/>
      <c r="P418" s="330"/>
      <c r="Q418" s="330"/>
      <c r="R418" s="330"/>
      <c r="S418" s="330"/>
      <c r="T418" s="330"/>
      <c r="U418" s="330"/>
      <c r="V418" s="330"/>
      <c r="W418" s="330"/>
      <c r="X418" s="329"/>
      <c r="Y418" s="330"/>
      <c r="Z418" s="330"/>
      <c r="AA418" s="330"/>
      <c r="AB418" s="330"/>
      <c r="AC418" s="330"/>
      <c r="AD418" s="330"/>
      <c r="AE418" s="330"/>
      <c r="AF418" s="330"/>
      <c r="AG418" s="330"/>
      <c r="AH418" s="330"/>
      <c r="AI418" s="330"/>
      <c r="AJ418" s="330"/>
      <c r="AK418" s="330"/>
      <c r="AL418" s="329"/>
      <c r="AM418" s="329"/>
      <c r="AN418" s="330"/>
      <c r="AO418" s="330"/>
      <c r="AP418" s="330"/>
      <c r="AQ418" s="330"/>
      <c r="AR418" s="231"/>
      <c r="AS418" s="333"/>
      <c r="AT418" s="206"/>
      <c r="AU418" s="328"/>
      <c r="AV418" s="206"/>
      <c r="AW418" s="206"/>
      <c r="AX418" s="206"/>
      <c r="AY418" s="206"/>
      <c r="AZ418" s="206"/>
      <c r="BA418" s="206"/>
      <c r="BB418" s="206"/>
      <c r="BC418" s="206"/>
      <c r="BD418" s="206"/>
      <c r="BE418" s="206"/>
      <c r="BF418" s="206"/>
      <c r="BG418" s="330"/>
      <c r="BH418" s="330"/>
      <c r="BI418" s="330"/>
      <c r="BJ418" s="330"/>
      <c r="BK418" s="330"/>
      <c r="BL418" s="330"/>
      <c r="BM418" s="330"/>
      <c r="BN418" s="330"/>
      <c r="BO418" s="330"/>
      <c r="BP418" s="330"/>
      <c r="BQ418" s="330"/>
      <c r="BR418" s="330"/>
      <c r="BS418" s="330"/>
      <c r="BT418" s="330"/>
      <c r="BU418" s="330"/>
      <c r="BV418" s="330"/>
      <c r="BW418" s="330"/>
      <c r="BX418" s="330"/>
      <c r="BY418" s="330"/>
      <c r="BZ418" s="330"/>
    </row>
    <row r="419" spans="1:78" x14ac:dyDescent="0.25">
      <c r="A419" s="331"/>
      <c r="B419" s="328"/>
      <c r="C419" s="328"/>
      <c r="D419" s="329"/>
      <c r="E419" s="330"/>
      <c r="F419" s="330"/>
      <c r="G419" s="330"/>
      <c r="H419" s="330"/>
      <c r="I419" s="330"/>
      <c r="J419" s="330"/>
      <c r="K419" s="330"/>
      <c r="L419" s="329"/>
      <c r="M419" s="329"/>
      <c r="N419" s="330"/>
      <c r="O419" s="330"/>
      <c r="P419" s="330"/>
      <c r="Q419" s="330"/>
      <c r="R419" s="330"/>
      <c r="S419" s="330"/>
      <c r="T419" s="330"/>
      <c r="U419" s="330"/>
      <c r="V419" s="330"/>
      <c r="W419" s="330"/>
      <c r="X419" s="329"/>
      <c r="Y419" s="330"/>
      <c r="Z419" s="330"/>
      <c r="AA419" s="330"/>
      <c r="AB419" s="330"/>
      <c r="AC419" s="330"/>
      <c r="AD419" s="330"/>
      <c r="AE419" s="330"/>
      <c r="AF419" s="330"/>
      <c r="AG419" s="330"/>
      <c r="AH419" s="330"/>
      <c r="AI419" s="330"/>
      <c r="AJ419" s="330"/>
      <c r="AK419" s="330"/>
      <c r="AL419" s="329"/>
      <c r="AM419" s="329"/>
      <c r="AN419" s="330"/>
      <c r="AO419" s="330"/>
      <c r="AP419" s="330"/>
      <c r="AQ419" s="330"/>
      <c r="AR419" s="231"/>
      <c r="AS419" s="333"/>
      <c r="AT419" s="206"/>
      <c r="AU419" s="328"/>
      <c r="AV419" s="206"/>
      <c r="AW419" s="206"/>
      <c r="AX419" s="206"/>
      <c r="AY419" s="206"/>
      <c r="AZ419" s="206"/>
      <c r="BA419" s="206"/>
      <c r="BB419" s="206"/>
      <c r="BC419" s="206"/>
      <c r="BD419" s="206"/>
      <c r="BE419" s="206"/>
      <c r="BF419" s="206"/>
      <c r="BG419" s="330"/>
      <c r="BH419" s="330"/>
      <c r="BI419" s="330"/>
      <c r="BJ419" s="330"/>
      <c r="BK419" s="330"/>
      <c r="BL419" s="330"/>
      <c r="BM419" s="330"/>
      <c r="BN419" s="330"/>
      <c r="BO419" s="330"/>
      <c r="BP419" s="330"/>
      <c r="BQ419" s="330"/>
      <c r="BR419" s="330"/>
      <c r="BS419" s="330"/>
      <c r="BT419" s="330"/>
      <c r="BU419" s="330"/>
      <c r="BV419" s="330"/>
      <c r="BW419" s="330"/>
      <c r="BX419" s="330"/>
      <c r="BY419" s="330"/>
      <c r="BZ419" s="330"/>
    </row>
    <row r="420" spans="1:78" x14ac:dyDescent="0.25">
      <c r="A420" s="331"/>
      <c r="B420" s="328"/>
      <c r="C420" s="328"/>
      <c r="D420" s="329"/>
      <c r="E420" s="330"/>
      <c r="F420" s="330"/>
      <c r="G420" s="330"/>
      <c r="H420" s="330"/>
      <c r="I420" s="330"/>
      <c r="J420" s="330"/>
      <c r="K420" s="330"/>
      <c r="L420" s="329"/>
      <c r="M420" s="329"/>
      <c r="N420" s="330"/>
      <c r="O420" s="330"/>
      <c r="P420" s="330"/>
      <c r="Q420" s="330"/>
      <c r="R420" s="330"/>
      <c r="S420" s="330"/>
      <c r="T420" s="330"/>
      <c r="U420" s="330"/>
      <c r="V420" s="330"/>
      <c r="W420" s="330"/>
      <c r="X420" s="329"/>
      <c r="Y420" s="330"/>
      <c r="Z420" s="330"/>
      <c r="AA420" s="330"/>
      <c r="AB420" s="330"/>
      <c r="AC420" s="330"/>
      <c r="AD420" s="330"/>
      <c r="AE420" s="330"/>
      <c r="AF420" s="330"/>
      <c r="AG420" s="330"/>
      <c r="AH420" s="330"/>
      <c r="AI420" s="330"/>
      <c r="AJ420" s="330"/>
      <c r="AK420" s="330"/>
      <c r="AL420" s="329"/>
      <c r="AM420" s="329"/>
      <c r="AN420" s="330"/>
      <c r="AO420" s="330"/>
      <c r="AP420" s="330"/>
      <c r="AQ420" s="330"/>
      <c r="AR420" s="231"/>
      <c r="AS420" s="333"/>
      <c r="AT420" s="206"/>
      <c r="AU420" s="328"/>
      <c r="AV420" s="206"/>
      <c r="AW420" s="206"/>
      <c r="AX420" s="206"/>
      <c r="AY420" s="206"/>
      <c r="AZ420" s="206"/>
      <c r="BA420" s="206"/>
      <c r="BB420" s="206"/>
      <c r="BC420" s="206"/>
      <c r="BD420" s="206"/>
      <c r="BE420" s="206"/>
      <c r="BF420" s="206"/>
      <c r="BG420" s="330"/>
      <c r="BH420" s="330"/>
      <c r="BI420" s="330"/>
      <c r="BJ420" s="330"/>
      <c r="BK420" s="330"/>
      <c r="BL420" s="330"/>
      <c r="BM420" s="330"/>
      <c r="BN420" s="330"/>
      <c r="BO420" s="330"/>
      <c r="BP420" s="330"/>
      <c r="BQ420" s="330"/>
      <c r="BR420" s="330"/>
      <c r="BS420" s="330"/>
      <c r="BT420" s="330"/>
      <c r="BU420" s="330"/>
      <c r="BV420" s="330"/>
      <c r="BW420" s="330"/>
      <c r="BX420" s="330"/>
      <c r="BY420" s="330"/>
      <c r="BZ420" s="330"/>
    </row>
    <row r="421" spans="1:78" x14ac:dyDescent="0.25">
      <c r="A421" s="331"/>
      <c r="B421" s="328"/>
      <c r="C421" s="328"/>
      <c r="D421" s="329"/>
      <c r="E421" s="330"/>
      <c r="F421" s="330"/>
      <c r="G421" s="330"/>
      <c r="H421" s="330"/>
      <c r="I421" s="330"/>
      <c r="J421" s="330"/>
      <c r="K421" s="330"/>
      <c r="L421" s="329"/>
      <c r="M421" s="329"/>
      <c r="N421" s="330"/>
      <c r="O421" s="330"/>
      <c r="P421" s="330"/>
      <c r="Q421" s="330"/>
      <c r="R421" s="330"/>
      <c r="S421" s="330"/>
      <c r="T421" s="330"/>
      <c r="U421" s="330"/>
      <c r="V421" s="330"/>
      <c r="W421" s="330"/>
      <c r="X421" s="329"/>
      <c r="Y421" s="330"/>
      <c r="Z421" s="330"/>
      <c r="AA421" s="330"/>
      <c r="AB421" s="330"/>
      <c r="AC421" s="330"/>
      <c r="AD421" s="330"/>
      <c r="AE421" s="330"/>
      <c r="AF421" s="330"/>
      <c r="AG421" s="330"/>
      <c r="AH421" s="330"/>
      <c r="AI421" s="330"/>
      <c r="AJ421" s="330"/>
      <c r="AK421" s="330"/>
      <c r="AL421" s="329"/>
      <c r="AM421" s="329"/>
      <c r="AN421" s="330"/>
      <c r="AO421" s="330"/>
      <c r="AP421" s="330"/>
      <c r="AQ421" s="330"/>
      <c r="AR421" s="231"/>
      <c r="AS421" s="333"/>
      <c r="AT421" s="206"/>
      <c r="AU421" s="328"/>
      <c r="AV421" s="206"/>
      <c r="AW421" s="206"/>
      <c r="AX421" s="206"/>
      <c r="AY421" s="206"/>
      <c r="AZ421" s="206"/>
      <c r="BA421" s="206"/>
      <c r="BB421" s="206"/>
      <c r="BC421" s="206"/>
      <c r="BD421" s="206"/>
      <c r="BE421" s="206"/>
      <c r="BF421" s="206"/>
      <c r="BG421" s="330"/>
      <c r="BH421" s="330"/>
      <c r="BI421" s="330"/>
      <c r="BJ421" s="330"/>
      <c r="BK421" s="330"/>
      <c r="BL421" s="330"/>
      <c r="BM421" s="330"/>
      <c r="BN421" s="330"/>
      <c r="BO421" s="330"/>
      <c r="BP421" s="330"/>
      <c r="BQ421" s="330"/>
      <c r="BR421" s="330"/>
      <c r="BS421" s="330"/>
      <c r="BT421" s="330"/>
      <c r="BU421" s="330"/>
      <c r="BV421" s="330"/>
      <c r="BW421" s="330"/>
      <c r="BX421" s="330"/>
      <c r="BY421" s="330"/>
      <c r="BZ421" s="330"/>
    </row>
    <row r="422" spans="1:78" x14ac:dyDescent="0.25">
      <c r="A422" s="331"/>
      <c r="B422" s="328"/>
      <c r="C422" s="328"/>
      <c r="D422" s="329"/>
      <c r="E422" s="330"/>
      <c r="F422" s="330"/>
      <c r="G422" s="330"/>
      <c r="H422" s="330"/>
      <c r="I422" s="330"/>
      <c r="J422" s="330"/>
      <c r="K422" s="330"/>
      <c r="L422" s="329"/>
      <c r="M422" s="329"/>
      <c r="N422" s="330"/>
      <c r="O422" s="330"/>
      <c r="P422" s="330"/>
      <c r="Q422" s="330"/>
      <c r="R422" s="330"/>
      <c r="S422" s="330"/>
      <c r="T422" s="330"/>
      <c r="U422" s="330"/>
      <c r="V422" s="330"/>
      <c r="W422" s="330"/>
      <c r="X422" s="329"/>
      <c r="Y422" s="330"/>
      <c r="Z422" s="330"/>
      <c r="AA422" s="330"/>
      <c r="AB422" s="330"/>
      <c r="AC422" s="330"/>
      <c r="AD422" s="330"/>
      <c r="AE422" s="330"/>
      <c r="AF422" s="330"/>
      <c r="AG422" s="330"/>
      <c r="AH422" s="330"/>
      <c r="AI422" s="330"/>
      <c r="AJ422" s="330"/>
      <c r="AK422" s="330"/>
      <c r="AL422" s="329"/>
      <c r="AM422" s="329"/>
      <c r="AN422" s="330"/>
      <c r="AO422" s="330"/>
      <c r="AP422" s="330"/>
      <c r="AQ422" s="330"/>
      <c r="AR422" s="231"/>
      <c r="AS422" s="333"/>
      <c r="AT422" s="206"/>
      <c r="AU422" s="328"/>
      <c r="AV422" s="206"/>
      <c r="AW422" s="206"/>
      <c r="AX422" s="206"/>
      <c r="AY422" s="206"/>
      <c r="AZ422" s="206"/>
      <c r="BA422" s="206"/>
      <c r="BB422" s="206"/>
      <c r="BC422" s="206"/>
      <c r="BD422" s="206"/>
      <c r="BE422" s="206"/>
      <c r="BF422" s="206"/>
      <c r="BG422" s="330"/>
      <c r="BH422" s="330"/>
      <c r="BI422" s="330"/>
      <c r="BJ422" s="330"/>
      <c r="BK422" s="330"/>
      <c r="BL422" s="330"/>
      <c r="BM422" s="330"/>
      <c r="BN422" s="330"/>
      <c r="BO422" s="330"/>
      <c r="BP422" s="330"/>
      <c r="BQ422" s="330"/>
      <c r="BR422" s="330"/>
      <c r="BS422" s="330"/>
      <c r="BT422" s="330"/>
      <c r="BU422" s="330"/>
      <c r="BV422" s="330"/>
      <c r="BW422" s="330"/>
      <c r="BX422" s="330"/>
      <c r="BY422" s="330"/>
      <c r="BZ422" s="330"/>
    </row>
    <row r="423" spans="1:78" x14ac:dyDescent="0.25">
      <c r="A423" s="331"/>
      <c r="B423" s="328"/>
      <c r="C423" s="328"/>
      <c r="D423" s="329"/>
      <c r="E423" s="330"/>
      <c r="F423" s="330"/>
      <c r="G423" s="330"/>
      <c r="H423" s="330"/>
      <c r="I423" s="330"/>
      <c r="J423" s="330"/>
      <c r="K423" s="330"/>
      <c r="L423" s="329"/>
      <c r="M423" s="329"/>
      <c r="N423" s="330"/>
      <c r="O423" s="330"/>
      <c r="P423" s="330"/>
      <c r="Q423" s="330"/>
      <c r="R423" s="330"/>
      <c r="S423" s="330"/>
      <c r="T423" s="330"/>
      <c r="U423" s="330"/>
      <c r="V423" s="330"/>
      <c r="W423" s="330"/>
      <c r="X423" s="329"/>
      <c r="Y423" s="330"/>
      <c r="Z423" s="330"/>
      <c r="AA423" s="330"/>
      <c r="AB423" s="330"/>
      <c r="AC423" s="330"/>
      <c r="AD423" s="330"/>
      <c r="AE423" s="330"/>
      <c r="AF423" s="330"/>
      <c r="AG423" s="330"/>
      <c r="AH423" s="330"/>
      <c r="AI423" s="330"/>
      <c r="AJ423" s="330"/>
      <c r="AK423" s="330"/>
      <c r="AL423" s="329"/>
      <c r="AM423" s="329"/>
      <c r="AN423" s="330"/>
      <c r="AO423" s="330"/>
      <c r="AP423" s="330"/>
      <c r="AQ423" s="330"/>
      <c r="AR423" s="231"/>
      <c r="AS423" s="333"/>
      <c r="AT423" s="206"/>
      <c r="AU423" s="328"/>
      <c r="AV423" s="206"/>
      <c r="AW423" s="206"/>
      <c r="AX423" s="206"/>
      <c r="AY423" s="206"/>
      <c r="AZ423" s="206"/>
      <c r="BA423" s="206"/>
      <c r="BB423" s="206"/>
      <c r="BC423" s="206"/>
      <c r="BD423" s="206"/>
      <c r="BE423" s="206"/>
      <c r="BF423" s="206"/>
      <c r="BG423" s="330"/>
      <c r="BH423" s="330"/>
      <c r="BI423" s="330"/>
      <c r="BJ423" s="330"/>
      <c r="BK423" s="330"/>
      <c r="BL423" s="330"/>
      <c r="BM423" s="330"/>
      <c r="BN423" s="330"/>
      <c r="BO423" s="330"/>
      <c r="BP423" s="330"/>
      <c r="BQ423" s="330"/>
      <c r="BR423" s="330"/>
      <c r="BS423" s="330"/>
      <c r="BT423" s="330"/>
      <c r="BU423" s="330"/>
      <c r="BV423" s="330"/>
      <c r="BW423" s="330"/>
      <c r="BX423" s="330"/>
      <c r="BY423" s="330"/>
      <c r="BZ423" s="330"/>
    </row>
    <row r="424" spans="1:78" x14ac:dyDescent="0.25">
      <c r="A424" s="331"/>
      <c r="B424" s="328"/>
      <c r="C424" s="328"/>
      <c r="D424" s="329"/>
      <c r="E424" s="330"/>
      <c r="F424" s="330"/>
      <c r="G424" s="330"/>
      <c r="H424" s="330"/>
      <c r="I424" s="330"/>
      <c r="J424" s="330"/>
      <c r="K424" s="330"/>
      <c r="L424" s="329"/>
      <c r="M424" s="329"/>
      <c r="N424" s="330"/>
      <c r="O424" s="330"/>
      <c r="P424" s="330"/>
      <c r="Q424" s="330"/>
      <c r="R424" s="330"/>
      <c r="S424" s="330"/>
      <c r="T424" s="330"/>
      <c r="U424" s="330"/>
      <c r="V424" s="330"/>
      <c r="W424" s="330"/>
      <c r="X424" s="329"/>
      <c r="Y424" s="330"/>
      <c r="Z424" s="330"/>
      <c r="AA424" s="330"/>
      <c r="AB424" s="330"/>
      <c r="AC424" s="330"/>
      <c r="AD424" s="330"/>
      <c r="AE424" s="330"/>
      <c r="AF424" s="330"/>
      <c r="AG424" s="330"/>
      <c r="AH424" s="330"/>
      <c r="AI424" s="330"/>
      <c r="AJ424" s="330"/>
      <c r="AK424" s="330"/>
      <c r="AL424" s="329"/>
      <c r="AM424" s="329"/>
      <c r="AN424" s="330"/>
      <c r="AO424" s="330"/>
      <c r="AP424" s="330"/>
      <c r="AQ424" s="330"/>
      <c r="AR424" s="231"/>
      <c r="AS424" s="333"/>
      <c r="AT424" s="206"/>
      <c r="AU424" s="328"/>
      <c r="AV424" s="206"/>
      <c r="AW424" s="206"/>
      <c r="AX424" s="206"/>
      <c r="AY424" s="206"/>
      <c r="AZ424" s="206"/>
      <c r="BA424" s="206"/>
      <c r="BB424" s="206"/>
      <c r="BC424" s="206"/>
      <c r="BD424" s="206"/>
      <c r="BE424" s="206"/>
      <c r="BF424" s="206"/>
      <c r="BG424" s="330"/>
      <c r="BH424" s="330"/>
      <c r="BI424" s="330"/>
      <c r="BJ424" s="330"/>
      <c r="BK424" s="330"/>
      <c r="BL424" s="330"/>
      <c r="BM424" s="330"/>
      <c r="BN424" s="330"/>
      <c r="BO424" s="330"/>
      <c r="BP424" s="330"/>
      <c r="BQ424" s="330"/>
      <c r="BR424" s="330"/>
      <c r="BS424" s="330"/>
      <c r="BT424" s="330"/>
      <c r="BU424" s="330"/>
      <c r="BV424" s="330"/>
      <c r="BW424" s="330"/>
      <c r="BX424" s="330"/>
      <c r="BY424" s="330"/>
      <c r="BZ424" s="330"/>
    </row>
    <row r="425" spans="1:78" x14ac:dyDescent="0.25">
      <c r="A425" s="331"/>
      <c r="B425" s="328"/>
      <c r="C425" s="328"/>
      <c r="D425" s="329"/>
      <c r="E425" s="330"/>
      <c r="F425" s="330"/>
      <c r="G425" s="330"/>
      <c r="H425" s="330"/>
      <c r="I425" s="330"/>
      <c r="J425" s="330"/>
      <c r="K425" s="330"/>
      <c r="L425" s="329"/>
      <c r="M425" s="329"/>
      <c r="N425" s="330"/>
      <c r="O425" s="330"/>
      <c r="P425" s="330"/>
      <c r="Q425" s="330"/>
      <c r="R425" s="330"/>
      <c r="S425" s="330"/>
      <c r="T425" s="330"/>
      <c r="U425" s="330"/>
      <c r="V425" s="330"/>
      <c r="W425" s="330"/>
      <c r="X425" s="329"/>
      <c r="Y425" s="330"/>
      <c r="Z425" s="330"/>
      <c r="AA425" s="330"/>
      <c r="AB425" s="330"/>
      <c r="AC425" s="330"/>
      <c r="AD425" s="330"/>
      <c r="AE425" s="330"/>
      <c r="AF425" s="330"/>
      <c r="AG425" s="330"/>
      <c r="AH425" s="330"/>
      <c r="AI425" s="330"/>
      <c r="AJ425" s="330"/>
      <c r="AK425" s="330"/>
      <c r="AL425" s="329"/>
      <c r="AM425" s="329"/>
      <c r="AN425" s="330"/>
      <c r="AO425" s="330"/>
      <c r="AP425" s="330"/>
      <c r="AQ425" s="330"/>
      <c r="AR425" s="231"/>
      <c r="AS425" s="333"/>
      <c r="AT425" s="206"/>
      <c r="AU425" s="328"/>
      <c r="AV425" s="206"/>
      <c r="AW425" s="206"/>
      <c r="AX425" s="206"/>
      <c r="AY425" s="206"/>
      <c r="AZ425" s="206"/>
      <c r="BA425" s="206"/>
      <c r="BB425" s="206"/>
      <c r="BC425" s="206"/>
      <c r="BD425" s="206"/>
      <c r="BE425" s="206"/>
      <c r="BF425" s="206"/>
      <c r="BG425" s="330"/>
      <c r="BH425" s="330"/>
      <c r="BI425" s="330"/>
      <c r="BJ425" s="330"/>
      <c r="BK425" s="330"/>
      <c r="BL425" s="330"/>
      <c r="BM425" s="330"/>
      <c r="BN425" s="330"/>
      <c r="BO425" s="330"/>
      <c r="BP425" s="330"/>
      <c r="BQ425" s="330"/>
      <c r="BR425" s="330"/>
      <c r="BS425" s="330"/>
      <c r="BT425" s="330"/>
      <c r="BU425" s="330"/>
      <c r="BV425" s="330"/>
      <c r="BW425" s="330"/>
      <c r="BX425" s="330"/>
      <c r="BY425" s="330"/>
      <c r="BZ425" s="330"/>
    </row>
    <row r="426" spans="1:78" x14ac:dyDescent="0.25">
      <c r="A426" s="331"/>
      <c r="B426" s="328"/>
      <c r="C426" s="328"/>
      <c r="D426" s="329"/>
      <c r="E426" s="330"/>
      <c r="F426" s="330"/>
      <c r="G426" s="330"/>
      <c r="H426" s="330"/>
      <c r="I426" s="330"/>
      <c r="J426" s="330"/>
      <c r="K426" s="330"/>
      <c r="L426" s="329"/>
      <c r="M426" s="329"/>
      <c r="N426" s="330"/>
      <c r="O426" s="330"/>
      <c r="P426" s="330"/>
      <c r="Q426" s="330"/>
      <c r="R426" s="330"/>
      <c r="S426" s="330"/>
      <c r="T426" s="330"/>
      <c r="U426" s="330"/>
      <c r="V426" s="330"/>
      <c r="W426" s="330"/>
      <c r="X426" s="329"/>
      <c r="Y426" s="330"/>
      <c r="Z426" s="330"/>
      <c r="AA426" s="330"/>
      <c r="AB426" s="330"/>
      <c r="AC426" s="330"/>
      <c r="AD426" s="330"/>
      <c r="AE426" s="330"/>
      <c r="AF426" s="330"/>
      <c r="AG426" s="330"/>
      <c r="AH426" s="330"/>
      <c r="AI426" s="330"/>
      <c r="AJ426" s="330"/>
      <c r="AK426" s="330"/>
      <c r="AL426" s="329"/>
      <c r="AM426" s="329"/>
      <c r="AN426" s="330"/>
      <c r="AO426" s="330"/>
      <c r="AP426" s="330"/>
      <c r="AQ426" s="330"/>
      <c r="AR426" s="231"/>
      <c r="AS426" s="333"/>
      <c r="AT426" s="206"/>
      <c r="AU426" s="328"/>
      <c r="AV426" s="206"/>
      <c r="AW426" s="206"/>
      <c r="AX426" s="206"/>
      <c r="AY426" s="206"/>
      <c r="AZ426" s="206"/>
      <c r="BA426" s="206"/>
      <c r="BB426" s="206"/>
      <c r="BC426" s="206"/>
      <c r="BD426" s="206"/>
      <c r="BE426" s="206"/>
      <c r="BF426" s="206"/>
      <c r="BG426" s="330"/>
      <c r="BH426" s="330"/>
      <c r="BI426" s="330"/>
      <c r="BJ426" s="330"/>
      <c r="BK426" s="330"/>
      <c r="BL426" s="330"/>
      <c r="BM426" s="330"/>
      <c r="BN426" s="330"/>
      <c r="BO426" s="330"/>
      <c r="BP426" s="330"/>
      <c r="BQ426" s="330"/>
      <c r="BR426" s="330"/>
      <c r="BS426" s="330"/>
      <c r="BT426" s="330"/>
      <c r="BU426" s="330"/>
      <c r="BV426" s="330"/>
      <c r="BW426" s="330"/>
      <c r="BX426" s="330"/>
      <c r="BY426" s="330"/>
      <c r="BZ426" s="330"/>
    </row>
    <row r="427" spans="1:78" x14ac:dyDescent="0.25">
      <c r="A427" s="331"/>
      <c r="B427" s="328"/>
      <c r="C427" s="328"/>
      <c r="D427" s="329"/>
      <c r="E427" s="330"/>
      <c r="F427" s="330"/>
      <c r="G427" s="330"/>
      <c r="H427" s="330"/>
      <c r="I427" s="330"/>
      <c r="J427" s="330"/>
      <c r="K427" s="330"/>
      <c r="L427" s="329"/>
      <c r="M427" s="329"/>
      <c r="N427" s="330"/>
      <c r="O427" s="330"/>
      <c r="P427" s="330"/>
      <c r="Q427" s="330"/>
      <c r="R427" s="330"/>
      <c r="S427" s="330"/>
      <c r="T427" s="330"/>
      <c r="U427" s="330"/>
      <c r="V427" s="330"/>
      <c r="W427" s="330"/>
      <c r="X427" s="329"/>
      <c r="Y427" s="330"/>
      <c r="Z427" s="330"/>
      <c r="AA427" s="330"/>
      <c r="AB427" s="330"/>
      <c r="AC427" s="330"/>
      <c r="AD427" s="330"/>
      <c r="AE427" s="330"/>
      <c r="AF427" s="330"/>
      <c r="AG427" s="330"/>
      <c r="AH427" s="330"/>
      <c r="AI427" s="330"/>
      <c r="AJ427" s="330"/>
      <c r="AK427" s="330"/>
      <c r="AL427" s="329"/>
      <c r="AM427" s="329"/>
      <c r="AN427" s="330"/>
      <c r="AO427" s="330"/>
      <c r="AP427" s="330"/>
      <c r="AQ427" s="330"/>
      <c r="AR427" s="231"/>
      <c r="AS427" s="333"/>
      <c r="AT427" s="206"/>
      <c r="AU427" s="328"/>
      <c r="AV427" s="206"/>
      <c r="AW427" s="206"/>
      <c r="AX427" s="206"/>
      <c r="AY427" s="206"/>
      <c r="AZ427" s="206"/>
      <c r="BA427" s="206"/>
      <c r="BB427" s="206"/>
      <c r="BC427" s="206"/>
      <c r="BD427" s="206"/>
      <c r="BE427" s="206"/>
      <c r="BF427" s="206"/>
      <c r="BG427" s="330"/>
      <c r="BH427" s="330"/>
      <c r="BI427" s="330"/>
      <c r="BJ427" s="330"/>
      <c r="BK427" s="330"/>
      <c r="BL427" s="330"/>
      <c r="BM427" s="330"/>
      <c r="BN427" s="330"/>
      <c r="BO427" s="330"/>
      <c r="BP427" s="330"/>
      <c r="BQ427" s="330"/>
      <c r="BR427" s="330"/>
      <c r="BS427" s="330"/>
      <c r="BT427" s="330"/>
      <c r="BU427" s="330"/>
      <c r="BV427" s="330"/>
      <c r="BW427" s="330"/>
      <c r="BX427" s="330"/>
      <c r="BY427" s="330"/>
      <c r="BZ427" s="330"/>
    </row>
    <row r="428" spans="1:78" x14ac:dyDescent="0.25">
      <c r="A428" s="331"/>
      <c r="B428" s="328"/>
      <c r="C428" s="328"/>
      <c r="D428" s="329"/>
      <c r="E428" s="330"/>
      <c r="F428" s="330"/>
      <c r="G428" s="330"/>
      <c r="H428" s="330"/>
      <c r="I428" s="330"/>
      <c r="J428" s="330"/>
      <c r="K428" s="330"/>
      <c r="L428" s="329"/>
      <c r="M428" s="329"/>
      <c r="N428" s="330"/>
      <c r="O428" s="330"/>
      <c r="P428" s="330"/>
      <c r="Q428" s="330"/>
      <c r="R428" s="330"/>
      <c r="S428" s="330"/>
      <c r="T428" s="330"/>
      <c r="U428" s="330"/>
      <c r="V428" s="330"/>
      <c r="W428" s="330"/>
      <c r="X428" s="329"/>
      <c r="Y428" s="330"/>
      <c r="Z428" s="330"/>
      <c r="AA428" s="330"/>
      <c r="AB428" s="330"/>
      <c r="AC428" s="330"/>
      <c r="AD428" s="330"/>
      <c r="AE428" s="330"/>
      <c r="AF428" s="330"/>
      <c r="AG428" s="330"/>
      <c r="AH428" s="330"/>
      <c r="AI428" s="330"/>
      <c r="AJ428" s="330"/>
      <c r="AK428" s="330"/>
      <c r="AL428" s="329"/>
      <c r="AM428" s="329"/>
      <c r="AN428" s="330"/>
      <c r="AO428" s="330"/>
      <c r="AP428" s="330"/>
      <c r="AQ428" s="330"/>
      <c r="AR428" s="231"/>
      <c r="AS428" s="333"/>
      <c r="AT428" s="206"/>
      <c r="AU428" s="328"/>
      <c r="AV428" s="206"/>
      <c r="AW428" s="206"/>
      <c r="AX428" s="206"/>
      <c r="AY428" s="206"/>
      <c r="AZ428" s="206"/>
      <c r="BA428" s="206"/>
      <c r="BB428" s="206"/>
      <c r="BC428" s="206"/>
      <c r="BD428" s="206"/>
      <c r="BE428" s="206"/>
      <c r="BF428" s="206"/>
      <c r="BG428" s="330"/>
      <c r="BH428" s="330"/>
      <c r="BI428" s="330"/>
      <c r="BJ428" s="330"/>
      <c r="BK428" s="330"/>
      <c r="BL428" s="330"/>
      <c r="BM428" s="330"/>
      <c r="BN428" s="330"/>
      <c r="BO428" s="330"/>
      <c r="BP428" s="330"/>
      <c r="BQ428" s="330"/>
      <c r="BR428" s="330"/>
      <c r="BS428" s="330"/>
      <c r="BT428" s="330"/>
      <c r="BU428" s="330"/>
      <c r="BV428" s="330"/>
      <c r="BW428" s="330"/>
      <c r="BX428" s="330"/>
      <c r="BY428" s="330"/>
      <c r="BZ428" s="330"/>
    </row>
    <row r="429" spans="1:78" x14ac:dyDescent="0.25">
      <c r="A429" s="331"/>
      <c r="B429" s="328"/>
      <c r="C429" s="328"/>
      <c r="D429" s="329"/>
      <c r="E429" s="330"/>
      <c r="F429" s="330"/>
      <c r="G429" s="330"/>
      <c r="H429" s="330"/>
      <c r="I429" s="330"/>
      <c r="J429" s="330"/>
      <c r="K429" s="330"/>
      <c r="L429" s="329"/>
      <c r="M429" s="329"/>
      <c r="N429" s="330"/>
      <c r="O429" s="330"/>
      <c r="P429" s="330"/>
      <c r="Q429" s="330"/>
      <c r="R429" s="330"/>
      <c r="S429" s="330"/>
      <c r="T429" s="330"/>
      <c r="U429" s="330"/>
      <c r="V429" s="330"/>
      <c r="W429" s="330"/>
      <c r="X429" s="329"/>
      <c r="Y429" s="330"/>
      <c r="Z429" s="330"/>
      <c r="AA429" s="330"/>
      <c r="AB429" s="330"/>
      <c r="AC429" s="330"/>
      <c r="AD429" s="330"/>
      <c r="AE429" s="330"/>
      <c r="AF429" s="330"/>
      <c r="AG429" s="330"/>
      <c r="AH429" s="330"/>
      <c r="AI429" s="330"/>
      <c r="AJ429" s="330"/>
      <c r="AK429" s="330"/>
      <c r="AL429" s="329"/>
      <c r="AM429" s="329"/>
      <c r="AN429" s="330"/>
      <c r="AO429" s="330"/>
      <c r="AP429" s="330"/>
      <c r="AQ429" s="330"/>
      <c r="AR429" s="231"/>
      <c r="AS429" s="333"/>
      <c r="AT429" s="206"/>
      <c r="AU429" s="328"/>
      <c r="AV429" s="206"/>
      <c r="AW429" s="206"/>
      <c r="AX429" s="206"/>
      <c r="AY429" s="206"/>
      <c r="AZ429" s="206"/>
      <c r="BA429" s="206"/>
      <c r="BB429" s="206"/>
      <c r="BC429" s="206"/>
      <c r="BD429" s="206"/>
      <c r="BE429" s="206"/>
      <c r="BF429" s="206"/>
      <c r="BG429" s="330"/>
      <c r="BH429" s="330"/>
      <c r="BI429" s="330"/>
      <c r="BJ429" s="330"/>
      <c r="BK429" s="330"/>
      <c r="BL429" s="330"/>
      <c r="BM429" s="330"/>
      <c r="BN429" s="330"/>
      <c r="BO429" s="330"/>
      <c r="BP429" s="330"/>
      <c r="BQ429" s="330"/>
      <c r="BR429" s="330"/>
      <c r="BS429" s="330"/>
      <c r="BT429" s="330"/>
      <c r="BU429" s="330"/>
      <c r="BV429" s="330"/>
      <c r="BW429" s="330"/>
      <c r="BX429" s="330"/>
      <c r="BY429" s="330"/>
      <c r="BZ429" s="330"/>
    </row>
    <row r="430" spans="1:78" x14ac:dyDescent="0.25">
      <c r="A430" s="331"/>
      <c r="B430" s="328"/>
      <c r="C430" s="328"/>
      <c r="D430" s="329"/>
      <c r="E430" s="330"/>
      <c r="F430" s="330"/>
      <c r="G430" s="330"/>
      <c r="H430" s="330"/>
      <c r="I430" s="330"/>
      <c r="J430" s="330"/>
      <c r="K430" s="330"/>
      <c r="L430" s="329"/>
      <c r="M430" s="329"/>
      <c r="N430" s="330"/>
      <c r="O430" s="330"/>
      <c r="P430" s="330"/>
      <c r="Q430" s="330"/>
      <c r="R430" s="330"/>
      <c r="S430" s="330"/>
      <c r="T430" s="330"/>
      <c r="U430" s="330"/>
      <c r="V430" s="330"/>
      <c r="W430" s="330"/>
      <c r="X430" s="329"/>
      <c r="Y430" s="330"/>
      <c r="Z430" s="330"/>
      <c r="AA430" s="330"/>
      <c r="AB430" s="330"/>
      <c r="AC430" s="330"/>
      <c r="AD430" s="330"/>
      <c r="AE430" s="330"/>
      <c r="AF430" s="330"/>
      <c r="AG430" s="330"/>
      <c r="AH430" s="330"/>
      <c r="AI430" s="330"/>
      <c r="AJ430" s="330"/>
      <c r="AK430" s="330"/>
      <c r="AL430" s="329"/>
      <c r="AM430" s="329"/>
      <c r="AN430" s="330"/>
      <c r="AO430" s="330"/>
      <c r="AP430" s="330"/>
      <c r="AQ430" s="330"/>
      <c r="AR430" s="231"/>
      <c r="AS430" s="333"/>
      <c r="AT430" s="206"/>
      <c r="AU430" s="328"/>
      <c r="AV430" s="206"/>
      <c r="AW430" s="206"/>
      <c r="AX430" s="206"/>
      <c r="AY430" s="206"/>
      <c r="AZ430" s="206"/>
      <c r="BA430" s="206"/>
      <c r="BB430" s="206"/>
      <c r="BC430" s="206"/>
      <c r="BD430" s="206"/>
      <c r="BE430" s="206"/>
      <c r="BF430" s="206"/>
      <c r="BG430" s="330"/>
      <c r="BH430" s="330"/>
      <c r="BI430" s="330"/>
      <c r="BJ430" s="330"/>
      <c r="BK430" s="330"/>
      <c r="BL430" s="330"/>
      <c r="BM430" s="330"/>
      <c r="BN430" s="330"/>
      <c r="BO430" s="330"/>
      <c r="BP430" s="330"/>
      <c r="BQ430" s="330"/>
      <c r="BR430" s="330"/>
      <c r="BS430" s="330"/>
      <c r="BT430" s="330"/>
      <c r="BU430" s="330"/>
      <c r="BV430" s="330"/>
      <c r="BW430" s="330"/>
      <c r="BX430" s="330"/>
      <c r="BY430" s="330"/>
      <c r="BZ430" s="330"/>
    </row>
    <row r="431" spans="1:78" x14ac:dyDescent="0.25">
      <c r="A431" s="331"/>
      <c r="B431" s="328"/>
      <c r="C431" s="328"/>
      <c r="D431" s="329"/>
      <c r="E431" s="330"/>
      <c r="F431" s="330"/>
      <c r="G431" s="330"/>
      <c r="H431" s="330"/>
      <c r="I431" s="330"/>
      <c r="J431" s="330"/>
      <c r="K431" s="330"/>
      <c r="L431" s="329"/>
      <c r="M431" s="329"/>
      <c r="N431" s="330"/>
      <c r="O431" s="330"/>
      <c r="P431" s="330"/>
      <c r="Q431" s="330"/>
      <c r="R431" s="330"/>
      <c r="S431" s="330"/>
      <c r="T431" s="330"/>
      <c r="U431" s="330"/>
      <c r="V431" s="330"/>
      <c r="W431" s="330"/>
      <c r="X431" s="329"/>
      <c r="Y431" s="330"/>
      <c r="Z431" s="330"/>
      <c r="AA431" s="330"/>
      <c r="AB431" s="330"/>
      <c r="AC431" s="330"/>
      <c r="AD431" s="330"/>
      <c r="AE431" s="330"/>
      <c r="AF431" s="330"/>
      <c r="AG431" s="330"/>
      <c r="AH431" s="330"/>
      <c r="AI431" s="330"/>
      <c r="AJ431" s="330"/>
      <c r="AK431" s="330"/>
      <c r="AL431" s="329"/>
      <c r="AM431" s="329"/>
      <c r="AN431" s="330"/>
      <c r="AO431" s="330"/>
      <c r="AP431" s="330"/>
      <c r="AQ431" s="330"/>
      <c r="AR431" s="231"/>
      <c r="AS431" s="333"/>
      <c r="AT431" s="206"/>
      <c r="AU431" s="328"/>
      <c r="AV431" s="206"/>
      <c r="AW431" s="206"/>
      <c r="AX431" s="206"/>
      <c r="AY431" s="206"/>
      <c r="AZ431" s="206"/>
      <c r="BA431" s="206"/>
      <c r="BB431" s="206"/>
      <c r="BC431" s="206"/>
      <c r="BD431" s="206"/>
      <c r="BE431" s="206"/>
      <c r="BF431" s="206"/>
      <c r="BG431" s="330"/>
      <c r="BH431" s="330"/>
      <c r="BI431" s="330"/>
      <c r="BJ431" s="330"/>
      <c r="BK431" s="330"/>
      <c r="BL431" s="330"/>
      <c r="BM431" s="330"/>
      <c r="BN431" s="330"/>
      <c r="BO431" s="330"/>
      <c r="BP431" s="330"/>
      <c r="BQ431" s="330"/>
      <c r="BR431" s="330"/>
      <c r="BS431" s="330"/>
      <c r="BT431" s="330"/>
      <c r="BU431" s="330"/>
      <c r="BV431" s="330"/>
      <c r="BW431" s="330"/>
      <c r="BX431" s="330"/>
      <c r="BY431" s="330"/>
      <c r="BZ431" s="330"/>
    </row>
    <row r="432" spans="1:78" x14ac:dyDescent="0.25">
      <c r="A432" s="331"/>
      <c r="B432" s="328"/>
      <c r="C432" s="328"/>
      <c r="D432" s="329"/>
      <c r="E432" s="330"/>
      <c r="F432" s="330"/>
      <c r="G432" s="330"/>
      <c r="H432" s="330"/>
      <c r="I432" s="330"/>
      <c r="J432" s="330"/>
      <c r="K432" s="330"/>
      <c r="L432" s="329"/>
      <c r="M432" s="329"/>
      <c r="N432" s="330"/>
      <c r="O432" s="330"/>
      <c r="P432" s="330"/>
      <c r="Q432" s="330"/>
      <c r="R432" s="330"/>
      <c r="S432" s="330"/>
      <c r="T432" s="330"/>
      <c r="U432" s="330"/>
      <c r="V432" s="330"/>
      <c r="W432" s="330"/>
      <c r="X432" s="329"/>
      <c r="Y432" s="330"/>
      <c r="Z432" s="330"/>
      <c r="AA432" s="330"/>
      <c r="AB432" s="330"/>
      <c r="AC432" s="330"/>
      <c r="AD432" s="330"/>
      <c r="AE432" s="330"/>
      <c r="AF432" s="330"/>
      <c r="AG432" s="330"/>
      <c r="AH432" s="330"/>
      <c r="AI432" s="330"/>
      <c r="AJ432" s="330"/>
      <c r="AK432" s="330"/>
      <c r="AL432" s="329"/>
      <c r="AM432" s="329"/>
      <c r="AN432" s="330"/>
      <c r="AO432" s="330"/>
      <c r="AP432" s="330"/>
      <c r="AQ432" s="330"/>
      <c r="AR432" s="231"/>
      <c r="AS432" s="333"/>
      <c r="AT432" s="206"/>
      <c r="AU432" s="328"/>
      <c r="AV432" s="206"/>
      <c r="AW432" s="206"/>
      <c r="AX432" s="206"/>
      <c r="AY432" s="206"/>
      <c r="AZ432" s="206"/>
      <c r="BA432" s="206"/>
      <c r="BB432" s="206"/>
      <c r="BC432" s="206"/>
      <c r="BD432" s="206"/>
      <c r="BE432" s="206"/>
      <c r="BF432" s="206"/>
      <c r="BG432" s="330"/>
      <c r="BH432" s="330"/>
      <c r="BI432" s="330"/>
      <c r="BJ432" s="330"/>
      <c r="BK432" s="330"/>
      <c r="BL432" s="330"/>
      <c r="BM432" s="330"/>
      <c r="BN432" s="330"/>
      <c r="BO432" s="330"/>
      <c r="BP432" s="330"/>
      <c r="BQ432" s="330"/>
      <c r="BR432" s="330"/>
      <c r="BS432" s="330"/>
      <c r="BT432" s="330"/>
      <c r="BU432" s="330"/>
      <c r="BV432" s="330"/>
      <c r="BW432" s="330"/>
      <c r="BX432" s="330"/>
      <c r="BY432" s="330"/>
      <c r="BZ432" s="330"/>
    </row>
    <row r="433" spans="1:78" x14ac:dyDescent="0.25">
      <c r="A433" s="331"/>
      <c r="B433" s="328"/>
      <c r="C433" s="328"/>
      <c r="D433" s="329"/>
      <c r="E433" s="330"/>
      <c r="F433" s="330"/>
      <c r="G433" s="330"/>
      <c r="H433" s="330"/>
      <c r="I433" s="330"/>
      <c r="J433" s="330"/>
      <c r="K433" s="330"/>
      <c r="L433" s="329"/>
      <c r="M433" s="329"/>
      <c r="N433" s="330"/>
      <c r="O433" s="330"/>
      <c r="P433" s="330"/>
      <c r="Q433" s="330"/>
      <c r="R433" s="330"/>
      <c r="S433" s="330"/>
      <c r="T433" s="330"/>
      <c r="U433" s="330"/>
      <c r="V433" s="330"/>
      <c r="W433" s="330"/>
      <c r="X433" s="329"/>
      <c r="Y433" s="330"/>
      <c r="Z433" s="330"/>
      <c r="AA433" s="330"/>
      <c r="AB433" s="330"/>
      <c r="AC433" s="330"/>
      <c r="AD433" s="330"/>
      <c r="AE433" s="330"/>
      <c r="AF433" s="330"/>
      <c r="AG433" s="330"/>
      <c r="AH433" s="330"/>
      <c r="AI433" s="330"/>
      <c r="AJ433" s="330"/>
      <c r="AK433" s="330"/>
      <c r="AL433" s="329"/>
      <c r="AM433" s="329"/>
      <c r="AN433" s="330"/>
      <c r="AO433" s="330"/>
      <c r="AP433" s="330"/>
      <c r="AQ433" s="330"/>
      <c r="AR433" s="231"/>
      <c r="AS433" s="333"/>
      <c r="AT433" s="206"/>
      <c r="AU433" s="328"/>
      <c r="AV433" s="206"/>
      <c r="AW433" s="206"/>
      <c r="AX433" s="206"/>
      <c r="AY433" s="206"/>
      <c r="AZ433" s="206"/>
      <c r="BA433" s="206"/>
      <c r="BB433" s="206"/>
      <c r="BC433" s="206"/>
      <c r="BD433" s="206"/>
      <c r="BE433" s="206"/>
      <c r="BF433" s="206"/>
      <c r="BG433" s="330"/>
      <c r="BH433" s="330"/>
      <c r="BI433" s="330"/>
      <c r="BJ433" s="330"/>
      <c r="BK433" s="330"/>
      <c r="BL433" s="330"/>
      <c r="BM433" s="330"/>
      <c r="BN433" s="330"/>
      <c r="BO433" s="330"/>
      <c r="BP433" s="330"/>
      <c r="BQ433" s="330"/>
      <c r="BR433" s="330"/>
      <c r="BS433" s="330"/>
      <c r="BT433" s="330"/>
      <c r="BU433" s="330"/>
      <c r="BV433" s="330"/>
      <c r="BW433" s="330"/>
      <c r="BX433" s="330"/>
      <c r="BY433" s="330"/>
      <c r="BZ433" s="330"/>
    </row>
    <row r="434" spans="1:78" x14ac:dyDescent="0.25">
      <c r="A434" s="331"/>
      <c r="B434" s="328"/>
      <c r="C434" s="328"/>
      <c r="D434" s="329"/>
      <c r="E434" s="330"/>
      <c r="F434" s="330"/>
      <c r="G434" s="330"/>
      <c r="H434" s="330"/>
      <c r="I434" s="330"/>
      <c r="J434" s="330"/>
      <c r="K434" s="330"/>
      <c r="L434" s="329"/>
      <c r="M434" s="329"/>
      <c r="N434" s="330"/>
      <c r="O434" s="330"/>
      <c r="P434" s="330"/>
      <c r="Q434" s="330"/>
      <c r="R434" s="330"/>
      <c r="S434" s="330"/>
      <c r="T434" s="330"/>
      <c r="U434" s="330"/>
      <c r="V434" s="330"/>
      <c r="W434" s="330"/>
      <c r="X434" s="329"/>
      <c r="Y434" s="330"/>
      <c r="Z434" s="330"/>
      <c r="AA434" s="330"/>
      <c r="AB434" s="330"/>
      <c r="AC434" s="330"/>
      <c r="AD434" s="330"/>
      <c r="AE434" s="330"/>
      <c r="AF434" s="330"/>
      <c r="AG434" s="330"/>
      <c r="AH434" s="330"/>
      <c r="AI434" s="330"/>
      <c r="AJ434" s="330"/>
      <c r="AK434" s="330"/>
      <c r="AL434" s="329"/>
      <c r="AM434" s="329"/>
      <c r="AN434" s="330"/>
      <c r="AO434" s="330"/>
      <c r="AP434" s="330"/>
      <c r="AQ434" s="330"/>
      <c r="AR434" s="231"/>
      <c r="AS434" s="333"/>
      <c r="AT434" s="206"/>
      <c r="AU434" s="328"/>
      <c r="AV434" s="206"/>
      <c r="AW434" s="206"/>
      <c r="AX434" s="206"/>
      <c r="AY434" s="206"/>
      <c r="AZ434" s="206"/>
      <c r="BA434" s="206"/>
      <c r="BB434" s="206"/>
      <c r="BC434" s="206"/>
      <c r="BD434" s="206"/>
      <c r="BE434" s="206"/>
      <c r="BF434" s="206"/>
      <c r="BG434" s="330"/>
      <c r="BH434" s="330"/>
      <c r="BI434" s="330"/>
      <c r="BJ434" s="330"/>
      <c r="BK434" s="330"/>
      <c r="BL434" s="330"/>
      <c r="BM434" s="330"/>
      <c r="BN434" s="330"/>
      <c r="BO434" s="330"/>
      <c r="BP434" s="330"/>
      <c r="BQ434" s="330"/>
      <c r="BR434" s="330"/>
      <c r="BS434" s="330"/>
      <c r="BT434" s="330"/>
      <c r="BU434" s="330"/>
      <c r="BV434" s="330"/>
      <c r="BW434" s="330"/>
      <c r="BX434" s="330"/>
      <c r="BY434" s="330"/>
      <c r="BZ434" s="330"/>
    </row>
    <row r="435" spans="1:78" x14ac:dyDescent="0.25">
      <c r="A435" s="331"/>
      <c r="B435" s="328"/>
      <c r="C435" s="328"/>
      <c r="D435" s="329"/>
      <c r="E435" s="330"/>
      <c r="F435" s="330"/>
      <c r="G435" s="330"/>
      <c r="H435" s="330"/>
      <c r="I435" s="330"/>
      <c r="J435" s="330"/>
      <c r="K435" s="330"/>
      <c r="L435" s="329"/>
      <c r="M435" s="329"/>
      <c r="N435" s="330"/>
      <c r="O435" s="330"/>
      <c r="P435" s="330"/>
      <c r="Q435" s="330"/>
      <c r="R435" s="330"/>
      <c r="S435" s="330"/>
      <c r="T435" s="330"/>
      <c r="U435" s="330"/>
      <c r="V435" s="330"/>
      <c r="W435" s="330"/>
      <c r="X435" s="329"/>
      <c r="Y435" s="330"/>
      <c r="Z435" s="330"/>
      <c r="AA435" s="330"/>
      <c r="AB435" s="330"/>
      <c r="AC435" s="330"/>
      <c r="AD435" s="330"/>
      <c r="AE435" s="330"/>
      <c r="AF435" s="330"/>
      <c r="AG435" s="330"/>
      <c r="AH435" s="330"/>
      <c r="AI435" s="330"/>
      <c r="AJ435" s="330"/>
      <c r="AK435" s="330"/>
      <c r="AL435" s="329"/>
      <c r="AM435" s="329"/>
      <c r="AN435" s="330"/>
      <c r="AO435" s="330"/>
      <c r="AP435" s="330"/>
      <c r="AQ435" s="330"/>
      <c r="AR435" s="231"/>
      <c r="AS435" s="333"/>
      <c r="AT435" s="206"/>
      <c r="AU435" s="328"/>
      <c r="AV435" s="206"/>
      <c r="AW435" s="206"/>
      <c r="AX435" s="206"/>
      <c r="AY435" s="206"/>
      <c r="AZ435" s="206"/>
      <c r="BA435" s="206"/>
      <c r="BB435" s="206"/>
      <c r="BC435" s="206"/>
      <c r="BD435" s="206"/>
      <c r="BE435" s="206"/>
      <c r="BF435" s="206"/>
      <c r="BG435" s="330"/>
      <c r="BH435" s="330"/>
      <c r="BI435" s="330"/>
      <c r="BJ435" s="330"/>
      <c r="BK435" s="330"/>
      <c r="BL435" s="330"/>
      <c r="BM435" s="330"/>
      <c r="BN435" s="330"/>
      <c r="BO435" s="330"/>
      <c r="BP435" s="330"/>
      <c r="BQ435" s="330"/>
      <c r="BR435" s="330"/>
      <c r="BS435" s="330"/>
      <c r="BT435" s="330"/>
      <c r="BU435" s="330"/>
      <c r="BV435" s="330"/>
      <c r="BW435" s="330"/>
      <c r="BX435" s="330"/>
      <c r="BY435" s="330"/>
      <c r="BZ435" s="330"/>
    </row>
    <row r="436" spans="1:78" x14ac:dyDescent="0.25">
      <c r="A436" s="331"/>
      <c r="B436" s="328"/>
      <c r="C436" s="328"/>
      <c r="D436" s="329"/>
      <c r="E436" s="330"/>
      <c r="F436" s="330"/>
      <c r="G436" s="330"/>
      <c r="H436" s="330"/>
      <c r="I436" s="330"/>
      <c r="J436" s="330"/>
      <c r="K436" s="330"/>
      <c r="L436" s="329"/>
      <c r="M436" s="329"/>
      <c r="N436" s="330"/>
      <c r="O436" s="330"/>
      <c r="P436" s="330"/>
      <c r="Q436" s="330"/>
      <c r="R436" s="330"/>
      <c r="S436" s="330"/>
      <c r="T436" s="330"/>
      <c r="U436" s="330"/>
      <c r="V436" s="330"/>
      <c r="W436" s="330"/>
      <c r="X436" s="329"/>
      <c r="Y436" s="330"/>
      <c r="Z436" s="330"/>
      <c r="AA436" s="330"/>
      <c r="AB436" s="330"/>
      <c r="AC436" s="330"/>
      <c r="AD436" s="330"/>
      <c r="AE436" s="330"/>
      <c r="AF436" s="330"/>
      <c r="AG436" s="330"/>
      <c r="AH436" s="330"/>
      <c r="AI436" s="330"/>
      <c r="AJ436" s="330"/>
      <c r="AK436" s="330"/>
      <c r="AL436" s="329"/>
      <c r="AM436" s="329"/>
      <c r="AN436" s="330"/>
      <c r="AO436" s="330"/>
      <c r="AP436" s="330"/>
      <c r="AQ436" s="330"/>
      <c r="AR436" s="231"/>
      <c r="AS436" s="333"/>
      <c r="AT436" s="206"/>
      <c r="AU436" s="328"/>
      <c r="AV436" s="206"/>
      <c r="AW436" s="206"/>
      <c r="AX436" s="206"/>
      <c r="AY436" s="206"/>
      <c r="AZ436" s="206"/>
      <c r="BA436" s="206"/>
      <c r="BB436" s="206"/>
      <c r="BC436" s="206"/>
      <c r="BD436" s="206"/>
      <c r="BE436" s="206"/>
      <c r="BF436" s="206"/>
      <c r="BG436" s="330"/>
      <c r="BH436" s="330"/>
      <c r="BI436" s="330"/>
      <c r="BJ436" s="330"/>
      <c r="BK436" s="330"/>
      <c r="BL436" s="330"/>
      <c r="BM436" s="330"/>
      <c r="BN436" s="330"/>
      <c r="BO436" s="330"/>
      <c r="BP436" s="330"/>
      <c r="BQ436" s="330"/>
      <c r="BR436" s="330"/>
      <c r="BS436" s="330"/>
      <c r="BT436" s="330"/>
      <c r="BU436" s="330"/>
      <c r="BV436" s="330"/>
      <c r="BW436" s="330"/>
      <c r="BX436" s="330"/>
      <c r="BY436" s="330"/>
      <c r="BZ436" s="330"/>
    </row>
    <row r="437" spans="1:78" x14ac:dyDescent="0.25">
      <c r="A437" s="331"/>
      <c r="B437" s="328"/>
      <c r="C437" s="328"/>
      <c r="D437" s="329"/>
      <c r="E437" s="330"/>
      <c r="F437" s="330"/>
      <c r="G437" s="330"/>
      <c r="H437" s="330"/>
      <c r="I437" s="330"/>
      <c r="J437" s="330"/>
      <c r="K437" s="330"/>
      <c r="L437" s="329"/>
      <c r="M437" s="329"/>
      <c r="N437" s="330"/>
      <c r="O437" s="330"/>
      <c r="P437" s="330"/>
      <c r="Q437" s="330"/>
      <c r="R437" s="330"/>
      <c r="S437" s="330"/>
      <c r="T437" s="330"/>
      <c r="U437" s="330"/>
      <c r="V437" s="330"/>
      <c r="W437" s="330"/>
      <c r="X437" s="329"/>
      <c r="Y437" s="330"/>
      <c r="Z437" s="330"/>
      <c r="AA437" s="330"/>
      <c r="AB437" s="330"/>
      <c r="AC437" s="330"/>
      <c r="AD437" s="330"/>
      <c r="AE437" s="330"/>
      <c r="AF437" s="330"/>
      <c r="AG437" s="330"/>
      <c r="AH437" s="330"/>
      <c r="AI437" s="330"/>
      <c r="AJ437" s="330"/>
      <c r="AK437" s="330"/>
      <c r="AL437" s="329"/>
      <c r="AM437" s="329"/>
      <c r="AN437" s="330"/>
      <c r="AO437" s="330"/>
      <c r="AP437" s="330"/>
      <c r="AQ437" s="330"/>
      <c r="AR437" s="231"/>
      <c r="AS437" s="333"/>
      <c r="AT437" s="206"/>
      <c r="AU437" s="328"/>
      <c r="AV437" s="206"/>
      <c r="AW437" s="206"/>
      <c r="AX437" s="206"/>
      <c r="AY437" s="206"/>
      <c r="AZ437" s="206"/>
      <c r="BA437" s="206"/>
      <c r="BB437" s="206"/>
      <c r="BC437" s="206"/>
      <c r="BD437" s="206"/>
      <c r="BE437" s="206"/>
      <c r="BF437" s="206"/>
      <c r="BG437" s="330"/>
      <c r="BH437" s="330"/>
      <c r="BI437" s="330"/>
      <c r="BJ437" s="330"/>
      <c r="BK437" s="330"/>
      <c r="BL437" s="330"/>
      <c r="BM437" s="330"/>
      <c r="BN437" s="330"/>
      <c r="BO437" s="330"/>
      <c r="BP437" s="330"/>
      <c r="BQ437" s="330"/>
      <c r="BR437" s="330"/>
      <c r="BS437" s="330"/>
      <c r="BT437" s="330"/>
      <c r="BU437" s="330"/>
      <c r="BV437" s="330"/>
      <c r="BW437" s="330"/>
      <c r="BX437" s="330"/>
      <c r="BY437" s="330"/>
      <c r="BZ437" s="330"/>
    </row>
    <row r="438" spans="1:78" x14ac:dyDescent="0.25">
      <c r="A438" s="331"/>
      <c r="B438" s="328"/>
      <c r="C438" s="328"/>
      <c r="D438" s="329"/>
      <c r="E438" s="330"/>
      <c r="F438" s="330"/>
      <c r="G438" s="330"/>
      <c r="H438" s="330"/>
      <c r="I438" s="330"/>
      <c r="J438" s="330"/>
      <c r="K438" s="330"/>
      <c r="L438" s="329"/>
      <c r="M438" s="329"/>
      <c r="N438" s="330"/>
      <c r="O438" s="330"/>
      <c r="P438" s="330"/>
      <c r="Q438" s="330"/>
      <c r="R438" s="330"/>
      <c r="S438" s="330"/>
      <c r="T438" s="330"/>
      <c r="U438" s="330"/>
      <c r="V438" s="330"/>
      <c r="W438" s="330"/>
      <c r="X438" s="329"/>
      <c r="Y438" s="330"/>
      <c r="Z438" s="330"/>
      <c r="AA438" s="330"/>
      <c r="AB438" s="330"/>
      <c r="AC438" s="330"/>
      <c r="AD438" s="330"/>
      <c r="AE438" s="330"/>
      <c r="AF438" s="330"/>
      <c r="AG438" s="330"/>
      <c r="AH438" s="330"/>
      <c r="AI438" s="330"/>
      <c r="AJ438" s="330"/>
      <c r="AK438" s="330"/>
      <c r="AL438" s="329"/>
      <c r="AM438" s="329"/>
      <c r="AN438" s="330"/>
      <c r="AO438" s="330"/>
      <c r="AP438" s="330"/>
      <c r="AQ438" s="330"/>
      <c r="AR438" s="231"/>
      <c r="AS438" s="333"/>
      <c r="AT438" s="206"/>
      <c r="AU438" s="328"/>
      <c r="AV438" s="206"/>
      <c r="AW438" s="206"/>
      <c r="AX438" s="206"/>
      <c r="AY438" s="206"/>
      <c r="AZ438" s="206"/>
      <c r="BA438" s="206"/>
      <c r="BB438" s="206"/>
      <c r="BC438" s="206"/>
      <c r="BD438" s="206"/>
      <c r="BE438" s="206"/>
      <c r="BF438" s="206"/>
      <c r="BG438" s="330"/>
      <c r="BH438" s="330"/>
      <c r="BI438" s="330"/>
      <c r="BJ438" s="330"/>
      <c r="BK438" s="330"/>
      <c r="BL438" s="330"/>
      <c r="BM438" s="330"/>
      <c r="BN438" s="330"/>
      <c r="BO438" s="330"/>
      <c r="BP438" s="330"/>
      <c r="BQ438" s="330"/>
      <c r="BR438" s="330"/>
      <c r="BS438" s="330"/>
      <c r="BT438" s="330"/>
      <c r="BU438" s="330"/>
      <c r="BV438" s="330"/>
      <c r="BW438" s="330"/>
      <c r="BX438" s="330"/>
      <c r="BY438" s="330"/>
      <c r="BZ438" s="330"/>
    </row>
    <row r="439" spans="1:78" x14ac:dyDescent="0.25">
      <c r="A439" s="331"/>
      <c r="B439" s="328"/>
      <c r="C439" s="328"/>
      <c r="D439" s="329"/>
      <c r="E439" s="330"/>
      <c r="F439" s="330"/>
      <c r="G439" s="330"/>
      <c r="H439" s="330"/>
      <c r="I439" s="330"/>
      <c r="J439" s="330"/>
      <c r="K439" s="330"/>
      <c r="L439" s="329"/>
      <c r="M439" s="329"/>
      <c r="N439" s="330"/>
      <c r="O439" s="330"/>
      <c r="P439" s="330"/>
      <c r="Q439" s="330"/>
      <c r="R439" s="330"/>
      <c r="S439" s="330"/>
      <c r="T439" s="330"/>
      <c r="U439" s="330"/>
      <c r="V439" s="330"/>
      <c r="W439" s="330"/>
      <c r="X439" s="329"/>
      <c r="Y439" s="330"/>
      <c r="Z439" s="330"/>
      <c r="AA439" s="330"/>
      <c r="AB439" s="330"/>
      <c r="AC439" s="330"/>
      <c r="AD439" s="330"/>
      <c r="AE439" s="330"/>
      <c r="AF439" s="330"/>
      <c r="AG439" s="330"/>
      <c r="AH439" s="330"/>
      <c r="AI439" s="330"/>
      <c r="AJ439" s="330"/>
      <c r="AK439" s="330"/>
      <c r="AL439" s="329"/>
      <c r="AM439" s="329"/>
      <c r="AN439" s="330"/>
      <c r="AO439" s="330"/>
      <c r="AP439" s="330"/>
      <c r="AQ439" s="330"/>
      <c r="AR439" s="231"/>
      <c r="AS439" s="333"/>
      <c r="AT439" s="206"/>
      <c r="AU439" s="328"/>
      <c r="AV439" s="206"/>
      <c r="AW439" s="206"/>
      <c r="AX439" s="206"/>
      <c r="AY439" s="206"/>
      <c r="AZ439" s="206"/>
      <c r="BA439" s="206"/>
      <c r="BB439" s="206"/>
      <c r="BC439" s="206"/>
      <c r="BD439" s="206"/>
      <c r="BE439" s="206"/>
      <c r="BF439" s="206"/>
      <c r="BG439" s="330"/>
      <c r="BH439" s="330"/>
      <c r="BI439" s="330"/>
      <c r="BJ439" s="330"/>
      <c r="BK439" s="330"/>
      <c r="BL439" s="330"/>
      <c r="BM439" s="330"/>
      <c r="BN439" s="330"/>
      <c r="BO439" s="330"/>
      <c r="BP439" s="330"/>
      <c r="BQ439" s="330"/>
      <c r="BR439" s="330"/>
      <c r="BS439" s="330"/>
      <c r="BT439" s="330"/>
      <c r="BU439" s="330"/>
      <c r="BV439" s="330"/>
      <c r="BW439" s="330"/>
      <c r="BX439" s="330"/>
      <c r="BY439" s="330"/>
      <c r="BZ439" s="330"/>
    </row>
    <row r="440" spans="1:78" x14ac:dyDescent="0.25">
      <c r="A440" s="331"/>
      <c r="B440" s="328"/>
      <c r="C440" s="328"/>
      <c r="D440" s="329"/>
      <c r="E440" s="330"/>
      <c r="F440" s="330"/>
      <c r="G440" s="330"/>
      <c r="H440" s="330"/>
      <c r="I440" s="330"/>
      <c r="J440" s="330"/>
      <c r="K440" s="330"/>
      <c r="L440" s="329"/>
      <c r="M440" s="329"/>
      <c r="N440" s="330"/>
      <c r="O440" s="330"/>
      <c r="P440" s="330"/>
      <c r="Q440" s="330"/>
      <c r="R440" s="330"/>
      <c r="S440" s="330"/>
      <c r="T440" s="330"/>
      <c r="U440" s="330"/>
      <c r="V440" s="330"/>
      <c r="W440" s="330"/>
      <c r="X440" s="329"/>
      <c r="Y440" s="330"/>
      <c r="Z440" s="330"/>
      <c r="AA440" s="330"/>
      <c r="AB440" s="330"/>
      <c r="AC440" s="330"/>
      <c r="AD440" s="330"/>
      <c r="AE440" s="330"/>
      <c r="AF440" s="330"/>
      <c r="AG440" s="330"/>
      <c r="AH440" s="330"/>
      <c r="AI440" s="330"/>
      <c r="AJ440" s="330"/>
      <c r="AK440" s="330"/>
      <c r="AL440" s="329"/>
      <c r="AM440" s="329"/>
      <c r="AN440" s="330"/>
      <c r="AO440" s="330"/>
      <c r="AP440" s="330"/>
      <c r="AQ440" s="330"/>
      <c r="AR440" s="231"/>
      <c r="AS440" s="333"/>
      <c r="AT440" s="206"/>
      <c r="AU440" s="328"/>
      <c r="AV440" s="206"/>
      <c r="AW440" s="206"/>
      <c r="AX440" s="206"/>
      <c r="AY440" s="206"/>
      <c r="AZ440" s="206"/>
      <c r="BA440" s="206"/>
      <c r="BB440" s="206"/>
      <c r="BC440" s="206"/>
      <c r="BD440" s="206"/>
      <c r="BE440" s="206"/>
      <c r="BF440" s="206"/>
      <c r="BG440" s="330"/>
      <c r="BH440" s="330"/>
      <c r="BI440" s="330"/>
      <c r="BJ440" s="330"/>
      <c r="BK440" s="330"/>
      <c r="BL440" s="330"/>
      <c r="BM440" s="330"/>
      <c r="BN440" s="330"/>
      <c r="BO440" s="330"/>
      <c r="BP440" s="330"/>
      <c r="BQ440" s="330"/>
      <c r="BR440" s="330"/>
      <c r="BS440" s="330"/>
      <c r="BT440" s="330"/>
      <c r="BU440" s="330"/>
      <c r="BV440" s="330"/>
      <c r="BW440" s="330"/>
      <c r="BX440" s="330"/>
      <c r="BY440" s="330"/>
      <c r="BZ440" s="330"/>
    </row>
    <row r="441" spans="1:78" x14ac:dyDescent="0.25">
      <c r="A441" s="331"/>
      <c r="B441" s="328"/>
      <c r="C441" s="328"/>
      <c r="D441" s="329"/>
      <c r="E441" s="330"/>
      <c r="F441" s="330"/>
      <c r="G441" s="330"/>
      <c r="H441" s="330"/>
      <c r="I441" s="330"/>
      <c r="J441" s="330"/>
      <c r="K441" s="330"/>
      <c r="L441" s="329"/>
      <c r="M441" s="329"/>
      <c r="N441" s="330"/>
      <c r="O441" s="330"/>
      <c r="P441" s="330"/>
      <c r="Q441" s="330"/>
      <c r="R441" s="330"/>
      <c r="S441" s="330"/>
      <c r="T441" s="330"/>
      <c r="U441" s="330"/>
      <c r="V441" s="330"/>
      <c r="W441" s="330"/>
      <c r="X441" s="329"/>
      <c r="Y441" s="330"/>
      <c r="Z441" s="330"/>
      <c r="AA441" s="330"/>
      <c r="AB441" s="330"/>
      <c r="AC441" s="330"/>
      <c r="AD441" s="330"/>
      <c r="AE441" s="330"/>
      <c r="AF441" s="330"/>
      <c r="AG441" s="330"/>
      <c r="AH441" s="330"/>
      <c r="AI441" s="330"/>
      <c r="AJ441" s="330"/>
      <c r="AK441" s="330"/>
      <c r="AL441" s="329"/>
      <c r="AM441" s="329"/>
      <c r="AN441" s="330"/>
      <c r="AO441" s="330"/>
      <c r="AP441" s="330"/>
      <c r="AQ441" s="330"/>
      <c r="AR441" s="231"/>
      <c r="AS441" s="333"/>
      <c r="AT441" s="206"/>
      <c r="AU441" s="328"/>
      <c r="AV441" s="206"/>
      <c r="AW441" s="206"/>
      <c r="AX441" s="206"/>
      <c r="AY441" s="206"/>
      <c r="AZ441" s="206"/>
      <c r="BA441" s="206"/>
      <c r="BB441" s="206"/>
      <c r="BC441" s="206"/>
      <c r="BD441" s="206"/>
      <c r="BE441" s="206"/>
      <c r="BF441" s="206"/>
      <c r="BG441" s="330"/>
      <c r="BH441" s="330"/>
      <c r="BI441" s="330"/>
      <c r="BJ441" s="330"/>
      <c r="BK441" s="330"/>
      <c r="BL441" s="330"/>
      <c r="BM441" s="330"/>
      <c r="BN441" s="330"/>
      <c r="BO441" s="330"/>
      <c r="BP441" s="330"/>
      <c r="BQ441" s="330"/>
      <c r="BR441" s="330"/>
      <c r="BS441" s="330"/>
      <c r="BT441" s="330"/>
      <c r="BU441" s="330"/>
      <c r="BV441" s="330"/>
      <c r="BW441" s="330"/>
      <c r="BX441" s="330"/>
      <c r="BY441" s="330"/>
      <c r="BZ441" s="330"/>
    </row>
    <row r="442" spans="1:78" x14ac:dyDescent="0.25">
      <c r="A442" s="331"/>
      <c r="B442" s="328"/>
      <c r="C442" s="328"/>
      <c r="D442" s="329"/>
      <c r="E442" s="330"/>
      <c r="F442" s="330"/>
      <c r="G442" s="330"/>
      <c r="H442" s="330"/>
      <c r="I442" s="330"/>
      <c r="J442" s="330"/>
      <c r="K442" s="330"/>
      <c r="L442" s="329"/>
      <c r="M442" s="329"/>
      <c r="N442" s="330"/>
      <c r="O442" s="330"/>
      <c r="P442" s="330"/>
      <c r="Q442" s="330"/>
      <c r="R442" s="330"/>
      <c r="S442" s="330"/>
      <c r="T442" s="330"/>
      <c r="U442" s="330"/>
      <c r="V442" s="330"/>
      <c r="W442" s="330"/>
      <c r="X442" s="329"/>
      <c r="Y442" s="330"/>
      <c r="Z442" s="330"/>
      <c r="AA442" s="330"/>
      <c r="AB442" s="330"/>
      <c r="AC442" s="330"/>
      <c r="AD442" s="330"/>
      <c r="AE442" s="330"/>
      <c r="AF442" s="330"/>
      <c r="AG442" s="330"/>
      <c r="AH442" s="330"/>
      <c r="AI442" s="330"/>
      <c r="AJ442" s="330"/>
      <c r="AK442" s="330"/>
      <c r="AL442" s="329"/>
      <c r="AM442" s="329"/>
      <c r="AN442" s="330"/>
      <c r="AO442" s="330"/>
      <c r="AP442" s="330"/>
      <c r="AQ442" s="330"/>
      <c r="AR442" s="231"/>
      <c r="AS442" s="333"/>
      <c r="AT442" s="206"/>
      <c r="AU442" s="328"/>
      <c r="AV442" s="206"/>
      <c r="AW442" s="206"/>
      <c r="AX442" s="206"/>
      <c r="AY442" s="206"/>
      <c r="AZ442" s="206"/>
      <c r="BA442" s="206"/>
      <c r="BB442" s="206"/>
      <c r="BC442" s="206"/>
      <c r="BD442" s="206"/>
      <c r="BE442" s="206"/>
      <c r="BF442" s="206"/>
      <c r="BG442" s="330"/>
      <c r="BH442" s="330"/>
      <c r="BI442" s="330"/>
      <c r="BJ442" s="330"/>
      <c r="BK442" s="330"/>
      <c r="BL442" s="330"/>
      <c r="BM442" s="330"/>
      <c r="BN442" s="330"/>
      <c r="BO442" s="330"/>
      <c r="BP442" s="330"/>
      <c r="BQ442" s="330"/>
      <c r="BR442" s="330"/>
      <c r="BS442" s="330"/>
      <c r="BT442" s="330"/>
      <c r="BU442" s="330"/>
      <c r="BV442" s="330"/>
      <c r="BW442" s="330"/>
      <c r="BX442" s="330"/>
      <c r="BY442" s="330"/>
      <c r="BZ442" s="330"/>
    </row>
    <row r="443" spans="1:78" x14ac:dyDescent="0.25">
      <c r="A443" s="331"/>
      <c r="B443" s="328"/>
      <c r="C443" s="328"/>
      <c r="D443" s="329"/>
      <c r="E443" s="330"/>
      <c r="F443" s="330"/>
      <c r="G443" s="330"/>
      <c r="H443" s="330"/>
      <c r="I443" s="330"/>
      <c r="J443" s="330"/>
      <c r="K443" s="330"/>
      <c r="L443" s="329"/>
      <c r="M443" s="329"/>
      <c r="N443" s="330"/>
      <c r="O443" s="330"/>
      <c r="P443" s="330"/>
      <c r="Q443" s="330"/>
      <c r="R443" s="330"/>
      <c r="S443" s="330"/>
      <c r="T443" s="330"/>
      <c r="U443" s="330"/>
      <c r="V443" s="330"/>
      <c r="W443" s="330"/>
      <c r="X443" s="329"/>
      <c r="Y443" s="330"/>
      <c r="Z443" s="330"/>
      <c r="AA443" s="330"/>
      <c r="AB443" s="330"/>
      <c r="AC443" s="330"/>
      <c r="AD443" s="330"/>
      <c r="AE443" s="330"/>
      <c r="AF443" s="330"/>
      <c r="AG443" s="330"/>
      <c r="AH443" s="330"/>
      <c r="AI443" s="330"/>
      <c r="AJ443" s="330"/>
      <c r="AK443" s="330"/>
      <c r="AL443" s="329"/>
      <c r="AM443" s="329"/>
      <c r="AN443" s="330"/>
      <c r="AO443" s="330"/>
      <c r="AP443" s="330"/>
      <c r="AQ443" s="330"/>
      <c r="AR443" s="231"/>
      <c r="AS443" s="333"/>
      <c r="AT443" s="206"/>
      <c r="AU443" s="328"/>
      <c r="AV443" s="206"/>
      <c r="AW443" s="206"/>
      <c r="AX443" s="206"/>
      <c r="AY443" s="206"/>
      <c r="AZ443" s="206"/>
      <c r="BA443" s="206"/>
      <c r="BB443" s="206"/>
      <c r="BC443" s="206"/>
      <c r="BD443" s="206"/>
      <c r="BE443" s="206"/>
      <c r="BF443" s="206"/>
      <c r="BG443" s="330"/>
      <c r="BH443" s="330"/>
      <c r="BI443" s="330"/>
      <c r="BJ443" s="330"/>
      <c r="BK443" s="330"/>
      <c r="BL443" s="330"/>
      <c r="BM443" s="330"/>
      <c r="BN443" s="330"/>
      <c r="BO443" s="330"/>
      <c r="BP443" s="330"/>
      <c r="BQ443" s="330"/>
      <c r="BR443" s="330"/>
      <c r="BS443" s="330"/>
      <c r="BT443" s="330"/>
      <c r="BU443" s="330"/>
      <c r="BV443" s="330"/>
      <c r="BW443" s="330"/>
      <c r="BX443" s="330"/>
      <c r="BY443" s="330"/>
      <c r="BZ443" s="330"/>
    </row>
    <row r="444" spans="1:78" x14ac:dyDescent="0.25">
      <c r="A444" s="331"/>
      <c r="B444" s="328"/>
      <c r="C444" s="328"/>
      <c r="D444" s="329"/>
      <c r="E444" s="330"/>
      <c r="F444" s="330"/>
      <c r="G444" s="330"/>
      <c r="H444" s="330"/>
      <c r="I444" s="330"/>
      <c r="J444" s="330"/>
      <c r="K444" s="330"/>
      <c r="L444" s="329"/>
      <c r="M444" s="329"/>
      <c r="N444" s="330"/>
      <c r="O444" s="330"/>
      <c r="P444" s="330"/>
      <c r="Q444" s="330"/>
      <c r="R444" s="330"/>
      <c r="S444" s="330"/>
      <c r="T444" s="330"/>
      <c r="U444" s="330"/>
      <c r="V444" s="330"/>
      <c r="W444" s="330"/>
      <c r="X444" s="329"/>
      <c r="Y444" s="330"/>
      <c r="Z444" s="330"/>
      <c r="AA444" s="330"/>
      <c r="AB444" s="330"/>
      <c r="AC444" s="330"/>
      <c r="AD444" s="330"/>
      <c r="AE444" s="330"/>
      <c r="AF444" s="330"/>
      <c r="AG444" s="330"/>
      <c r="AH444" s="330"/>
      <c r="AI444" s="330"/>
      <c r="AJ444" s="330"/>
      <c r="AK444" s="330"/>
      <c r="AL444" s="329"/>
      <c r="AM444" s="329"/>
      <c r="AN444" s="330"/>
      <c r="AO444" s="330"/>
      <c r="AP444" s="330"/>
      <c r="AQ444" s="330"/>
      <c r="AR444" s="231"/>
      <c r="AS444" s="333"/>
      <c r="AT444" s="206"/>
      <c r="AU444" s="328"/>
      <c r="AV444" s="206"/>
      <c r="AW444" s="206"/>
      <c r="AX444" s="206"/>
      <c r="AY444" s="206"/>
      <c r="AZ444" s="206"/>
      <c r="BA444" s="206"/>
      <c r="BB444" s="206"/>
      <c r="BC444" s="206"/>
      <c r="BD444" s="206"/>
      <c r="BE444" s="206"/>
      <c r="BF444" s="206"/>
      <c r="BG444" s="330"/>
      <c r="BH444" s="330"/>
      <c r="BI444" s="330"/>
      <c r="BJ444" s="330"/>
      <c r="BK444" s="330"/>
      <c r="BL444" s="330"/>
      <c r="BM444" s="330"/>
      <c r="BN444" s="330"/>
      <c r="BO444" s="330"/>
      <c r="BP444" s="330"/>
      <c r="BQ444" s="330"/>
      <c r="BR444" s="330"/>
      <c r="BS444" s="330"/>
      <c r="BT444" s="330"/>
      <c r="BU444" s="330"/>
      <c r="BV444" s="330"/>
      <c r="BW444" s="330"/>
      <c r="BX444" s="330"/>
      <c r="BY444" s="330"/>
      <c r="BZ444" s="330"/>
    </row>
    <row r="445" spans="1:78" x14ac:dyDescent="0.25">
      <c r="A445" s="331"/>
      <c r="B445" s="328"/>
      <c r="C445" s="328"/>
      <c r="D445" s="329"/>
      <c r="E445" s="330"/>
      <c r="F445" s="330"/>
      <c r="G445" s="330"/>
      <c r="H445" s="330"/>
      <c r="I445" s="330"/>
      <c r="J445" s="330"/>
      <c r="K445" s="330"/>
      <c r="L445" s="329"/>
      <c r="M445" s="329"/>
      <c r="N445" s="330"/>
      <c r="O445" s="330"/>
      <c r="P445" s="330"/>
      <c r="Q445" s="330"/>
      <c r="R445" s="330"/>
      <c r="S445" s="330"/>
      <c r="T445" s="330"/>
      <c r="U445" s="330"/>
      <c r="V445" s="330"/>
      <c r="W445" s="330"/>
      <c r="X445" s="329"/>
      <c r="Y445" s="330"/>
      <c r="Z445" s="330"/>
      <c r="AA445" s="330"/>
      <c r="AB445" s="330"/>
      <c r="AC445" s="330"/>
      <c r="AD445" s="330"/>
      <c r="AE445" s="330"/>
      <c r="AF445" s="330"/>
      <c r="AG445" s="330"/>
      <c r="AH445" s="330"/>
      <c r="AI445" s="330"/>
      <c r="AJ445" s="330"/>
      <c r="AK445" s="330"/>
      <c r="AL445" s="329"/>
      <c r="AM445" s="329"/>
      <c r="AN445" s="330"/>
      <c r="AO445" s="330"/>
      <c r="AP445" s="330"/>
      <c r="AQ445" s="330"/>
      <c r="AR445" s="231"/>
      <c r="AS445" s="333"/>
      <c r="AT445" s="206"/>
      <c r="AU445" s="328"/>
      <c r="AV445" s="206"/>
      <c r="AW445" s="206"/>
      <c r="AX445" s="206"/>
      <c r="AY445" s="206"/>
      <c r="AZ445" s="206"/>
      <c r="BA445" s="206"/>
      <c r="BB445" s="206"/>
      <c r="BC445" s="206"/>
      <c r="BD445" s="206"/>
      <c r="BE445" s="206"/>
      <c r="BF445" s="206"/>
      <c r="BG445" s="330"/>
      <c r="BH445" s="330"/>
      <c r="BI445" s="330"/>
      <c r="BJ445" s="330"/>
      <c r="BK445" s="330"/>
      <c r="BL445" s="330"/>
      <c r="BM445" s="330"/>
      <c r="BN445" s="330"/>
      <c r="BO445" s="330"/>
      <c r="BP445" s="330"/>
      <c r="BQ445" s="330"/>
      <c r="BR445" s="330"/>
      <c r="BS445" s="330"/>
      <c r="BT445" s="330"/>
      <c r="BU445" s="330"/>
      <c r="BV445" s="330"/>
      <c r="BW445" s="330"/>
      <c r="BX445" s="330"/>
      <c r="BY445" s="330"/>
      <c r="BZ445" s="330"/>
    </row>
    <row r="446" spans="1:78" x14ac:dyDescent="0.25">
      <c r="A446" s="331"/>
      <c r="B446" s="328"/>
      <c r="C446" s="328"/>
      <c r="D446" s="329"/>
      <c r="E446" s="330"/>
      <c r="F446" s="330"/>
      <c r="G446" s="330"/>
      <c r="H446" s="330"/>
      <c r="I446" s="330"/>
      <c r="J446" s="330"/>
      <c r="K446" s="330"/>
      <c r="L446" s="329"/>
      <c r="M446" s="329"/>
      <c r="N446" s="330"/>
      <c r="O446" s="330"/>
      <c r="P446" s="330"/>
      <c r="Q446" s="330"/>
      <c r="R446" s="330"/>
      <c r="S446" s="330"/>
      <c r="T446" s="330"/>
      <c r="U446" s="330"/>
      <c r="V446" s="330"/>
      <c r="W446" s="330"/>
      <c r="X446" s="329"/>
      <c r="Y446" s="330"/>
      <c r="Z446" s="330"/>
      <c r="AA446" s="330"/>
      <c r="AB446" s="330"/>
      <c r="AC446" s="330"/>
      <c r="AD446" s="330"/>
      <c r="AE446" s="330"/>
      <c r="AF446" s="330"/>
      <c r="AG446" s="330"/>
      <c r="AH446" s="330"/>
      <c r="AI446" s="330"/>
      <c r="AJ446" s="330"/>
      <c r="AK446" s="330"/>
      <c r="AL446" s="329"/>
      <c r="AM446" s="329"/>
      <c r="AN446" s="330"/>
      <c r="AO446" s="330"/>
      <c r="AP446" s="330"/>
      <c r="AQ446" s="330"/>
      <c r="AR446" s="231"/>
      <c r="AS446" s="333"/>
      <c r="AT446" s="206"/>
      <c r="AU446" s="328"/>
      <c r="AV446" s="206"/>
      <c r="AW446" s="206"/>
      <c r="AX446" s="206"/>
      <c r="AY446" s="206"/>
      <c r="AZ446" s="206"/>
      <c r="BA446" s="206"/>
      <c r="BB446" s="206"/>
      <c r="BC446" s="206"/>
      <c r="BD446" s="206"/>
      <c r="BE446" s="206"/>
      <c r="BF446" s="206"/>
      <c r="BG446" s="330"/>
      <c r="BH446" s="330"/>
      <c r="BI446" s="330"/>
      <c r="BJ446" s="330"/>
      <c r="BK446" s="330"/>
      <c r="BL446" s="330"/>
      <c r="BM446" s="330"/>
      <c r="BN446" s="330"/>
      <c r="BO446" s="330"/>
      <c r="BP446" s="330"/>
      <c r="BQ446" s="330"/>
      <c r="BR446" s="330"/>
      <c r="BS446" s="330"/>
      <c r="BT446" s="330"/>
      <c r="BU446" s="330"/>
      <c r="BV446" s="330"/>
      <c r="BW446" s="330"/>
      <c r="BX446" s="330"/>
      <c r="BY446" s="330"/>
      <c r="BZ446" s="330"/>
    </row>
    <row r="447" spans="1:78" x14ac:dyDescent="0.25">
      <c r="A447" s="331"/>
      <c r="B447" s="328"/>
      <c r="C447" s="328"/>
      <c r="D447" s="329"/>
      <c r="E447" s="330"/>
      <c r="F447" s="330"/>
      <c r="G447" s="330"/>
      <c r="H447" s="330"/>
      <c r="I447" s="330"/>
      <c r="J447" s="330"/>
      <c r="K447" s="330"/>
      <c r="L447" s="329"/>
      <c r="M447" s="329"/>
      <c r="N447" s="330"/>
      <c r="O447" s="330"/>
      <c r="P447" s="330"/>
      <c r="Q447" s="330"/>
      <c r="R447" s="330"/>
      <c r="S447" s="330"/>
      <c r="T447" s="330"/>
      <c r="U447" s="330"/>
      <c r="V447" s="330"/>
      <c r="W447" s="330"/>
      <c r="X447" s="329"/>
      <c r="Y447" s="330"/>
      <c r="Z447" s="330"/>
      <c r="AA447" s="330"/>
      <c r="AB447" s="330"/>
      <c r="AC447" s="330"/>
      <c r="AD447" s="330"/>
      <c r="AE447" s="330"/>
      <c r="AF447" s="330"/>
      <c r="AG447" s="330"/>
      <c r="AH447" s="330"/>
      <c r="AI447" s="330"/>
      <c r="AJ447" s="330"/>
      <c r="AK447" s="330"/>
      <c r="AL447" s="329"/>
      <c r="AM447" s="329"/>
      <c r="AN447" s="330"/>
      <c r="AO447" s="330"/>
      <c r="AP447" s="330"/>
      <c r="AQ447" s="330"/>
      <c r="AR447" s="231"/>
      <c r="AS447" s="333"/>
      <c r="AT447" s="206"/>
      <c r="AU447" s="328"/>
      <c r="AV447" s="206"/>
      <c r="AW447" s="206"/>
      <c r="AX447" s="206"/>
      <c r="AY447" s="206"/>
      <c r="AZ447" s="206"/>
      <c r="BA447" s="206"/>
      <c r="BB447" s="206"/>
      <c r="BC447" s="206"/>
      <c r="BD447" s="206"/>
      <c r="BE447" s="206"/>
      <c r="BF447" s="206"/>
      <c r="BG447" s="330"/>
      <c r="BH447" s="330"/>
      <c r="BI447" s="330"/>
      <c r="BJ447" s="330"/>
      <c r="BK447" s="330"/>
      <c r="BL447" s="330"/>
      <c r="BM447" s="330"/>
      <c r="BN447" s="330"/>
      <c r="BO447" s="330"/>
      <c r="BP447" s="330"/>
      <c r="BQ447" s="330"/>
      <c r="BR447" s="330"/>
      <c r="BS447" s="330"/>
      <c r="BT447" s="330"/>
      <c r="BU447" s="330"/>
      <c r="BV447" s="330"/>
      <c r="BW447" s="330"/>
      <c r="BX447" s="330"/>
      <c r="BY447" s="330"/>
      <c r="BZ447" s="330"/>
    </row>
    <row r="448" spans="1:78" x14ac:dyDescent="0.25">
      <c r="A448" s="331"/>
      <c r="B448" s="328"/>
      <c r="C448" s="328"/>
      <c r="D448" s="329"/>
      <c r="E448" s="330"/>
      <c r="F448" s="330"/>
      <c r="G448" s="330"/>
      <c r="H448" s="330"/>
      <c r="I448" s="330"/>
      <c r="J448" s="330"/>
      <c r="K448" s="330"/>
      <c r="L448" s="329"/>
      <c r="M448" s="329"/>
      <c r="N448" s="330"/>
      <c r="O448" s="330"/>
      <c r="P448" s="330"/>
      <c r="Q448" s="330"/>
      <c r="R448" s="330"/>
      <c r="S448" s="330"/>
      <c r="T448" s="330"/>
      <c r="U448" s="330"/>
      <c r="V448" s="330"/>
      <c r="W448" s="330"/>
      <c r="X448" s="329"/>
      <c r="Y448" s="330"/>
      <c r="Z448" s="330"/>
      <c r="AA448" s="330"/>
      <c r="AB448" s="330"/>
      <c r="AC448" s="330"/>
      <c r="AD448" s="330"/>
      <c r="AE448" s="330"/>
      <c r="AF448" s="330"/>
      <c r="AG448" s="330"/>
      <c r="AH448" s="330"/>
      <c r="AI448" s="330"/>
      <c r="AJ448" s="330"/>
      <c r="AK448" s="330"/>
      <c r="AL448" s="329"/>
      <c r="AM448" s="329"/>
      <c r="AN448" s="330"/>
      <c r="AO448" s="330"/>
      <c r="AP448" s="330"/>
      <c r="AQ448" s="330"/>
      <c r="AR448" s="231"/>
      <c r="AS448" s="333"/>
      <c r="AT448" s="206"/>
      <c r="AU448" s="328"/>
      <c r="AV448" s="206"/>
      <c r="AW448" s="206"/>
      <c r="AX448" s="206"/>
      <c r="AY448" s="206"/>
      <c r="AZ448" s="206"/>
      <c r="BA448" s="206"/>
      <c r="BB448" s="206"/>
      <c r="BC448" s="206"/>
      <c r="BD448" s="206"/>
      <c r="BE448" s="206"/>
      <c r="BF448" s="206"/>
      <c r="BG448" s="330"/>
      <c r="BH448" s="330"/>
      <c r="BI448" s="330"/>
      <c r="BJ448" s="330"/>
      <c r="BK448" s="330"/>
      <c r="BL448" s="330"/>
      <c r="BM448" s="330"/>
      <c r="BN448" s="330"/>
      <c r="BO448" s="330"/>
      <c r="BP448" s="330"/>
      <c r="BQ448" s="330"/>
      <c r="BR448" s="330"/>
      <c r="BS448" s="330"/>
      <c r="BT448" s="330"/>
      <c r="BU448" s="330"/>
      <c r="BV448" s="330"/>
      <c r="BW448" s="330"/>
      <c r="BX448" s="330"/>
      <c r="BY448" s="330"/>
      <c r="BZ448" s="330"/>
    </row>
    <row r="449" spans="1:78" x14ac:dyDescent="0.25">
      <c r="A449" s="331"/>
      <c r="B449" s="328"/>
      <c r="C449" s="328"/>
      <c r="D449" s="329"/>
      <c r="E449" s="330"/>
      <c r="F449" s="330"/>
      <c r="G449" s="330"/>
      <c r="H449" s="330"/>
      <c r="I449" s="330"/>
      <c r="J449" s="330"/>
      <c r="K449" s="330"/>
      <c r="L449" s="329"/>
      <c r="M449" s="329"/>
      <c r="N449" s="330"/>
      <c r="O449" s="330"/>
      <c r="P449" s="330"/>
      <c r="Q449" s="330"/>
      <c r="R449" s="330"/>
      <c r="S449" s="330"/>
      <c r="T449" s="330"/>
      <c r="U449" s="330"/>
      <c r="V449" s="330"/>
      <c r="W449" s="330"/>
      <c r="X449" s="329"/>
      <c r="Y449" s="330"/>
      <c r="Z449" s="330"/>
      <c r="AA449" s="330"/>
      <c r="AB449" s="330"/>
      <c r="AC449" s="330"/>
      <c r="AD449" s="330"/>
      <c r="AE449" s="330"/>
      <c r="AF449" s="330"/>
      <c r="AG449" s="330"/>
      <c r="AH449" s="330"/>
      <c r="AI449" s="330"/>
      <c r="AJ449" s="330"/>
      <c r="AK449" s="330"/>
      <c r="AL449" s="329"/>
      <c r="AM449" s="329"/>
      <c r="AN449" s="330"/>
      <c r="AO449" s="330"/>
      <c r="AP449" s="330"/>
      <c r="AQ449" s="330"/>
      <c r="AR449" s="231"/>
      <c r="AS449" s="333"/>
      <c r="AT449" s="206"/>
      <c r="AU449" s="328"/>
      <c r="AV449" s="206"/>
      <c r="AW449" s="206"/>
      <c r="AX449" s="206"/>
      <c r="AY449" s="206"/>
      <c r="AZ449" s="206"/>
      <c r="BA449" s="206"/>
      <c r="BB449" s="206"/>
      <c r="BC449" s="206"/>
      <c r="BD449" s="206"/>
      <c r="BE449" s="206"/>
      <c r="BF449" s="206"/>
      <c r="BG449" s="330"/>
      <c r="BH449" s="330"/>
      <c r="BI449" s="330"/>
      <c r="BJ449" s="330"/>
      <c r="BK449" s="330"/>
      <c r="BL449" s="330"/>
      <c r="BM449" s="330"/>
      <c r="BN449" s="330"/>
      <c r="BO449" s="330"/>
      <c r="BP449" s="330"/>
      <c r="BQ449" s="330"/>
      <c r="BR449" s="330"/>
      <c r="BS449" s="330"/>
      <c r="BT449" s="330"/>
      <c r="BU449" s="330"/>
      <c r="BV449" s="330"/>
      <c r="BW449" s="330"/>
      <c r="BX449" s="330"/>
      <c r="BY449" s="330"/>
      <c r="BZ449" s="330"/>
    </row>
    <row r="450" spans="1:78" x14ac:dyDescent="0.25">
      <c r="A450" s="331"/>
      <c r="B450" s="328"/>
      <c r="C450" s="328"/>
      <c r="D450" s="329"/>
      <c r="E450" s="330"/>
      <c r="F450" s="330"/>
      <c r="G450" s="330"/>
      <c r="H450" s="330"/>
      <c r="I450" s="330"/>
      <c r="J450" s="330"/>
      <c r="K450" s="330"/>
      <c r="L450" s="329"/>
      <c r="M450" s="329"/>
      <c r="N450" s="330"/>
      <c r="O450" s="330"/>
      <c r="P450" s="330"/>
      <c r="Q450" s="330"/>
      <c r="R450" s="330"/>
      <c r="S450" s="330"/>
      <c r="T450" s="330"/>
      <c r="U450" s="330"/>
      <c r="V450" s="330"/>
      <c r="W450" s="330"/>
      <c r="X450" s="329"/>
      <c r="Y450" s="330"/>
      <c r="Z450" s="330"/>
      <c r="AA450" s="330"/>
      <c r="AB450" s="330"/>
      <c r="AC450" s="330"/>
      <c r="AD450" s="330"/>
      <c r="AE450" s="330"/>
      <c r="AF450" s="330"/>
      <c r="AG450" s="330"/>
      <c r="AH450" s="330"/>
      <c r="AI450" s="330"/>
      <c r="AJ450" s="330"/>
      <c r="AK450" s="330"/>
      <c r="AL450" s="329"/>
      <c r="AM450" s="329"/>
      <c r="AN450" s="330"/>
      <c r="AO450" s="330"/>
      <c r="AP450" s="330"/>
      <c r="AQ450" s="330"/>
      <c r="AR450" s="231"/>
      <c r="AS450" s="333"/>
      <c r="AT450" s="206"/>
      <c r="AU450" s="328"/>
      <c r="AV450" s="206"/>
      <c r="AW450" s="206"/>
      <c r="AX450" s="206"/>
      <c r="AY450" s="206"/>
      <c r="AZ450" s="206"/>
      <c r="BA450" s="206"/>
      <c r="BB450" s="206"/>
      <c r="BC450" s="206"/>
      <c r="BD450" s="206"/>
      <c r="BE450" s="206"/>
      <c r="BF450" s="206"/>
      <c r="BG450" s="330"/>
      <c r="BH450" s="330"/>
      <c r="BI450" s="330"/>
      <c r="BJ450" s="330"/>
      <c r="BK450" s="330"/>
      <c r="BL450" s="330"/>
      <c r="BM450" s="330"/>
      <c r="BN450" s="330"/>
      <c r="BO450" s="330"/>
      <c r="BP450" s="330"/>
      <c r="BQ450" s="330"/>
      <c r="BR450" s="330"/>
      <c r="BS450" s="330"/>
      <c r="BT450" s="330"/>
      <c r="BU450" s="330"/>
      <c r="BV450" s="330"/>
      <c r="BW450" s="330"/>
      <c r="BX450" s="330"/>
      <c r="BY450" s="330"/>
      <c r="BZ450" s="330"/>
    </row>
    <row r="451" spans="1:78" x14ac:dyDescent="0.25">
      <c r="A451" s="331"/>
      <c r="B451" s="328"/>
      <c r="C451" s="328"/>
      <c r="D451" s="329"/>
      <c r="E451" s="330"/>
      <c r="F451" s="330"/>
      <c r="G451" s="330"/>
      <c r="H451" s="330"/>
      <c r="I451" s="330"/>
      <c r="J451" s="330"/>
      <c r="K451" s="330"/>
      <c r="L451" s="329"/>
      <c r="M451" s="329"/>
      <c r="N451" s="330"/>
      <c r="O451" s="330"/>
      <c r="P451" s="330"/>
      <c r="Q451" s="330"/>
      <c r="R451" s="330"/>
      <c r="S451" s="330"/>
      <c r="T451" s="330"/>
      <c r="U451" s="330"/>
      <c r="V451" s="330"/>
      <c r="W451" s="330"/>
      <c r="X451" s="329"/>
      <c r="Y451" s="330"/>
      <c r="Z451" s="330"/>
      <c r="AA451" s="330"/>
      <c r="AB451" s="330"/>
      <c r="AC451" s="330"/>
      <c r="AD451" s="330"/>
      <c r="AE451" s="330"/>
      <c r="AF451" s="330"/>
      <c r="AG451" s="330"/>
      <c r="AH451" s="330"/>
      <c r="AI451" s="330"/>
      <c r="AJ451" s="330"/>
      <c r="AK451" s="330"/>
      <c r="AL451" s="329"/>
      <c r="AM451" s="329"/>
      <c r="AN451" s="330"/>
      <c r="AO451" s="330"/>
      <c r="AP451" s="330"/>
      <c r="AQ451" s="330"/>
      <c r="AR451" s="231"/>
      <c r="AS451" s="333"/>
      <c r="AT451" s="206"/>
      <c r="AU451" s="328"/>
      <c r="AV451" s="206"/>
      <c r="AW451" s="206"/>
      <c r="AX451" s="206"/>
      <c r="AY451" s="206"/>
      <c r="AZ451" s="206"/>
      <c r="BA451" s="206"/>
      <c r="BB451" s="206"/>
      <c r="BC451" s="206"/>
      <c r="BD451" s="206"/>
      <c r="BE451" s="206"/>
      <c r="BF451" s="206"/>
      <c r="BG451" s="330"/>
      <c r="BH451" s="330"/>
      <c r="BI451" s="330"/>
      <c r="BJ451" s="330"/>
      <c r="BK451" s="330"/>
      <c r="BL451" s="330"/>
      <c r="BM451" s="330"/>
      <c r="BN451" s="330"/>
      <c r="BO451" s="330"/>
      <c r="BP451" s="330"/>
      <c r="BQ451" s="330"/>
      <c r="BR451" s="330"/>
      <c r="BS451" s="330"/>
      <c r="BT451" s="330"/>
      <c r="BU451" s="330"/>
      <c r="BV451" s="330"/>
      <c r="BW451" s="330"/>
      <c r="BX451" s="330"/>
      <c r="BY451" s="330"/>
      <c r="BZ451" s="330"/>
    </row>
    <row r="452" spans="1:78" x14ac:dyDescent="0.25">
      <c r="A452" s="331"/>
      <c r="B452" s="328"/>
      <c r="C452" s="328"/>
      <c r="D452" s="329"/>
      <c r="E452" s="330"/>
      <c r="F452" s="330"/>
      <c r="G452" s="330"/>
      <c r="H452" s="330"/>
      <c r="I452" s="330"/>
      <c r="J452" s="330"/>
      <c r="K452" s="330"/>
      <c r="L452" s="329"/>
      <c r="M452" s="329"/>
      <c r="N452" s="330"/>
      <c r="O452" s="330"/>
      <c r="P452" s="330"/>
      <c r="Q452" s="330"/>
      <c r="R452" s="330"/>
      <c r="S452" s="330"/>
      <c r="T452" s="330"/>
      <c r="U452" s="330"/>
      <c r="V452" s="330"/>
      <c r="W452" s="330"/>
      <c r="X452" s="329"/>
      <c r="Y452" s="330"/>
      <c r="Z452" s="330"/>
      <c r="AA452" s="330"/>
      <c r="AB452" s="330"/>
      <c r="AC452" s="330"/>
      <c r="AD452" s="330"/>
      <c r="AE452" s="330"/>
      <c r="AF452" s="330"/>
      <c r="AG452" s="330"/>
      <c r="AH452" s="330"/>
      <c r="AI452" s="330"/>
      <c r="AJ452" s="330"/>
      <c r="AK452" s="330"/>
      <c r="AL452" s="329"/>
      <c r="AM452" s="329"/>
      <c r="AN452" s="330"/>
      <c r="AO452" s="330"/>
      <c r="AP452" s="330"/>
      <c r="AQ452" s="330"/>
      <c r="AR452" s="231"/>
      <c r="AS452" s="333"/>
      <c r="AT452" s="206"/>
      <c r="AU452" s="328"/>
      <c r="AV452" s="206"/>
      <c r="AW452" s="206"/>
      <c r="AX452" s="206"/>
      <c r="AY452" s="206"/>
      <c r="AZ452" s="206"/>
      <c r="BA452" s="206"/>
      <c r="BB452" s="206"/>
      <c r="BC452" s="206"/>
      <c r="BD452" s="206"/>
      <c r="BE452" s="206"/>
      <c r="BF452" s="206"/>
      <c r="BG452" s="330"/>
      <c r="BH452" s="330"/>
      <c r="BI452" s="330"/>
      <c r="BJ452" s="330"/>
      <c r="BK452" s="330"/>
      <c r="BL452" s="330"/>
      <c r="BM452" s="330"/>
      <c r="BN452" s="330"/>
      <c r="BO452" s="330"/>
      <c r="BP452" s="330"/>
      <c r="BQ452" s="330"/>
      <c r="BR452" s="330"/>
      <c r="BS452" s="330"/>
      <c r="BT452" s="330"/>
      <c r="BU452" s="330"/>
      <c r="BV452" s="330"/>
      <c r="BW452" s="330"/>
      <c r="BX452" s="330"/>
      <c r="BY452" s="330"/>
      <c r="BZ452" s="330"/>
    </row>
    <row r="453" spans="1:78" x14ac:dyDescent="0.25">
      <c r="A453" s="331"/>
      <c r="B453" s="328"/>
      <c r="C453" s="328"/>
      <c r="D453" s="329"/>
      <c r="E453" s="330"/>
      <c r="F453" s="330"/>
      <c r="G453" s="330"/>
      <c r="H453" s="330"/>
      <c r="I453" s="330"/>
      <c r="J453" s="330"/>
      <c r="K453" s="330"/>
      <c r="L453" s="329"/>
      <c r="M453" s="329"/>
      <c r="N453" s="330"/>
      <c r="O453" s="330"/>
      <c r="P453" s="330"/>
      <c r="Q453" s="330"/>
      <c r="R453" s="330"/>
      <c r="S453" s="330"/>
      <c r="T453" s="330"/>
      <c r="U453" s="330"/>
      <c r="V453" s="330"/>
      <c r="W453" s="330"/>
      <c r="X453" s="329"/>
      <c r="Y453" s="330"/>
      <c r="Z453" s="330"/>
      <c r="AA453" s="330"/>
      <c r="AB453" s="330"/>
      <c r="AC453" s="330"/>
      <c r="AD453" s="330"/>
      <c r="AE453" s="330"/>
      <c r="AF453" s="330"/>
      <c r="AG453" s="330"/>
      <c r="AH453" s="330"/>
      <c r="AI453" s="330"/>
      <c r="AJ453" s="330"/>
      <c r="AK453" s="330"/>
      <c r="AL453" s="329"/>
      <c r="AM453" s="329"/>
      <c r="AN453" s="330"/>
      <c r="AO453" s="330"/>
      <c r="AP453" s="330"/>
      <c r="AQ453" s="330"/>
      <c r="AR453" s="231"/>
      <c r="AS453" s="333"/>
      <c r="AT453" s="206"/>
      <c r="AU453" s="328"/>
      <c r="AV453" s="206"/>
      <c r="AW453" s="206"/>
      <c r="AX453" s="206"/>
      <c r="AY453" s="206"/>
      <c r="AZ453" s="206"/>
      <c r="BA453" s="206"/>
      <c r="BB453" s="206"/>
      <c r="BC453" s="206"/>
      <c r="BD453" s="206"/>
      <c r="BE453" s="206"/>
      <c r="BF453" s="206"/>
      <c r="BG453" s="330"/>
      <c r="BH453" s="330"/>
      <c r="BI453" s="330"/>
      <c r="BJ453" s="330"/>
      <c r="BK453" s="330"/>
      <c r="BL453" s="330"/>
      <c r="BM453" s="330"/>
      <c r="BN453" s="330"/>
      <c r="BO453" s="330"/>
      <c r="BP453" s="330"/>
      <c r="BQ453" s="330"/>
      <c r="BR453" s="330"/>
      <c r="BS453" s="330"/>
      <c r="BT453" s="330"/>
      <c r="BU453" s="330"/>
      <c r="BV453" s="330"/>
      <c r="BW453" s="330"/>
      <c r="BX453" s="330"/>
      <c r="BY453" s="330"/>
      <c r="BZ453" s="330"/>
    </row>
    <row r="454" spans="1:78" x14ac:dyDescent="0.25">
      <c r="A454" s="331"/>
      <c r="B454" s="328"/>
      <c r="C454" s="328"/>
      <c r="D454" s="329"/>
      <c r="E454" s="330"/>
      <c r="F454" s="330"/>
      <c r="G454" s="330"/>
      <c r="H454" s="330"/>
      <c r="I454" s="330"/>
      <c r="J454" s="330"/>
      <c r="K454" s="330"/>
      <c r="L454" s="329"/>
      <c r="M454" s="329"/>
      <c r="N454" s="330"/>
      <c r="O454" s="330"/>
      <c r="P454" s="330"/>
      <c r="Q454" s="330"/>
      <c r="R454" s="330"/>
      <c r="S454" s="330"/>
      <c r="T454" s="330"/>
      <c r="U454" s="330"/>
      <c r="V454" s="330"/>
      <c r="W454" s="330"/>
      <c r="X454" s="329"/>
      <c r="Y454" s="330"/>
      <c r="Z454" s="330"/>
      <c r="AA454" s="330"/>
      <c r="AB454" s="330"/>
      <c r="AC454" s="330"/>
      <c r="AD454" s="330"/>
      <c r="AE454" s="330"/>
      <c r="AF454" s="330"/>
      <c r="AG454" s="330"/>
      <c r="AH454" s="330"/>
      <c r="AI454" s="330"/>
      <c r="AJ454" s="330"/>
      <c r="AK454" s="330"/>
      <c r="AL454" s="329"/>
      <c r="AM454" s="329"/>
      <c r="AN454" s="330"/>
      <c r="AO454" s="330"/>
      <c r="AP454" s="330"/>
      <c r="AQ454" s="330"/>
      <c r="AR454" s="231"/>
      <c r="AS454" s="333"/>
      <c r="AT454" s="206"/>
      <c r="AU454" s="328"/>
      <c r="AV454" s="206"/>
      <c r="AW454" s="206"/>
      <c r="AX454" s="206"/>
      <c r="AY454" s="206"/>
      <c r="AZ454" s="206"/>
      <c r="BA454" s="206"/>
      <c r="BB454" s="206"/>
      <c r="BC454" s="206"/>
      <c r="BD454" s="206"/>
      <c r="BE454" s="206"/>
      <c r="BF454" s="206"/>
      <c r="BG454" s="330"/>
      <c r="BH454" s="330"/>
      <c r="BI454" s="330"/>
      <c r="BJ454" s="330"/>
      <c r="BK454" s="330"/>
      <c r="BL454" s="330"/>
      <c r="BM454" s="330"/>
      <c r="BN454" s="330"/>
      <c r="BO454" s="330"/>
      <c r="BP454" s="330"/>
      <c r="BQ454" s="330"/>
      <c r="BR454" s="330"/>
      <c r="BS454" s="330"/>
      <c r="BT454" s="330"/>
      <c r="BU454" s="330"/>
      <c r="BV454" s="330"/>
      <c r="BW454" s="330"/>
      <c r="BX454" s="330"/>
      <c r="BY454" s="330"/>
      <c r="BZ454" s="330"/>
    </row>
    <row r="455" spans="1:78" x14ac:dyDescent="0.25">
      <c r="A455" s="331"/>
      <c r="B455" s="328"/>
      <c r="C455" s="328"/>
      <c r="D455" s="329"/>
      <c r="E455" s="330"/>
      <c r="F455" s="330"/>
      <c r="G455" s="330"/>
      <c r="H455" s="330"/>
      <c r="I455" s="330"/>
      <c r="J455" s="330"/>
      <c r="K455" s="330"/>
      <c r="L455" s="329"/>
      <c r="M455" s="329"/>
      <c r="N455" s="330"/>
      <c r="O455" s="330"/>
      <c r="P455" s="330"/>
      <c r="Q455" s="330"/>
      <c r="R455" s="330"/>
      <c r="S455" s="330"/>
      <c r="T455" s="330"/>
      <c r="U455" s="330"/>
      <c r="V455" s="330"/>
      <c r="W455" s="330"/>
      <c r="X455" s="329"/>
      <c r="Y455" s="330"/>
      <c r="Z455" s="330"/>
      <c r="AA455" s="330"/>
      <c r="AB455" s="330"/>
      <c r="AC455" s="330"/>
      <c r="AD455" s="330"/>
      <c r="AE455" s="330"/>
      <c r="AF455" s="330"/>
      <c r="AG455" s="330"/>
      <c r="AH455" s="330"/>
      <c r="AI455" s="330"/>
      <c r="AJ455" s="330"/>
      <c r="AK455" s="330"/>
      <c r="AL455" s="329"/>
      <c r="AM455" s="329"/>
      <c r="AN455" s="330"/>
      <c r="AO455" s="330"/>
      <c r="AP455" s="330"/>
      <c r="AQ455" s="330"/>
      <c r="AR455" s="231"/>
      <c r="AS455" s="333"/>
      <c r="AT455" s="206"/>
      <c r="AU455" s="328"/>
      <c r="AV455" s="206"/>
      <c r="AW455" s="206"/>
      <c r="AX455" s="206"/>
      <c r="AY455" s="206"/>
      <c r="AZ455" s="206"/>
      <c r="BA455" s="206"/>
      <c r="BB455" s="206"/>
      <c r="BC455" s="206"/>
      <c r="BD455" s="206"/>
      <c r="BE455" s="206"/>
      <c r="BF455" s="206"/>
      <c r="BG455" s="330"/>
      <c r="BH455" s="330"/>
      <c r="BI455" s="330"/>
      <c r="BJ455" s="330"/>
      <c r="BK455" s="330"/>
      <c r="BL455" s="330"/>
      <c r="BM455" s="330"/>
      <c r="BN455" s="330"/>
      <c r="BO455" s="330"/>
      <c r="BP455" s="330"/>
      <c r="BQ455" s="330"/>
      <c r="BR455" s="330"/>
      <c r="BS455" s="330"/>
      <c r="BT455" s="330"/>
      <c r="BU455" s="330"/>
      <c r="BV455" s="330"/>
      <c r="BW455" s="330"/>
      <c r="BX455" s="330"/>
      <c r="BY455" s="330"/>
      <c r="BZ455" s="330"/>
    </row>
    <row r="456" spans="1:78" x14ac:dyDescent="0.25">
      <c r="A456" s="331"/>
      <c r="B456" s="328"/>
      <c r="C456" s="328"/>
      <c r="D456" s="329"/>
      <c r="E456" s="330"/>
      <c r="F456" s="330"/>
      <c r="G456" s="330"/>
      <c r="H456" s="330"/>
      <c r="I456" s="330"/>
      <c r="J456" s="330"/>
      <c r="K456" s="330"/>
      <c r="L456" s="329"/>
      <c r="M456" s="329"/>
      <c r="N456" s="330"/>
      <c r="O456" s="330"/>
      <c r="P456" s="330"/>
      <c r="Q456" s="330"/>
      <c r="R456" s="330"/>
      <c r="S456" s="330"/>
      <c r="T456" s="330"/>
      <c r="U456" s="330"/>
      <c r="V456" s="330"/>
      <c r="W456" s="330"/>
      <c r="X456" s="329"/>
      <c r="Y456" s="330"/>
      <c r="Z456" s="330"/>
      <c r="AA456" s="330"/>
      <c r="AB456" s="330"/>
      <c r="AC456" s="330"/>
      <c r="AD456" s="330"/>
      <c r="AE456" s="330"/>
      <c r="AF456" s="330"/>
      <c r="AG456" s="330"/>
      <c r="AH456" s="330"/>
      <c r="AI456" s="330"/>
      <c r="AJ456" s="330"/>
      <c r="AK456" s="330"/>
      <c r="AL456" s="329"/>
      <c r="AM456" s="329"/>
      <c r="AN456" s="330"/>
      <c r="AO456" s="330"/>
      <c r="AP456" s="330"/>
      <c r="AQ456" s="330"/>
      <c r="AR456" s="231"/>
      <c r="AS456" s="333"/>
      <c r="AT456" s="206"/>
      <c r="AU456" s="328"/>
      <c r="AV456" s="206"/>
      <c r="AW456" s="206"/>
      <c r="AX456" s="206"/>
      <c r="AY456" s="206"/>
      <c r="AZ456" s="206"/>
      <c r="BA456" s="206"/>
      <c r="BB456" s="206"/>
      <c r="BC456" s="206"/>
      <c r="BD456" s="206"/>
      <c r="BE456" s="206"/>
      <c r="BF456" s="206"/>
      <c r="BG456" s="330"/>
      <c r="BH456" s="330"/>
      <c r="BI456" s="330"/>
      <c r="BJ456" s="330"/>
      <c r="BK456" s="330"/>
      <c r="BL456" s="330"/>
      <c r="BM456" s="330"/>
      <c r="BN456" s="330"/>
      <c r="BO456" s="330"/>
      <c r="BP456" s="330"/>
      <c r="BQ456" s="330"/>
      <c r="BR456" s="330"/>
      <c r="BS456" s="330"/>
      <c r="BT456" s="330"/>
      <c r="BU456" s="330"/>
      <c r="BV456" s="330"/>
      <c r="BW456" s="330"/>
      <c r="BX456" s="330"/>
      <c r="BY456" s="330"/>
      <c r="BZ456" s="330"/>
    </row>
    <row r="457" spans="1:78" x14ac:dyDescent="0.25">
      <c r="A457" s="331"/>
      <c r="B457" s="328"/>
      <c r="C457" s="328"/>
      <c r="D457" s="329"/>
      <c r="E457" s="330"/>
      <c r="F457" s="330"/>
      <c r="G457" s="330"/>
      <c r="H457" s="330"/>
      <c r="I457" s="330"/>
      <c r="J457" s="330"/>
      <c r="K457" s="330"/>
      <c r="L457" s="329"/>
      <c r="M457" s="329"/>
      <c r="N457" s="330"/>
      <c r="O457" s="330"/>
      <c r="P457" s="330"/>
      <c r="Q457" s="330"/>
      <c r="R457" s="330"/>
      <c r="S457" s="330"/>
      <c r="T457" s="330"/>
      <c r="U457" s="330"/>
      <c r="V457" s="330"/>
      <c r="W457" s="330"/>
      <c r="X457" s="329"/>
      <c r="Y457" s="330"/>
      <c r="Z457" s="330"/>
      <c r="AA457" s="330"/>
      <c r="AB457" s="330"/>
      <c r="AC457" s="330"/>
      <c r="AD457" s="330"/>
      <c r="AE457" s="330"/>
      <c r="AF457" s="330"/>
      <c r="AG457" s="330"/>
      <c r="AH457" s="330"/>
      <c r="AI457" s="330"/>
      <c r="AJ457" s="330"/>
      <c r="AK457" s="330"/>
      <c r="AL457" s="329"/>
      <c r="AM457" s="329"/>
      <c r="AN457" s="330"/>
      <c r="AO457" s="330"/>
      <c r="AP457" s="330"/>
      <c r="AQ457" s="330"/>
      <c r="AR457" s="231"/>
      <c r="AS457" s="333"/>
      <c r="AT457" s="206"/>
      <c r="AU457" s="328"/>
      <c r="AV457" s="206"/>
      <c r="AW457" s="206"/>
      <c r="AX457" s="206"/>
      <c r="AY457" s="206"/>
      <c r="AZ457" s="206"/>
      <c r="BA457" s="206"/>
      <c r="BB457" s="206"/>
      <c r="BC457" s="206"/>
      <c r="BD457" s="206"/>
      <c r="BE457" s="206"/>
      <c r="BF457" s="206"/>
      <c r="BG457" s="330"/>
      <c r="BH457" s="330"/>
      <c r="BI457" s="330"/>
      <c r="BJ457" s="330"/>
      <c r="BK457" s="330"/>
      <c r="BL457" s="330"/>
      <c r="BM457" s="330"/>
      <c r="BN457" s="330"/>
      <c r="BO457" s="330"/>
      <c r="BP457" s="330"/>
      <c r="BQ457" s="330"/>
      <c r="BR457" s="330"/>
      <c r="BS457" s="330"/>
      <c r="BT457" s="330"/>
      <c r="BU457" s="330"/>
      <c r="BV457" s="330"/>
      <c r="BW457" s="330"/>
      <c r="BX457" s="330"/>
      <c r="BY457" s="330"/>
      <c r="BZ457" s="330"/>
    </row>
    <row r="458" spans="1:78" x14ac:dyDescent="0.25">
      <c r="A458" s="331"/>
      <c r="B458" s="328"/>
      <c r="C458" s="328"/>
      <c r="D458" s="329"/>
      <c r="E458" s="330"/>
      <c r="F458" s="330"/>
      <c r="G458" s="330"/>
      <c r="H458" s="330"/>
      <c r="I458" s="330"/>
      <c r="J458" s="330"/>
      <c r="K458" s="330"/>
      <c r="L458" s="329"/>
      <c r="M458" s="329"/>
      <c r="N458" s="330"/>
      <c r="O458" s="330"/>
      <c r="P458" s="330"/>
      <c r="Q458" s="330"/>
      <c r="R458" s="330"/>
      <c r="S458" s="330"/>
      <c r="T458" s="330"/>
      <c r="U458" s="330"/>
      <c r="V458" s="330"/>
      <c r="W458" s="330"/>
      <c r="X458" s="329"/>
      <c r="Y458" s="330"/>
      <c r="Z458" s="330"/>
      <c r="AA458" s="330"/>
      <c r="AB458" s="330"/>
      <c r="AC458" s="330"/>
      <c r="AD458" s="330"/>
      <c r="AE458" s="330"/>
      <c r="AF458" s="330"/>
      <c r="AG458" s="330"/>
      <c r="AH458" s="330"/>
      <c r="AI458" s="330"/>
      <c r="AJ458" s="330"/>
      <c r="AK458" s="330"/>
      <c r="AL458" s="329"/>
      <c r="AM458" s="329"/>
      <c r="AN458" s="330"/>
      <c r="AO458" s="330"/>
      <c r="AP458" s="330"/>
      <c r="AQ458" s="330"/>
      <c r="AR458" s="231"/>
      <c r="AS458" s="333"/>
      <c r="AT458" s="206"/>
      <c r="AU458" s="328"/>
      <c r="AV458" s="206"/>
      <c r="AW458" s="206"/>
      <c r="AX458" s="206"/>
      <c r="AY458" s="206"/>
      <c r="AZ458" s="206"/>
      <c r="BA458" s="206"/>
      <c r="BB458" s="206"/>
      <c r="BC458" s="206"/>
      <c r="BD458" s="206"/>
      <c r="BE458" s="206"/>
      <c r="BF458" s="206"/>
      <c r="BG458" s="330"/>
      <c r="BH458" s="330"/>
      <c r="BI458" s="330"/>
      <c r="BJ458" s="330"/>
      <c r="BK458" s="330"/>
      <c r="BL458" s="330"/>
      <c r="BM458" s="330"/>
      <c r="BN458" s="330"/>
      <c r="BO458" s="330"/>
      <c r="BP458" s="330"/>
      <c r="BQ458" s="330"/>
      <c r="BR458" s="330"/>
      <c r="BS458" s="330"/>
      <c r="BT458" s="330"/>
      <c r="BU458" s="330"/>
      <c r="BV458" s="330"/>
      <c r="BW458" s="330"/>
      <c r="BX458" s="330"/>
      <c r="BY458" s="330"/>
      <c r="BZ458" s="330"/>
    </row>
    <row r="459" spans="1:78" x14ac:dyDescent="0.25">
      <c r="A459" s="331"/>
      <c r="B459" s="328"/>
      <c r="C459" s="328"/>
      <c r="D459" s="329"/>
      <c r="E459" s="330"/>
      <c r="F459" s="330"/>
      <c r="G459" s="330"/>
      <c r="H459" s="330"/>
      <c r="I459" s="330"/>
      <c r="J459" s="330"/>
      <c r="K459" s="330"/>
      <c r="L459" s="329"/>
      <c r="M459" s="329"/>
      <c r="N459" s="330"/>
      <c r="O459" s="330"/>
      <c r="P459" s="330"/>
      <c r="Q459" s="330"/>
      <c r="R459" s="330"/>
      <c r="S459" s="330"/>
      <c r="T459" s="330"/>
      <c r="U459" s="330"/>
      <c r="V459" s="330"/>
      <c r="W459" s="330"/>
      <c r="X459" s="329"/>
      <c r="Y459" s="330"/>
      <c r="Z459" s="330"/>
      <c r="AA459" s="330"/>
      <c r="AB459" s="330"/>
      <c r="AC459" s="330"/>
      <c r="AD459" s="330"/>
      <c r="AE459" s="330"/>
      <c r="AF459" s="330"/>
      <c r="AG459" s="330"/>
      <c r="AH459" s="330"/>
      <c r="AI459" s="330"/>
      <c r="AJ459" s="330"/>
      <c r="AK459" s="330"/>
      <c r="AL459" s="329"/>
      <c r="AM459" s="329"/>
      <c r="AN459" s="330"/>
      <c r="AO459" s="330"/>
      <c r="AP459" s="330"/>
      <c r="AQ459" s="330"/>
      <c r="AR459" s="231"/>
      <c r="AS459" s="333"/>
      <c r="AT459" s="206"/>
      <c r="AU459" s="328"/>
      <c r="AV459" s="206"/>
      <c r="AW459" s="206"/>
      <c r="AX459" s="206"/>
      <c r="AY459" s="206"/>
      <c r="AZ459" s="206"/>
      <c r="BA459" s="206"/>
      <c r="BB459" s="206"/>
      <c r="BC459" s="206"/>
      <c r="BD459" s="206"/>
      <c r="BE459" s="206"/>
      <c r="BF459" s="206"/>
      <c r="BG459" s="330"/>
      <c r="BH459" s="330"/>
      <c r="BI459" s="330"/>
      <c r="BJ459" s="330"/>
      <c r="BK459" s="330"/>
      <c r="BL459" s="330"/>
      <c r="BM459" s="330"/>
      <c r="BN459" s="330"/>
      <c r="BO459" s="330"/>
      <c r="BP459" s="330"/>
      <c r="BQ459" s="330"/>
      <c r="BR459" s="330"/>
      <c r="BS459" s="330"/>
      <c r="BT459" s="330"/>
      <c r="BU459" s="330"/>
      <c r="BV459" s="330"/>
      <c r="BW459" s="330"/>
      <c r="BX459" s="330"/>
      <c r="BY459" s="330"/>
      <c r="BZ459" s="330"/>
    </row>
    <row r="460" spans="1:78" x14ac:dyDescent="0.25">
      <c r="A460" s="331"/>
      <c r="B460" s="328"/>
      <c r="C460" s="328"/>
      <c r="D460" s="329"/>
      <c r="E460" s="330"/>
      <c r="F460" s="330"/>
      <c r="G460" s="330"/>
      <c r="H460" s="330"/>
      <c r="I460" s="330"/>
      <c r="J460" s="330"/>
      <c r="K460" s="330"/>
      <c r="L460" s="329"/>
      <c r="M460" s="329"/>
      <c r="N460" s="330"/>
      <c r="O460" s="330"/>
      <c r="P460" s="330"/>
      <c r="Q460" s="330"/>
      <c r="R460" s="330"/>
      <c r="S460" s="330"/>
      <c r="T460" s="330"/>
      <c r="U460" s="330"/>
      <c r="V460" s="330"/>
      <c r="W460" s="330"/>
      <c r="X460" s="329"/>
      <c r="Y460" s="330"/>
      <c r="Z460" s="330"/>
      <c r="AA460" s="330"/>
      <c r="AB460" s="330"/>
      <c r="AC460" s="330"/>
      <c r="AD460" s="330"/>
      <c r="AE460" s="330"/>
      <c r="AF460" s="330"/>
      <c r="AG460" s="330"/>
      <c r="AH460" s="330"/>
      <c r="AI460" s="330"/>
      <c r="AJ460" s="330"/>
      <c r="AK460" s="330"/>
      <c r="AL460" s="329"/>
      <c r="AM460" s="329"/>
      <c r="AN460" s="330"/>
      <c r="AO460" s="330"/>
      <c r="AP460" s="330"/>
      <c r="AQ460" s="330"/>
      <c r="AR460" s="231"/>
      <c r="AS460" s="333"/>
      <c r="AT460" s="206"/>
      <c r="AU460" s="328"/>
      <c r="AV460" s="206"/>
      <c r="AW460" s="206"/>
      <c r="AX460" s="206"/>
      <c r="AY460" s="206"/>
      <c r="AZ460" s="206"/>
      <c r="BA460" s="206"/>
      <c r="BB460" s="206"/>
      <c r="BC460" s="206"/>
      <c r="BD460" s="206"/>
      <c r="BE460" s="206"/>
      <c r="BF460" s="206"/>
      <c r="BG460" s="330"/>
      <c r="BH460" s="330"/>
      <c r="BI460" s="330"/>
      <c r="BJ460" s="330"/>
      <c r="BK460" s="330"/>
      <c r="BL460" s="330"/>
      <c r="BM460" s="330"/>
      <c r="BN460" s="330"/>
      <c r="BO460" s="330"/>
      <c r="BP460" s="330"/>
      <c r="BQ460" s="330"/>
      <c r="BR460" s="330"/>
      <c r="BS460" s="330"/>
      <c r="BT460" s="330"/>
      <c r="BU460" s="330"/>
      <c r="BV460" s="330"/>
      <c r="BW460" s="330"/>
      <c r="BX460" s="330"/>
      <c r="BY460" s="330"/>
      <c r="BZ460" s="330"/>
    </row>
    <row r="461" spans="1:78" x14ac:dyDescent="0.25">
      <c r="A461" s="331"/>
      <c r="B461" s="328"/>
      <c r="C461" s="328"/>
      <c r="D461" s="329"/>
      <c r="E461" s="330"/>
      <c r="F461" s="330"/>
      <c r="G461" s="330"/>
      <c r="H461" s="330"/>
      <c r="I461" s="330"/>
      <c r="J461" s="330"/>
      <c r="K461" s="330"/>
      <c r="L461" s="329"/>
      <c r="M461" s="329"/>
      <c r="N461" s="330"/>
      <c r="O461" s="330"/>
      <c r="P461" s="330"/>
      <c r="Q461" s="330"/>
      <c r="R461" s="330"/>
      <c r="S461" s="330"/>
      <c r="T461" s="330"/>
      <c r="U461" s="330"/>
      <c r="V461" s="330"/>
      <c r="W461" s="330"/>
      <c r="X461" s="329"/>
      <c r="Y461" s="330"/>
      <c r="Z461" s="330"/>
      <c r="AA461" s="330"/>
      <c r="AB461" s="330"/>
      <c r="AC461" s="330"/>
      <c r="AD461" s="330"/>
      <c r="AE461" s="330"/>
      <c r="AF461" s="330"/>
      <c r="AG461" s="330"/>
      <c r="AH461" s="330"/>
      <c r="AI461" s="330"/>
      <c r="AJ461" s="330"/>
      <c r="AK461" s="330"/>
      <c r="AL461" s="329"/>
      <c r="AM461" s="329"/>
      <c r="AN461" s="330"/>
      <c r="AO461" s="330"/>
      <c r="AP461" s="330"/>
      <c r="AQ461" s="330"/>
      <c r="AR461" s="231"/>
      <c r="AS461" s="333"/>
      <c r="AT461" s="206"/>
      <c r="AU461" s="328"/>
      <c r="AV461" s="206"/>
      <c r="AW461" s="206"/>
      <c r="AX461" s="206"/>
      <c r="AY461" s="206"/>
      <c r="AZ461" s="206"/>
      <c r="BA461" s="206"/>
      <c r="BB461" s="206"/>
      <c r="BC461" s="206"/>
      <c r="BD461" s="206"/>
      <c r="BE461" s="206"/>
      <c r="BF461" s="206"/>
      <c r="BG461" s="330"/>
      <c r="BH461" s="330"/>
      <c r="BI461" s="330"/>
      <c r="BJ461" s="330"/>
      <c r="BK461" s="330"/>
      <c r="BL461" s="330"/>
      <c r="BM461" s="330"/>
      <c r="BN461" s="330"/>
      <c r="BO461" s="330"/>
      <c r="BP461" s="330"/>
      <c r="BQ461" s="330"/>
      <c r="BR461" s="330"/>
      <c r="BS461" s="330"/>
      <c r="BT461" s="330"/>
      <c r="BU461" s="330"/>
      <c r="BV461" s="330"/>
      <c r="BW461" s="330"/>
      <c r="BX461" s="330"/>
      <c r="BY461" s="330"/>
      <c r="BZ461" s="330"/>
    </row>
    <row r="462" spans="1:78" x14ac:dyDescent="0.25">
      <c r="A462" s="331"/>
      <c r="B462" s="328"/>
      <c r="C462" s="328"/>
      <c r="D462" s="329"/>
      <c r="E462" s="330"/>
      <c r="F462" s="330"/>
      <c r="G462" s="330"/>
      <c r="H462" s="330"/>
      <c r="I462" s="330"/>
      <c r="J462" s="330"/>
      <c r="K462" s="330"/>
      <c r="L462" s="329"/>
      <c r="M462" s="329"/>
      <c r="N462" s="330"/>
      <c r="O462" s="330"/>
      <c r="P462" s="330"/>
      <c r="Q462" s="330"/>
      <c r="R462" s="330"/>
      <c r="S462" s="330"/>
      <c r="T462" s="330"/>
      <c r="U462" s="330"/>
      <c r="V462" s="330"/>
      <c r="W462" s="330"/>
      <c r="X462" s="329"/>
      <c r="Y462" s="330"/>
      <c r="Z462" s="330"/>
      <c r="AA462" s="330"/>
      <c r="AB462" s="330"/>
      <c r="AC462" s="330"/>
      <c r="AD462" s="330"/>
      <c r="AE462" s="330"/>
      <c r="AF462" s="330"/>
      <c r="AG462" s="330"/>
      <c r="AH462" s="330"/>
      <c r="AI462" s="330"/>
      <c r="AJ462" s="330"/>
      <c r="AK462" s="330"/>
      <c r="AL462" s="329"/>
      <c r="AM462" s="329"/>
      <c r="AN462" s="330"/>
      <c r="AO462" s="330"/>
      <c r="AP462" s="330"/>
      <c r="AQ462" s="330"/>
      <c r="AR462" s="231"/>
      <c r="AS462" s="333"/>
      <c r="AT462" s="206"/>
      <c r="AU462" s="328"/>
      <c r="AV462" s="206"/>
      <c r="AW462" s="206"/>
      <c r="AX462" s="206"/>
      <c r="AY462" s="206"/>
      <c r="AZ462" s="206"/>
      <c r="BA462" s="206"/>
      <c r="BB462" s="206"/>
      <c r="BC462" s="206"/>
      <c r="BD462" s="206"/>
      <c r="BE462" s="206"/>
      <c r="BF462" s="206"/>
      <c r="BG462" s="330"/>
      <c r="BH462" s="330"/>
      <c r="BI462" s="330"/>
      <c r="BJ462" s="330"/>
      <c r="BK462" s="330"/>
      <c r="BL462" s="330"/>
      <c r="BM462" s="330"/>
      <c r="BN462" s="330"/>
      <c r="BO462" s="330"/>
      <c r="BP462" s="330"/>
      <c r="BQ462" s="330"/>
      <c r="BR462" s="330"/>
      <c r="BS462" s="330"/>
      <c r="BT462" s="330"/>
      <c r="BU462" s="330"/>
      <c r="BV462" s="330"/>
      <c r="BW462" s="330"/>
      <c r="BX462" s="330"/>
      <c r="BY462" s="330"/>
      <c r="BZ462" s="330"/>
    </row>
    <row r="463" spans="1:78" x14ac:dyDescent="0.25">
      <c r="A463" s="331"/>
      <c r="B463" s="328"/>
      <c r="C463" s="328"/>
      <c r="D463" s="329"/>
      <c r="E463" s="330"/>
      <c r="F463" s="330"/>
      <c r="G463" s="330"/>
      <c r="H463" s="330"/>
      <c r="I463" s="330"/>
      <c r="J463" s="330"/>
      <c r="K463" s="330"/>
      <c r="L463" s="329"/>
      <c r="M463" s="329"/>
      <c r="N463" s="330"/>
      <c r="O463" s="330"/>
      <c r="P463" s="330"/>
      <c r="Q463" s="330"/>
      <c r="R463" s="330"/>
      <c r="S463" s="330"/>
      <c r="T463" s="330"/>
      <c r="U463" s="330"/>
      <c r="V463" s="330"/>
      <c r="W463" s="330"/>
      <c r="X463" s="329"/>
      <c r="Y463" s="330"/>
      <c r="Z463" s="330"/>
      <c r="AA463" s="330"/>
      <c r="AB463" s="330"/>
      <c r="AC463" s="330"/>
      <c r="AD463" s="330"/>
      <c r="AE463" s="330"/>
      <c r="AF463" s="330"/>
      <c r="AG463" s="330"/>
      <c r="AH463" s="330"/>
      <c r="AI463" s="330"/>
      <c r="AJ463" s="330"/>
      <c r="AK463" s="330"/>
      <c r="AL463" s="329"/>
      <c r="AM463" s="329"/>
      <c r="AN463" s="330"/>
      <c r="AO463" s="330"/>
      <c r="AP463" s="330"/>
      <c r="AQ463" s="330"/>
      <c r="AR463" s="231"/>
      <c r="AS463" s="333"/>
      <c r="AT463" s="206"/>
      <c r="AU463" s="328"/>
      <c r="AV463" s="206"/>
      <c r="AW463" s="206"/>
      <c r="AX463" s="206"/>
      <c r="AY463" s="206"/>
      <c r="AZ463" s="206"/>
      <c r="BA463" s="206"/>
      <c r="BB463" s="206"/>
      <c r="BC463" s="206"/>
      <c r="BD463" s="206"/>
      <c r="BE463" s="206"/>
      <c r="BF463" s="206"/>
      <c r="BG463" s="330"/>
      <c r="BH463" s="330"/>
      <c r="BI463" s="330"/>
      <c r="BJ463" s="330"/>
      <c r="BK463" s="330"/>
      <c r="BL463" s="330"/>
      <c r="BM463" s="330"/>
      <c r="BN463" s="330"/>
      <c r="BO463" s="330"/>
      <c r="BP463" s="330"/>
      <c r="BQ463" s="330"/>
      <c r="BR463" s="330"/>
      <c r="BS463" s="330"/>
      <c r="BT463" s="330"/>
      <c r="BU463" s="330"/>
      <c r="BV463" s="330"/>
      <c r="BW463" s="330"/>
      <c r="BX463" s="330"/>
      <c r="BY463" s="330"/>
      <c r="BZ463" s="330"/>
    </row>
    <row r="464" spans="1:78" x14ac:dyDescent="0.25">
      <c r="A464" s="331"/>
      <c r="B464" s="328"/>
      <c r="C464" s="328"/>
      <c r="D464" s="329"/>
      <c r="E464" s="330"/>
      <c r="F464" s="330"/>
      <c r="G464" s="330"/>
      <c r="H464" s="330"/>
      <c r="I464" s="330"/>
      <c r="J464" s="330"/>
      <c r="K464" s="330"/>
      <c r="L464" s="329"/>
      <c r="M464" s="329"/>
      <c r="N464" s="330"/>
      <c r="O464" s="330"/>
      <c r="P464" s="330"/>
      <c r="Q464" s="330"/>
      <c r="R464" s="330"/>
      <c r="S464" s="330"/>
      <c r="T464" s="330"/>
      <c r="U464" s="330"/>
      <c r="V464" s="330"/>
      <c r="W464" s="330"/>
      <c r="X464" s="329"/>
      <c r="Y464" s="330"/>
      <c r="Z464" s="330"/>
      <c r="AA464" s="330"/>
      <c r="AB464" s="330"/>
      <c r="AC464" s="330"/>
      <c r="AD464" s="330"/>
      <c r="AE464" s="330"/>
      <c r="AF464" s="330"/>
      <c r="AG464" s="330"/>
      <c r="AH464" s="330"/>
      <c r="AI464" s="330"/>
      <c r="AJ464" s="330"/>
      <c r="AK464" s="330"/>
      <c r="AL464" s="329"/>
      <c r="AM464" s="329"/>
      <c r="AN464" s="330"/>
      <c r="AO464" s="330"/>
      <c r="AP464" s="330"/>
      <c r="AQ464" s="330"/>
      <c r="AR464" s="231"/>
      <c r="AS464" s="333"/>
      <c r="AT464" s="206"/>
      <c r="AU464" s="328"/>
      <c r="AV464" s="206"/>
      <c r="AW464" s="206"/>
      <c r="AX464" s="206"/>
      <c r="AY464" s="206"/>
      <c r="AZ464" s="206"/>
      <c r="BA464" s="206"/>
      <c r="BB464" s="206"/>
      <c r="BC464" s="206"/>
      <c r="BD464" s="206"/>
      <c r="BE464" s="206"/>
      <c r="BF464" s="206"/>
      <c r="BG464" s="330"/>
      <c r="BH464" s="330"/>
      <c r="BI464" s="330"/>
      <c r="BJ464" s="330"/>
      <c r="BK464" s="330"/>
      <c r="BL464" s="330"/>
      <c r="BM464" s="330"/>
      <c r="BN464" s="330"/>
      <c r="BO464" s="330"/>
      <c r="BP464" s="330"/>
      <c r="BQ464" s="330"/>
      <c r="BR464" s="330"/>
      <c r="BS464" s="330"/>
      <c r="BT464" s="330"/>
      <c r="BU464" s="330"/>
      <c r="BV464" s="330"/>
      <c r="BW464" s="330"/>
      <c r="BX464" s="330"/>
      <c r="BY464" s="330"/>
      <c r="BZ464" s="330"/>
    </row>
    <row r="465" spans="1:78" x14ac:dyDescent="0.25">
      <c r="A465" s="331"/>
      <c r="B465" s="328"/>
      <c r="C465" s="328"/>
      <c r="D465" s="329"/>
      <c r="E465" s="330"/>
      <c r="F465" s="330"/>
      <c r="G465" s="330"/>
      <c r="H465" s="330"/>
      <c r="I465" s="330"/>
      <c r="J465" s="330"/>
      <c r="K465" s="330"/>
      <c r="L465" s="329"/>
      <c r="M465" s="329"/>
      <c r="N465" s="330"/>
      <c r="O465" s="330"/>
      <c r="P465" s="330"/>
      <c r="Q465" s="330"/>
      <c r="R465" s="330"/>
      <c r="S465" s="330"/>
      <c r="T465" s="330"/>
      <c r="U465" s="330"/>
      <c r="V465" s="330"/>
      <c r="W465" s="330"/>
      <c r="X465" s="329"/>
      <c r="Y465" s="330"/>
      <c r="Z465" s="330"/>
      <c r="AA465" s="330"/>
      <c r="AB465" s="330"/>
      <c r="AC465" s="330"/>
      <c r="AD465" s="330"/>
      <c r="AE465" s="330"/>
      <c r="AF465" s="330"/>
      <c r="AG465" s="330"/>
      <c r="AH465" s="330"/>
      <c r="AI465" s="330"/>
      <c r="AJ465" s="330"/>
      <c r="AK465" s="330"/>
      <c r="AL465" s="329"/>
      <c r="AM465" s="329"/>
      <c r="AN465" s="330"/>
      <c r="AO465" s="330"/>
      <c r="AP465" s="330"/>
      <c r="AQ465" s="330"/>
      <c r="AR465" s="231"/>
      <c r="AS465" s="333"/>
      <c r="AT465" s="206"/>
      <c r="AU465" s="328"/>
      <c r="AV465" s="206"/>
      <c r="AW465" s="206"/>
      <c r="AX465" s="206"/>
      <c r="AY465" s="206"/>
      <c r="AZ465" s="206"/>
      <c r="BA465" s="206"/>
      <c r="BB465" s="206"/>
      <c r="BC465" s="206"/>
      <c r="BD465" s="206"/>
      <c r="BE465" s="206"/>
      <c r="BF465" s="206"/>
      <c r="BG465" s="330"/>
      <c r="BH465" s="330"/>
      <c r="BI465" s="330"/>
      <c r="BJ465" s="330"/>
      <c r="BK465" s="330"/>
      <c r="BL465" s="330"/>
      <c r="BM465" s="330"/>
      <c r="BN465" s="330"/>
      <c r="BO465" s="330"/>
      <c r="BP465" s="330"/>
      <c r="BQ465" s="330"/>
      <c r="BR465" s="330"/>
      <c r="BS465" s="330"/>
      <c r="BT465" s="330"/>
      <c r="BU465" s="330"/>
      <c r="BV465" s="330"/>
      <c r="BW465" s="330"/>
      <c r="BX465" s="330"/>
      <c r="BY465" s="330"/>
      <c r="BZ465" s="330"/>
    </row>
    <row r="466" spans="1:78" x14ac:dyDescent="0.25">
      <c r="A466" s="331"/>
      <c r="B466" s="328"/>
      <c r="C466" s="328"/>
      <c r="D466" s="329"/>
      <c r="E466" s="330"/>
      <c r="F466" s="330"/>
      <c r="G466" s="330"/>
      <c r="H466" s="330"/>
      <c r="I466" s="330"/>
      <c r="J466" s="330"/>
      <c r="K466" s="330"/>
      <c r="L466" s="329"/>
      <c r="M466" s="329"/>
      <c r="N466" s="330"/>
      <c r="O466" s="330"/>
      <c r="P466" s="330"/>
      <c r="Q466" s="330"/>
      <c r="R466" s="330"/>
      <c r="S466" s="330"/>
      <c r="T466" s="330"/>
      <c r="U466" s="330"/>
      <c r="V466" s="330"/>
      <c r="W466" s="330"/>
      <c r="X466" s="329"/>
      <c r="Y466" s="330"/>
      <c r="Z466" s="330"/>
      <c r="AA466" s="330"/>
      <c r="AB466" s="330"/>
      <c r="AC466" s="330"/>
      <c r="AD466" s="330"/>
      <c r="AE466" s="330"/>
      <c r="AF466" s="330"/>
      <c r="AG466" s="330"/>
      <c r="AH466" s="330"/>
      <c r="AI466" s="330"/>
      <c r="AJ466" s="330"/>
      <c r="AK466" s="330"/>
      <c r="AL466" s="329"/>
      <c r="AM466" s="329"/>
      <c r="AN466" s="330"/>
      <c r="AO466" s="330"/>
      <c r="AP466" s="330"/>
      <c r="AQ466" s="330"/>
      <c r="AR466" s="231"/>
      <c r="AS466" s="333"/>
      <c r="AT466" s="206"/>
      <c r="AU466" s="328"/>
      <c r="AV466" s="206"/>
      <c r="AW466" s="206"/>
      <c r="AX466" s="206"/>
      <c r="AY466" s="206"/>
      <c r="AZ466" s="206"/>
      <c r="BA466" s="206"/>
      <c r="BB466" s="206"/>
      <c r="BC466" s="206"/>
      <c r="BD466" s="206"/>
      <c r="BE466" s="206"/>
      <c r="BF466" s="206"/>
      <c r="BG466" s="330"/>
      <c r="BH466" s="330"/>
      <c r="BI466" s="330"/>
      <c r="BJ466" s="330"/>
      <c r="BK466" s="330"/>
      <c r="BL466" s="330"/>
      <c r="BM466" s="330"/>
      <c r="BN466" s="330"/>
      <c r="BO466" s="330"/>
      <c r="BP466" s="330"/>
      <c r="BQ466" s="330"/>
      <c r="BR466" s="330"/>
      <c r="BS466" s="330"/>
      <c r="BT466" s="330"/>
      <c r="BU466" s="330"/>
      <c r="BV466" s="330"/>
      <c r="BW466" s="330"/>
      <c r="BX466" s="330"/>
      <c r="BY466" s="330"/>
      <c r="BZ466" s="330"/>
    </row>
    <row r="467" spans="1:78" x14ac:dyDescent="0.25">
      <c r="A467" s="331"/>
      <c r="B467" s="328"/>
      <c r="C467" s="328"/>
      <c r="D467" s="329"/>
      <c r="E467" s="330"/>
      <c r="F467" s="330"/>
      <c r="G467" s="330"/>
      <c r="H467" s="330"/>
      <c r="I467" s="330"/>
      <c r="J467" s="330"/>
      <c r="K467" s="330"/>
      <c r="L467" s="329"/>
      <c r="M467" s="329"/>
      <c r="N467" s="330"/>
      <c r="O467" s="330"/>
      <c r="P467" s="330"/>
      <c r="Q467" s="330"/>
      <c r="R467" s="330"/>
      <c r="S467" s="330"/>
      <c r="T467" s="330"/>
      <c r="U467" s="330"/>
      <c r="V467" s="330"/>
      <c r="W467" s="330"/>
      <c r="X467" s="329"/>
      <c r="Y467" s="330"/>
      <c r="Z467" s="330"/>
      <c r="AA467" s="330"/>
      <c r="AB467" s="330"/>
      <c r="AC467" s="330"/>
      <c r="AD467" s="330"/>
      <c r="AE467" s="330"/>
      <c r="AF467" s="330"/>
      <c r="AG467" s="330"/>
      <c r="AH467" s="330"/>
      <c r="AI467" s="330"/>
      <c r="AJ467" s="330"/>
      <c r="AK467" s="330"/>
      <c r="AL467" s="329"/>
      <c r="AM467" s="329"/>
      <c r="AN467" s="330"/>
      <c r="AO467" s="330"/>
      <c r="AP467" s="330"/>
      <c r="AQ467" s="330"/>
      <c r="AR467" s="231"/>
      <c r="AS467" s="333"/>
      <c r="AT467" s="206"/>
      <c r="AU467" s="328"/>
      <c r="AV467" s="206"/>
      <c r="AW467" s="206"/>
      <c r="AX467" s="206"/>
      <c r="AY467" s="206"/>
      <c r="AZ467" s="206"/>
      <c r="BA467" s="206"/>
      <c r="BB467" s="206"/>
      <c r="BC467" s="206"/>
      <c r="BD467" s="206"/>
      <c r="BE467" s="206"/>
      <c r="BF467" s="206"/>
      <c r="BG467" s="330"/>
      <c r="BH467" s="330"/>
      <c r="BI467" s="330"/>
      <c r="BJ467" s="330"/>
      <c r="BK467" s="330"/>
      <c r="BL467" s="330"/>
      <c r="BM467" s="330"/>
      <c r="BN467" s="330"/>
      <c r="BO467" s="330"/>
      <c r="BP467" s="330"/>
      <c r="BQ467" s="330"/>
      <c r="BR467" s="330"/>
      <c r="BS467" s="330"/>
      <c r="BT467" s="330"/>
      <c r="BU467" s="330"/>
      <c r="BV467" s="330"/>
      <c r="BW467" s="330"/>
      <c r="BX467" s="330"/>
      <c r="BY467" s="330"/>
      <c r="BZ467" s="330"/>
    </row>
    <row r="468" spans="1:78" x14ac:dyDescent="0.25">
      <c r="A468" s="331"/>
      <c r="B468" s="328"/>
      <c r="C468" s="328"/>
      <c r="D468" s="329"/>
      <c r="E468" s="330"/>
      <c r="F468" s="330"/>
      <c r="G468" s="330"/>
      <c r="H468" s="330"/>
      <c r="I468" s="330"/>
      <c r="J468" s="330"/>
      <c r="K468" s="330"/>
      <c r="L468" s="329"/>
      <c r="M468" s="329"/>
      <c r="N468" s="330"/>
      <c r="O468" s="330"/>
      <c r="P468" s="330"/>
      <c r="Q468" s="330"/>
      <c r="R468" s="330"/>
      <c r="S468" s="330"/>
      <c r="T468" s="330"/>
      <c r="U468" s="330"/>
      <c r="V468" s="330"/>
      <c r="W468" s="330"/>
      <c r="X468" s="329"/>
      <c r="Y468" s="330"/>
      <c r="Z468" s="330"/>
      <c r="AA468" s="330"/>
      <c r="AB468" s="330"/>
      <c r="AC468" s="330"/>
      <c r="AD468" s="330"/>
      <c r="AE468" s="330"/>
      <c r="AF468" s="330"/>
      <c r="AG468" s="330"/>
      <c r="AH468" s="330"/>
      <c r="AI468" s="330"/>
      <c r="AJ468" s="330"/>
      <c r="AK468" s="330"/>
      <c r="AL468" s="329"/>
      <c r="AM468" s="329"/>
      <c r="AN468" s="330"/>
      <c r="AO468" s="330"/>
      <c r="AP468" s="330"/>
      <c r="AQ468" s="330"/>
      <c r="AR468" s="231"/>
      <c r="AS468" s="333"/>
      <c r="AT468" s="206"/>
      <c r="AU468" s="328"/>
      <c r="AV468" s="206"/>
      <c r="AW468" s="206"/>
      <c r="AX468" s="206"/>
      <c r="AY468" s="206"/>
      <c r="AZ468" s="206"/>
      <c r="BA468" s="206"/>
      <c r="BB468" s="206"/>
      <c r="BC468" s="206"/>
      <c r="BD468" s="206"/>
      <c r="BE468" s="206"/>
      <c r="BF468" s="206"/>
      <c r="BG468" s="330"/>
      <c r="BH468" s="330"/>
      <c r="BI468" s="330"/>
      <c r="BJ468" s="330"/>
      <c r="BK468" s="330"/>
      <c r="BL468" s="330"/>
      <c r="BM468" s="330"/>
      <c r="BN468" s="330"/>
      <c r="BO468" s="330"/>
      <c r="BP468" s="330"/>
      <c r="BQ468" s="330"/>
      <c r="BR468" s="330"/>
      <c r="BS468" s="330"/>
      <c r="BT468" s="330"/>
      <c r="BU468" s="330"/>
      <c r="BV468" s="330"/>
      <c r="BW468" s="330"/>
      <c r="BX468" s="330"/>
      <c r="BY468" s="330"/>
      <c r="BZ468" s="330"/>
    </row>
    <row r="469" spans="1:78" x14ac:dyDescent="0.25">
      <c r="A469" s="331"/>
      <c r="B469" s="328"/>
      <c r="C469" s="328"/>
      <c r="D469" s="329"/>
      <c r="E469" s="330"/>
      <c r="F469" s="330"/>
      <c r="G469" s="330"/>
      <c r="H469" s="330"/>
      <c r="I469" s="330"/>
      <c r="J469" s="330"/>
      <c r="K469" s="330"/>
      <c r="L469" s="329"/>
      <c r="M469" s="329"/>
      <c r="N469" s="330"/>
      <c r="O469" s="330"/>
      <c r="P469" s="330"/>
      <c r="Q469" s="330"/>
      <c r="R469" s="330"/>
      <c r="S469" s="330"/>
      <c r="T469" s="330"/>
      <c r="U469" s="330"/>
      <c r="V469" s="330"/>
      <c r="W469" s="330"/>
      <c r="X469" s="329"/>
      <c r="Y469" s="330"/>
      <c r="Z469" s="330"/>
      <c r="AA469" s="330"/>
      <c r="AB469" s="330"/>
      <c r="AC469" s="330"/>
      <c r="AD469" s="330"/>
      <c r="AE469" s="330"/>
      <c r="AF469" s="330"/>
      <c r="AG469" s="330"/>
      <c r="AH469" s="330"/>
      <c r="AI469" s="330"/>
      <c r="AJ469" s="330"/>
      <c r="AK469" s="330"/>
      <c r="AL469" s="329"/>
      <c r="AM469" s="329"/>
      <c r="AN469" s="330"/>
      <c r="AO469" s="330"/>
      <c r="AP469" s="330"/>
      <c r="AQ469" s="330"/>
      <c r="AR469" s="231"/>
      <c r="AS469" s="333"/>
      <c r="AT469" s="206"/>
      <c r="AU469" s="328"/>
      <c r="AV469" s="206"/>
      <c r="AW469" s="206"/>
      <c r="AX469" s="206"/>
      <c r="AY469" s="206"/>
      <c r="AZ469" s="206"/>
      <c r="BA469" s="206"/>
      <c r="BB469" s="206"/>
      <c r="BC469" s="206"/>
      <c r="BD469" s="206"/>
      <c r="BE469" s="206"/>
      <c r="BF469" s="206"/>
      <c r="BG469" s="330"/>
      <c r="BH469" s="330"/>
      <c r="BI469" s="330"/>
      <c r="BJ469" s="330"/>
      <c r="BK469" s="330"/>
      <c r="BL469" s="330"/>
      <c r="BM469" s="330"/>
      <c r="BN469" s="330"/>
      <c r="BO469" s="330"/>
      <c r="BP469" s="330"/>
      <c r="BQ469" s="330"/>
      <c r="BR469" s="330"/>
      <c r="BS469" s="330"/>
      <c r="BT469" s="330"/>
      <c r="BU469" s="330"/>
      <c r="BV469" s="330"/>
      <c r="BW469" s="330"/>
      <c r="BX469" s="330"/>
      <c r="BY469" s="330"/>
      <c r="BZ469" s="330"/>
    </row>
    <row r="470" spans="1:78" x14ac:dyDescent="0.25">
      <c r="A470" s="331"/>
      <c r="B470" s="328"/>
      <c r="C470" s="328"/>
      <c r="D470" s="329"/>
      <c r="E470" s="330"/>
      <c r="F470" s="330"/>
      <c r="G470" s="330"/>
      <c r="H470" s="330"/>
      <c r="I470" s="330"/>
      <c r="J470" s="330"/>
      <c r="K470" s="330"/>
      <c r="L470" s="329"/>
      <c r="M470" s="329"/>
      <c r="N470" s="330"/>
      <c r="O470" s="330"/>
      <c r="P470" s="330"/>
      <c r="Q470" s="330"/>
      <c r="R470" s="330"/>
      <c r="S470" s="330"/>
      <c r="T470" s="330"/>
      <c r="U470" s="330"/>
      <c r="V470" s="330"/>
      <c r="W470" s="330"/>
      <c r="X470" s="329"/>
      <c r="Y470" s="330"/>
      <c r="Z470" s="330"/>
      <c r="AA470" s="330"/>
      <c r="AB470" s="330"/>
      <c r="AC470" s="330"/>
      <c r="AD470" s="330"/>
      <c r="AE470" s="330"/>
      <c r="AF470" s="330"/>
      <c r="AG470" s="330"/>
      <c r="AH470" s="330"/>
      <c r="AI470" s="330"/>
      <c r="AJ470" s="330"/>
      <c r="AK470" s="330"/>
      <c r="AL470" s="329"/>
      <c r="AM470" s="329"/>
      <c r="AN470" s="330"/>
      <c r="AO470" s="330"/>
      <c r="AP470" s="330"/>
      <c r="AQ470" s="330"/>
      <c r="AR470" s="231"/>
      <c r="AS470" s="333"/>
      <c r="AT470" s="206"/>
      <c r="AU470" s="328"/>
      <c r="AV470" s="206"/>
      <c r="AW470" s="206"/>
      <c r="AX470" s="206"/>
      <c r="AY470" s="206"/>
      <c r="AZ470" s="206"/>
      <c r="BA470" s="206"/>
      <c r="BB470" s="206"/>
      <c r="BC470" s="206"/>
      <c r="BD470" s="206"/>
      <c r="BE470" s="206"/>
      <c r="BF470" s="206"/>
      <c r="BG470" s="330"/>
      <c r="BH470" s="330"/>
      <c r="BI470" s="330"/>
      <c r="BJ470" s="330"/>
      <c r="BK470" s="330"/>
      <c r="BL470" s="330"/>
      <c r="BM470" s="330"/>
      <c r="BN470" s="330"/>
      <c r="BO470" s="330"/>
      <c r="BP470" s="330"/>
      <c r="BQ470" s="330"/>
      <c r="BR470" s="330"/>
      <c r="BS470" s="330"/>
      <c r="BT470" s="330"/>
      <c r="BU470" s="330"/>
      <c r="BV470" s="330"/>
      <c r="BW470" s="330"/>
      <c r="BX470" s="330"/>
      <c r="BY470" s="330"/>
      <c r="BZ470" s="330"/>
    </row>
    <row r="471" spans="1:78" x14ac:dyDescent="0.25">
      <c r="A471" s="331"/>
      <c r="B471" s="328"/>
      <c r="C471" s="328"/>
      <c r="D471" s="329"/>
      <c r="E471" s="330"/>
      <c r="F471" s="330"/>
      <c r="G471" s="330"/>
      <c r="H471" s="330"/>
      <c r="I471" s="330"/>
      <c r="J471" s="330"/>
      <c r="K471" s="330"/>
      <c r="L471" s="329"/>
      <c r="M471" s="329"/>
      <c r="N471" s="330"/>
      <c r="O471" s="330"/>
      <c r="P471" s="330"/>
      <c r="Q471" s="330"/>
      <c r="R471" s="330"/>
      <c r="S471" s="330"/>
      <c r="T471" s="330"/>
      <c r="U471" s="330"/>
      <c r="V471" s="330"/>
      <c r="W471" s="330"/>
      <c r="X471" s="329"/>
      <c r="Y471" s="330"/>
      <c r="Z471" s="330"/>
      <c r="AA471" s="330"/>
      <c r="AB471" s="330"/>
      <c r="AC471" s="330"/>
      <c r="AD471" s="330"/>
      <c r="AE471" s="330"/>
      <c r="AF471" s="330"/>
      <c r="AG471" s="330"/>
      <c r="AH471" s="330"/>
      <c r="AI471" s="330"/>
      <c r="AJ471" s="330"/>
      <c r="AK471" s="330"/>
      <c r="AL471" s="329"/>
      <c r="AM471" s="329"/>
      <c r="AN471" s="330"/>
      <c r="AO471" s="330"/>
      <c r="AP471" s="330"/>
      <c r="AQ471" s="330"/>
      <c r="AR471" s="231"/>
      <c r="AS471" s="333"/>
      <c r="AT471" s="206"/>
      <c r="AU471" s="328"/>
      <c r="AV471" s="206"/>
      <c r="AW471" s="206"/>
      <c r="AX471" s="206"/>
      <c r="AY471" s="206"/>
      <c r="AZ471" s="206"/>
      <c r="BA471" s="206"/>
      <c r="BB471" s="206"/>
      <c r="BC471" s="206"/>
      <c r="BD471" s="206"/>
      <c r="BE471" s="206"/>
      <c r="BF471" s="206"/>
      <c r="BG471" s="330"/>
      <c r="BH471" s="330"/>
      <c r="BI471" s="330"/>
      <c r="BJ471" s="330"/>
      <c r="BK471" s="330"/>
      <c r="BL471" s="330"/>
      <c r="BM471" s="330"/>
      <c r="BN471" s="330"/>
      <c r="BO471" s="330"/>
      <c r="BP471" s="330"/>
      <c r="BQ471" s="330"/>
      <c r="BR471" s="330"/>
      <c r="BS471" s="330"/>
      <c r="BT471" s="330"/>
      <c r="BU471" s="330"/>
      <c r="BV471" s="330"/>
      <c r="BW471" s="330"/>
      <c r="BX471" s="330"/>
      <c r="BY471" s="330"/>
      <c r="BZ471" s="330"/>
    </row>
    <row r="472" spans="1:78" x14ac:dyDescent="0.25">
      <c r="A472" s="331"/>
      <c r="B472" s="328"/>
      <c r="C472" s="328"/>
      <c r="D472" s="329"/>
      <c r="E472" s="330"/>
      <c r="F472" s="330"/>
      <c r="G472" s="330"/>
      <c r="H472" s="330"/>
      <c r="I472" s="330"/>
      <c r="J472" s="330"/>
      <c r="K472" s="330"/>
      <c r="L472" s="329"/>
      <c r="M472" s="329"/>
      <c r="N472" s="330"/>
      <c r="O472" s="330"/>
      <c r="P472" s="330"/>
      <c r="Q472" s="330"/>
      <c r="R472" s="330"/>
      <c r="S472" s="330"/>
      <c r="T472" s="330"/>
      <c r="U472" s="330"/>
      <c r="V472" s="330"/>
      <c r="W472" s="330"/>
      <c r="X472" s="329"/>
      <c r="Y472" s="330"/>
      <c r="Z472" s="330"/>
      <c r="AA472" s="330"/>
      <c r="AB472" s="330"/>
      <c r="AC472" s="330"/>
      <c r="AD472" s="330"/>
      <c r="AE472" s="330"/>
      <c r="AF472" s="330"/>
      <c r="AG472" s="330"/>
      <c r="AH472" s="330"/>
      <c r="AI472" s="330"/>
      <c r="AJ472" s="330"/>
      <c r="AK472" s="330"/>
      <c r="AL472" s="329"/>
      <c r="AM472" s="329"/>
      <c r="AN472" s="330"/>
      <c r="AO472" s="330"/>
      <c r="AP472" s="330"/>
      <c r="AQ472" s="330"/>
      <c r="AR472" s="231"/>
      <c r="AS472" s="333"/>
      <c r="AT472" s="206"/>
      <c r="AU472" s="328"/>
      <c r="AV472" s="206"/>
      <c r="AW472" s="206"/>
      <c r="AX472" s="206"/>
      <c r="AY472" s="206"/>
      <c r="AZ472" s="206"/>
      <c r="BA472" s="206"/>
      <c r="BB472" s="206"/>
      <c r="BC472" s="206"/>
      <c r="BD472" s="206"/>
      <c r="BE472" s="206"/>
      <c r="BF472" s="206"/>
      <c r="BG472" s="330"/>
      <c r="BH472" s="330"/>
      <c r="BI472" s="330"/>
      <c r="BJ472" s="330"/>
      <c r="BK472" s="330"/>
      <c r="BL472" s="330"/>
      <c r="BM472" s="330"/>
      <c r="BN472" s="330"/>
      <c r="BO472" s="330"/>
      <c r="BP472" s="330"/>
      <c r="BQ472" s="330"/>
      <c r="BR472" s="330"/>
      <c r="BS472" s="330"/>
      <c r="BT472" s="330"/>
      <c r="BU472" s="330"/>
      <c r="BV472" s="330"/>
      <c r="BW472" s="330"/>
      <c r="BX472" s="330"/>
      <c r="BY472" s="330"/>
      <c r="BZ472" s="330"/>
    </row>
    <row r="473" spans="1:78" x14ac:dyDescent="0.25">
      <c r="A473" s="331"/>
      <c r="B473" s="328"/>
      <c r="C473" s="328"/>
      <c r="D473" s="329"/>
      <c r="E473" s="330"/>
      <c r="F473" s="330"/>
      <c r="G473" s="330"/>
      <c r="H473" s="330"/>
      <c r="I473" s="330"/>
      <c r="J473" s="330"/>
      <c r="K473" s="330"/>
      <c r="L473" s="329"/>
      <c r="M473" s="329"/>
      <c r="N473" s="330"/>
      <c r="O473" s="330"/>
      <c r="P473" s="330"/>
      <c r="Q473" s="330"/>
      <c r="R473" s="330"/>
      <c r="S473" s="330"/>
      <c r="T473" s="330"/>
      <c r="U473" s="330"/>
      <c r="V473" s="330"/>
      <c r="W473" s="330"/>
      <c r="X473" s="329"/>
      <c r="Y473" s="330"/>
      <c r="Z473" s="330"/>
      <c r="AA473" s="330"/>
      <c r="AB473" s="330"/>
      <c r="AC473" s="330"/>
      <c r="AD473" s="330"/>
      <c r="AE473" s="330"/>
      <c r="AF473" s="330"/>
      <c r="AG473" s="330"/>
      <c r="AH473" s="330"/>
      <c r="AI473" s="330"/>
      <c r="AJ473" s="330"/>
      <c r="AK473" s="330"/>
      <c r="AL473" s="329"/>
      <c r="AM473" s="329"/>
      <c r="AN473" s="330"/>
      <c r="AO473" s="330"/>
      <c r="AP473" s="330"/>
      <c r="AQ473" s="330"/>
      <c r="AR473" s="231"/>
      <c r="AS473" s="333"/>
      <c r="AT473" s="206"/>
      <c r="AU473" s="328"/>
      <c r="AV473" s="206"/>
      <c r="AW473" s="206"/>
      <c r="AX473" s="206"/>
      <c r="AY473" s="206"/>
      <c r="AZ473" s="206"/>
      <c r="BA473" s="206"/>
      <c r="BB473" s="206"/>
      <c r="BC473" s="206"/>
      <c r="BD473" s="206"/>
      <c r="BE473" s="206"/>
      <c r="BF473" s="206"/>
      <c r="BG473" s="330"/>
      <c r="BH473" s="330"/>
      <c r="BI473" s="330"/>
      <c r="BJ473" s="330"/>
      <c r="BK473" s="330"/>
      <c r="BL473" s="330"/>
      <c r="BM473" s="330"/>
      <c r="BN473" s="330"/>
      <c r="BO473" s="330"/>
      <c r="BP473" s="330"/>
      <c r="BQ473" s="330"/>
      <c r="BR473" s="330"/>
      <c r="BS473" s="330"/>
      <c r="BT473" s="330"/>
      <c r="BU473" s="330"/>
      <c r="BV473" s="330"/>
      <c r="BW473" s="330"/>
      <c r="BX473" s="330"/>
      <c r="BY473" s="330"/>
      <c r="BZ473" s="330"/>
    </row>
    <row r="474" spans="1:78" x14ac:dyDescent="0.25">
      <c r="A474" s="331"/>
      <c r="B474" s="328"/>
      <c r="C474" s="328"/>
      <c r="D474" s="329"/>
      <c r="E474" s="330"/>
      <c r="F474" s="330"/>
      <c r="G474" s="330"/>
      <c r="H474" s="330"/>
      <c r="I474" s="330"/>
      <c r="J474" s="330"/>
      <c r="K474" s="330"/>
      <c r="L474" s="329"/>
      <c r="M474" s="329"/>
      <c r="N474" s="330"/>
      <c r="O474" s="330"/>
      <c r="P474" s="330"/>
      <c r="Q474" s="330"/>
      <c r="R474" s="330"/>
      <c r="S474" s="330"/>
      <c r="T474" s="330"/>
      <c r="U474" s="330"/>
      <c r="V474" s="330"/>
      <c r="W474" s="330"/>
      <c r="X474" s="329"/>
      <c r="Y474" s="330"/>
      <c r="Z474" s="330"/>
      <c r="AA474" s="330"/>
      <c r="AB474" s="330"/>
      <c r="AC474" s="330"/>
      <c r="AD474" s="330"/>
      <c r="AE474" s="330"/>
      <c r="AF474" s="330"/>
      <c r="AG474" s="330"/>
      <c r="AH474" s="330"/>
      <c r="AI474" s="330"/>
      <c r="AJ474" s="330"/>
      <c r="AK474" s="330"/>
      <c r="AL474" s="329"/>
      <c r="AM474" s="329"/>
      <c r="AN474" s="330"/>
      <c r="AO474" s="330"/>
      <c r="AP474" s="330"/>
      <c r="AQ474" s="330"/>
      <c r="AR474" s="231"/>
      <c r="AS474" s="333"/>
      <c r="AT474" s="206"/>
      <c r="AU474" s="328"/>
      <c r="AV474" s="206"/>
      <c r="AW474" s="206"/>
      <c r="AX474" s="206"/>
      <c r="AY474" s="206"/>
      <c r="AZ474" s="206"/>
      <c r="BA474" s="206"/>
      <c r="BB474" s="206"/>
      <c r="BC474" s="206"/>
      <c r="BD474" s="206"/>
      <c r="BE474" s="206"/>
      <c r="BF474" s="206"/>
      <c r="BG474" s="330"/>
      <c r="BH474" s="330"/>
      <c r="BI474" s="330"/>
      <c r="BJ474" s="330"/>
      <c r="BK474" s="330"/>
      <c r="BL474" s="330"/>
      <c r="BM474" s="330"/>
      <c r="BN474" s="330"/>
      <c r="BO474" s="330"/>
      <c r="BP474" s="330"/>
      <c r="BQ474" s="330"/>
      <c r="BR474" s="330"/>
      <c r="BS474" s="330"/>
      <c r="BT474" s="330"/>
      <c r="BU474" s="330"/>
      <c r="BV474" s="330"/>
      <c r="BW474" s="330"/>
      <c r="BX474" s="330"/>
      <c r="BY474" s="330"/>
      <c r="BZ474" s="330"/>
    </row>
    <row r="475" spans="1:78" x14ac:dyDescent="0.25">
      <c r="A475" s="331"/>
      <c r="B475" s="328"/>
      <c r="C475" s="328"/>
      <c r="D475" s="329"/>
      <c r="E475" s="330"/>
      <c r="F475" s="330"/>
      <c r="G475" s="330"/>
      <c r="H475" s="330"/>
      <c r="I475" s="330"/>
      <c r="J475" s="330"/>
      <c r="K475" s="330"/>
      <c r="L475" s="329"/>
      <c r="M475" s="329"/>
      <c r="N475" s="330"/>
      <c r="O475" s="330"/>
      <c r="P475" s="330"/>
      <c r="Q475" s="330"/>
      <c r="R475" s="330"/>
      <c r="S475" s="330"/>
      <c r="T475" s="330"/>
      <c r="U475" s="330"/>
      <c r="V475" s="330"/>
      <c r="W475" s="330"/>
      <c r="X475" s="329"/>
      <c r="Y475" s="330"/>
      <c r="Z475" s="330"/>
      <c r="AA475" s="330"/>
      <c r="AB475" s="330"/>
      <c r="AC475" s="330"/>
      <c r="AD475" s="330"/>
      <c r="AE475" s="330"/>
      <c r="AF475" s="330"/>
      <c r="AG475" s="330"/>
      <c r="AH475" s="330"/>
      <c r="AI475" s="330"/>
      <c r="AJ475" s="330"/>
      <c r="AK475" s="330"/>
      <c r="AL475" s="329"/>
      <c r="AM475" s="329"/>
      <c r="AN475" s="330"/>
      <c r="AO475" s="330"/>
      <c r="AP475" s="330"/>
      <c r="AQ475" s="330"/>
      <c r="AR475" s="231"/>
      <c r="AS475" s="333"/>
      <c r="AT475" s="206"/>
      <c r="AU475" s="328"/>
      <c r="AV475" s="206"/>
      <c r="AW475" s="206"/>
      <c r="AX475" s="206"/>
      <c r="AY475" s="206"/>
      <c r="AZ475" s="206"/>
      <c r="BA475" s="206"/>
      <c r="BB475" s="206"/>
      <c r="BC475" s="206"/>
      <c r="BD475" s="206"/>
      <c r="BE475" s="206"/>
      <c r="BF475" s="206"/>
      <c r="BG475" s="330"/>
      <c r="BH475" s="330"/>
      <c r="BI475" s="330"/>
      <c r="BJ475" s="330"/>
      <c r="BK475" s="330"/>
      <c r="BL475" s="330"/>
      <c r="BM475" s="330"/>
      <c r="BN475" s="330"/>
      <c r="BO475" s="330"/>
      <c r="BP475" s="330"/>
      <c r="BQ475" s="330"/>
      <c r="BR475" s="330"/>
      <c r="BS475" s="330"/>
      <c r="BT475" s="330"/>
      <c r="BU475" s="330"/>
      <c r="BV475" s="330"/>
      <c r="BW475" s="330"/>
      <c r="BX475" s="330"/>
      <c r="BY475" s="330"/>
      <c r="BZ475" s="330"/>
    </row>
    <row r="476" spans="1:78" x14ac:dyDescent="0.25">
      <c r="A476" s="331"/>
      <c r="B476" s="328"/>
      <c r="C476" s="328"/>
      <c r="D476" s="329"/>
      <c r="E476" s="330"/>
      <c r="F476" s="330"/>
      <c r="G476" s="330"/>
      <c r="H476" s="330"/>
      <c r="I476" s="330"/>
      <c r="J476" s="330"/>
      <c r="K476" s="330"/>
      <c r="L476" s="329"/>
      <c r="M476" s="329"/>
      <c r="N476" s="330"/>
      <c r="O476" s="330"/>
      <c r="P476" s="330"/>
      <c r="Q476" s="330"/>
      <c r="R476" s="330"/>
      <c r="S476" s="330"/>
      <c r="T476" s="330"/>
      <c r="U476" s="330"/>
      <c r="V476" s="330"/>
      <c r="W476" s="330"/>
      <c r="X476" s="329"/>
      <c r="Y476" s="330"/>
      <c r="Z476" s="330"/>
      <c r="AA476" s="330"/>
      <c r="AB476" s="330"/>
      <c r="AC476" s="330"/>
      <c r="AD476" s="330"/>
      <c r="AE476" s="330"/>
      <c r="AF476" s="330"/>
      <c r="AG476" s="330"/>
      <c r="AH476" s="330"/>
      <c r="AI476" s="330"/>
      <c r="AJ476" s="330"/>
      <c r="AK476" s="330"/>
      <c r="AL476" s="329"/>
      <c r="AM476" s="329"/>
      <c r="AN476" s="330"/>
      <c r="AO476" s="330"/>
      <c r="AP476" s="330"/>
      <c r="AQ476" s="330"/>
      <c r="AR476" s="231"/>
      <c r="AS476" s="333"/>
      <c r="AT476" s="206"/>
      <c r="AU476" s="328"/>
      <c r="AV476" s="206"/>
      <c r="AW476" s="206"/>
      <c r="AX476" s="206"/>
      <c r="AY476" s="206"/>
      <c r="AZ476" s="206"/>
      <c r="BA476" s="206"/>
      <c r="BB476" s="206"/>
      <c r="BC476" s="206"/>
      <c r="BD476" s="206"/>
      <c r="BE476" s="206"/>
      <c r="BF476" s="206"/>
      <c r="BG476" s="330"/>
      <c r="BH476" s="330"/>
      <c r="BI476" s="330"/>
      <c r="BJ476" s="330"/>
      <c r="BK476" s="330"/>
      <c r="BL476" s="330"/>
      <c r="BM476" s="330"/>
      <c r="BN476" s="330"/>
      <c r="BO476" s="330"/>
      <c r="BP476" s="330"/>
      <c r="BQ476" s="330"/>
      <c r="BR476" s="330"/>
      <c r="BS476" s="330"/>
      <c r="BT476" s="330"/>
      <c r="BU476" s="330"/>
      <c r="BV476" s="330"/>
      <c r="BW476" s="330"/>
      <c r="BX476" s="330"/>
      <c r="BY476" s="330"/>
      <c r="BZ476" s="330"/>
    </row>
    <row r="477" spans="1:78" x14ac:dyDescent="0.25">
      <c r="A477" s="331"/>
      <c r="B477" s="328"/>
      <c r="C477" s="328"/>
      <c r="D477" s="329"/>
      <c r="E477" s="330"/>
      <c r="F477" s="330"/>
      <c r="G477" s="330"/>
      <c r="H477" s="330"/>
      <c r="I477" s="330"/>
      <c r="J477" s="330"/>
      <c r="K477" s="330"/>
      <c r="L477" s="329"/>
      <c r="M477" s="329"/>
      <c r="N477" s="330"/>
      <c r="O477" s="330"/>
      <c r="P477" s="330"/>
      <c r="Q477" s="330"/>
      <c r="R477" s="330"/>
      <c r="S477" s="330"/>
      <c r="T477" s="330"/>
      <c r="U477" s="330"/>
      <c r="V477" s="330"/>
      <c r="W477" s="330"/>
      <c r="X477" s="329"/>
      <c r="Y477" s="330"/>
      <c r="Z477" s="330"/>
      <c r="AA477" s="330"/>
      <c r="AB477" s="330"/>
      <c r="AC477" s="330"/>
      <c r="AD477" s="330"/>
      <c r="AE477" s="330"/>
      <c r="AF477" s="330"/>
      <c r="AG477" s="330"/>
      <c r="AH477" s="330"/>
      <c r="AI477" s="330"/>
      <c r="AJ477" s="330"/>
      <c r="AK477" s="330"/>
      <c r="AL477" s="329"/>
      <c r="AM477" s="329"/>
      <c r="AN477" s="330"/>
      <c r="AO477" s="330"/>
      <c r="AP477" s="330"/>
      <c r="AQ477" s="330"/>
      <c r="AR477" s="231"/>
      <c r="AS477" s="333"/>
      <c r="AT477" s="206"/>
      <c r="AU477" s="328"/>
      <c r="AV477" s="206"/>
      <c r="AW477" s="206"/>
      <c r="AX477" s="206"/>
      <c r="AY477" s="206"/>
      <c r="AZ477" s="206"/>
      <c r="BA477" s="206"/>
      <c r="BB477" s="206"/>
      <c r="BC477" s="206"/>
      <c r="BD477" s="206"/>
      <c r="BE477" s="206"/>
      <c r="BF477" s="206"/>
      <c r="BG477" s="330"/>
      <c r="BH477" s="330"/>
      <c r="BI477" s="330"/>
      <c r="BJ477" s="330"/>
      <c r="BK477" s="330"/>
      <c r="BL477" s="330"/>
      <c r="BM477" s="330"/>
      <c r="BN477" s="330"/>
      <c r="BO477" s="330"/>
      <c r="BP477" s="330"/>
      <c r="BQ477" s="330"/>
      <c r="BR477" s="330"/>
      <c r="BS477" s="330"/>
      <c r="BT477" s="330"/>
      <c r="BU477" s="330"/>
      <c r="BV477" s="330"/>
      <c r="BW477" s="330"/>
      <c r="BX477" s="330"/>
      <c r="BY477" s="330"/>
      <c r="BZ477" s="330"/>
    </row>
    <row r="478" spans="1:78" x14ac:dyDescent="0.25">
      <c r="A478" s="331"/>
      <c r="B478" s="328"/>
      <c r="C478" s="328"/>
      <c r="D478" s="329"/>
      <c r="E478" s="330"/>
      <c r="F478" s="330"/>
      <c r="G478" s="330"/>
      <c r="H478" s="330"/>
      <c r="I478" s="330"/>
      <c r="J478" s="330"/>
      <c r="K478" s="330"/>
      <c r="L478" s="329"/>
      <c r="M478" s="329"/>
      <c r="N478" s="330"/>
      <c r="O478" s="330"/>
      <c r="P478" s="330"/>
      <c r="Q478" s="330"/>
      <c r="R478" s="330"/>
      <c r="S478" s="330"/>
      <c r="T478" s="330"/>
      <c r="U478" s="330"/>
      <c r="V478" s="330"/>
      <c r="W478" s="330"/>
      <c r="X478" s="329"/>
      <c r="Y478" s="330"/>
      <c r="Z478" s="330"/>
      <c r="AA478" s="330"/>
      <c r="AB478" s="330"/>
      <c r="AC478" s="330"/>
      <c r="AD478" s="330"/>
      <c r="AE478" s="330"/>
      <c r="AF478" s="330"/>
      <c r="AG478" s="330"/>
      <c r="AH478" s="330"/>
      <c r="AI478" s="330"/>
      <c r="AJ478" s="330"/>
      <c r="AK478" s="330"/>
      <c r="AL478" s="329"/>
      <c r="AM478" s="329"/>
      <c r="AN478" s="330"/>
      <c r="AO478" s="330"/>
      <c r="AP478" s="330"/>
      <c r="AQ478" s="330"/>
      <c r="AR478" s="231"/>
      <c r="AS478" s="333"/>
      <c r="AT478" s="206"/>
      <c r="AU478" s="328"/>
      <c r="AV478" s="206"/>
      <c r="AW478" s="206"/>
      <c r="AX478" s="206"/>
      <c r="AY478" s="206"/>
      <c r="AZ478" s="206"/>
      <c r="BA478" s="206"/>
      <c r="BB478" s="206"/>
      <c r="BC478" s="206"/>
      <c r="BD478" s="206"/>
      <c r="BE478" s="206"/>
      <c r="BF478" s="206"/>
      <c r="BG478" s="330"/>
      <c r="BH478" s="330"/>
      <c r="BI478" s="330"/>
      <c r="BJ478" s="330"/>
      <c r="BK478" s="330"/>
      <c r="BL478" s="330"/>
      <c r="BM478" s="330"/>
      <c r="BN478" s="330"/>
      <c r="BO478" s="330"/>
      <c r="BP478" s="330"/>
      <c r="BQ478" s="330"/>
      <c r="BR478" s="330"/>
      <c r="BS478" s="330"/>
      <c r="BT478" s="330"/>
      <c r="BU478" s="330"/>
      <c r="BV478" s="330"/>
      <c r="BW478" s="330"/>
      <c r="BX478" s="330"/>
      <c r="BY478" s="330"/>
      <c r="BZ478" s="330"/>
    </row>
    <row r="479" spans="1:78" x14ac:dyDescent="0.25">
      <c r="A479" s="331"/>
      <c r="B479" s="328"/>
      <c r="C479" s="328"/>
      <c r="D479" s="329"/>
      <c r="E479" s="330"/>
      <c r="F479" s="330"/>
      <c r="G479" s="330"/>
      <c r="H479" s="330"/>
      <c r="I479" s="330"/>
      <c r="J479" s="330"/>
      <c r="K479" s="330"/>
      <c r="L479" s="329"/>
      <c r="M479" s="329"/>
      <c r="N479" s="330"/>
      <c r="O479" s="330"/>
      <c r="P479" s="330"/>
      <c r="Q479" s="330"/>
      <c r="R479" s="330"/>
      <c r="S479" s="330"/>
      <c r="T479" s="330"/>
      <c r="U479" s="330"/>
      <c r="V479" s="330"/>
      <c r="W479" s="330"/>
      <c r="X479" s="329"/>
      <c r="Y479" s="330"/>
      <c r="Z479" s="330"/>
      <c r="AA479" s="330"/>
      <c r="AB479" s="330"/>
      <c r="AC479" s="330"/>
      <c r="AD479" s="330"/>
      <c r="AE479" s="330"/>
      <c r="AF479" s="330"/>
      <c r="AG479" s="330"/>
      <c r="AH479" s="330"/>
      <c r="AI479" s="330"/>
      <c r="AJ479" s="330"/>
      <c r="AK479" s="330"/>
      <c r="AL479" s="329"/>
      <c r="AM479" s="329"/>
      <c r="AN479" s="330"/>
      <c r="AO479" s="330"/>
      <c r="AP479" s="330"/>
      <c r="AQ479" s="330"/>
      <c r="AR479" s="231"/>
      <c r="AS479" s="333"/>
      <c r="AT479" s="206"/>
      <c r="AU479" s="328"/>
      <c r="AV479" s="206"/>
      <c r="AW479" s="206"/>
      <c r="AX479" s="206"/>
      <c r="AY479" s="206"/>
      <c r="AZ479" s="206"/>
      <c r="BA479" s="206"/>
      <c r="BB479" s="206"/>
      <c r="BC479" s="206"/>
      <c r="BD479" s="206"/>
      <c r="BE479" s="206"/>
      <c r="BF479" s="206"/>
      <c r="BG479" s="330"/>
      <c r="BH479" s="330"/>
      <c r="BI479" s="330"/>
      <c r="BJ479" s="330"/>
      <c r="BK479" s="330"/>
      <c r="BL479" s="330"/>
      <c r="BM479" s="330"/>
      <c r="BN479" s="330"/>
      <c r="BO479" s="330"/>
      <c r="BP479" s="330"/>
      <c r="BQ479" s="330"/>
      <c r="BR479" s="330"/>
      <c r="BS479" s="330"/>
      <c r="BT479" s="330"/>
      <c r="BU479" s="330"/>
      <c r="BV479" s="330"/>
      <c r="BW479" s="330"/>
      <c r="BX479" s="330"/>
      <c r="BY479" s="330"/>
      <c r="BZ479" s="330"/>
    </row>
    <row r="480" spans="1:78" x14ac:dyDescent="0.25">
      <c r="A480" s="331"/>
      <c r="B480" s="328"/>
      <c r="C480" s="328"/>
      <c r="D480" s="329"/>
      <c r="E480" s="330"/>
      <c r="F480" s="330"/>
      <c r="G480" s="330"/>
      <c r="H480" s="330"/>
      <c r="I480" s="330"/>
      <c r="J480" s="330"/>
      <c r="K480" s="330"/>
      <c r="L480" s="329"/>
      <c r="M480" s="329"/>
      <c r="N480" s="330"/>
      <c r="O480" s="330"/>
      <c r="P480" s="330"/>
      <c r="Q480" s="330"/>
      <c r="R480" s="330"/>
      <c r="S480" s="330"/>
      <c r="T480" s="330"/>
      <c r="U480" s="330"/>
      <c r="V480" s="330"/>
      <c r="W480" s="330"/>
      <c r="X480" s="329"/>
      <c r="Y480" s="330"/>
      <c r="Z480" s="330"/>
      <c r="AA480" s="330"/>
      <c r="AB480" s="330"/>
      <c r="AC480" s="330"/>
      <c r="AD480" s="330"/>
      <c r="AE480" s="330"/>
      <c r="AF480" s="330"/>
      <c r="AG480" s="330"/>
      <c r="AH480" s="330"/>
      <c r="AI480" s="330"/>
      <c r="AJ480" s="330"/>
      <c r="AK480" s="330"/>
      <c r="AL480" s="329"/>
      <c r="AM480" s="329"/>
      <c r="AN480" s="330"/>
      <c r="AO480" s="330"/>
      <c r="AP480" s="330"/>
      <c r="AQ480" s="330"/>
      <c r="AR480" s="231"/>
      <c r="AS480" s="333"/>
      <c r="AT480" s="206"/>
      <c r="AU480" s="328"/>
      <c r="AV480" s="206"/>
      <c r="AW480" s="206"/>
      <c r="AX480" s="206"/>
      <c r="AY480" s="206"/>
      <c r="AZ480" s="206"/>
      <c r="BA480" s="206"/>
      <c r="BB480" s="206"/>
      <c r="BC480" s="206"/>
      <c r="BD480" s="206"/>
      <c r="BE480" s="206"/>
      <c r="BF480" s="206"/>
      <c r="BG480" s="330"/>
      <c r="BH480" s="330"/>
      <c r="BI480" s="330"/>
      <c r="BJ480" s="330"/>
      <c r="BK480" s="330"/>
      <c r="BL480" s="330"/>
      <c r="BM480" s="330"/>
      <c r="BN480" s="330"/>
      <c r="BO480" s="330"/>
      <c r="BP480" s="330"/>
      <c r="BQ480" s="330"/>
      <c r="BR480" s="330"/>
      <c r="BS480" s="330"/>
      <c r="BT480" s="330"/>
      <c r="BU480" s="330"/>
      <c r="BV480" s="330"/>
      <c r="BW480" s="330"/>
      <c r="BX480" s="330"/>
      <c r="BY480" s="330"/>
      <c r="BZ480" s="330"/>
    </row>
    <row r="481" spans="1:78" x14ac:dyDescent="0.25">
      <c r="A481" s="331"/>
      <c r="B481" s="328"/>
      <c r="C481" s="328"/>
      <c r="D481" s="329"/>
      <c r="E481" s="330"/>
      <c r="F481" s="330"/>
      <c r="G481" s="330"/>
      <c r="H481" s="330"/>
      <c r="I481" s="330"/>
      <c r="J481" s="330"/>
      <c r="K481" s="330"/>
      <c r="L481" s="329"/>
      <c r="M481" s="329"/>
      <c r="N481" s="330"/>
      <c r="O481" s="330"/>
      <c r="P481" s="330"/>
      <c r="Q481" s="330"/>
      <c r="R481" s="330"/>
      <c r="S481" s="330"/>
      <c r="T481" s="330"/>
      <c r="U481" s="330"/>
      <c r="V481" s="330"/>
      <c r="W481" s="330"/>
      <c r="X481" s="329"/>
      <c r="Y481" s="330"/>
      <c r="Z481" s="330"/>
      <c r="AA481" s="330"/>
      <c r="AB481" s="330"/>
      <c r="AC481" s="330"/>
      <c r="AD481" s="330"/>
      <c r="AE481" s="330"/>
      <c r="AF481" s="330"/>
      <c r="AG481" s="330"/>
      <c r="AH481" s="330"/>
      <c r="AI481" s="330"/>
      <c r="AJ481" s="330"/>
      <c r="AK481" s="330"/>
      <c r="AL481" s="329"/>
      <c r="AM481" s="329"/>
      <c r="AN481" s="330"/>
      <c r="AO481" s="330"/>
      <c r="AP481" s="330"/>
      <c r="AQ481" s="330"/>
      <c r="AR481" s="231"/>
      <c r="AS481" s="333"/>
      <c r="AT481" s="206"/>
      <c r="AU481" s="328"/>
      <c r="AV481" s="206"/>
      <c r="AW481" s="206"/>
      <c r="AX481" s="206"/>
      <c r="AY481" s="206"/>
      <c r="AZ481" s="206"/>
      <c r="BA481" s="206"/>
      <c r="BB481" s="206"/>
      <c r="BC481" s="206"/>
      <c r="BD481" s="206"/>
      <c r="BE481" s="206"/>
      <c r="BF481" s="206"/>
      <c r="BG481" s="330"/>
      <c r="BH481" s="330"/>
      <c r="BI481" s="330"/>
      <c r="BJ481" s="330"/>
      <c r="BK481" s="330"/>
      <c r="BL481" s="330"/>
      <c r="BM481" s="330"/>
      <c r="BN481" s="330"/>
      <c r="BO481" s="330"/>
      <c r="BP481" s="330"/>
      <c r="BQ481" s="330"/>
      <c r="BR481" s="330"/>
      <c r="BS481" s="330"/>
      <c r="BT481" s="330"/>
      <c r="BU481" s="330"/>
      <c r="BV481" s="330"/>
      <c r="BW481" s="330"/>
      <c r="BX481" s="330"/>
      <c r="BY481" s="330"/>
      <c r="BZ481" s="330"/>
    </row>
    <row r="482" spans="1:78" x14ac:dyDescent="0.25">
      <c r="A482" s="331"/>
      <c r="B482" s="328"/>
      <c r="C482" s="328"/>
      <c r="D482" s="329"/>
      <c r="E482" s="330"/>
      <c r="F482" s="330"/>
      <c r="G482" s="330"/>
      <c r="H482" s="330"/>
      <c r="I482" s="330"/>
      <c r="J482" s="330"/>
      <c r="K482" s="330"/>
      <c r="L482" s="329"/>
      <c r="M482" s="329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29"/>
      <c r="Y482" s="330"/>
      <c r="Z482" s="330"/>
      <c r="AA482" s="330"/>
      <c r="AB482" s="330"/>
      <c r="AC482" s="330"/>
      <c r="AD482" s="330"/>
      <c r="AE482" s="330"/>
      <c r="AF482" s="330"/>
      <c r="AG482" s="330"/>
      <c r="AH482" s="330"/>
      <c r="AI482" s="330"/>
      <c r="AJ482" s="330"/>
      <c r="AK482" s="330"/>
      <c r="AL482" s="329"/>
      <c r="AM482" s="329"/>
      <c r="AN482" s="330"/>
      <c r="AO482" s="330"/>
      <c r="AP482" s="330"/>
      <c r="AQ482" s="330"/>
      <c r="AR482" s="231"/>
      <c r="AS482" s="333"/>
      <c r="AT482" s="206"/>
      <c r="AU482" s="328"/>
      <c r="AV482" s="206"/>
      <c r="AW482" s="206"/>
      <c r="AX482" s="206"/>
      <c r="AY482" s="206"/>
      <c r="AZ482" s="206"/>
      <c r="BA482" s="206"/>
      <c r="BB482" s="206"/>
      <c r="BC482" s="206"/>
      <c r="BD482" s="206"/>
      <c r="BE482" s="206"/>
      <c r="BF482" s="206"/>
      <c r="BG482" s="330"/>
      <c r="BH482" s="330"/>
      <c r="BI482" s="330"/>
      <c r="BJ482" s="330"/>
      <c r="BK482" s="330"/>
      <c r="BL482" s="330"/>
      <c r="BM482" s="330"/>
      <c r="BN482" s="330"/>
      <c r="BO482" s="330"/>
      <c r="BP482" s="330"/>
      <c r="BQ482" s="330"/>
      <c r="BR482" s="330"/>
      <c r="BS482" s="330"/>
      <c r="BT482" s="330"/>
      <c r="BU482" s="330"/>
      <c r="BV482" s="330"/>
      <c r="BW482" s="330"/>
      <c r="BX482" s="330"/>
      <c r="BY482" s="330"/>
      <c r="BZ482" s="330"/>
    </row>
    <row r="483" spans="1:78" x14ac:dyDescent="0.25">
      <c r="A483" s="331"/>
      <c r="B483" s="328"/>
      <c r="C483" s="328"/>
      <c r="D483" s="329"/>
      <c r="E483" s="330"/>
      <c r="F483" s="330"/>
      <c r="G483" s="330"/>
      <c r="H483" s="330"/>
      <c r="I483" s="330"/>
      <c r="J483" s="330"/>
      <c r="K483" s="330"/>
      <c r="L483" s="329"/>
      <c r="M483" s="329"/>
      <c r="N483" s="330"/>
      <c r="O483" s="330"/>
      <c r="P483" s="330"/>
      <c r="Q483" s="330"/>
      <c r="R483" s="330"/>
      <c r="S483" s="330"/>
      <c r="T483" s="330"/>
      <c r="U483" s="330"/>
      <c r="V483" s="330"/>
      <c r="W483" s="330"/>
      <c r="X483" s="329"/>
      <c r="Y483" s="330"/>
      <c r="Z483" s="330"/>
      <c r="AA483" s="330"/>
      <c r="AB483" s="330"/>
      <c r="AC483" s="330"/>
      <c r="AD483" s="330"/>
      <c r="AE483" s="330"/>
      <c r="AF483" s="330"/>
      <c r="AG483" s="330"/>
      <c r="AH483" s="330"/>
      <c r="AI483" s="330"/>
      <c r="AJ483" s="330"/>
      <c r="AK483" s="330"/>
      <c r="AL483" s="329"/>
      <c r="AM483" s="329"/>
      <c r="AN483" s="330"/>
      <c r="AO483" s="330"/>
      <c r="AP483" s="330"/>
      <c r="AQ483" s="330"/>
      <c r="AR483" s="231"/>
      <c r="AS483" s="333"/>
      <c r="AT483" s="206"/>
      <c r="AU483" s="328"/>
      <c r="AV483" s="206"/>
      <c r="AW483" s="206"/>
      <c r="AX483" s="206"/>
      <c r="AY483" s="206"/>
      <c r="AZ483" s="206"/>
      <c r="BA483" s="206"/>
      <c r="BB483" s="206"/>
      <c r="BC483" s="206"/>
      <c r="BD483" s="206"/>
      <c r="BE483" s="206"/>
      <c r="BF483" s="206"/>
      <c r="BG483" s="330"/>
      <c r="BH483" s="330"/>
      <c r="BI483" s="330"/>
      <c r="BJ483" s="330"/>
      <c r="BK483" s="330"/>
      <c r="BL483" s="330"/>
      <c r="BM483" s="330"/>
      <c r="BN483" s="330"/>
      <c r="BO483" s="330"/>
      <c r="BP483" s="330"/>
      <c r="BQ483" s="330"/>
      <c r="BR483" s="330"/>
      <c r="BS483" s="330"/>
      <c r="BT483" s="330"/>
      <c r="BU483" s="330"/>
      <c r="BV483" s="330"/>
      <c r="BW483" s="330"/>
      <c r="BX483" s="330"/>
      <c r="BY483" s="330"/>
      <c r="BZ483" s="330"/>
    </row>
    <row r="484" spans="1:78" x14ac:dyDescent="0.25">
      <c r="A484" s="331"/>
      <c r="B484" s="328"/>
      <c r="C484" s="328"/>
      <c r="D484" s="329"/>
      <c r="E484" s="330"/>
      <c r="F484" s="330"/>
      <c r="G484" s="330"/>
      <c r="H484" s="330"/>
      <c r="I484" s="330"/>
      <c r="J484" s="330"/>
      <c r="K484" s="330"/>
      <c r="L484" s="329"/>
      <c r="M484" s="329"/>
      <c r="N484" s="330"/>
      <c r="O484" s="330"/>
      <c r="P484" s="330"/>
      <c r="Q484" s="330"/>
      <c r="R484" s="330"/>
      <c r="S484" s="330"/>
      <c r="T484" s="330"/>
      <c r="U484" s="330"/>
      <c r="V484" s="330"/>
      <c r="W484" s="330"/>
      <c r="X484" s="329"/>
      <c r="Y484" s="330"/>
      <c r="Z484" s="330"/>
      <c r="AA484" s="330"/>
      <c r="AB484" s="330"/>
      <c r="AC484" s="330"/>
      <c r="AD484" s="330"/>
      <c r="AE484" s="330"/>
      <c r="AF484" s="330"/>
      <c r="AG484" s="330"/>
      <c r="AH484" s="330"/>
      <c r="AI484" s="330"/>
      <c r="AJ484" s="330"/>
      <c r="AK484" s="330"/>
      <c r="AL484" s="329"/>
      <c r="AM484" s="329"/>
      <c r="AN484" s="330"/>
      <c r="AO484" s="330"/>
      <c r="AP484" s="330"/>
      <c r="AQ484" s="330"/>
      <c r="AR484" s="231"/>
      <c r="AS484" s="333"/>
      <c r="AT484" s="206"/>
      <c r="AU484" s="328"/>
      <c r="AV484" s="206"/>
      <c r="AW484" s="206"/>
      <c r="AX484" s="206"/>
      <c r="AY484" s="206"/>
      <c r="AZ484" s="206"/>
      <c r="BA484" s="206"/>
      <c r="BB484" s="206"/>
      <c r="BC484" s="206"/>
      <c r="BD484" s="206"/>
      <c r="BE484" s="206"/>
      <c r="BF484" s="206"/>
      <c r="BG484" s="330"/>
      <c r="BH484" s="330"/>
      <c r="BI484" s="330"/>
      <c r="BJ484" s="330"/>
      <c r="BK484" s="330"/>
      <c r="BL484" s="330"/>
      <c r="BM484" s="330"/>
      <c r="BN484" s="330"/>
      <c r="BO484" s="330"/>
      <c r="BP484" s="330"/>
      <c r="BQ484" s="330"/>
      <c r="BR484" s="330"/>
      <c r="BS484" s="330"/>
      <c r="BT484" s="330"/>
      <c r="BU484" s="330"/>
      <c r="BV484" s="330"/>
      <c r="BW484" s="330"/>
      <c r="BX484" s="330"/>
      <c r="BY484" s="330"/>
      <c r="BZ484" s="330"/>
    </row>
    <row r="485" spans="1:78" x14ac:dyDescent="0.25">
      <c r="A485" s="331"/>
      <c r="B485" s="328"/>
      <c r="C485" s="328"/>
      <c r="D485" s="329"/>
      <c r="E485" s="330"/>
      <c r="F485" s="330"/>
      <c r="G485" s="330"/>
      <c r="H485" s="330"/>
      <c r="I485" s="330"/>
      <c r="J485" s="330"/>
      <c r="K485" s="330"/>
      <c r="L485" s="329"/>
      <c r="M485" s="329"/>
      <c r="N485" s="330"/>
      <c r="O485" s="330"/>
      <c r="P485" s="330"/>
      <c r="Q485" s="330"/>
      <c r="R485" s="330"/>
      <c r="S485" s="330"/>
      <c r="T485" s="330"/>
      <c r="U485" s="330"/>
      <c r="V485" s="330"/>
      <c r="W485" s="330"/>
      <c r="X485" s="329"/>
      <c r="Y485" s="330"/>
      <c r="Z485" s="330"/>
      <c r="AA485" s="330"/>
      <c r="AB485" s="330"/>
      <c r="AC485" s="330"/>
      <c r="AD485" s="330"/>
      <c r="AE485" s="330"/>
      <c r="AF485" s="330"/>
      <c r="AG485" s="330"/>
      <c r="AH485" s="330"/>
      <c r="AI485" s="330"/>
      <c r="AJ485" s="330"/>
      <c r="AK485" s="330"/>
      <c r="AL485" s="329"/>
      <c r="AM485" s="329"/>
      <c r="AN485" s="330"/>
      <c r="AO485" s="330"/>
      <c r="AP485" s="330"/>
      <c r="AQ485" s="330"/>
      <c r="AR485" s="231"/>
      <c r="AS485" s="333"/>
      <c r="AT485" s="206"/>
      <c r="AU485" s="328"/>
      <c r="AV485" s="206"/>
      <c r="AW485" s="206"/>
      <c r="AX485" s="206"/>
      <c r="AY485" s="206"/>
      <c r="AZ485" s="206"/>
      <c r="BA485" s="206"/>
      <c r="BB485" s="206"/>
      <c r="BC485" s="206"/>
      <c r="BD485" s="206"/>
      <c r="BE485" s="206"/>
      <c r="BF485" s="206"/>
      <c r="BG485" s="330"/>
      <c r="BH485" s="330"/>
      <c r="BI485" s="330"/>
      <c r="BJ485" s="330"/>
      <c r="BK485" s="330"/>
      <c r="BL485" s="330"/>
      <c r="BM485" s="330"/>
      <c r="BN485" s="330"/>
      <c r="BO485" s="330"/>
      <c r="BP485" s="330"/>
      <c r="BQ485" s="330"/>
      <c r="BR485" s="330"/>
      <c r="BS485" s="330"/>
      <c r="BT485" s="330"/>
      <c r="BU485" s="330"/>
      <c r="BV485" s="330"/>
      <c r="BW485" s="330"/>
      <c r="BX485" s="330"/>
      <c r="BY485" s="330"/>
      <c r="BZ485" s="330"/>
    </row>
    <row r="486" spans="1:78" x14ac:dyDescent="0.25">
      <c r="A486" s="331"/>
      <c r="B486" s="328"/>
      <c r="C486" s="328"/>
      <c r="D486" s="329"/>
      <c r="E486" s="330"/>
      <c r="F486" s="330"/>
      <c r="G486" s="330"/>
      <c r="H486" s="330"/>
      <c r="I486" s="330"/>
      <c r="J486" s="330"/>
      <c r="K486" s="330"/>
      <c r="L486" s="329"/>
      <c r="M486" s="329"/>
      <c r="N486" s="330"/>
      <c r="O486" s="330"/>
      <c r="P486" s="330"/>
      <c r="Q486" s="330"/>
      <c r="R486" s="330"/>
      <c r="S486" s="330"/>
      <c r="T486" s="330"/>
      <c r="U486" s="330"/>
      <c r="V486" s="330"/>
      <c r="W486" s="330"/>
      <c r="X486" s="329"/>
      <c r="Y486" s="330"/>
      <c r="Z486" s="330"/>
      <c r="AA486" s="330"/>
      <c r="AB486" s="330"/>
      <c r="AC486" s="330"/>
      <c r="AD486" s="330"/>
      <c r="AE486" s="330"/>
      <c r="AF486" s="330"/>
      <c r="AG486" s="330"/>
      <c r="AH486" s="330"/>
      <c r="AI486" s="330"/>
      <c r="AJ486" s="330"/>
      <c r="AK486" s="330"/>
      <c r="AL486" s="329"/>
      <c r="AM486" s="329"/>
      <c r="AN486" s="330"/>
      <c r="AO486" s="330"/>
      <c r="AP486" s="330"/>
      <c r="AQ486" s="330"/>
      <c r="AR486" s="231"/>
      <c r="AS486" s="333"/>
      <c r="AT486" s="206"/>
      <c r="AU486" s="328"/>
      <c r="AV486" s="206"/>
      <c r="AW486" s="206"/>
      <c r="AX486" s="206"/>
      <c r="AY486" s="206"/>
      <c r="AZ486" s="206"/>
      <c r="BA486" s="206"/>
      <c r="BB486" s="206"/>
      <c r="BC486" s="206"/>
      <c r="BD486" s="206"/>
      <c r="BE486" s="206"/>
      <c r="BF486" s="206"/>
      <c r="BG486" s="330"/>
      <c r="BH486" s="330"/>
      <c r="BI486" s="330"/>
      <c r="BJ486" s="330"/>
      <c r="BK486" s="330"/>
      <c r="BL486" s="330"/>
      <c r="BM486" s="330"/>
      <c r="BN486" s="330"/>
      <c r="BO486" s="330"/>
      <c r="BP486" s="330"/>
      <c r="BQ486" s="330"/>
      <c r="BR486" s="330"/>
      <c r="BS486" s="330"/>
      <c r="BT486" s="330"/>
      <c r="BU486" s="330"/>
      <c r="BV486" s="330"/>
      <c r="BW486" s="330"/>
      <c r="BX486" s="330"/>
      <c r="BY486" s="330"/>
      <c r="BZ486" s="330"/>
    </row>
    <row r="487" spans="1:78" x14ac:dyDescent="0.25">
      <c r="A487" s="331"/>
      <c r="B487" s="328"/>
      <c r="C487" s="328"/>
      <c r="D487" s="329"/>
      <c r="E487" s="330"/>
      <c r="F487" s="330"/>
      <c r="G487" s="330"/>
      <c r="H487" s="330"/>
      <c r="I487" s="330"/>
      <c r="J487" s="330"/>
      <c r="K487" s="330"/>
      <c r="L487" s="329"/>
      <c r="M487" s="329"/>
      <c r="N487" s="330"/>
      <c r="O487" s="330"/>
      <c r="P487" s="330"/>
      <c r="Q487" s="330"/>
      <c r="R487" s="330"/>
      <c r="S487" s="330"/>
      <c r="T487" s="330"/>
      <c r="U487" s="330"/>
      <c r="V487" s="330"/>
      <c r="W487" s="330"/>
      <c r="X487" s="329"/>
      <c r="Y487" s="330"/>
      <c r="Z487" s="330"/>
      <c r="AA487" s="330"/>
      <c r="AB487" s="330"/>
      <c r="AC487" s="330"/>
      <c r="AD487" s="330"/>
      <c r="AE487" s="330"/>
      <c r="AF487" s="330"/>
      <c r="AG487" s="330"/>
      <c r="AH487" s="330"/>
      <c r="AI487" s="330"/>
      <c r="AJ487" s="330"/>
      <c r="AK487" s="330"/>
      <c r="AL487" s="329"/>
      <c r="AM487" s="329"/>
      <c r="AN487" s="330"/>
      <c r="AO487" s="330"/>
      <c r="AP487" s="330"/>
      <c r="AQ487" s="330"/>
      <c r="AR487" s="231"/>
      <c r="AS487" s="333"/>
      <c r="AT487" s="206"/>
      <c r="AU487" s="328"/>
      <c r="AV487" s="206"/>
      <c r="AW487" s="206"/>
      <c r="AX487" s="206"/>
      <c r="AY487" s="206"/>
      <c r="AZ487" s="206"/>
      <c r="BA487" s="206"/>
      <c r="BB487" s="206"/>
      <c r="BC487" s="206"/>
      <c r="BD487" s="206"/>
      <c r="BE487" s="206"/>
      <c r="BF487" s="206"/>
      <c r="BG487" s="330"/>
      <c r="BH487" s="330"/>
      <c r="BI487" s="330"/>
      <c r="BJ487" s="330"/>
      <c r="BK487" s="330"/>
      <c r="BL487" s="330"/>
      <c r="BM487" s="330"/>
      <c r="BN487" s="330"/>
      <c r="BO487" s="330"/>
      <c r="BP487" s="330"/>
      <c r="BQ487" s="330"/>
      <c r="BR487" s="330"/>
      <c r="BS487" s="330"/>
      <c r="BT487" s="330"/>
      <c r="BU487" s="330"/>
      <c r="BV487" s="330"/>
      <c r="BW487" s="330"/>
      <c r="BX487" s="330"/>
      <c r="BY487" s="330"/>
      <c r="BZ487" s="330"/>
    </row>
    <row r="488" spans="1:78" x14ac:dyDescent="0.25">
      <c r="A488" s="331"/>
      <c r="B488" s="328"/>
      <c r="C488" s="328"/>
      <c r="D488" s="329"/>
      <c r="E488" s="330"/>
      <c r="F488" s="330"/>
      <c r="G488" s="330"/>
      <c r="H488" s="330"/>
      <c r="I488" s="330"/>
      <c r="J488" s="330"/>
      <c r="K488" s="330"/>
      <c r="L488" s="329"/>
      <c r="M488" s="329"/>
      <c r="N488" s="330"/>
      <c r="O488" s="330"/>
      <c r="P488" s="330"/>
      <c r="Q488" s="330"/>
      <c r="R488" s="330"/>
      <c r="S488" s="330"/>
      <c r="T488" s="330"/>
      <c r="U488" s="330"/>
      <c r="V488" s="330"/>
      <c r="W488" s="330"/>
      <c r="X488" s="329"/>
      <c r="Y488" s="330"/>
      <c r="Z488" s="330"/>
      <c r="AA488" s="330"/>
      <c r="AB488" s="330"/>
      <c r="AC488" s="330"/>
      <c r="AD488" s="330"/>
      <c r="AE488" s="330"/>
      <c r="AF488" s="330"/>
      <c r="AG488" s="330"/>
      <c r="AH488" s="330"/>
      <c r="AI488" s="330"/>
      <c r="AJ488" s="330"/>
      <c r="AK488" s="330"/>
      <c r="AL488" s="329"/>
      <c r="AM488" s="329"/>
      <c r="AN488" s="330"/>
      <c r="AO488" s="330"/>
      <c r="AP488" s="330"/>
      <c r="AQ488" s="330"/>
      <c r="AR488" s="231"/>
      <c r="AS488" s="333"/>
      <c r="AT488" s="206"/>
      <c r="AU488" s="328"/>
      <c r="AV488" s="206"/>
      <c r="AW488" s="206"/>
      <c r="AX488" s="206"/>
      <c r="AY488" s="206"/>
      <c r="AZ488" s="206"/>
      <c r="BA488" s="206"/>
      <c r="BB488" s="206"/>
      <c r="BC488" s="206"/>
      <c r="BD488" s="206"/>
      <c r="BE488" s="206"/>
      <c r="BF488" s="206"/>
      <c r="BG488" s="330"/>
      <c r="BH488" s="330"/>
      <c r="BI488" s="330"/>
      <c r="BJ488" s="330"/>
      <c r="BK488" s="330"/>
      <c r="BL488" s="330"/>
      <c r="BM488" s="330"/>
      <c r="BN488" s="330"/>
      <c r="BO488" s="330"/>
      <c r="BP488" s="330"/>
      <c r="BQ488" s="330"/>
      <c r="BR488" s="330"/>
      <c r="BS488" s="330"/>
      <c r="BT488" s="330"/>
      <c r="BU488" s="330"/>
      <c r="BV488" s="330"/>
      <c r="BW488" s="330"/>
      <c r="BX488" s="330"/>
      <c r="BY488" s="330"/>
      <c r="BZ488" s="330"/>
    </row>
    <row r="489" spans="1:78" x14ac:dyDescent="0.25">
      <c r="A489" s="331"/>
      <c r="B489" s="328"/>
      <c r="C489" s="328"/>
      <c r="D489" s="329"/>
      <c r="E489" s="330"/>
      <c r="F489" s="330"/>
      <c r="G489" s="330"/>
      <c r="H489" s="330"/>
      <c r="I489" s="330"/>
      <c r="J489" s="330"/>
      <c r="K489" s="330"/>
      <c r="L489" s="329"/>
      <c r="M489" s="329"/>
      <c r="N489" s="330"/>
      <c r="O489" s="330"/>
      <c r="P489" s="330"/>
      <c r="Q489" s="330"/>
      <c r="R489" s="330"/>
      <c r="S489" s="330"/>
      <c r="T489" s="330"/>
      <c r="U489" s="330"/>
      <c r="V489" s="330"/>
      <c r="W489" s="330"/>
      <c r="X489" s="329"/>
      <c r="Y489" s="330"/>
      <c r="Z489" s="330"/>
      <c r="AA489" s="330"/>
      <c r="AB489" s="330"/>
      <c r="AC489" s="330"/>
      <c r="AD489" s="330"/>
      <c r="AE489" s="330"/>
      <c r="AF489" s="330"/>
      <c r="AG489" s="330"/>
      <c r="AH489" s="330"/>
      <c r="AI489" s="330"/>
      <c r="AJ489" s="330"/>
      <c r="AK489" s="330"/>
      <c r="AL489" s="329"/>
      <c r="AM489" s="329"/>
      <c r="AN489" s="330"/>
      <c r="AO489" s="330"/>
      <c r="AP489" s="330"/>
      <c r="AQ489" s="330"/>
      <c r="AR489" s="231"/>
      <c r="AS489" s="333"/>
      <c r="AT489" s="206"/>
      <c r="AU489" s="328"/>
      <c r="AV489" s="206"/>
      <c r="AW489" s="206"/>
      <c r="AX489" s="206"/>
      <c r="AY489" s="206"/>
      <c r="AZ489" s="206"/>
      <c r="BA489" s="206"/>
      <c r="BB489" s="206"/>
      <c r="BC489" s="206"/>
      <c r="BD489" s="206"/>
      <c r="BE489" s="206"/>
      <c r="BF489" s="206"/>
      <c r="BG489" s="330"/>
      <c r="BH489" s="330"/>
      <c r="BI489" s="330"/>
      <c r="BJ489" s="330"/>
      <c r="BK489" s="330"/>
      <c r="BL489" s="330"/>
      <c r="BM489" s="330"/>
      <c r="BN489" s="330"/>
      <c r="BO489" s="330"/>
      <c r="BP489" s="330"/>
      <c r="BQ489" s="330"/>
      <c r="BR489" s="330"/>
      <c r="BS489" s="330"/>
      <c r="BT489" s="330"/>
      <c r="BU489" s="330"/>
      <c r="BV489" s="330"/>
      <c r="BW489" s="330"/>
      <c r="BX489" s="330"/>
      <c r="BY489" s="330"/>
      <c r="BZ489" s="330"/>
    </row>
    <row r="490" spans="1:78" x14ac:dyDescent="0.25">
      <c r="A490" s="331"/>
      <c r="B490" s="328"/>
      <c r="C490" s="328"/>
      <c r="D490" s="329"/>
      <c r="E490" s="330"/>
      <c r="F490" s="330"/>
      <c r="G490" s="330"/>
      <c r="H490" s="330"/>
      <c r="I490" s="330"/>
      <c r="J490" s="330"/>
      <c r="K490" s="330"/>
      <c r="L490" s="329"/>
      <c r="M490" s="329"/>
      <c r="N490" s="330"/>
      <c r="O490" s="330"/>
      <c r="P490" s="330"/>
      <c r="Q490" s="330"/>
      <c r="R490" s="330"/>
      <c r="S490" s="330"/>
      <c r="T490" s="330"/>
      <c r="U490" s="330"/>
      <c r="V490" s="330"/>
      <c r="W490" s="330"/>
      <c r="X490" s="329"/>
      <c r="Y490" s="330"/>
      <c r="Z490" s="330"/>
      <c r="AA490" s="330"/>
      <c r="AB490" s="330"/>
      <c r="AC490" s="330"/>
      <c r="AD490" s="330"/>
      <c r="AE490" s="330"/>
      <c r="AF490" s="330"/>
      <c r="AG490" s="330"/>
      <c r="AH490" s="330"/>
      <c r="AI490" s="330"/>
      <c r="AJ490" s="330"/>
      <c r="AK490" s="330"/>
      <c r="AL490" s="329"/>
      <c r="AM490" s="329"/>
      <c r="AN490" s="330"/>
      <c r="AO490" s="330"/>
      <c r="AP490" s="330"/>
      <c r="AQ490" s="330"/>
      <c r="AR490" s="231"/>
      <c r="AS490" s="333"/>
      <c r="AT490" s="206"/>
      <c r="AU490" s="328"/>
      <c r="AV490" s="206"/>
      <c r="AW490" s="206"/>
      <c r="AX490" s="206"/>
      <c r="AY490" s="206"/>
      <c r="AZ490" s="206"/>
      <c r="BA490" s="206"/>
      <c r="BB490" s="206"/>
      <c r="BC490" s="206"/>
      <c r="BD490" s="206"/>
      <c r="BE490" s="206"/>
      <c r="BF490" s="206"/>
      <c r="BG490" s="330"/>
      <c r="BH490" s="330"/>
      <c r="BI490" s="330"/>
      <c r="BJ490" s="330"/>
      <c r="BK490" s="330"/>
      <c r="BL490" s="330"/>
      <c r="BM490" s="330"/>
      <c r="BN490" s="330"/>
      <c r="BO490" s="330"/>
      <c r="BP490" s="330"/>
      <c r="BQ490" s="330"/>
      <c r="BR490" s="330"/>
      <c r="BS490" s="330"/>
      <c r="BT490" s="330"/>
      <c r="BU490" s="330"/>
      <c r="BV490" s="330"/>
      <c r="BW490" s="330"/>
      <c r="BX490" s="330"/>
      <c r="BY490" s="330"/>
      <c r="BZ490" s="330"/>
    </row>
    <row r="491" spans="1:78" x14ac:dyDescent="0.25">
      <c r="A491" s="331"/>
      <c r="B491" s="328"/>
      <c r="C491" s="328"/>
      <c r="D491" s="329"/>
      <c r="E491" s="330"/>
      <c r="F491" s="330"/>
      <c r="G491" s="330"/>
      <c r="H491" s="330"/>
      <c r="I491" s="330"/>
      <c r="J491" s="330"/>
      <c r="K491" s="330"/>
      <c r="L491" s="329"/>
      <c r="M491" s="329"/>
      <c r="N491" s="330"/>
      <c r="O491" s="330"/>
      <c r="P491" s="330"/>
      <c r="Q491" s="330"/>
      <c r="R491" s="330"/>
      <c r="S491" s="330"/>
      <c r="T491" s="330"/>
      <c r="U491" s="330"/>
      <c r="V491" s="330"/>
      <c r="W491" s="330"/>
      <c r="X491" s="329"/>
      <c r="Y491" s="330"/>
      <c r="Z491" s="330"/>
      <c r="AA491" s="330"/>
      <c r="AB491" s="330"/>
      <c r="AC491" s="330"/>
      <c r="AD491" s="330"/>
      <c r="AE491" s="330"/>
      <c r="AF491" s="330"/>
      <c r="AG491" s="330"/>
      <c r="AH491" s="330"/>
      <c r="AI491" s="330"/>
      <c r="AJ491" s="330"/>
      <c r="AK491" s="330"/>
      <c r="AL491" s="329"/>
      <c r="AM491" s="329"/>
      <c r="AN491" s="330"/>
      <c r="AO491" s="330"/>
      <c r="AP491" s="330"/>
      <c r="AQ491" s="330"/>
      <c r="AR491" s="231"/>
      <c r="AS491" s="333"/>
      <c r="AT491" s="206"/>
      <c r="AU491" s="328"/>
      <c r="AV491" s="206"/>
      <c r="AW491" s="206"/>
      <c r="AX491" s="206"/>
      <c r="AY491" s="206"/>
      <c r="AZ491" s="206"/>
      <c r="BA491" s="206"/>
      <c r="BB491" s="206"/>
      <c r="BC491" s="206"/>
      <c r="BD491" s="206"/>
      <c r="BE491" s="206"/>
      <c r="BF491" s="206"/>
      <c r="BG491" s="330"/>
      <c r="BH491" s="330"/>
      <c r="BI491" s="330"/>
      <c r="BJ491" s="330"/>
      <c r="BK491" s="330"/>
      <c r="BL491" s="330"/>
      <c r="BM491" s="330"/>
      <c r="BN491" s="330"/>
      <c r="BO491" s="330"/>
      <c r="BP491" s="330"/>
      <c r="BQ491" s="330"/>
      <c r="BR491" s="330"/>
      <c r="BS491" s="330"/>
      <c r="BT491" s="330"/>
      <c r="BU491" s="330"/>
      <c r="BV491" s="330"/>
      <c r="BW491" s="330"/>
      <c r="BX491" s="330"/>
      <c r="BY491" s="330"/>
      <c r="BZ491" s="330"/>
    </row>
    <row r="492" spans="1:78" x14ac:dyDescent="0.25">
      <c r="A492" s="331"/>
      <c r="B492" s="328"/>
      <c r="C492" s="328"/>
      <c r="D492" s="329"/>
      <c r="E492" s="330"/>
      <c r="F492" s="330"/>
      <c r="G492" s="330"/>
      <c r="H492" s="330"/>
      <c r="I492" s="330"/>
      <c r="J492" s="330"/>
      <c r="K492" s="330"/>
      <c r="L492" s="329"/>
      <c r="M492" s="329"/>
      <c r="N492" s="330"/>
      <c r="O492" s="330"/>
      <c r="P492" s="330"/>
      <c r="Q492" s="330"/>
      <c r="R492" s="330"/>
      <c r="S492" s="330"/>
      <c r="T492" s="330"/>
      <c r="U492" s="330"/>
      <c r="V492" s="330"/>
      <c r="W492" s="330"/>
      <c r="X492" s="329"/>
      <c r="Y492" s="330"/>
      <c r="Z492" s="330"/>
      <c r="AA492" s="330"/>
      <c r="AB492" s="330"/>
      <c r="AC492" s="330"/>
      <c r="AD492" s="330"/>
      <c r="AE492" s="330"/>
      <c r="AF492" s="330"/>
      <c r="AG492" s="330"/>
      <c r="AH492" s="330"/>
      <c r="AI492" s="330"/>
      <c r="AJ492" s="330"/>
      <c r="AK492" s="330"/>
      <c r="AL492" s="329"/>
      <c r="AM492" s="329"/>
      <c r="AN492" s="330"/>
      <c r="AO492" s="330"/>
      <c r="AP492" s="330"/>
      <c r="AQ492" s="330"/>
      <c r="AR492" s="231"/>
      <c r="AS492" s="333"/>
      <c r="AT492" s="206"/>
      <c r="AU492" s="328"/>
      <c r="AV492" s="206"/>
      <c r="AW492" s="206"/>
      <c r="AX492" s="206"/>
      <c r="AY492" s="206"/>
      <c r="AZ492" s="206"/>
      <c r="BA492" s="206"/>
      <c r="BB492" s="206"/>
      <c r="BC492" s="206"/>
      <c r="BD492" s="206"/>
      <c r="BE492" s="206"/>
      <c r="BF492" s="206"/>
      <c r="BG492" s="330"/>
      <c r="BH492" s="330"/>
      <c r="BI492" s="330"/>
      <c r="BJ492" s="330"/>
      <c r="BK492" s="330"/>
      <c r="BL492" s="330"/>
      <c r="BM492" s="330"/>
      <c r="BN492" s="330"/>
      <c r="BO492" s="330"/>
      <c r="BP492" s="330"/>
      <c r="BQ492" s="330"/>
      <c r="BR492" s="330"/>
      <c r="BS492" s="330"/>
      <c r="BT492" s="330"/>
      <c r="BU492" s="330"/>
      <c r="BV492" s="330"/>
      <c r="BW492" s="330"/>
      <c r="BX492" s="330"/>
      <c r="BY492" s="330"/>
      <c r="BZ492" s="330"/>
    </row>
    <row r="493" spans="1:78" x14ac:dyDescent="0.25">
      <c r="A493" s="331"/>
      <c r="B493" s="328"/>
      <c r="C493" s="328"/>
      <c r="D493" s="329"/>
      <c r="E493" s="330"/>
      <c r="F493" s="330"/>
      <c r="G493" s="330"/>
      <c r="H493" s="330"/>
      <c r="I493" s="330"/>
      <c r="J493" s="330"/>
      <c r="K493" s="330"/>
      <c r="L493" s="329"/>
      <c r="M493" s="329"/>
      <c r="N493" s="330"/>
      <c r="O493" s="330"/>
      <c r="P493" s="330"/>
      <c r="Q493" s="330"/>
      <c r="R493" s="330"/>
      <c r="S493" s="330"/>
      <c r="T493" s="330"/>
      <c r="U493" s="330"/>
      <c r="V493" s="330"/>
      <c r="W493" s="330"/>
      <c r="X493" s="329"/>
      <c r="Y493" s="330"/>
      <c r="Z493" s="330"/>
      <c r="AA493" s="330"/>
      <c r="AB493" s="330"/>
      <c r="AC493" s="330"/>
      <c r="AD493" s="330"/>
      <c r="AE493" s="330"/>
      <c r="AF493" s="330"/>
      <c r="AG493" s="330"/>
      <c r="AH493" s="330"/>
      <c r="AI493" s="330"/>
      <c r="AJ493" s="330"/>
      <c r="AK493" s="330"/>
      <c r="AL493" s="329"/>
      <c r="AM493" s="329"/>
      <c r="AN493" s="330"/>
      <c r="AO493" s="330"/>
      <c r="AP493" s="330"/>
      <c r="AQ493" s="330"/>
      <c r="AR493" s="231"/>
      <c r="AS493" s="333"/>
      <c r="AT493" s="206"/>
      <c r="AU493" s="328"/>
      <c r="AV493" s="206"/>
      <c r="AW493" s="206"/>
      <c r="AX493" s="206"/>
      <c r="AY493" s="206"/>
      <c r="AZ493" s="206"/>
      <c r="BA493" s="206"/>
      <c r="BB493" s="206"/>
      <c r="BC493" s="206"/>
      <c r="BD493" s="206"/>
      <c r="BE493" s="206"/>
      <c r="BF493" s="206"/>
      <c r="BG493" s="330"/>
      <c r="BH493" s="330"/>
      <c r="BI493" s="330"/>
      <c r="BJ493" s="330"/>
      <c r="BK493" s="330"/>
      <c r="BL493" s="330"/>
      <c r="BM493" s="330"/>
      <c r="BN493" s="330"/>
      <c r="BO493" s="330"/>
      <c r="BP493" s="330"/>
      <c r="BQ493" s="330"/>
      <c r="BR493" s="330"/>
      <c r="BS493" s="330"/>
      <c r="BT493" s="330"/>
      <c r="BU493" s="330"/>
      <c r="BV493" s="330"/>
      <c r="BW493" s="330"/>
      <c r="BX493" s="330"/>
      <c r="BY493" s="330"/>
      <c r="BZ493" s="330"/>
    </row>
    <row r="494" spans="1:78" x14ac:dyDescent="0.25">
      <c r="A494" s="331"/>
      <c r="B494" s="328"/>
      <c r="C494" s="328"/>
      <c r="D494" s="329"/>
      <c r="E494" s="330"/>
      <c r="F494" s="330"/>
      <c r="G494" s="330"/>
      <c r="H494" s="330"/>
      <c r="I494" s="330"/>
      <c r="J494" s="330"/>
      <c r="K494" s="330"/>
      <c r="L494" s="329"/>
      <c r="M494" s="329"/>
      <c r="N494" s="330"/>
      <c r="O494" s="330"/>
      <c r="P494" s="330"/>
      <c r="Q494" s="330"/>
      <c r="R494" s="330"/>
      <c r="S494" s="330"/>
      <c r="T494" s="330"/>
      <c r="U494" s="330"/>
      <c r="V494" s="330"/>
      <c r="W494" s="330"/>
      <c r="X494" s="329"/>
      <c r="Y494" s="330"/>
      <c r="Z494" s="330"/>
      <c r="AA494" s="330"/>
      <c r="AB494" s="330"/>
      <c r="AC494" s="330"/>
      <c r="AD494" s="330"/>
      <c r="AE494" s="330"/>
      <c r="AF494" s="330"/>
      <c r="AG494" s="330"/>
      <c r="AH494" s="330"/>
      <c r="AI494" s="330"/>
      <c r="AJ494" s="330"/>
      <c r="AK494" s="330"/>
      <c r="AL494" s="329"/>
      <c r="AM494" s="329"/>
      <c r="AN494" s="330"/>
      <c r="AO494" s="330"/>
      <c r="AP494" s="330"/>
      <c r="AQ494" s="330"/>
      <c r="AR494" s="231"/>
      <c r="AS494" s="333"/>
      <c r="AT494" s="206"/>
      <c r="AU494" s="328"/>
      <c r="AV494" s="206"/>
      <c r="AW494" s="206"/>
      <c r="AX494" s="206"/>
      <c r="AY494" s="206"/>
      <c r="AZ494" s="206"/>
      <c r="BA494" s="206"/>
      <c r="BB494" s="206"/>
      <c r="BC494" s="206"/>
      <c r="BD494" s="206"/>
      <c r="BE494" s="206"/>
      <c r="BF494" s="206"/>
      <c r="BG494" s="330"/>
      <c r="BH494" s="330"/>
      <c r="BI494" s="330"/>
      <c r="BJ494" s="330"/>
      <c r="BK494" s="330"/>
      <c r="BL494" s="330"/>
      <c r="BM494" s="330"/>
      <c r="BN494" s="330"/>
      <c r="BO494" s="330"/>
      <c r="BP494" s="330"/>
      <c r="BQ494" s="330"/>
      <c r="BR494" s="330"/>
      <c r="BS494" s="330"/>
      <c r="BT494" s="330"/>
      <c r="BU494" s="330"/>
      <c r="BV494" s="330"/>
      <c r="BW494" s="330"/>
      <c r="BX494" s="330"/>
      <c r="BY494" s="330"/>
      <c r="BZ494" s="330"/>
    </row>
    <row r="495" spans="1:78" x14ac:dyDescent="0.25">
      <c r="A495" s="331"/>
      <c r="B495" s="328"/>
      <c r="C495" s="328"/>
      <c r="D495" s="329"/>
      <c r="E495" s="330"/>
      <c r="F495" s="330"/>
      <c r="G495" s="330"/>
      <c r="H495" s="330"/>
      <c r="I495" s="330"/>
      <c r="J495" s="330"/>
      <c r="K495" s="330"/>
      <c r="L495" s="329"/>
      <c r="M495" s="329"/>
      <c r="N495" s="330"/>
      <c r="O495" s="330"/>
      <c r="P495" s="330"/>
      <c r="Q495" s="330"/>
      <c r="R495" s="330"/>
      <c r="S495" s="330"/>
      <c r="T495" s="330"/>
      <c r="U495" s="330"/>
      <c r="V495" s="330"/>
      <c r="W495" s="330"/>
      <c r="X495" s="329"/>
      <c r="Y495" s="330"/>
      <c r="Z495" s="330"/>
      <c r="AA495" s="330"/>
      <c r="AB495" s="330"/>
      <c r="AC495" s="330"/>
      <c r="AD495" s="330"/>
      <c r="AE495" s="330"/>
      <c r="AF495" s="330"/>
      <c r="AG495" s="330"/>
      <c r="AH495" s="330"/>
      <c r="AI495" s="330"/>
      <c r="AJ495" s="330"/>
      <c r="AK495" s="330"/>
      <c r="AL495" s="329"/>
      <c r="AM495" s="329"/>
      <c r="AN495" s="330"/>
      <c r="AO495" s="330"/>
      <c r="AP495" s="330"/>
      <c r="AQ495" s="330"/>
      <c r="AR495" s="231"/>
      <c r="AS495" s="333"/>
      <c r="AT495" s="206"/>
      <c r="AU495" s="328"/>
      <c r="AV495" s="206"/>
      <c r="AW495" s="206"/>
      <c r="AX495" s="206"/>
      <c r="AY495" s="206"/>
      <c r="AZ495" s="206"/>
      <c r="BA495" s="206"/>
      <c r="BB495" s="206"/>
      <c r="BC495" s="206"/>
      <c r="BD495" s="206"/>
      <c r="BE495" s="206"/>
      <c r="BF495" s="206"/>
      <c r="BG495" s="330"/>
      <c r="BH495" s="330"/>
      <c r="BI495" s="330"/>
      <c r="BJ495" s="330"/>
      <c r="BK495" s="330"/>
      <c r="BL495" s="330"/>
      <c r="BM495" s="330"/>
      <c r="BN495" s="330"/>
      <c r="BO495" s="330"/>
      <c r="BP495" s="330"/>
      <c r="BQ495" s="330"/>
      <c r="BR495" s="330"/>
      <c r="BS495" s="330"/>
      <c r="BT495" s="330"/>
      <c r="BU495" s="330"/>
      <c r="BV495" s="330"/>
      <c r="BW495" s="330"/>
      <c r="BX495" s="330"/>
      <c r="BY495" s="330"/>
      <c r="BZ495" s="330"/>
    </row>
    <row r="496" spans="1:78" x14ac:dyDescent="0.25">
      <c r="A496" s="331"/>
      <c r="B496" s="328"/>
      <c r="C496" s="328"/>
      <c r="D496" s="329"/>
      <c r="E496" s="330"/>
      <c r="F496" s="330"/>
      <c r="G496" s="330"/>
      <c r="H496" s="330"/>
      <c r="I496" s="330"/>
      <c r="J496" s="330"/>
      <c r="K496" s="330"/>
      <c r="L496" s="329"/>
      <c r="M496" s="329"/>
      <c r="N496" s="330"/>
      <c r="O496" s="330"/>
      <c r="P496" s="330"/>
      <c r="Q496" s="330"/>
      <c r="R496" s="330"/>
      <c r="S496" s="330"/>
      <c r="T496" s="330"/>
      <c r="U496" s="330"/>
      <c r="V496" s="330"/>
      <c r="W496" s="330"/>
      <c r="X496" s="329"/>
      <c r="Y496" s="330"/>
      <c r="Z496" s="330"/>
      <c r="AA496" s="330"/>
      <c r="AB496" s="330"/>
      <c r="AC496" s="330"/>
      <c r="AD496" s="330"/>
      <c r="AE496" s="330"/>
      <c r="AF496" s="330"/>
      <c r="AG496" s="330"/>
      <c r="AH496" s="330"/>
      <c r="AI496" s="330"/>
      <c r="AJ496" s="330"/>
      <c r="AK496" s="330"/>
      <c r="AL496" s="329"/>
      <c r="AM496" s="329"/>
      <c r="AN496" s="330"/>
      <c r="AO496" s="330"/>
      <c r="AP496" s="330"/>
      <c r="AQ496" s="330"/>
      <c r="AR496" s="231"/>
      <c r="AS496" s="333"/>
      <c r="AT496" s="206"/>
      <c r="AU496" s="328"/>
      <c r="AV496" s="206"/>
      <c r="AW496" s="206"/>
      <c r="AX496" s="206"/>
      <c r="AY496" s="206"/>
      <c r="AZ496" s="206"/>
      <c r="BA496" s="206"/>
      <c r="BB496" s="206"/>
      <c r="BC496" s="206"/>
      <c r="BD496" s="206"/>
      <c r="BE496" s="206"/>
      <c r="BF496" s="206"/>
      <c r="BG496" s="330"/>
      <c r="BH496" s="330"/>
      <c r="BI496" s="330"/>
      <c r="BJ496" s="330"/>
      <c r="BK496" s="330"/>
      <c r="BL496" s="330"/>
      <c r="BM496" s="330"/>
      <c r="BN496" s="330"/>
      <c r="BO496" s="330"/>
      <c r="BP496" s="330"/>
      <c r="BQ496" s="330"/>
      <c r="BR496" s="330"/>
      <c r="BS496" s="330"/>
      <c r="BT496" s="330"/>
      <c r="BU496" s="330"/>
      <c r="BV496" s="330"/>
      <c r="BW496" s="330"/>
      <c r="BX496" s="330"/>
      <c r="BY496" s="330"/>
      <c r="BZ496" s="330"/>
    </row>
    <row r="497" spans="1:78" x14ac:dyDescent="0.25">
      <c r="A497" s="331"/>
      <c r="B497" s="328"/>
      <c r="C497" s="328"/>
      <c r="D497" s="329"/>
      <c r="E497" s="330"/>
      <c r="F497" s="330"/>
      <c r="G497" s="330"/>
      <c r="H497" s="330"/>
      <c r="I497" s="330"/>
      <c r="J497" s="330"/>
      <c r="K497" s="330"/>
      <c r="L497" s="329"/>
      <c r="M497" s="329"/>
      <c r="N497" s="330"/>
      <c r="O497" s="330"/>
      <c r="P497" s="330"/>
      <c r="Q497" s="330"/>
      <c r="R497" s="330"/>
      <c r="S497" s="330"/>
      <c r="T497" s="330"/>
      <c r="U497" s="330"/>
      <c r="V497" s="330"/>
      <c r="W497" s="330"/>
      <c r="X497" s="329"/>
      <c r="Y497" s="330"/>
      <c r="Z497" s="330"/>
      <c r="AA497" s="330"/>
      <c r="AB497" s="330"/>
      <c r="AC497" s="330"/>
      <c r="AD497" s="330"/>
      <c r="AE497" s="330"/>
      <c r="AF497" s="330"/>
      <c r="AG497" s="330"/>
      <c r="AH497" s="330"/>
      <c r="AI497" s="330"/>
      <c r="AJ497" s="330"/>
      <c r="AK497" s="330"/>
      <c r="AL497" s="329"/>
      <c r="AM497" s="329"/>
      <c r="AN497" s="330"/>
      <c r="AO497" s="330"/>
      <c r="AP497" s="330"/>
      <c r="AQ497" s="330"/>
      <c r="AR497" s="231"/>
      <c r="AS497" s="333"/>
      <c r="AT497" s="206"/>
      <c r="AU497" s="328"/>
      <c r="AV497" s="206"/>
      <c r="AW497" s="206"/>
      <c r="AX497" s="206"/>
      <c r="AY497" s="206"/>
      <c r="AZ497" s="206"/>
      <c r="BA497" s="206"/>
      <c r="BB497" s="206"/>
      <c r="BC497" s="206"/>
      <c r="BD497" s="206"/>
      <c r="BE497" s="206"/>
      <c r="BF497" s="206"/>
      <c r="BG497" s="330"/>
      <c r="BH497" s="330"/>
      <c r="BI497" s="330"/>
      <c r="BJ497" s="330"/>
      <c r="BK497" s="330"/>
      <c r="BL497" s="330"/>
      <c r="BM497" s="330"/>
      <c r="BN497" s="330"/>
      <c r="BO497" s="330"/>
      <c r="BP497" s="330"/>
      <c r="BQ497" s="330"/>
      <c r="BR497" s="330"/>
      <c r="BS497" s="330"/>
      <c r="BT497" s="330"/>
      <c r="BU497" s="330"/>
      <c r="BV497" s="330"/>
      <c r="BW497" s="330"/>
      <c r="BX497" s="330"/>
      <c r="BY497" s="330"/>
      <c r="BZ497" s="330"/>
    </row>
    <row r="498" spans="1:78" x14ac:dyDescent="0.25">
      <c r="A498" s="331"/>
      <c r="B498" s="328"/>
      <c r="C498" s="328"/>
      <c r="D498" s="329"/>
      <c r="E498" s="330"/>
      <c r="F498" s="330"/>
      <c r="G498" s="330"/>
      <c r="H498" s="330"/>
      <c r="I498" s="330"/>
      <c r="J498" s="330"/>
      <c r="K498" s="330"/>
      <c r="L498" s="329"/>
      <c r="M498" s="329"/>
      <c r="N498" s="330"/>
      <c r="O498" s="330"/>
      <c r="P498" s="330"/>
      <c r="Q498" s="330"/>
      <c r="R498" s="330"/>
      <c r="S498" s="330"/>
      <c r="T498" s="330"/>
      <c r="U498" s="330"/>
      <c r="V498" s="330"/>
      <c r="W498" s="330"/>
      <c r="X498" s="329"/>
      <c r="Y498" s="330"/>
      <c r="Z498" s="330"/>
      <c r="AA498" s="330"/>
      <c r="AB498" s="330"/>
      <c r="AC498" s="330"/>
      <c r="AD498" s="330"/>
      <c r="AE498" s="330"/>
      <c r="AF498" s="330"/>
      <c r="AG498" s="330"/>
      <c r="AH498" s="330"/>
      <c r="AI498" s="330"/>
      <c r="AJ498" s="330"/>
      <c r="AK498" s="330"/>
      <c r="AL498" s="329"/>
      <c r="AM498" s="329"/>
      <c r="AN498" s="330"/>
      <c r="AO498" s="330"/>
      <c r="AP498" s="330"/>
      <c r="AQ498" s="330"/>
      <c r="AR498" s="231"/>
      <c r="AS498" s="333"/>
      <c r="AT498" s="206"/>
      <c r="AU498" s="328"/>
      <c r="AV498" s="206"/>
      <c r="AW498" s="206"/>
      <c r="AX498" s="206"/>
      <c r="AY498" s="206"/>
      <c r="AZ498" s="206"/>
      <c r="BA498" s="206"/>
      <c r="BB498" s="206"/>
      <c r="BC498" s="206"/>
      <c r="BD498" s="206"/>
      <c r="BE498" s="206"/>
      <c r="BF498" s="206"/>
      <c r="BG498" s="330"/>
      <c r="BH498" s="330"/>
      <c r="BI498" s="330"/>
      <c r="BJ498" s="330"/>
      <c r="BK498" s="330"/>
      <c r="BL498" s="330"/>
      <c r="BM498" s="330"/>
      <c r="BN498" s="330"/>
      <c r="BO498" s="330"/>
      <c r="BP498" s="330"/>
      <c r="BQ498" s="330"/>
      <c r="BR498" s="330"/>
      <c r="BS498" s="330"/>
      <c r="BT498" s="330"/>
      <c r="BU498" s="330"/>
      <c r="BV498" s="330"/>
      <c r="BW498" s="330"/>
      <c r="BX498" s="330"/>
      <c r="BY498" s="330"/>
      <c r="BZ498" s="330"/>
    </row>
    <row r="499" spans="1:78" x14ac:dyDescent="0.25">
      <c r="A499" s="331"/>
      <c r="B499" s="328"/>
      <c r="C499" s="328"/>
      <c r="D499" s="329"/>
      <c r="E499" s="330"/>
      <c r="F499" s="330"/>
      <c r="G499" s="330"/>
      <c r="H499" s="330"/>
      <c r="I499" s="330"/>
      <c r="J499" s="330"/>
      <c r="K499" s="330"/>
      <c r="L499" s="329"/>
      <c r="M499" s="329"/>
      <c r="N499" s="330"/>
      <c r="O499" s="330"/>
      <c r="P499" s="330"/>
      <c r="Q499" s="330"/>
      <c r="R499" s="330"/>
      <c r="S499" s="330"/>
      <c r="T499" s="330"/>
      <c r="U499" s="330"/>
      <c r="V499" s="330"/>
      <c r="W499" s="330"/>
      <c r="X499" s="329"/>
      <c r="Y499" s="330"/>
      <c r="Z499" s="330"/>
      <c r="AA499" s="330"/>
      <c r="AB499" s="330"/>
      <c r="AC499" s="330"/>
      <c r="AD499" s="330"/>
      <c r="AE499" s="330"/>
      <c r="AF499" s="330"/>
      <c r="AG499" s="330"/>
      <c r="AH499" s="330"/>
      <c r="AI499" s="330"/>
      <c r="AJ499" s="330"/>
      <c r="AK499" s="330"/>
      <c r="AL499" s="329"/>
      <c r="AM499" s="329"/>
      <c r="AN499" s="330"/>
      <c r="AO499" s="330"/>
      <c r="AP499" s="330"/>
      <c r="AQ499" s="330"/>
      <c r="AR499" s="231"/>
      <c r="AS499" s="333"/>
      <c r="AT499" s="206"/>
      <c r="AU499" s="328"/>
      <c r="AV499" s="206"/>
      <c r="AW499" s="206"/>
      <c r="AX499" s="206"/>
      <c r="AY499" s="206"/>
      <c r="AZ499" s="206"/>
      <c r="BA499" s="206"/>
      <c r="BB499" s="206"/>
      <c r="BC499" s="206"/>
      <c r="BD499" s="206"/>
      <c r="BE499" s="206"/>
      <c r="BF499" s="206"/>
      <c r="BG499" s="330"/>
      <c r="BH499" s="330"/>
      <c r="BI499" s="330"/>
      <c r="BJ499" s="330"/>
      <c r="BK499" s="330"/>
      <c r="BL499" s="330"/>
      <c r="BM499" s="330"/>
      <c r="BN499" s="330"/>
      <c r="BO499" s="330"/>
      <c r="BP499" s="330"/>
      <c r="BQ499" s="330"/>
      <c r="BR499" s="330"/>
      <c r="BS499" s="330"/>
      <c r="BT499" s="330"/>
      <c r="BU499" s="330"/>
      <c r="BV499" s="330"/>
      <c r="BW499" s="330"/>
      <c r="BX499" s="330"/>
      <c r="BY499" s="330"/>
      <c r="BZ499" s="330"/>
    </row>
    <row r="500" spans="1:78" x14ac:dyDescent="0.25">
      <c r="A500" s="331"/>
      <c r="B500" s="328"/>
      <c r="C500" s="328"/>
      <c r="D500" s="329"/>
      <c r="E500" s="330"/>
      <c r="F500" s="330"/>
      <c r="G500" s="330"/>
      <c r="H500" s="330"/>
      <c r="I500" s="330"/>
      <c r="J500" s="330"/>
      <c r="K500" s="330"/>
      <c r="L500" s="329"/>
      <c r="M500" s="329"/>
      <c r="N500" s="330"/>
      <c r="O500" s="330"/>
      <c r="P500" s="330"/>
      <c r="Q500" s="330"/>
      <c r="R500" s="330"/>
      <c r="S500" s="330"/>
      <c r="T500" s="330"/>
      <c r="U500" s="330"/>
      <c r="V500" s="330"/>
      <c r="W500" s="330"/>
      <c r="X500" s="329"/>
      <c r="Y500" s="330"/>
      <c r="Z500" s="330"/>
      <c r="AA500" s="330"/>
      <c r="AB500" s="330"/>
      <c r="AC500" s="330"/>
      <c r="AD500" s="330"/>
      <c r="AE500" s="330"/>
      <c r="AF500" s="330"/>
      <c r="AG500" s="330"/>
      <c r="AH500" s="330"/>
      <c r="AI500" s="330"/>
      <c r="AJ500" s="330"/>
      <c r="AK500" s="330"/>
      <c r="AL500" s="329"/>
      <c r="AM500" s="329"/>
      <c r="AN500" s="330"/>
      <c r="AO500" s="330"/>
      <c r="AP500" s="330"/>
      <c r="AQ500" s="330"/>
      <c r="AR500" s="231"/>
      <c r="AS500" s="333"/>
      <c r="AT500" s="206"/>
      <c r="AU500" s="328"/>
      <c r="AV500" s="206"/>
      <c r="AW500" s="206"/>
      <c r="AX500" s="206"/>
      <c r="AY500" s="206"/>
      <c r="AZ500" s="206"/>
      <c r="BA500" s="206"/>
      <c r="BB500" s="206"/>
      <c r="BC500" s="206"/>
      <c r="BD500" s="206"/>
      <c r="BE500" s="206"/>
      <c r="BF500" s="206"/>
      <c r="BG500" s="330"/>
      <c r="BH500" s="330"/>
      <c r="BI500" s="330"/>
      <c r="BJ500" s="330"/>
      <c r="BK500" s="330"/>
      <c r="BL500" s="330"/>
      <c r="BM500" s="330"/>
      <c r="BN500" s="330"/>
      <c r="BO500" s="330"/>
      <c r="BP500" s="330"/>
      <c r="BQ500" s="330"/>
      <c r="BR500" s="330"/>
      <c r="BS500" s="330"/>
      <c r="BT500" s="330"/>
      <c r="BU500" s="330"/>
      <c r="BV500" s="330"/>
      <c r="BW500" s="330"/>
      <c r="BX500" s="330"/>
      <c r="BY500" s="330"/>
      <c r="BZ500" s="330"/>
    </row>
    <row r="501" spans="1:78" x14ac:dyDescent="0.25">
      <c r="A501" s="331"/>
      <c r="B501" s="328"/>
      <c r="C501" s="328"/>
      <c r="D501" s="329"/>
      <c r="E501" s="330"/>
      <c r="F501" s="330"/>
      <c r="G501" s="330"/>
      <c r="H501" s="330"/>
      <c r="I501" s="330"/>
      <c r="J501" s="330"/>
      <c r="K501" s="330"/>
      <c r="L501" s="329"/>
      <c r="M501" s="329"/>
      <c r="N501" s="330"/>
      <c r="O501" s="330"/>
      <c r="P501" s="330"/>
      <c r="Q501" s="330"/>
      <c r="R501" s="330"/>
      <c r="S501" s="330"/>
      <c r="T501" s="330"/>
      <c r="U501" s="330"/>
      <c r="V501" s="330"/>
      <c r="W501" s="330"/>
      <c r="X501" s="329"/>
      <c r="Y501" s="330"/>
      <c r="Z501" s="330"/>
      <c r="AA501" s="330"/>
      <c r="AB501" s="330"/>
      <c r="AC501" s="330"/>
      <c r="AD501" s="330"/>
      <c r="AE501" s="330"/>
      <c r="AF501" s="330"/>
      <c r="AG501" s="330"/>
      <c r="AH501" s="330"/>
      <c r="AI501" s="330"/>
      <c r="AJ501" s="330"/>
      <c r="AK501" s="330"/>
      <c r="AL501" s="329"/>
      <c r="AM501" s="329"/>
      <c r="AN501" s="330"/>
      <c r="AO501" s="330"/>
      <c r="AP501" s="330"/>
      <c r="AQ501" s="330"/>
      <c r="AR501" s="231"/>
      <c r="AS501" s="333"/>
      <c r="AT501" s="206"/>
      <c r="AU501" s="328"/>
      <c r="AV501" s="206"/>
      <c r="AW501" s="206"/>
      <c r="AX501" s="206"/>
      <c r="AY501" s="206"/>
      <c r="AZ501" s="206"/>
      <c r="BA501" s="206"/>
      <c r="BB501" s="206"/>
      <c r="BC501" s="206"/>
      <c r="BD501" s="206"/>
      <c r="BE501" s="206"/>
      <c r="BF501" s="206"/>
      <c r="BG501" s="330"/>
      <c r="BH501" s="330"/>
      <c r="BI501" s="330"/>
      <c r="BJ501" s="330"/>
      <c r="BK501" s="330"/>
      <c r="BL501" s="330"/>
      <c r="BM501" s="330"/>
      <c r="BN501" s="330"/>
      <c r="BO501" s="330"/>
      <c r="BP501" s="330"/>
      <c r="BQ501" s="330"/>
      <c r="BR501" s="330"/>
      <c r="BS501" s="330"/>
      <c r="BT501" s="330"/>
      <c r="BU501" s="330"/>
      <c r="BV501" s="330"/>
      <c r="BW501" s="330"/>
      <c r="BX501" s="330"/>
      <c r="BY501" s="330"/>
      <c r="BZ501" s="330"/>
    </row>
    <row r="502" spans="1:78" x14ac:dyDescent="0.25">
      <c r="A502" s="331"/>
      <c r="B502" s="328"/>
      <c r="C502" s="328"/>
      <c r="D502" s="329"/>
      <c r="E502" s="330"/>
      <c r="F502" s="330"/>
      <c r="G502" s="330"/>
      <c r="H502" s="330"/>
      <c r="I502" s="330"/>
      <c r="J502" s="330"/>
      <c r="K502" s="330"/>
      <c r="L502" s="329"/>
      <c r="M502" s="329"/>
      <c r="N502" s="330"/>
      <c r="O502" s="330"/>
      <c r="P502" s="330"/>
      <c r="Q502" s="330"/>
      <c r="R502" s="330"/>
      <c r="S502" s="330"/>
      <c r="T502" s="330"/>
      <c r="U502" s="330"/>
      <c r="V502" s="330"/>
      <c r="W502" s="330"/>
      <c r="X502" s="329"/>
      <c r="Y502" s="330"/>
      <c r="Z502" s="330"/>
      <c r="AA502" s="330"/>
      <c r="AB502" s="330"/>
      <c r="AC502" s="330"/>
      <c r="AD502" s="330"/>
      <c r="AE502" s="330"/>
      <c r="AF502" s="330"/>
      <c r="AG502" s="330"/>
      <c r="AH502" s="330"/>
      <c r="AI502" s="330"/>
      <c r="AJ502" s="330"/>
      <c r="AK502" s="330"/>
      <c r="AL502" s="329"/>
      <c r="AM502" s="329"/>
      <c r="AN502" s="330"/>
      <c r="AO502" s="330"/>
      <c r="AP502" s="330"/>
      <c r="AQ502" s="330"/>
      <c r="AR502" s="231"/>
      <c r="AS502" s="333"/>
      <c r="AT502" s="206"/>
      <c r="AU502" s="328"/>
      <c r="AV502" s="206"/>
      <c r="AW502" s="206"/>
      <c r="AX502" s="206"/>
      <c r="AY502" s="206"/>
      <c r="AZ502" s="206"/>
      <c r="BA502" s="206"/>
      <c r="BB502" s="206"/>
      <c r="BC502" s="206"/>
      <c r="BD502" s="206"/>
      <c r="BE502" s="206"/>
      <c r="BF502" s="206"/>
      <c r="BG502" s="330"/>
      <c r="BH502" s="330"/>
      <c r="BI502" s="330"/>
      <c r="BJ502" s="330"/>
      <c r="BK502" s="330"/>
      <c r="BL502" s="330"/>
      <c r="BM502" s="330"/>
      <c r="BN502" s="330"/>
      <c r="BO502" s="330"/>
      <c r="BP502" s="330"/>
      <c r="BQ502" s="330"/>
      <c r="BR502" s="330"/>
      <c r="BS502" s="330"/>
      <c r="BT502" s="330"/>
      <c r="BU502" s="330"/>
      <c r="BV502" s="330"/>
      <c r="BW502" s="330"/>
      <c r="BX502" s="330"/>
      <c r="BY502" s="330"/>
      <c r="BZ502" s="330"/>
    </row>
    <row r="503" spans="1:78" x14ac:dyDescent="0.25">
      <c r="A503" s="331"/>
      <c r="B503" s="328"/>
      <c r="C503" s="328"/>
      <c r="D503" s="329"/>
      <c r="E503" s="330"/>
      <c r="F503" s="330"/>
      <c r="G503" s="330"/>
      <c r="H503" s="330"/>
      <c r="I503" s="330"/>
      <c r="J503" s="330"/>
      <c r="K503" s="330"/>
      <c r="L503" s="329"/>
      <c r="M503" s="329"/>
      <c r="N503" s="330"/>
      <c r="O503" s="330"/>
      <c r="P503" s="330"/>
      <c r="Q503" s="330"/>
      <c r="R503" s="330"/>
      <c r="S503" s="330"/>
      <c r="T503" s="330"/>
      <c r="U503" s="330"/>
      <c r="V503" s="330"/>
      <c r="W503" s="330"/>
      <c r="X503" s="329"/>
      <c r="Y503" s="330"/>
      <c r="Z503" s="330"/>
      <c r="AA503" s="330"/>
      <c r="AB503" s="330"/>
      <c r="AC503" s="330"/>
      <c r="AD503" s="330"/>
      <c r="AE503" s="330"/>
      <c r="AF503" s="330"/>
      <c r="AG503" s="330"/>
      <c r="AH503" s="330"/>
      <c r="AI503" s="330"/>
      <c r="AJ503" s="330"/>
      <c r="AK503" s="330"/>
      <c r="AL503" s="329"/>
      <c r="AM503" s="329"/>
      <c r="AN503" s="330"/>
      <c r="AO503" s="330"/>
      <c r="AP503" s="330"/>
      <c r="AQ503" s="330"/>
      <c r="AR503" s="231"/>
      <c r="AS503" s="333"/>
      <c r="AT503" s="206"/>
      <c r="AU503" s="328"/>
      <c r="AV503" s="206"/>
      <c r="AW503" s="206"/>
      <c r="AX503" s="206"/>
      <c r="AY503" s="206"/>
      <c r="AZ503" s="206"/>
      <c r="BA503" s="206"/>
      <c r="BB503" s="206"/>
      <c r="BC503" s="206"/>
      <c r="BD503" s="206"/>
      <c r="BE503" s="206"/>
      <c r="BF503" s="206"/>
      <c r="BG503" s="330"/>
      <c r="BH503" s="330"/>
      <c r="BI503" s="330"/>
      <c r="BJ503" s="330"/>
      <c r="BK503" s="330"/>
      <c r="BL503" s="330"/>
      <c r="BM503" s="330"/>
      <c r="BN503" s="330"/>
      <c r="BO503" s="330"/>
      <c r="BP503" s="330"/>
      <c r="BQ503" s="330"/>
      <c r="BR503" s="330"/>
      <c r="BS503" s="330"/>
      <c r="BT503" s="330"/>
      <c r="BU503" s="330"/>
      <c r="BV503" s="330"/>
      <c r="BW503" s="330"/>
      <c r="BX503" s="330"/>
      <c r="BY503" s="330"/>
      <c r="BZ503" s="330"/>
    </row>
    <row r="504" spans="1:78" x14ac:dyDescent="0.25">
      <c r="A504" s="331"/>
      <c r="B504" s="328"/>
      <c r="C504" s="328"/>
      <c r="D504" s="329"/>
      <c r="E504" s="330"/>
      <c r="F504" s="330"/>
      <c r="G504" s="330"/>
      <c r="H504" s="330"/>
      <c r="I504" s="330"/>
      <c r="J504" s="330"/>
      <c r="K504" s="330"/>
      <c r="L504" s="329"/>
      <c r="M504" s="329"/>
      <c r="N504" s="330"/>
      <c r="O504" s="330"/>
      <c r="P504" s="330"/>
      <c r="Q504" s="330"/>
      <c r="R504" s="330"/>
      <c r="S504" s="330"/>
      <c r="T504" s="330"/>
      <c r="U504" s="330"/>
      <c r="V504" s="330"/>
      <c r="W504" s="330"/>
      <c r="X504" s="329"/>
      <c r="Y504" s="330"/>
      <c r="Z504" s="330"/>
      <c r="AA504" s="330"/>
      <c r="AB504" s="330"/>
      <c r="AC504" s="330"/>
      <c r="AD504" s="330"/>
      <c r="AE504" s="330"/>
      <c r="AF504" s="330"/>
      <c r="AG504" s="330"/>
      <c r="AH504" s="330"/>
      <c r="AI504" s="330"/>
      <c r="AJ504" s="330"/>
      <c r="AK504" s="330"/>
      <c r="AL504" s="329"/>
      <c r="AM504" s="329"/>
      <c r="AN504" s="330"/>
      <c r="AO504" s="330"/>
      <c r="AP504" s="330"/>
      <c r="AQ504" s="330"/>
      <c r="AR504" s="231"/>
      <c r="AS504" s="333"/>
      <c r="AT504" s="206"/>
      <c r="AU504" s="328"/>
      <c r="AV504" s="206"/>
      <c r="AW504" s="206"/>
      <c r="AX504" s="206"/>
      <c r="AY504" s="206"/>
      <c r="AZ504" s="206"/>
      <c r="BA504" s="206"/>
      <c r="BB504" s="206"/>
      <c r="BC504" s="206"/>
      <c r="BD504" s="206"/>
      <c r="BE504" s="206"/>
      <c r="BF504" s="206"/>
      <c r="BG504" s="330"/>
      <c r="BH504" s="330"/>
      <c r="BI504" s="330"/>
      <c r="BJ504" s="330"/>
      <c r="BK504" s="330"/>
      <c r="BL504" s="330"/>
      <c r="BM504" s="330"/>
      <c r="BN504" s="330"/>
      <c r="BO504" s="330"/>
      <c r="BP504" s="330"/>
      <c r="BQ504" s="330"/>
      <c r="BR504" s="330"/>
      <c r="BS504" s="330"/>
      <c r="BT504" s="330"/>
      <c r="BU504" s="330"/>
      <c r="BV504" s="330"/>
      <c r="BW504" s="330"/>
      <c r="BX504" s="330"/>
      <c r="BY504" s="330"/>
      <c r="BZ504" s="330"/>
    </row>
    <row r="505" spans="1:78" x14ac:dyDescent="0.25">
      <c r="A505" s="331"/>
      <c r="B505" s="328"/>
      <c r="C505" s="328"/>
      <c r="D505" s="329"/>
      <c r="E505" s="330"/>
      <c r="F505" s="330"/>
      <c r="G505" s="330"/>
      <c r="H505" s="330"/>
      <c r="I505" s="330"/>
      <c r="J505" s="330"/>
      <c r="K505" s="330"/>
      <c r="L505" s="329"/>
      <c r="M505" s="329"/>
      <c r="N505" s="330"/>
      <c r="O505" s="330"/>
      <c r="P505" s="330"/>
      <c r="Q505" s="330"/>
      <c r="R505" s="330"/>
      <c r="S505" s="330"/>
      <c r="T505" s="330"/>
      <c r="U505" s="330"/>
      <c r="V505" s="330"/>
      <c r="W505" s="330"/>
      <c r="X505" s="329"/>
      <c r="Y505" s="330"/>
      <c r="Z505" s="330"/>
      <c r="AA505" s="330"/>
      <c r="AB505" s="330"/>
      <c r="AC505" s="330"/>
      <c r="AD505" s="330"/>
      <c r="AE505" s="330"/>
      <c r="AF505" s="330"/>
      <c r="AG505" s="330"/>
      <c r="AH505" s="330"/>
      <c r="AI505" s="330"/>
      <c r="AJ505" s="330"/>
      <c r="AK505" s="330"/>
      <c r="AL505" s="329"/>
      <c r="AM505" s="329"/>
      <c r="AN505" s="330"/>
      <c r="AO505" s="330"/>
      <c r="AP505" s="330"/>
      <c r="AQ505" s="330"/>
      <c r="AR505" s="231"/>
      <c r="AS505" s="333"/>
      <c r="AT505" s="206"/>
      <c r="AU505" s="328"/>
      <c r="AV505" s="206"/>
      <c r="AW505" s="206"/>
      <c r="AX505" s="206"/>
      <c r="AY505" s="206"/>
      <c r="AZ505" s="206"/>
      <c r="BA505" s="206"/>
      <c r="BB505" s="206"/>
      <c r="BC505" s="206"/>
      <c r="BD505" s="206"/>
      <c r="BE505" s="206"/>
      <c r="BF505" s="206"/>
      <c r="BG505" s="330"/>
      <c r="BH505" s="330"/>
      <c r="BI505" s="330"/>
      <c r="BJ505" s="330"/>
      <c r="BK505" s="330"/>
      <c r="BL505" s="330"/>
      <c r="BM505" s="330"/>
      <c r="BN505" s="330"/>
      <c r="BO505" s="330"/>
      <c r="BP505" s="330"/>
      <c r="BQ505" s="330"/>
      <c r="BR505" s="330"/>
      <c r="BS505" s="330"/>
      <c r="BT505" s="330"/>
      <c r="BU505" s="330"/>
      <c r="BV505" s="330"/>
      <c r="BW505" s="330"/>
      <c r="BX505" s="330"/>
      <c r="BY505" s="330"/>
      <c r="BZ505" s="330"/>
    </row>
    <row r="506" spans="1:78" x14ac:dyDescent="0.25">
      <c r="A506" s="331"/>
      <c r="B506" s="328"/>
      <c r="C506" s="328"/>
      <c r="D506" s="329"/>
      <c r="E506" s="330"/>
      <c r="F506" s="330"/>
      <c r="G506" s="330"/>
      <c r="H506" s="330"/>
      <c r="I506" s="330"/>
      <c r="J506" s="330"/>
      <c r="K506" s="330"/>
      <c r="L506" s="329"/>
      <c r="M506" s="329"/>
      <c r="N506" s="330"/>
      <c r="O506" s="330"/>
      <c r="P506" s="330"/>
      <c r="Q506" s="330"/>
      <c r="R506" s="330"/>
      <c r="S506" s="330"/>
      <c r="T506" s="330"/>
      <c r="U506" s="330"/>
      <c r="V506" s="330"/>
      <c r="W506" s="330"/>
      <c r="X506" s="329"/>
      <c r="Y506" s="330"/>
      <c r="Z506" s="330"/>
      <c r="AA506" s="330"/>
      <c r="AB506" s="330"/>
      <c r="AC506" s="330"/>
      <c r="AD506" s="330"/>
      <c r="AE506" s="330"/>
      <c r="AF506" s="330"/>
      <c r="AG506" s="330"/>
      <c r="AH506" s="330"/>
      <c r="AI506" s="330"/>
      <c r="AJ506" s="330"/>
      <c r="AK506" s="330"/>
      <c r="AL506" s="329"/>
      <c r="AM506" s="329"/>
      <c r="AN506" s="330"/>
      <c r="AO506" s="330"/>
      <c r="AP506" s="330"/>
      <c r="AQ506" s="330"/>
      <c r="AR506" s="231"/>
      <c r="AS506" s="333"/>
      <c r="AT506" s="206"/>
      <c r="AU506" s="328"/>
      <c r="AV506" s="206"/>
      <c r="AW506" s="206"/>
      <c r="AX506" s="206"/>
      <c r="AY506" s="206"/>
      <c r="AZ506" s="206"/>
      <c r="BA506" s="206"/>
      <c r="BB506" s="206"/>
      <c r="BC506" s="206"/>
      <c r="BD506" s="206"/>
      <c r="BE506" s="206"/>
      <c r="BF506" s="206"/>
      <c r="BG506" s="330"/>
      <c r="BH506" s="330"/>
      <c r="BI506" s="330"/>
      <c r="BJ506" s="330"/>
      <c r="BK506" s="330"/>
      <c r="BL506" s="330"/>
      <c r="BM506" s="330"/>
      <c r="BN506" s="330"/>
      <c r="BO506" s="330"/>
      <c r="BP506" s="330"/>
      <c r="BQ506" s="330"/>
      <c r="BR506" s="330"/>
      <c r="BS506" s="330"/>
      <c r="BT506" s="330"/>
      <c r="BU506" s="330"/>
      <c r="BV506" s="330"/>
      <c r="BW506" s="330"/>
      <c r="BX506" s="330"/>
      <c r="BY506" s="330"/>
      <c r="BZ506" s="330"/>
    </row>
    <row r="507" spans="1:78" x14ac:dyDescent="0.25">
      <c r="A507" s="331"/>
      <c r="B507" s="328"/>
      <c r="C507" s="328"/>
      <c r="D507" s="329"/>
      <c r="E507" s="330"/>
      <c r="F507" s="330"/>
      <c r="G507" s="330"/>
      <c r="H507" s="330"/>
      <c r="I507" s="330"/>
      <c r="J507" s="330"/>
      <c r="K507" s="330"/>
      <c r="L507" s="329"/>
      <c r="M507" s="329"/>
      <c r="N507" s="330"/>
      <c r="O507" s="330"/>
      <c r="P507" s="330"/>
      <c r="Q507" s="330"/>
      <c r="R507" s="330"/>
      <c r="S507" s="330"/>
      <c r="T507" s="330"/>
      <c r="U507" s="330"/>
      <c r="V507" s="330"/>
      <c r="W507" s="330"/>
      <c r="X507" s="329"/>
      <c r="Y507" s="330"/>
      <c r="Z507" s="330"/>
      <c r="AA507" s="330"/>
      <c r="AB507" s="330"/>
      <c r="AC507" s="330"/>
      <c r="AD507" s="330"/>
      <c r="AE507" s="330"/>
      <c r="AF507" s="330"/>
      <c r="AG507" s="330"/>
      <c r="AH507" s="330"/>
      <c r="AI507" s="330"/>
      <c r="AJ507" s="330"/>
      <c r="AK507" s="330"/>
      <c r="AL507" s="329"/>
      <c r="AM507" s="329"/>
      <c r="AN507" s="330"/>
      <c r="AO507" s="330"/>
      <c r="AP507" s="330"/>
      <c r="AQ507" s="330"/>
      <c r="AR507" s="231"/>
      <c r="AS507" s="333"/>
      <c r="AT507" s="206"/>
      <c r="AU507" s="328"/>
      <c r="AV507" s="206"/>
      <c r="AW507" s="206"/>
      <c r="AX507" s="206"/>
      <c r="AY507" s="206"/>
      <c r="AZ507" s="206"/>
      <c r="BA507" s="206"/>
      <c r="BB507" s="206"/>
      <c r="BC507" s="206"/>
      <c r="BD507" s="206"/>
      <c r="BE507" s="206"/>
      <c r="BF507" s="206"/>
      <c r="BG507" s="330"/>
      <c r="BH507" s="330"/>
      <c r="BI507" s="330"/>
      <c r="BJ507" s="330"/>
      <c r="BK507" s="330"/>
      <c r="BL507" s="330"/>
      <c r="BM507" s="330"/>
      <c r="BN507" s="330"/>
      <c r="BO507" s="330"/>
      <c r="BP507" s="330"/>
      <c r="BQ507" s="330"/>
      <c r="BR507" s="330"/>
      <c r="BS507" s="330"/>
      <c r="BT507" s="330"/>
      <c r="BU507" s="330"/>
      <c r="BV507" s="330"/>
      <c r="BW507" s="330"/>
      <c r="BX507" s="330"/>
      <c r="BY507" s="330"/>
      <c r="BZ507" s="330"/>
    </row>
    <row r="508" spans="1:78" x14ac:dyDescent="0.25">
      <c r="A508" s="331"/>
      <c r="B508" s="328"/>
      <c r="C508" s="328"/>
      <c r="D508" s="329"/>
      <c r="E508" s="330"/>
      <c r="F508" s="330"/>
      <c r="G508" s="330"/>
      <c r="H508" s="330"/>
      <c r="I508" s="330"/>
      <c r="J508" s="330"/>
      <c r="K508" s="330"/>
      <c r="L508" s="329"/>
      <c r="M508" s="329"/>
      <c r="N508" s="330"/>
      <c r="O508" s="330"/>
      <c r="P508" s="330"/>
      <c r="Q508" s="330"/>
      <c r="R508" s="330"/>
      <c r="S508" s="330"/>
      <c r="T508" s="330"/>
      <c r="U508" s="330"/>
      <c r="V508" s="330"/>
      <c r="W508" s="330"/>
      <c r="X508" s="329"/>
      <c r="Y508" s="330"/>
      <c r="Z508" s="330"/>
      <c r="AA508" s="330"/>
      <c r="AB508" s="330"/>
      <c r="AC508" s="330"/>
      <c r="AD508" s="330"/>
      <c r="AE508" s="330"/>
      <c r="AF508" s="330"/>
      <c r="AG508" s="330"/>
      <c r="AH508" s="330"/>
      <c r="AI508" s="330"/>
      <c r="AJ508" s="330"/>
      <c r="AK508" s="330"/>
      <c r="AL508" s="329"/>
      <c r="AM508" s="329"/>
      <c r="AN508" s="330"/>
      <c r="AO508" s="330"/>
      <c r="AP508" s="330"/>
      <c r="AQ508" s="330"/>
      <c r="AR508" s="231"/>
      <c r="AS508" s="333"/>
      <c r="AT508" s="206"/>
      <c r="AU508" s="328"/>
      <c r="AV508" s="206"/>
      <c r="AW508" s="206"/>
      <c r="AX508" s="206"/>
      <c r="AY508" s="206"/>
      <c r="AZ508" s="206"/>
      <c r="BA508" s="206"/>
      <c r="BB508" s="206"/>
      <c r="BC508" s="206"/>
      <c r="BD508" s="206"/>
      <c r="BE508" s="206"/>
      <c r="BF508" s="206"/>
      <c r="BG508" s="330"/>
      <c r="BH508" s="330"/>
      <c r="BI508" s="330"/>
      <c r="BJ508" s="330"/>
      <c r="BK508" s="330"/>
      <c r="BL508" s="330"/>
      <c r="BM508" s="330"/>
      <c r="BN508" s="330"/>
      <c r="BO508" s="330"/>
      <c r="BP508" s="330"/>
      <c r="BQ508" s="330"/>
      <c r="BR508" s="330"/>
      <c r="BS508" s="330"/>
      <c r="BT508" s="330"/>
      <c r="BU508" s="330"/>
      <c r="BV508" s="330"/>
      <c r="BW508" s="330"/>
      <c r="BX508" s="330"/>
      <c r="BY508" s="330"/>
      <c r="BZ508" s="330"/>
    </row>
    <row r="509" spans="1:78" x14ac:dyDescent="0.25">
      <c r="A509" s="331"/>
      <c r="B509" s="328"/>
      <c r="C509" s="328"/>
      <c r="D509" s="329"/>
      <c r="E509" s="330"/>
      <c r="F509" s="330"/>
      <c r="G509" s="330"/>
      <c r="H509" s="330"/>
      <c r="I509" s="330"/>
      <c r="J509" s="330"/>
      <c r="K509" s="330"/>
      <c r="L509" s="329"/>
      <c r="M509" s="329"/>
      <c r="N509" s="330"/>
      <c r="O509" s="330"/>
      <c r="P509" s="330"/>
      <c r="Q509" s="330"/>
      <c r="R509" s="330"/>
      <c r="S509" s="330"/>
      <c r="T509" s="330"/>
      <c r="U509" s="330"/>
      <c r="V509" s="330"/>
      <c r="W509" s="330"/>
      <c r="X509" s="329"/>
      <c r="Y509" s="330"/>
      <c r="Z509" s="330"/>
      <c r="AA509" s="330"/>
      <c r="AB509" s="330"/>
      <c r="AC509" s="330"/>
      <c r="AD509" s="330"/>
      <c r="AE509" s="330"/>
      <c r="AF509" s="330"/>
      <c r="AG509" s="330"/>
      <c r="AH509" s="330"/>
      <c r="AI509" s="330"/>
      <c r="AJ509" s="330"/>
      <c r="AK509" s="330"/>
      <c r="AL509" s="329"/>
      <c r="AM509" s="329"/>
      <c r="AN509" s="330"/>
      <c r="AO509" s="330"/>
      <c r="AP509" s="330"/>
      <c r="AQ509" s="330"/>
      <c r="AR509" s="231"/>
      <c r="AS509" s="333"/>
      <c r="AT509" s="206"/>
      <c r="AU509" s="328"/>
      <c r="AV509" s="206"/>
      <c r="AW509" s="206"/>
      <c r="AX509" s="206"/>
      <c r="AY509" s="206"/>
      <c r="AZ509" s="206"/>
      <c r="BA509" s="206"/>
      <c r="BB509" s="206"/>
      <c r="BC509" s="206"/>
      <c r="BD509" s="206"/>
      <c r="BE509" s="206"/>
      <c r="BF509" s="206"/>
      <c r="BG509" s="330"/>
      <c r="BH509" s="330"/>
      <c r="BI509" s="330"/>
      <c r="BJ509" s="330"/>
      <c r="BK509" s="330"/>
      <c r="BL509" s="330"/>
      <c r="BM509" s="330"/>
      <c r="BN509" s="330"/>
      <c r="BO509" s="330"/>
      <c r="BP509" s="330"/>
      <c r="BQ509" s="330"/>
      <c r="BR509" s="330"/>
      <c r="BS509" s="330"/>
      <c r="BT509" s="330"/>
      <c r="BU509" s="330"/>
      <c r="BV509" s="330"/>
      <c r="BW509" s="330"/>
      <c r="BX509" s="330"/>
      <c r="BY509" s="330"/>
      <c r="BZ509" s="330"/>
    </row>
    <row r="510" spans="1:78" x14ac:dyDescent="0.25">
      <c r="A510" s="331"/>
      <c r="B510" s="328"/>
      <c r="C510" s="328"/>
      <c r="D510" s="329"/>
      <c r="E510" s="330"/>
      <c r="F510" s="330"/>
      <c r="G510" s="330"/>
      <c r="H510" s="330"/>
      <c r="I510" s="330"/>
      <c r="J510" s="330"/>
      <c r="K510" s="330"/>
      <c r="L510" s="329"/>
      <c r="M510" s="329"/>
      <c r="N510" s="330"/>
      <c r="O510" s="330"/>
      <c r="P510" s="330"/>
      <c r="Q510" s="330"/>
      <c r="R510" s="330"/>
      <c r="S510" s="330"/>
      <c r="T510" s="330"/>
      <c r="U510" s="330"/>
      <c r="V510" s="330"/>
      <c r="W510" s="330"/>
      <c r="X510" s="329"/>
      <c r="Y510" s="330"/>
      <c r="Z510" s="330"/>
      <c r="AA510" s="330"/>
      <c r="AB510" s="330"/>
      <c r="AC510" s="330"/>
      <c r="AD510" s="330"/>
      <c r="AE510" s="330"/>
      <c r="AF510" s="330"/>
      <c r="AG510" s="330"/>
      <c r="AH510" s="330"/>
      <c r="AI510" s="330"/>
      <c r="AJ510" s="330"/>
      <c r="AK510" s="330"/>
      <c r="AL510" s="329"/>
      <c r="AM510" s="329"/>
      <c r="AN510" s="330"/>
      <c r="AO510" s="330"/>
      <c r="AP510" s="330"/>
      <c r="AQ510" s="330"/>
      <c r="AR510" s="231"/>
      <c r="AS510" s="333"/>
      <c r="AT510" s="206"/>
      <c r="AU510" s="328"/>
      <c r="AV510" s="206"/>
      <c r="AW510" s="206"/>
      <c r="AX510" s="206"/>
      <c r="AY510" s="206"/>
      <c r="AZ510" s="206"/>
      <c r="BA510" s="206"/>
      <c r="BB510" s="206"/>
      <c r="BC510" s="206"/>
      <c r="BD510" s="206"/>
      <c r="BE510" s="206"/>
      <c r="BF510" s="206"/>
      <c r="BG510" s="330"/>
      <c r="BH510" s="330"/>
      <c r="BI510" s="330"/>
      <c r="BJ510" s="330"/>
      <c r="BK510" s="330"/>
      <c r="BL510" s="330"/>
      <c r="BM510" s="330"/>
      <c r="BN510" s="330"/>
      <c r="BO510" s="330"/>
      <c r="BP510" s="330"/>
      <c r="BQ510" s="330"/>
      <c r="BR510" s="330"/>
      <c r="BS510" s="330"/>
      <c r="BT510" s="330"/>
      <c r="BU510" s="330"/>
      <c r="BV510" s="330"/>
      <c r="BW510" s="330"/>
      <c r="BX510" s="330"/>
      <c r="BY510" s="330"/>
      <c r="BZ510" s="330"/>
    </row>
    <row r="511" spans="1:78" x14ac:dyDescent="0.25">
      <c r="A511" s="331"/>
      <c r="B511" s="328"/>
      <c r="C511" s="328"/>
      <c r="D511" s="329"/>
      <c r="E511" s="330"/>
      <c r="F511" s="330"/>
      <c r="G511" s="330"/>
      <c r="H511" s="330"/>
      <c r="I511" s="330"/>
      <c r="J511" s="330"/>
      <c r="K511" s="330"/>
      <c r="L511" s="329"/>
      <c r="M511" s="329"/>
      <c r="N511" s="330"/>
      <c r="O511" s="330"/>
      <c r="P511" s="330"/>
      <c r="Q511" s="330"/>
      <c r="R511" s="330"/>
      <c r="S511" s="330"/>
      <c r="T511" s="330"/>
      <c r="U511" s="330"/>
      <c r="V511" s="330"/>
      <c r="W511" s="330"/>
      <c r="X511" s="329"/>
      <c r="Y511" s="330"/>
      <c r="Z511" s="330"/>
      <c r="AA511" s="330"/>
      <c r="AB511" s="330"/>
      <c r="AC511" s="330"/>
      <c r="AD511" s="330"/>
      <c r="AE511" s="330"/>
      <c r="AF511" s="330"/>
      <c r="AG511" s="330"/>
      <c r="AH511" s="330"/>
      <c r="AI511" s="330"/>
      <c r="AJ511" s="330"/>
      <c r="AK511" s="330"/>
      <c r="AL511" s="329"/>
      <c r="AM511" s="329"/>
      <c r="AN511" s="330"/>
      <c r="AO511" s="330"/>
      <c r="AP511" s="330"/>
      <c r="AQ511" s="330"/>
      <c r="AR511" s="231"/>
      <c r="AS511" s="333"/>
      <c r="AT511" s="206"/>
      <c r="AU511" s="328"/>
      <c r="AV511" s="206"/>
      <c r="AW511" s="206"/>
      <c r="AX511" s="206"/>
      <c r="AY511" s="206"/>
      <c r="AZ511" s="206"/>
      <c r="BA511" s="206"/>
      <c r="BB511" s="206"/>
      <c r="BC511" s="206"/>
      <c r="BD511" s="206"/>
      <c r="BE511" s="206"/>
      <c r="BF511" s="206"/>
      <c r="BG511" s="330"/>
      <c r="BH511" s="330"/>
      <c r="BI511" s="330"/>
      <c r="BJ511" s="330"/>
      <c r="BK511" s="330"/>
      <c r="BL511" s="330"/>
      <c r="BM511" s="330"/>
      <c r="BN511" s="330"/>
      <c r="BO511" s="330"/>
      <c r="BP511" s="330"/>
      <c r="BQ511" s="330"/>
      <c r="BR511" s="330"/>
      <c r="BS511" s="330"/>
      <c r="BT511" s="330"/>
      <c r="BU511" s="330"/>
      <c r="BV511" s="330"/>
      <c r="BW511" s="330"/>
      <c r="BX511" s="330"/>
      <c r="BY511" s="330"/>
      <c r="BZ511" s="330"/>
    </row>
    <row r="512" spans="1:78" x14ac:dyDescent="0.25">
      <c r="A512" s="331"/>
      <c r="B512" s="328"/>
      <c r="C512" s="328"/>
      <c r="D512" s="329"/>
      <c r="E512" s="330"/>
      <c r="F512" s="330"/>
      <c r="G512" s="330"/>
      <c r="H512" s="330"/>
      <c r="I512" s="330"/>
      <c r="J512" s="330"/>
      <c r="K512" s="330"/>
      <c r="L512" s="329"/>
      <c r="M512" s="329"/>
      <c r="N512" s="330"/>
      <c r="O512" s="330"/>
      <c r="P512" s="330"/>
      <c r="Q512" s="330"/>
      <c r="R512" s="330"/>
      <c r="S512" s="330"/>
      <c r="T512" s="330"/>
      <c r="U512" s="330"/>
      <c r="V512" s="330"/>
      <c r="W512" s="330"/>
      <c r="X512" s="329"/>
      <c r="Y512" s="330"/>
      <c r="Z512" s="330"/>
      <c r="AA512" s="330"/>
      <c r="AB512" s="330"/>
      <c r="AC512" s="330"/>
      <c r="AD512" s="330"/>
      <c r="AE512" s="330"/>
      <c r="AF512" s="330"/>
      <c r="AG512" s="330"/>
      <c r="AH512" s="330"/>
      <c r="AI512" s="330"/>
      <c r="AJ512" s="330"/>
      <c r="AK512" s="330"/>
      <c r="AL512" s="329"/>
      <c r="AM512" s="329"/>
      <c r="AN512" s="330"/>
      <c r="AO512" s="330"/>
      <c r="AP512" s="330"/>
      <c r="AQ512" s="330"/>
      <c r="AR512" s="231"/>
      <c r="AS512" s="333"/>
      <c r="AT512" s="206"/>
      <c r="AU512" s="328"/>
      <c r="AV512" s="206"/>
      <c r="AW512" s="206"/>
      <c r="AX512" s="206"/>
      <c r="AY512" s="206"/>
      <c r="AZ512" s="206"/>
      <c r="BA512" s="206"/>
      <c r="BB512" s="206"/>
      <c r="BC512" s="206"/>
      <c r="BD512" s="206"/>
      <c r="BE512" s="206"/>
      <c r="BF512" s="206"/>
      <c r="BG512" s="330"/>
      <c r="BH512" s="330"/>
      <c r="BI512" s="330"/>
      <c r="BJ512" s="330"/>
      <c r="BK512" s="330"/>
      <c r="BL512" s="330"/>
      <c r="BM512" s="330"/>
      <c r="BN512" s="330"/>
      <c r="BO512" s="330"/>
      <c r="BP512" s="330"/>
      <c r="BQ512" s="330"/>
      <c r="BR512" s="330"/>
      <c r="BS512" s="330"/>
      <c r="BT512" s="330"/>
      <c r="BU512" s="330"/>
      <c r="BV512" s="330"/>
      <c r="BW512" s="330"/>
      <c r="BX512" s="330"/>
      <c r="BY512" s="330"/>
      <c r="BZ512" s="330"/>
    </row>
    <row r="513" spans="1:78" x14ac:dyDescent="0.25">
      <c r="A513" s="331"/>
      <c r="B513" s="328"/>
      <c r="C513" s="328"/>
      <c r="D513" s="329"/>
      <c r="E513" s="330"/>
      <c r="F513" s="330"/>
      <c r="G513" s="330"/>
      <c r="H513" s="330"/>
      <c r="I513" s="330"/>
      <c r="J513" s="330"/>
      <c r="K513" s="330"/>
      <c r="L513" s="329"/>
      <c r="M513" s="329"/>
      <c r="N513" s="330"/>
      <c r="O513" s="330"/>
      <c r="P513" s="330"/>
      <c r="Q513" s="330"/>
      <c r="R513" s="330"/>
      <c r="S513" s="330"/>
      <c r="T513" s="330"/>
      <c r="U513" s="330"/>
      <c r="V513" s="330"/>
      <c r="W513" s="330"/>
      <c r="X513" s="329"/>
      <c r="Y513" s="330"/>
      <c r="Z513" s="330"/>
      <c r="AA513" s="330"/>
      <c r="AB513" s="330"/>
      <c r="AC513" s="330"/>
      <c r="AD513" s="330"/>
      <c r="AE513" s="330"/>
      <c r="AF513" s="330"/>
      <c r="AG513" s="330"/>
      <c r="AH513" s="330"/>
      <c r="AI513" s="330"/>
      <c r="AJ513" s="330"/>
      <c r="AK513" s="330"/>
      <c r="AL513" s="329"/>
      <c r="AM513" s="329"/>
      <c r="AN513" s="330"/>
      <c r="AO513" s="330"/>
      <c r="AP513" s="330"/>
      <c r="AQ513" s="330"/>
      <c r="AR513" s="231"/>
      <c r="AS513" s="333"/>
      <c r="AT513" s="206"/>
      <c r="AU513" s="328"/>
      <c r="AV513" s="206"/>
      <c r="AW513" s="206"/>
      <c r="AX513" s="206"/>
      <c r="AY513" s="206"/>
      <c r="AZ513" s="206"/>
      <c r="BA513" s="206"/>
      <c r="BB513" s="206"/>
      <c r="BC513" s="206"/>
      <c r="BD513" s="206"/>
      <c r="BE513" s="206"/>
      <c r="BF513" s="206"/>
      <c r="BG513" s="330"/>
      <c r="BH513" s="330"/>
      <c r="BI513" s="330"/>
      <c r="BJ513" s="330"/>
      <c r="BK513" s="330"/>
      <c r="BL513" s="330"/>
      <c r="BM513" s="330"/>
      <c r="BN513" s="330"/>
      <c r="BO513" s="330"/>
      <c r="BP513" s="330"/>
      <c r="BQ513" s="330"/>
      <c r="BR513" s="330"/>
      <c r="BS513" s="330"/>
      <c r="BT513" s="330"/>
      <c r="BU513" s="330"/>
      <c r="BV513" s="330"/>
      <c r="BW513" s="330"/>
      <c r="BX513" s="330"/>
      <c r="BY513" s="330"/>
      <c r="BZ513" s="330"/>
    </row>
    <row r="514" spans="1:78" x14ac:dyDescent="0.25">
      <c r="A514" s="331"/>
      <c r="B514" s="328"/>
      <c r="C514" s="328"/>
      <c r="D514" s="329"/>
      <c r="E514" s="330"/>
      <c r="F514" s="330"/>
      <c r="G514" s="330"/>
      <c r="H514" s="330"/>
      <c r="I514" s="330"/>
      <c r="J514" s="330"/>
      <c r="K514" s="330"/>
      <c r="L514" s="329"/>
      <c r="M514" s="329"/>
      <c r="N514" s="330"/>
      <c r="O514" s="330"/>
      <c r="P514" s="330"/>
      <c r="Q514" s="330"/>
      <c r="R514" s="330"/>
      <c r="S514" s="330"/>
      <c r="T514" s="330"/>
      <c r="U514" s="330"/>
      <c r="V514" s="330"/>
      <c r="W514" s="330"/>
      <c r="X514" s="329"/>
      <c r="Y514" s="330"/>
      <c r="Z514" s="330"/>
      <c r="AA514" s="330"/>
      <c r="AB514" s="330"/>
      <c r="AC514" s="330"/>
      <c r="AD514" s="330"/>
      <c r="AE514" s="330"/>
      <c r="AF514" s="330"/>
      <c r="AG514" s="330"/>
      <c r="AH514" s="330"/>
      <c r="AI514" s="330"/>
      <c r="AJ514" s="330"/>
      <c r="AK514" s="330"/>
      <c r="AL514" s="329"/>
      <c r="AM514" s="329"/>
      <c r="AN514" s="330"/>
      <c r="AO514" s="330"/>
      <c r="AP514" s="330"/>
      <c r="AQ514" s="330"/>
      <c r="AR514" s="231"/>
      <c r="AS514" s="333"/>
      <c r="AT514" s="206"/>
      <c r="AU514" s="328"/>
      <c r="AV514" s="206"/>
      <c r="AW514" s="206"/>
      <c r="AX514" s="206"/>
      <c r="AY514" s="206"/>
      <c r="AZ514" s="206"/>
      <c r="BA514" s="206"/>
      <c r="BB514" s="206"/>
      <c r="BC514" s="206"/>
      <c r="BD514" s="206"/>
      <c r="BE514" s="206"/>
      <c r="BF514" s="206"/>
      <c r="BG514" s="330"/>
      <c r="BH514" s="330"/>
      <c r="BI514" s="330"/>
      <c r="BJ514" s="330"/>
      <c r="BK514" s="330"/>
      <c r="BL514" s="330"/>
      <c r="BM514" s="330"/>
      <c r="BN514" s="330"/>
      <c r="BO514" s="330"/>
      <c r="BP514" s="330"/>
      <c r="BQ514" s="330"/>
      <c r="BR514" s="330"/>
      <c r="BS514" s="330"/>
      <c r="BT514" s="330"/>
      <c r="BU514" s="330"/>
      <c r="BV514" s="330"/>
      <c r="BW514" s="330"/>
      <c r="BX514" s="330"/>
      <c r="BY514" s="330"/>
      <c r="BZ514" s="330"/>
    </row>
    <row r="515" spans="1:78" x14ac:dyDescent="0.25">
      <c r="A515" s="331"/>
      <c r="B515" s="328"/>
      <c r="C515" s="328"/>
      <c r="D515" s="329"/>
      <c r="E515" s="330"/>
      <c r="F515" s="330"/>
      <c r="G515" s="330"/>
      <c r="H515" s="330"/>
      <c r="I515" s="330"/>
      <c r="J515" s="330"/>
      <c r="K515" s="330"/>
      <c r="L515" s="329"/>
      <c r="M515" s="329"/>
      <c r="N515" s="330"/>
      <c r="O515" s="330"/>
      <c r="P515" s="330"/>
      <c r="Q515" s="330"/>
      <c r="R515" s="330"/>
      <c r="S515" s="330"/>
      <c r="T515" s="330"/>
      <c r="U515" s="330"/>
      <c r="V515" s="330"/>
      <c r="W515" s="330"/>
      <c r="X515" s="329"/>
      <c r="Y515" s="330"/>
      <c r="Z515" s="330"/>
      <c r="AA515" s="330"/>
      <c r="AB515" s="330"/>
      <c r="AC515" s="330"/>
      <c r="AD515" s="330"/>
      <c r="AE515" s="330"/>
      <c r="AF515" s="330"/>
      <c r="AG515" s="330"/>
      <c r="AH515" s="330"/>
      <c r="AI515" s="330"/>
      <c r="AJ515" s="330"/>
      <c r="AK515" s="330"/>
      <c r="AL515" s="329"/>
      <c r="AM515" s="329"/>
      <c r="AN515" s="330"/>
      <c r="AO515" s="330"/>
      <c r="AP515" s="330"/>
      <c r="AQ515" s="330"/>
      <c r="AR515" s="231"/>
      <c r="AS515" s="333"/>
      <c r="AT515" s="206"/>
      <c r="AU515" s="328"/>
      <c r="AV515" s="206"/>
      <c r="AW515" s="206"/>
      <c r="AX515" s="206"/>
      <c r="AY515" s="206"/>
      <c r="AZ515" s="206"/>
      <c r="BA515" s="206"/>
      <c r="BB515" s="206"/>
      <c r="BC515" s="206"/>
      <c r="BD515" s="206"/>
      <c r="BE515" s="206"/>
      <c r="BF515" s="206"/>
      <c r="BG515" s="330"/>
      <c r="BH515" s="330"/>
      <c r="BI515" s="330"/>
      <c r="BJ515" s="330"/>
      <c r="BK515" s="330"/>
      <c r="BL515" s="330"/>
      <c r="BM515" s="330"/>
      <c r="BN515" s="330"/>
      <c r="BO515" s="330"/>
      <c r="BP515" s="330"/>
      <c r="BQ515" s="330"/>
      <c r="BR515" s="330"/>
      <c r="BS515" s="330"/>
      <c r="BT515" s="330"/>
      <c r="BU515" s="330"/>
      <c r="BV515" s="330"/>
      <c r="BW515" s="330"/>
      <c r="BX515" s="330"/>
      <c r="BY515" s="330"/>
      <c r="BZ515" s="330"/>
    </row>
    <row r="516" spans="1:78" x14ac:dyDescent="0.25">
      <c r="A516" s="331"/>
      <c r="B516" s="328"/>
      <c r="C516" s="328"/>
      <c r="D516" s="329"/>
      <c r="E516" s="330"/>
      <c r="F516" s="330"/>
      <c r="G516" s="330"/>
      <c r="H516" s="330"/>
      <c r="I516" s="330"/>
      <c r="J516" s="330"/>
      <c r="K516" s="330"/>
      <c r="L516" s="329"/>
      <c r="M516" s="329"/>
      <c r="N516" s="330"/>
      <c r="O516" s="330"/>
      <c r="P516" s="330"/>
      <c r="Q516" s="330"/>
      <c r="R516" s="330"/>
      <c r="S516" s="330"/>
      <c r="T516" s="330"/>
      <c r="U516" s="330"/>
      <c r="V516" s="330"/>
      <c r="W516" s="330"/>
      <c r="X516" s="329"/>
      <c r="Y516" s="330"/>
      <c r="Z516" s="330"/>
      <c r="AA516" s="330"/>
      <c r="AB516" s="330"/>
      <c r="AC516" s="330"/>
      <c r="AD516" s="330"/>
      <c r="AE516" s="330"/>
      <c r="AF516" s="330"/>
      <c r="AG516" s="330"/>
      <c r="AH516" s="330"/>
      <c r="AI516" s="330"/>
      <c r="AJ516" s="330"/>
      <c r="AK516" s="330"/>
      <c r="AL516" s="329"/>
      <c r="AM516" s="329"/>
      <c r="AN516" s="330"/>
      <c r="AO516" s="330"/>
      <c r="AP516" s="330"/>
      <c r="AQ516" s="330"/>
      <c r="AR516" s="231"/>
      <c r="AS516" s="333"/>
      <c r="AT516" s="206"/>
      <c r="AU516" s="328"/>
      <c r="AV516" s="206"/>
      <c r="AW516" s="206"/>
      <c r="AX516" s="206"/>
      <c r="AY516" s="206"/>
      <c r="AZ516" s="206"/>
      <c r="BA516" s="206"/>
      <c r="BB516" s="206"/>
      <c r="BC516" s="206"/>
      <c r="BD516" s="206"/>
      <c r="BE516" s="206"/>
      <c r="BF516" s="206"/>
      <c r="BG516" s="330"/>
      <c r="BH516" s="330"/>
      <c r="BI516" s="330"/>
      <c r="BJ516" s="330"/>
      <c r="BK516" s="330"/>
      <c r="BL516" s="330"/>
      <c r="BM516" s="330"/>
      <c r="BN516" s="330"/>
      <c r="BO516" s="330"/>
      <c r="BP516" s="330"/>
      <c r="BQ516" s="330"/>
      <c r="BR516" s="330"/>
      <c r="BS516" s="330"/>
      <c r="BT516" s="330"/>
      <c r="BU516" s="330"/>
      <c r="BV516" s="330"/>
      <c r="BW516" s="330"/>
      <c r="BX516" s="330"/>
      <c r="BY516" s="330"/>
      <c r="BZ516" s="330"/>
    </row>
    <row r="517" spans="1:78" x14ac:dyDescent="0.25">
      <c r="A517" s="331"/>
      <c r="B517" s="328"/>
      <c r="C517" s="328"/>
      <c r="D517" s="329"/>
      <c r="E517" s="330"/>
      <c r="F517" s="330"/>
      <c r="G517" s="330"/>
      <c r="H517" s="330"/>
      <c r="I517" s="330"/>
      <c r="J517" s="330"/>
      <c r="K517" s="330"/>
      <c r="L517" s="329"/>
      <c r="M517" s="329"/>
      <c r="N517" s="330"/>
      <c r="O517" s="330"/>
      <c r="P517" s="330"/>
      <c r="Q517" s="330"/>
      <c r="R517" s="330"/>
      <c r="S517" s="330"/>
      <c r="T517" s="330"/>
      <c r="U517" s="330"/>
      <c r="V517" s="330"/>
      <c r="W517" s="330"/>
      <c r="X517" s="329"/>
      <c r="Y517" s="330"/>
      <c r="Z517" s="330"/>
      <c r="AA517" s="330"/>
      <c r="AB517" s="330"/>
      <c r="AC517" s="330"/>
      <c r="AD517" s="330"/>
      <c r="AE517" s="330"/>
      <c r="AF517" s="330"/>
      <c r="AG517" s="330"/>
      <c r="AH517" s="330"/>
      <c r="AI517" s="330"/>
      <c r="AJ517" s="330"/>
      <c r="AK517" s="330"/>
      <c r="AL517" s="329"/>
      <c r="AM517" s="329"/>
      <c r="AN517" s="330"/>
      <c r="AO517" s="330"/>
      <c r="AP517" s="330"/>
      <c r="AQ517" s="330"/>
      <c r="AR517" s="231"/>
      <c r="AS517" s="333"/>
      <c r="AT517" s="206"/>
      <c r="AU517" s="328"/>
      <c r="AV517" s="206"/>
      <c r="AW517" s="206"/>
      <c r="AX517" s="206"/>
      <c r="AY517" s="206"/>
      <c r="AZ517" s="206"/>
      <c r="BA517" s="206"/>
      <c r="BB517" s="206"/>
      <c r="BC517" s="206"/>
      <c r="BD517" s="206"/>
      <c r="BE517" s="206"/>
      <c r="BF517" s="206"/>
      <c r="BG517" s="330"/>
      <c r="BH517" s="330"/>
      <c r="BI517" s="330"/>
      <c r="BJ517" s="330"/>
      <c r="BK517" s="330"/>
      <c r="BL517" s="330"/>
      <c r="BM517" s="330"/>
      <c r="BN517" s="330"/>
      <c r="BO517" s="330"/>
      <c r="BP517" s="330"/>
      <c r="BQ517" s="330"/>
      <c r="BR517" s="330"/>
      <c r="BS517" s="330"/>
      <c r="BT517" s="330"/>
      <c r="BU517" s="330"/>
      <c r="BV517" s="330"/>
      <c r="BW517" s="330"/>
      <c r="BX517" s="330"/>
      <c r="BY517" s="330"/>
      <c r="BZ517" s="330"/>
    </row>
    <row r="518" spans="1:78" x14ac:dyDescent="0.25">
      <c r="A518" s="331"/>
      <c r="B518" s="328"/>
      <c r="C518" s="328"/>
      <c r="D518" s="329"/>
      <c r="E518" s="330"/>
      <c r="F518" s="330"/>
      <c r="G518" s="330"/>
      <c r="H518" s="330"/>
      <c r="I518" s="330"/>
      <c r="J518" s="330"/>
      <c r="K518" s="330"/>
      <c r="L518" s="329"/>
      <c r="M518" s="329"/>
      <c r="N518" s="330"/>
      <c r="O518" s="330"/>
      <c r="P518" s="330"/>
      <c r="Q518" s="330"/>
      <c r="R518" s="330"/>
      <c r="S518" s="330"/>
      <c r="T518" s="330"/>
      <c r="U518" s="330"/>
      <c r="V518" s="330"/>
      <c r="W518" s="330"/>
      <c r="X518" s="329"/>
      <c r="Y518" s="330"/>
      <c r="Z518" s="330"/>
      <c r="AA518" s="330"/>
      <c r="AB518" s="330"/>
      <c r="AC518" s="330"/>
      <c r="AD518" s="330"/>
      <c r="AE518" s="330"/>
      <c r="AF518" s="330"/>
      <c r="AG518" s="330"/>
      <c r="AH518" s="330"/>
      <c r="AI518" s="330"/>
      <c r="AJ518" s="330"/>
      <c r="AK518" s="330"/>
      <c r="AL518" s="329"/>
      <c r="AM518" s="329"/>
      <c r="AN518" s="330"/>
      <c r="AO518" s="330"/>
      <c r="AP518" s="330"/>
      <c r="AQ518" s="330"/>
      <c r="AR518" s="231"/>
      <c r="AS518" s="333"/>
      <c r="AT518" s="206"/>
      <c r="AU518" s="328"/>
      <c r="AV518" s="206"/>
      <c r="AW518" s="206"/>
      <c r="AX518" s="206"/>
      <c r="AY518" s="206"/>
      <c r="AZ518" s="206"/>
      <c r="BA518" s="206"/>
      <c r="BB518" s="206"/>
      <c r="BC518" s="206"/>
      <c r="BD518" s="206"/>
      <c r="BE518" s="206"/>
      <c r="BF518" s="206"/>
      <c r="BG518" s="330"/>
      <c r="BH518" s="330"/>
      <c r="BI518" s="330"/>
      <c r="BJ518" s="330"/>
      <c r="BK518" s="330"/>
      <c r="BL518" s="330"/>
      <c r="BM518" s="330"/>
      <c r="BN518" s="330"/>
      <c r="BO518" s="330"/>
      <c r="BP518" s="330"/>
      <c r="BQ518" s="330"/>
      <c r="BR518" s="330"/>
      <c r="BS518" s="330"/>
      <c r="BT518" s="330"/>
      <c r="BU518" s="330"/>
      <c r="BV518" s="330"/>
      <c r="BW518" s="330"/>
      <c r="BX518" s="330"/>
      <c r="BY518" s="330"/>
      <c r="BZ518" s="330"/>
    </row>
    <row r="519" spans="1:78" x14ac:dyDescent="0.25">
      <c r="A519" s="331"/>
      <c r="B519" s="328"/>
      <c r="C519" s="328"/>
      <c r="D519" s="329"/>
      <c r="E519" s="330"/>
      <c r="F519" s="330"/>
      <c r="G519" s="330"/>
      <c r="H519" s="330"/>
      <c r="I519" s="330"/>
      <c r="J519" s="330"/>
      <c r="K519" s="330"/>
      <c r="L519" s="329"/>
      <c r="M519" s="329"/>
      <c r="N519" s="330"/>
      <c r="O519" s="330"/>
      <c r="P519" s="330"/>
      <c r="Q519" s="330"/>
      <c r="R519" s="330"/>
      <c r="S519" s="330"/>
      <c r="T519" s="330"/>
      <c r="U519" s="330"/>
      <c r="V519" s="330"/>
      <c r="W519" s="330"/>
      <c r="X519" s="329"/>
      <c r="Y519" s="330"/>
      <c r="Z519" s="330"/>
      <c r="AA519" s="330"/>
      <c r="AB519" s="330"/>
      <c r="AC519" s="330"/>
      <c r="AD519" s="330"/>
      <c r="AE519" s="330"/>
      <c r="AF519" s="330"/>
      <c r="AG519" s="330"/>
      <c r="AH519" s="330"/>
      <c r="AI519" s="330"/>
      <c r="AJ519" s="330"/>
      <c r="AK519" s="330"/>
      <c r="AL519" s="329"/>
      <c r="AM519" s="329"/>
      <c r="AN519" s="330"/>
      <c r="AO519" s="330"/>
      <c r="AP519" s="330"/>
      <c r="AQ519" s="330"/>
      <c r="AR519" s="231"/>
      <c r="AS519" s="333"/>
      <c r="AT519" s="206"/>
      <c r="AU519" s="328"/>
      <c r="AV519" s="206"/>
      <c r="AW519" s="206"/>
      <c r="AX519" s="206"/>
      <c r="AY519" s="206"/>
      <c r="AZ519" s="206"/>
      <c r="BA519" s="206"/>
      <c r="BB519" s="206"/>
      <c r="BC519" s="206"/>
      <c r="BD519" s="206"/>
      <c r="BE519" s="206"/>
      <c r="BF519" s="206"/>
      <c r="BG519" s="330"/>
      <c r="BH519" s="330"/>
      <c r="BI519" s="330"/>
      <c r="BJ519" s="330"/>
      <c r="BK519" s="330"/>
      <c r="BL519" s="330"/>
      <c r="BM519" s="330"/>
      <c r="BN519" s="330"/>
      <c r="BO519" s="330"/>
      <c r="BP519" s="330"/>
      <c r="BQ519" s="330"/>
      <c r="BR519" s="330"/>
      <c r="BS519" s="330"/>
      <c r="BT519" s="330"/>
      <c r="BU519" s="330"/>
      <c r="BV519" s="330"/>
      <c r="BW519" s="330"/>
      <c r="BX519" s="330"/>
      <c r="BY519" s="330"/>
      <c r="BZ519" s="330"/>
    </row>
    <row r="520" spans="1:78" x14ac:dyDescent="0.25">
      <c r="A520" s="331"/>
      <c r="B520" s="328"/>
      <c r="C520" s="328"/>
      <c r="D520" s="329"/>
      <c r="E520" s="330"/>
      <c r="F520" s="330"/>
      <c r="G520" s="330"/>
      <c r="H520" s="330"/>
      <c r="I520" s="330"/>
      <c r="J520" s="330"/>
      <c r="K520" s="330"/>
      <c r="L520" s="329"/>
      <c r="M520" s="329"/>
      <c r="N520" s="330"/>
      <c r="O520" s="330"/>
      <c r="P520" s="330"/>
      <c r="Q520" s="330"/>
      <c r="R520" s="330"/>
      <c r="S520" s="330"/>
      <c r="T520" s="330"/>
      <c r="U520" s="330"/>
      <c r="V520" s="330"/>
      <c r="W520" s="330"/>
      <c r="X520" s="329"/>
      <c r="Y520" s="330"/>
      <c r="Z520" s="330"/>
      <c r="AA520" s="330"/>
      <c r="AB520" s="330"/>
      <c r="AC520" s="330"/>
      <c r="AD520" s="330"/>
      <c r="AE520" s="330"/>
      <c r="AF520" s="330"/>
      <c r="AG520" s="330"/>
      <c r="AH520" s="330"/>
      <c r="AI520" s="330"/>
      <c r="AJ520" s="330"/>
      <c r="AK520" s="330"/>
      <c r="AL520" s="329"/>
      <c r="AM520" s="329"/>
      <c r="AN520" s="330"/>
      <c r="AO520" s="330"/>
      <c r="AP520" s="330"/>
      <c r="AQ520" s="330"/>
      <c r="AR520" s="231"/>
      <c r="AS520" s="333"/>
      <c r="AT520" s="206"/>
      <c r="AU520" s="328"/>
      <c r="AV520" s="206"/>
      <c r="AW520" s="206"/>
      <c r="AX520" s="206"/>
      <c r="AY520" s="206"/>
      <c r="AZ520" s="206"/>
      <c r="BA520" s="206"/>
      <c r="BB520" s="206"/>
      <c r="BC520" s="206"/>
      <c r="BD520" s="206"/>
      <c r="BE520" s="206"/>
      <c r="BF520" s="206"/>
      <c r="BG520" s="330"/>
      <c r="BH520" s="330"/>
      <c r="BI520" s="330"/>
      <c r="BJ520" s="330"/>
      <c r="BK520" s="330"/>
      <c r="BL520" s="330"/>
      <c r="BM520" s="330"/>
      <c r="BN520" s="330"/>
      <c r="BO520" s="330"/>
      <c r="BP520" s="330"/>
      <c r="BQ520" s="330"/>
      <c r="BR520" s="330"/>
      <c r="BS520" s="330"/>
      <c r="BT520" s="330"/>
      <c r="BU520" s="330"/>
      <c r="BV520" s="330"/>
      <c r="BW520" s="330"/>
      <c r="BX520" s="330"/>
      <c r="BY520" s="330"/>
      <c r="BZ520" s="330"/>
    </row>
    <row r="521" spans="1:78" x14ac:dyDescent="0.25">
      <c r="A521" s="331"/>
      <c r="B521" s="328"/>
      <c r="C521" s="328"/>
      <c r="D521" s="329"/>
      <c r="E521" s="330"/>
      <c r="F521" s="330"/>
      <c r="G521" s="330"/>
      <c r="H521" s="330"/>
      <c r="I521" s="330"/>
      <c r="J521" s="330"/>
      <c r="K521" s="330"/>
      <c r="L521" s="329"/>
      <c r="M521" s="329"/>
      <c r="N521" s="330"/>
      <c r="O521" s="330"/>
      <c r="P521" s="330"/>
      <c r="Q521" s="330"/>
      <c r="R521" s="330"/>
      <c r="S521" s="330"/>
      <c r="T521" s="330"/>
      <c r="U521" s="330"/>
      <c r="V521" s="330"/>
      <c r="W521" s="330"/>
      <c r="X521" s="329"/>
      <c r="Y521" s="330"/>
      <c r="Z521" s="330"/>
      <c r="AA521" s="330"/>
      <c r="AB521" s="330"/>
      <c r="AC521" s="330"/>
      <c r="AD521" s="330"/>
      <c r="AE521" s="330"/>
      <c r="AF521" s="330"/>
      <c r="AG521" s="330"/>
      <c r="AH521" s="330"/>
      <c r="AI521" s="330"/>
      <c r="AJ521" s="330"/>
      <c r="AK521" s="330"/>
      <c r="AL521" s="329"/>
      <c r="AM521" s="329"/>
      <c r="AN521" s="330"/>
      <c r="AO521" s="330"/>
      <c r="AP521" s="330"/>
      <c r="AQ521" s="330"/>
      <c r="AR521" s="231"/>
      <c r="AS521" s="333"/>
      <c r="AT521" s="206"/>
      <c r="AU521" s="328"/>
      <c r="AV521" s="206"/>
      <c r="AW521" s="206"/>
      <c r="AX521" s="206"/>
      <c r="AY521" s="206"/>
      <c r="AZ521" s="206"/>
      <c r="BA521" s="206"/>
      <c r="BB521" s="206"/>
      <c r="BC521" s="206"/>
      <c r="BD521" s="206"/>
      <c r="BE521" s="206"/>
      <c r="BF521" s="206"/>
      <c r="BG521" s="330"/>
      <c r="BH521" s="330"/>
      <c r="BI521" s="330"/>
      <c r="BJ521" s="330"/>
      <c r="BK521" s="330"/>
      <c r="BL521" s="330"/>
      <c r="BM521" s="330"/>
      <c r="BN521" s="330"/>
      <c r="BO521" s="330"/>
      <c r="BP521" s="330"/>
      <c r="BQ521" s="330"/>
      <c r="BR521" s="330"/>
      <c r="BS521" s="330"/>
      <c r="BT521" s="330"/>
      <c r="BU521" s="330"/>
      <c r="BV521" s="330"/>
      <c r="BW521" s="330"/>
      <c r="BX521" s="330"/>
      <c r="BY521" s="330"/>
      <c r="BZ521" s="330"/>
    </row>
    <row r="522" spans="1:78" x14ac:dyDescent="0.25">
      <c r="A522" s="331"/>
      <c r="B522" s="328"/>
      <c r="C522" s="328"/>
      <c r="D522" s="329"/>
      <c r="E522" s="330"/>
      <c r="F522" s="330"/>
      <c r="G522" s="330"/>
      <c r="H522" s="330"/>
      <c r="I522" s="330"/>
      <c r="J522" s="330"/>
      <c r="K522" s="330"/>
      <c r="L522" s="329"/>
      <c r="M522" s="329"/>
      <c r="N522" s="330"/>
      <c r="O522" s="330"/>
      <c r="P522" s="330"/>
      <c r="Q522" s="330"/>
      <c r="R522" s="330"/>
      <c r="S522" s="330"/>
      <c r="T522" s="330"/>
      <c r="U522" s="330"/>
      <c r="V522" s="330"/>
      <c r="W522" s="330"/>
      <c r="X522" s="329"/>
      <c r="Y522" s="330"/>
      <c r="Z522" s="330"/>
      <c r="AA522" s="330"/>
      <c r="AB522" s="330"/>
      <c r="AC522" s="330"/>
      <c r="AD522" s="330"/>
      <c r="AE522" s="330"/>
      <c r="AF522" s="330"/>
      <c r="AG522" s="330"/>
      <c r="AH522" s="330"/>
      <c r="AI522" s="330"/>
      <c r="AJ522" s="330"/>
      <c r="AK522" s="330"/>
      <c r="AL522" s="329"/>
      <c r="AM522" s="329"/>
      <c r="AN522" s="330"/>
      <c r="AO522" s="330"/>
      <c r="AP522" s="330"/>
      <c r="AQ522" s="330"/>
      <c r="AR522" s="231"/>
      <c r="AS522" s="333"/>
      <c r="AT522" s="206"/>
      <c r="AU522" s="328"/>
      <c r="AV522" s="206"/>
      <c r="AW522" s="206"/>
      <c r="AX522" s="206"/>
      <c r="AY522" s="206"/>
      <c r="AZ522" s="206"/>
      <c r="BA522" s="206"/>
      <c r="BB522" s="206"/>
      <c r="BC522" s="206"/>
      <c r="BD522" s="206"/>
      <c r="BE522" s="206"/>
      <c r="BF522" s="206"/>
      <c r="BG522" s="330"/>
      <c r="BH522" s="330"/>
      <c r="BI522" s="330"/>
      <c r="BJ522" s="330"/>
      <c r="BK522" s="330"/>
      <c r="BL522" s="330"/>
      <c r="BM522" s="330"/>
      <c r="BN522" s="330"/>
      <c r="BO522" s="330"/>
      <c r="BP522" s="330"/>
      <c r="BQ522" s="330"/>
      <c r="BR522" s="330"/>
      <c r="BS522" s="330"/>
      <c r="BT522" s="330"/>
      <c r="BU522" s="330"/>
      <c r="BV522" s="330"/>
      <c r="BW522" s="330"/>
      <c r="BX522" s="330"/>
      <c r="BY522" s="330"/>
      <c r="BZ522" s="330"/>
    </row>
    <row r="523" spans="1:78" x14ac:dyDescent="0.25">
      <c r="A523" s="331"/>
      <c r="B523" s="328"/>
      <c r="C523" s="328"/>
      <c r="D523" s="329"/>
      <c r="E523" s="330"/>
      <c r="F523" s="330"/>
      <c r="G523" s="330"/>
      <c r="H523" s="330"/>
      <c r="I523" s="330"/>
      <c r="J523" s="330"/>
      <c r="K523" s="330"/>
      <c r="L523" s="329"/>
      <c r="M523" s="329"/>
      <c r="N523" s="330"/>
      <c r="O523" s="330"/>
      <c r="P523" s="330"/>
      <c r="Q523" s="330"/>
      <c r="R523" s="330"/>
      <c r="S523" s="330"/>
      <c r="T523" s="330"/>
      <c r="U523" s="330"/>
      <c r="V523" s="330"/>
      <c r="W523" s="330"/>
      <c r="X523" s="329"/>
      <c r="Y523" s="330"/>
      <c r="Z523" s="330"/>
      <c r="AA523" s="330"/>
      <c r="AB523" s="330"/>
      <c r="AC523" s="330"/>
      <c r="AD523" s="330"/>
      <c r="AE523" s="330"/>
      <c r="AF523" s="330"/>
      <c r="AG523" s="330"/>
      <c r="AH523" s="330"/>
      <c r="AI523" s="330"/>
      <c r="AJ523" s="330"/>
      <c r="AK523" s="330"/>
      <c r="AL523" s="329"/>
      <c r="AM523" s="329"/>
      <c r="AN523" s="330"/>
      <c r="AO523" s="330"/>
      <c r="AP523" s="330"/>
      <c r="AQ523" s="330"/>
      <c r="AR523" s="231"/>
      <c r="AS523" s="333"/>
      <c r="AT523" s="206"/>
      <c r="AU523" s="328"/>
      <c r="AV523" s="206"/>
      <c r="AW523" s="206"/>
      <c r="AX523" s="206"/>
      <c r="AY523" s="206"/>
      <c r="AZ523" s="206"/>
      <c r="BA523" s="206"/>
      <c r="BB523" s="206"/>
      <c r="BC523" s="206"/>
      <c r="BD523" s="206"/>
      <c r="BE523" s="206"/>
      <c r="BF523" s="206"/>
      <c r="BG523" s="330"/>
      <c r="BH523" s="330"/>
      <c r="BI523" s="330"/>
      <c r="BJ523" s="330"/>
      <c r="BK523" s="330"/>
      <c r="BL523" s="330"/>
      <c r="BM523" s="330"/>
      <c r="BN523" s="330"/>
      <c r="BO523" s="330"/>
      <c r="BP523" s="330"/>
      <c r="BQ523" s="330"/>
      <c r="BR523" s="330"/>
      <c r="BS523" s="330"/>
      <c r="BT523" s="330"/>
      <c r="BU523" s="330"/>
      <c r="BV523" s="330"/>
      <c r="BW523" s="330"/>
      <c r="BX523" s="330"/>
      <c r="BY523" s="330"/>
      <c r="BZ523" s="330"/>
    </row>
    <row r="524" spans="1:78" x14ac:dyDescent="0.25">
      <c r="A524" s="331"/>
      <c r="B524" s="328"/>
      <c r="C524" s="328"/>
      <c r="D524" s="329"/>
      <c r="E524" s="330"/>
      <c r="F524" s="330"/>
      <c r="G524" s="330"/>
      <c r="H524" s="330"/>
      <c r="I524" s="330"/>
      <c r="J524" s="330"/>
      <c r="K524" s="330"/>
      <c r="L524" s="329"/>
      <c r="M524" s="329"/>
      <c r="N524" s="330"/>
      <c r="O524" s="330"/>
      <c r="P524" s="330"/>
      <c r="Q524" s="330"/>
      <c r="R524" s="330"/>
      <c r="S524" s="330"/>
      <c r="T524" s="330"/>
      <c r="U524" s="330"/>
      <c r="V524" s="330"/>
      <c r="W524" s="330"/>
      <c r="X524" s="329"/>
      <c r="Y524" s="330"/>
      <c r="Z524" s="330"/>
      <c r="AA524" s="330"/>
      <c r="AB524" s="330"/>
      <c r="AC524" s="330"/>
      <c r="AD524" s="330"/>
      <c r="AE524" s="330"/>
      <c r="AF524" s="330"/>
      <c r="AG524" s="330"/>
      <c r="AH524" s="330"/>
      <c r="AI524" s="330"/>
      <c r="AJ524" s="330"/>
      <c r="AK524" s="330"/>
      <c r="AL524" s="329"/>
      <c r="AM524" s="329"/>
      <c r="AN524" s="330"/>
      <c r="AO524" s="330"/>
      <c r="AP524" s="330"/>
      <c r="AQ524" s="330"/>
      <c r="AR524" s="231"/>
      <c r="AS524" s="333"/>
      <c r="AT524" s="206"/>
      <c r="AU524" s="328"/>
      <c r="AV524" s="206"/>
      <c r="AW524" s="206"/>
      <c r="AX524" s="206"/>
      <c r="AY524" s="206"/>
      <c r="AZ524" s="206"/>
      <c r="BA524" s="206"/>
      <c r="BB524" s="206"/>
      <c r="BC524" s="206"/>
      <c r="BD524" s="206"/>
      <c r="BE524" s="206"/>
      <c r="BF524" s="206"/>
      <c r="BG524" s="330"/>
      <c r="BH524" s="330"/>
      <c r="BI524" s="330"/>
      <c r="BJ524" s="330"/>
      <c r="BK524" s="330"/>
      <c r="BL524" s="330"/>
      <c r="BM524" s="330"/>
      <c r="BN524" s="330"/>
      <c r="BO524" s="330"/>
      <c r="BP524" s="330"/>
      <c r="BQ524" s="330"/>
      <c r="BR524" s="330"/>
      <c r="BS524" s="330"/>
      <c r="BT524" s="330"/>
      <c r="BU524" s="330"/>
      <c r="BV524" s="330"/>
      <c r="BW524" s="330"/>
      <c r="BX524" s="330"/>
      <c r="BY524" s="330"/>
      <c r="BZ524" s="330"/>
    </row>
    <row r="525" spans="1:78" x14ac:dyDescent="0.25">
      <c r="A525" s="331"/>
      <c r="B525" s="328"/>
      <c r="C525" s="328"/>
      <c r="D525" s="329"/>
      <c r="E525" s="330"/>
      <c r="F525" s="330"/>
      <c r="G525" s="330"/>
      <c r="H525" s="330"/>
      <c r="I525" s="330"/>
      <c r="J525" s="330"/>
      <c r="K525" s="330"/>
      <c r="L525" s="329"/>
      <c r="M525" s="329"/>
      <c r="N525" s="330"/>
      <c r="O525" s="330"/>
      <c r="P525" s="330"/>
      <c r="Q525" s="330"/>
      <c r="R525" s="330"/>
      <c r="S525" s="330"/>
      <c r="T525" s="330"/>
      <c r="U525" s="330"/>
      <c r="V525" s="330"/>
      <c r="W525" s="330"/>
      <c r="X525" s="329"/>
      <c r="Y525" s="330"/>
      <c r="Z525" s="330"/>
      <c r="AA525" s="330"/>
      <c r="AB525" s="330"/>
      <c r="AC525" s="330"/>
      <c r="AD525" s="330"/>
      <c r="AE525" s="330"/>
      <c r="AF525" s="330"/>
      <c r="AG525" s="330"/>
      <c r="AH525" s="330"/>
      <c r="AI525" s="330"/>
      <c r="AJ525" s="330"/>
      <c r="AK525" s="330"/>
      <c r="AL525" s="329"/>
      <c r="AM525" s="329"/>
      <c r="AN525" s="330"/>
      <c r="AO525" s="330"/>
      <c r="AP525" s="330"/>
      <c r="AQ525" s="330"/>
      <c r="AR525" s="231"/>
      <c r="AS525" s="333"/>
      <c r="AT525" s="206"/>
      <c r="AU525" s="328"/>
      <c r="AV525" s="206"/>
      <c r="AW525" s="206"/>
      <c r="AX525" s="206"/>
      <c r="AY525" s="206"/>
      <c r="AZ525" s="206"/>
      <c r="BA525" s="206"/>
      <c r="BB525" s="206"/>
      <c r="BC525" s="206"/>
      <c r="BD525" s="206"/>
      <c r="BE525" s="206"/>
      <c r="BF525" s="206"/>
      <c r="BG525" s="330"/>
      <c r="BH525" s="330"/>
      <c r="BI525" s="330"/>
      <c r="BJ525" s="330"/>
      <c r="BK525" s="330"/>
      <c r="BL525" s="330"/>
      <c r="BM525" s="330"/>
      <c r="BN525" s="330"/>
      <c r="BO525" s="330"/>
      <c r="BP525" s="330"/>
      <c r="BQ525" s="330"/>
      <c r="BR525" s="330"/>
      <c r="BS525" s="330"/>
      <c r="BT525" s="330"/>
      <c r="BU525" s="330"/>
      <c r="BV525" s="330"/>
      <c r="BW525" s="330"/>
      <c r="BX525" s="330"/>
      <c r="BY525" s="330"/>
      <c r="BZ525" s="330"/>
    </row>
    <row r="526" spans="1:78" x14ac:dyDescent="0.25">
      <c r="A526" s="331"/>
      <c r="B526" s="328"/>
      <c r="C526" s="328"/>
      <c r="D526" s="329"/>
      <c r="E526" s="330"/>
      <c r="F526" s="330"/>
      <c r="G526" s="330"/>
      <c r="H526" s="330"/>
      <c r="I526" s="330"/>
      <c r="J526" s="330"/>
      <c r="K526" s="330"/>
      <c r="L526" s="329"/>
      <c r="M526" s="329"/>
      <c r="N526" s="330"/>
      <c r="O526" s="330"/>
      <c r="P526" s="330"/>
      <c r="Q526" s="330"/>
      <c r="R526" s="330"/>
      <c r="S526" s="330"/>
      <c r="T526" s="330"/>
      <c r="U526" s="330"/>
      <c r="V526" s="330"/>
      <c r="W526" s="330"/>
      <c r="X526" s="329"/>
      <c r="Y526" s="330"/>
      <c r="Z526" s="330"/>
      <c r="AA526" s="330"/>
      <c r="AB526" s="330"/>
      <c r="AC526" s="330"/>
      <c r="AD526" s="330"/>
      <c r="AE526" s="330"/>
      <c r="AF526" s="330"/>
      <c r="AG526" s="330"/>
      <c r="AH526" s="330"/>
      <c r="AI526" s="330"/>
      <c r="AJ526" s="330"/>
      <c r="AK526" s="330"/>
      <c r="AL526" s="329"/>
      <c r="AM526" s="329"/>
      <c r="AN526" s="330"/>
      <c r="AO526" s="330"/>
      <c r="AP526" s="330"/>
      <c r="AQ526" s="330"/>
      <c r="AR526" s="231"/>
      <c r="AS526" s="333"/>
      <c r="AT526" s="206"/>
      <c r="AU526" s="328"/>
      <c r="AV526" s="206"/>
      <c r="AW526" s="206"/>
      <c r="AX526" s="206"/>
      <c r="AY526" s="206"/>
      <c r="AZ526" s="206"/>
      <c r="BA526" s="206"/>
      <c r="BB526" s="206"/>
      <c r="BC526" s="206"/>
      <c r="BD526" s="206"/>
      <c r="BE526" s="206"/>
      <c r="BF526" s="206"/>
      <c r="BG526" s="330"/>
      <c r="BH526" s="330"/>
      <c r="BI526" s="330"/>
      <c r="BJ526" s="330"/>
      <c r="BK526" s="330"/>
      <c r="BL526" s="330"/>
      <c r="BM526" s="330"/>
      <c r="BN526" s="330"/>
      <c r="BO526" s="330"/>
      <c r="BP526" s="330"/>
      <c r="BQ526" s="330"/>
      <c r="BR526" s="330"/>
      <c r="BS526" s="330"/>
      <c r="BT526" s="330"/>
      <c r="BU526" s="330"/>
      <c r="BV526" s="330"/>
      <c r="BW526" s="330"/>
      <c r="BX526" s="330"/>
      <c r="BY526" s="330"/>
      <c r="BZ526" s="330"/>
    </row>
    <row r="527" spans="1:78" x14ac:dyDescent="0.25">
      <c r="A527" s="331"/>
      <c r="B527" s="328"/>
      <c r="C527" s="328"/>
      <c r="D527" s="329"/>
      <c r="E527" s="330"/>
      <c r="F527" s="330"/>
      <c r="G527" s="330"/>
      <c r="H527" s="330"/>
      <c r="I527" s="330"/>
      <c r="J527" s="330"/>
      <c r="K527" s="330"/>
      <c r="L527" s="329"/>
      <c r="M527" s="329"/>
      <c r="N527" s="330"/>
      <c r="O527" s="330"/>
      <c r="P527" s="330"/>
      <c r="Q527" s="330"/>
      <c r="R527" s="330"/>
      <c r="S527" s="330"/>
      <c r="T527" s="330"/>
      <c r="U527" s="330"/>
      <c r="V527" s="330"/>
      <c r="W527" s="330"/>
      <c r="X527" s="329"/>
      <c r="Y527" s="330"/>
      <c r="Z527" s="330"/>
      <c r="AA527" s="330"/>
      <c r="AB527" s="330"/>
      <c r="AC527" s="330"/>
      <c r="AD527" s="330"/>
      <c r="AE527" s="330"/>
      <c r="AF527" s="330"/>
      <c r="AG527" s="330"/>
      <c r="AH527" s="330"/>
      <c r="AI527" s="330"/>
      <c r="AJ527" s="330"/>
      <c r="AK527" s="330"/>
      <c r="AL527" s="329"/>
      <c r="AM527" s="329"/>
      <c r="AN527" s="330"/>
      <c r="AO527" s="330"/>
      <c r="AP527" s="330"/>
      <c r="AQ527" s="330"/>
      <c r="AR527" s="231"/>
      <c r="AS527" s="333"/>
      <c r="AT527" s="206"/>
      <c r="AU527" s="328"/>
      <c r="AV527" s="206"/>
      <c r="AW527" s="206"/>
      <c r="AX527" s="206"/>
      <c r="AY527" s="206"/>
      <c r="AZ527" s="206"/>
      <c r="BA527" s="206"/>
      <c r="BB527" s="206"/>
      <c r="BC527" s="206"/>
      <c r="BD527" s="206"/>
      <c r="BE527" s="206"/>
      <c r="BF527" s="206"/>
      <c r="BG527" s="330"/>
      <c r="BH527" s="330"/>
      <c r="BI527" s="330"/>
      <c r="BJ527" s="330"/>
      <c r="BK527" s="330"/>
      <c r="BL527" s="330"/>
      <c r="BM527" s="330"/>
      <c r="BN527" s="330"/>
      <c r="BO527" s="330"/>
      <c r="BP527" s="330"/>
      <c r="BQ527" s="330"/>
      <c r="BR527" s="330"/>
      <c r="BS527" s="330"/>
      <c r="BT527" s="330"/>
      <c r="BU527" s="330"/>
      <c r="BV527" s="330"/>
      <c r="BW527" s="330"/>
      <c r="BX527" s="330"/>
      <c r="BY527" s="330"/>
      <c r="BZ527" s="330"/>
    </row>
    <row r="528" spans="1:78" x14ac:dyDescent="0.25">
      <c r="A528" s="331"/>
      <c r="B528" s="328"/>
      <c r="C528" s="328"/>
      <c r="D528" s="329"/>
      <c r="E528" s="330"/>
      <c r="F528" s="330"/>
      <c r="G528" s="330"/>
      <c r="H528" s="330"/>
      <c r="I528" s="330"/>
      <c r="J528" s="330"/>
      <c r="K528" s="330"/>
      <c r="L528" s="329"/>
      <c r="M528" s="329"/>
      <c r="N528" s="330"/>
      <c r="O528" s="330"/>
      <c r="P528" s="330"/>
      <c r="Q528" s="330"/>
      <c r="R528" s="330"/>
      <c r="S528" s="330"/>
      <c r="T528" s="330"/>
      <c r="U528" s="330"/>
      <c r="V528" s="330"/>
      <c r="W528" s="330"/>
      <c r="X528" s="329"/>
      <c r="Y528" s="330"/>
      <c r="Z528" s="330"/>
      <c r="AA528" s="330"/>
      <c r="AB528" s="330"/>
      <c r="AC528" s="330"/>
      <c r="AD528" s="330"/>
      <c r="AE528" s="330"/>
      <c r="AF528" s="330"/>
      <c r="AG528" s="330"/>
      <c r="AH528" s="330"/>
      <c r="AI528" s="330"/>
      <c r="AJ528" s="330"/>
      <c r="AK528" s="330"/>
      <c r="AL528" s="329"/>
      <c r="AM528" s="329"/>
      <c r="AN528" s="330"/>
      <c r="AO528" s="330"/>
      <c r="AP528" s="330"/>
      <c r="AQ528" s="330"/>
      <c r="AR528" s="231"/>
      <c r="AS528" s="333"/>
      <c r="AT528" s="206"/>
      <c r="AU528" s="328"/>
      <c r="AV528" s="206"/>
      <c r="AW528" s="206"/>
      <c r="AX528" s="206"/>
      <c r="AY528" s="206"/>
      <c r="AZ528" s="206"/>
      <c r="BA528" s="206"/>
      <c r="BB528" s="206"/>
      <c r="BC528" s="206"/>
      <c r="BD528" s="206"/>
      <c r="BE528" s="206"/>
      <c r="BF528" s="206"/>
      <c r="BG528" s="330"/>
      <c r="BH528" s="330"/>
      <c r="BI528" s="330"/>
      <c r="BJ528" s="330"/>
      <c r="BK528" s="330"/>
      <c r="BL528" s="330"/>
      <c r="BM528" s="330"/>
      <c r="BN528" s="330"/>
      <c r="BO528" s="330"/>
      <c r="BP528" s="330"/>
      <c r="BQ528" s="330"/>
      <c r="BR528" s="330"/>
      <c r="BS528" s="330"/>
      <c r="BT528" s="330"/>
      <c r="BU528" s="330"/>
      <c r="BV528" s="330"/>
      <c r="BW528" s="330"/>
      <c r="BX528" s="330"/>
      <c r="BY528" s="330"/>
      <c r="BZ528" s="330"/>
    </row>
    <row r="529" spans="1:78" x14ac:dyDescent="0.25">
      <c r="A529" s="331"/>
      <c r="B529" s="328"/>
      <c r="C529" s="328"/>
      <c r="D529" s="329"/>
      <c r="E529" s="330"/>
      <c r="F529" s="330"/>
      <c r="G529" s="330"/>
      <c r="H529" s="330"/>
      <c r="I529" s="330"/>
      <c r="J529" s="330"/>
      <c r="K529" s="330"/>
      <c r="L529" s="329"/>
      <c r="M529" s="329"/>
      <c r="N529" s="330"/>
      <c r="O529" s="330"/>
      <c r="P529" s="330"/>
      <c r="Q529" s="330"/>
      <c r="R529" s="330"/>
      <c r="S529" s="330"/>
      <c r="T529" s="330"/>
      <c r="U529" s="330"/>
      <c r="V529" s="330"/>
      <c r="W529" s="330"/>
      <c r="X529" s="329"/>
      <c r="Y529" s="330"/>
      <c r="Z529" s="330"/>
      <c r="AA529" s="330"/>
      <c r="AB529" s="330"/>
      <c r="AC529" s="330"/>
      <c r="AD529" s="330"/>
      <c r="AE529" s="330"/>
      <c r="AF529" s="330"/>
      <c r="AG529" s="330"/>
      <c r="AH529" s="330"/>
      <c r="AI529" s="330"/>
      <c r="AJ529" s="330"/>
      <c r="AK529" s="330"/>
      <c r="AL529" s="329"/>
      <c r="AM529" s="329"/>
      <c r="AN529" s="330"/>
      <c r="AO529" s="330"/>
      <c r="AP529" s="330"/>
      <c r="AQ529" s="330"/>
      <c r="AR529" s="231"/>
      <c r="AS529" s="333"/>
      <c r="AT529" s="206"/>
      <c r="AU529" s="328"/>
      <c r="AV529" s="206"/>
      <c r="AW529" s="206"/>
      <c r="AX529" s="206"/>
      <c r="AY529" s="206"/>
      <c r="AZ529" s="206"/>
      <c r="BA529" s="206"/>
      <c r="BB529" s="206"/>
      <c r="BC529" s="206"/>
      <c r="BD529" s="206"/>
      <c r="BE529" s="206"/>
      <c r="BF529" s="206"/>
      <c r="BG529" s="330"/>
      <c r="BH529" s="330"/>
      <c r="BI529" s="330"/>
      <c r="BJ529" s="330"/>
      <c r="BK529" s="330"/>
      <c r="BL529" s="330"/>
      <c r="BM529" s="330"/>
      <c r="BN529" s="330"/>
      <c r="BO529" s="330"/>
      <c r="BP529" s="330"/>
      <c r="BQ529" s="330"/>
      <c r="BR529" s="330"/>
      <c r="BS529" s="330"/>
      <c r="BT529" s="330"/>
      <c r="BU529" s="330"/>
      <c r="BV529" s="330"/>
      <c r="BW529" s="330"/>
      <c r="BX529" s="330"/>
      <c r="BY529" s="330"/>
      <c r="BZ529" s="330"/>
    </row>
    <row r="530" spans="1:78" x14ac:dyDescent="0.25">
      <c r="A530" s="331"/>
      <c r="B530" s="328"/>
      <c r="C530" s="328"/>
      <c r="D530" s="329"/>
      <c r="E530" s="330"/>
      <c r="F530" s="330"/>
      <c r="G530" s="330"/>
      <c r="H530" s="330"/>
      <c r="I530" s="330"/>
      <c r="J530" s="330"/>
      <c r="K530" s="330"/>
      <c r="L530" s="329"/>
      <c r="M530" s="329"/>
      <c r="N530" s="330"/>
      <c r="O530" s="330"/>
      <c r="P530" s="330"/>
      <c r="Q530" s="330"/>
      <c r="R530" s="330"/>
      <c r="S530" s="330"/>
      <c r="T530" s="330"/>
      <c r="U530" s="330"/>
      <c r="V530" s="330"/>
      <c r="W530" s="330"/>
      <c r="X530" s="329"/>
      <c r="Y530" s="330"/>
      <c r="Z530" s="330"/>
      <c r="AA530" s="330"/>
      <c r="AB530" s="330"/>
      <c r="AC530" s="330"/>
      <c r="AD530" s="330"/>
      <c r="AE530" s="330"/>
      <c r="AF530" s="330"/>
      <c r="AG530" s="330"/>
      <c r="AH530" s="330"/>
      <c r="AI530" s="330"/>
      <c r="AJ530" s="330"/>
      <c r="AK530" s="330"/>
      <c r="AL530" s="329"/>
      <c r="AM530" s="329"/>
      <c r="AN530" s="330"/>
      <c r="AO530" s="330"/>
      <c r="AP530" s="330"/>
      <c r="AQ530" s="330"/>
      <c r="AR530" s="231"/>
      <c r="AS530" s="333"/>
      <c r="AT530" s="206"/>
      <c r="AU530" s="328"/>
      <c r="AV530" s="206"/>
      <c r="AW530" s="206"/>
      <c r="AX530" s="206"/>
      <c r="AY530" s="206"/>
      <c r="AZ530" s="206"/>
      <c r="BA530" s="206"/>
      <c r="BB530" s="206"/>
      <c r="BC530" s="206"/>
      <c r="BD530" s="206"/>
      <c r="BE530" s="206"/>
      <c r="BF530" s="206"/>
      <c r="BG530" s="330"/>
      <c r="BH530" s="330"/>
      <c r="BI530" s="330"/>
      <c r="BJ530" s="330"/>
      <c r="BK530" s="330"/>
      <c r="BL530" s="330"/>
      <c r="BM530" s="330"/>
      <c r="BN530" s="330"/>
      <c r="BO530" s="330"/>
      <c r="BP530" s="330"/>
      <c r="BQ530" s="330"/>
      <c r="BR530" s="330"/>
      <c r="BS530" s="330"/>
      <c r="BT530" s="330"/>
      <c r="BU530" s="330"/>
      <c r="BV530" s="330"/>
      <c r="BW530" s="330"/>
      <c r="BX530" s="330"/>
      <c r="BY530" s="330"/>
      <c r="BZ530" s="330"/>
    </row>
    <row r="531" spans="1:78" x14ac:dyDescent="0.25">
      <c r="A531" s="331"/>
      <c r="B531" s="328"/>
      <c r="C531" s="328"/>
      <c r="D531" s="329"/>
      <c r="E531" s="330"/>
      <c r="F531" s="330"/>
      <c r="G531" s="330"/>
      <c r="H531" s="330"/>
      <c r="I531" s="330"/>
      <c r="J531" s="330"/>
      <c r="K531" s="330"/>
      <c r="L531" s="329"/>
      <c r="M531" s="329"/>
      <c r="N531" s="330"/>
      <c r="O531" s="330"/>
      <c r="P531" s="330"/>
      <c r="Q531" s="330"/>
      <c r="R531" s="330"/>
      <c r="S531" s="330"/>
      <c r="T531" s="330"/>
      <c r="U531" s="330"/>
      <c r="V531" s="330"/>
      <c r="W531" s="330"/>
      <c r="X531" s="329"/>
      <c r="Y531" s="330"/>
      <c r="Z531" s="330"/>
      <c r="AA531" s="330"/>
      <c r="AB531" s="330"/>
      <c r="AC531" s="330"/>
      <c r="AD531" s="330"/>
      <c r="AE531" s="330"/>
      <c r="AF531" s="330"/>
      <c r="AG531" s="330"/>
      <c r="AH531" s="330"/>
      <c r="AI531" s="330"/>
      <c r="AJ531" s="330"/>
      <c r="AK531" s="330"/>
      <c r="AL531" s="329"/>
      <c r="AM531" s="329"/>
      <c r="AN531" s="330"/>
      <c r="AO531" s="330"/>
      <c r="AP531" s="330"/>
      <c r="AQ531" s="330"/>
      <c r="AR531" s="231"/>
      <c r="AS531" s="333"/>
      <c r="AT531" s="206"/>
      <c r="AU531" s="328"/>
      <c r="AV531" s="206"/>
      <c r="AW531" s="206"/>
      <c r="AX531" s="206"/>
      <c r="AY531" s="206"/>
      <c r="AZ531" s="206"/>
      <c r="BA531" s="206"/>
      <c r="BB531" s="206"/>
      <c r="BC531" s="206"/>
      <c r="BD531" s="206"/>
      <c r="BE531" s="206"/>
      <c r="BF531" s="206"/>
      <c r="BG531" s="330"/>
      <c r="BH531" s="330"/>
      <c r="BI531" s="330"/>
      <c r="BJ531" s="330"/>
      <c r="BK531" s="330"/>
      <c r="BL531" s="330"/>
      <c r="BM531" s="330"/>
      <c r="BN531" s="330"/>
      <c r="BO531" s="330"/>
      <c r="BP531" s="330"/>
      <c r="BQ531" s="330"/>
      <c r="BR531" s="330"/>
      <c r="BS531" s="330"/>
      <c r="BT531" s="330"/>
      <c r="BU531" s="330"/>
      <c r="BV531" s="330"/>
      <c r="BW531" s="330"/>
      <c r="BX531" s="330"/>
      <c r="BY531" s="330"/>
      <c r="BZ531" s="330"/>
    </row>
    <row r="532" spans="1:78" x14ac:dyDescent="0.25">
      <c r="A532" s="331"/>
      <c r="B532" s="328"/>
      <c r="C532" s="328"/>
      <c r="D532" s="329"/>
      <c r="E532" s="330"/>
      <c r="F532" s="330"/>
      <c r="G532" s="330"/>
      <c r="H532" s="330"/>
      <c r="I532" s="330"/>
      <c r="J532" s="330"/>
      <c r="K532" s="330"/>
      <c r="L532" s="329"/>
      <c r="M532" s="329"/>
      <c r="N532" s="330"/>
      <c r="O532" s="330"/>
      <c r="P532" s="330"/>
      <c r="Q532" s="330"/>
      <c r="R532" s="330"/>
      <c r="S532" s="330"/>
      <c r="T532" s="330"/>
      <c r="U532" s="330"/>
      <c r="V532" s="330"/>
      <c r="W532" s="330"/>
      <c r="X532" s="329"/>
      <c r="Y532" s="330"/>
      <c r="Z532" s="330"/>
      <c r="AA532" s="330"/>
      <c r="AB532" s="330"/>
      <c r="AC532" s="330"/>
      <c r="AD532" s="330"/>
      <c r="AE532" s="330"/>
      <c r="AF532" s="330"/>
      <c r="AG532" s="330"/>
      <c r="AH532" s="330"/>
      <c r="AI532" s="330"/>
      <c r="AJ532" s="330"/>
      <c r="AK532" s="330"/>
      <c r="AL532" s="329"/>
      <c r="AM532" s="329"/>
      <c r="AN532" s="330"/>
      <c r="AO532" s="330"/>
      <c r="AP532" s="330"/>
      <c r="AQ532" s="330"/>
      <c r="AR532" s="231"/>
      <c r="AS532" s="333"/>
      <c r="AT532" s="206"/>
      <c r="AU532" s="328"/>
      <c r="AV532" s="206"/>
      <c r="AW532" s="206"/>
      <c r="AX532" s="206"/>
      <c r="AY532" s="206"/>
      <c r="AZ532" s="206"/>
      <c r="BA532" s="206"/>
      <c r="BB532" s="206"/>
      <c r="BC532" s="206"/>
      <c r="BD532" s="206"/>
      <c r="BE532" s="206"/>
      <c r="BF532" s="206"/>
      <c r="BG532" s="330"/>
      <c r="BH532" s="330"/>
      <c r="BI532" s="330"/>
      <c r="BJ532" s="330"/>
      <c r="BK532" s="330"/>
      <c r="BL532" s="330"/>
      <c r="BM532" s="330"/>
      <c r="BN532" s="330"/>
      <c r="BO532" s="330"/>
      <c r="BP532" s="330"/>
      <c r="BQ532" s="330"/>
      <c r="BR532" s="330"/>
      <c r="BS532" s="330"/>
      <c r="BT532" s="330"/>
      <c r="BU532" s="330"/>
      <c r="BV532" s="330"/>
      <c r="BW532" s="330"/>
      <c r="BX532" s="330"/>
      <c r="BY532" s="330"/>
      <c r="BZ532" s="330"/>
    </row>
    <row r="533" spans="1:78" x14ac:dyDescent="0.25">
      <c r="A533" s="331"/>
      <c r="B533" s="328"/>
      <c r="C533" s="328"/>
      <c r="D533" s="329"/>
      <c r="E533" s="330"/>
      <c r="F533" s="330"/>
      <c r="G533" s="330"/>
      <c r="H533" s="330"/>
      <c r="I533" s="330"/>
      <c r="J533" s="330"/>
      <c r="K533" s="330"/>
      <c r="L533" s="329"/>
      <c r="M533" s="329"/>
      <c r="N533" s="330"/>
      <c r="O533" s="330"/>
      <c r="P533" s="330"/>
      <c r="Q533" s="330"/>
      <c r="R533" s="330"/>
      <c r="S533" s="330"/>
      <c r="T533" s="330"/>
      <c r="U533" s="330"/>
      <c r="V533" s="330"/>
      <c r="W533" s="330"/>
      <c r="X533" s="329"/>
      <c r="Y533" s="330"/>
      <c r="Z533" s="330"/>
      <c r="AA533" s="330"/>
      <c r="AB533" s="330"/>
      <c r="AC533" s="330"/>
      <c r="AD533" s="330"/>
      <c r="AE533" s="330"/>
      <c r="AF533" s="330"/>
      <c r="AG533" s="330"/>
      <c r="AH533" s="330"/>
      <c r="AI533" s="330"/>
      <c r="AJ533" s="330"/>
      <c r="AK533" s="330"/>
      <c r="AL533" s="329"/>
      <c r="AM533" s="329"/>
      <c r="AN533" s="330"/>
      <c r="AO533" s="330"/>
      <c r="AP533" s="330"/>
      <c r="AQ533" s="330"/>
      <c r="AR533" s="231"/>
      <c r="AS533" s="333"/>
      <c r="AT533" s="206"/>
      <c r="AU533" s="328"/>
      <c r="AV533" s="206"/>
      <c r="AW533" s="206"/>
      <c r="AX533" s="206"/>
      <c r="AY533" s="206"/>
      <c r="AZ533" s="206"/>
      <c r="BA533" s="206"/>
      <c r="BB533" s="206"/>
      <c r="BC533" s="206"/>
      <c r="BD533" s="206"/>
      <c r="BE533" s="206"/>
      <c r="BF533" s="206"/>
      <c r="BG533" s="330"/>
      <c r="BH533" s="330"/>
      <c r="BI533" s="330"/>
      <c r="BJ533" s="330"/>
      <c r="BK533" s="330"/>
      <c r="BL533" s="330"/>
      <c r="BM533" s="330"/>
      <c r="BN533" s="330"/>
      <c r="BO533" s="330"/>
      <c r="BP533" s="330"/>
      <c r="BQ533" s="330"/>
      <c r="BR533" s="330"/>
      <c r="BS533" s="330"/>
      <c r="BT533" s="330"/>
      <c r="BU533" s="330"/>
      <c r="BV533" s="330"/>
      <c r="BW533" s="330"/>
      <c r="BX533" s="330"/>
      <c r="BY533" s="330"/>
      <c r="BZ533" s="330"/>
    </row>
    <row r="534" spans="1:78" x14ac:dyDescent="0.25">
      <c r="A534" s="331"/>
      <c r="B534" s="328"/>
      <c r="C534" s="328"/>
      <c r="D534" s="329"/>
      <c r="E534" s="330"/>
      <c r="F534" s="330"/>
      <c r="G534" s="330"/>
      <c r="H534" s="330"/>
      <c r="I534" s="330"/>
      <c r="J534" s="330"/>
      <c r="K534" s="330"/>
      <c r="L534" s="329"/>
      <c r="M534" s="329"/>
      <c r="N534" s="330"/>
      <c r="O534" s="330"/>
      <c r="P534" s="330"/>
      <c r="Q534" s="330"/>
      <c r="R534" s="330"/>
      <c r="S534" s="330"/>
      <c r="T534" s="330"/>
      <c r="U534" s="330"/>
      <c r="V534" s="330"/>
      <c r="W534" s="330"/>
      <c r="X534" s="329"/>
      <c r="Y534" s="330"/>
      <c r="Z534" s="330"/>
      <c r="AA534" s="330"/>
      <c r="AB534" s="330"/>
      <c r="AC534" s="330"/>
      <c r="AD534" s="330"/>
      <c r="AE534" s="330"/>
      <c r="AF534" s="330"/>
      <c r="AG534" s="330"/>
      <c r="AH534" s="330"/>
      <c r="AI534" s="330"/>
      <c r="AJ534" s="330"/>
      <c r="AK534" s="330"/>
      <c r="AL534" s="329"/>
      <c r="AM534" s="329"/>
      <c r="AN534" s="330"/>
      <c r="AO534" s="330"/>
      <c r="AP534" s="330"/>
      <c r="AQ534" s="330"/>
      <c r="AR534" s="231"/>
      <c r="AS534" s="333"/>
      <c r="AT534" s="206"/>
      <c r="AU534" s="328"/>
      <c r="AV534" s="206"/>
      <c r="AW534" s="206"/>
      <c r="AX534" s="206"/>
      <c r="AY534" s="206"/>
      <c r="AZ534" s="206"/>
      <c r="BA534" s="206"/>
      <c r="BB534" s="206"/>
      <c r="BC534" s="206"/>
      <c r="BD534" s="206"/>
      <c r="BE534" s="206"/>
      <c r="BF534" s="206"/>
      <c r="BG534" s="330"/>
      <c r="BH534" s="330"/>
      <c r="BI534" s="330"/>
      <c r="BJ534" s="330"/>
      <c r="BK534" s="330"/>
      <c r="BL534" s="330"/>
      <c r="BM534" s="330"/>
      <c r="BN534" s="330"/>
      <c r="BO534" s="330"/>
      <c r="BP534" s="330"/>
      <c r="BQ534" s="330"/>
      <c r="BR534" s="330"/>
      <c r="BS534" s="330"/>
      <c r="BT534" s="330"/>
      <c r="BU534" s="330"/>
      <c r="BV534" s="330"/>
      <c r="BW534" s="330"/>
      <c r="BX534" s="330"/>
      <c r="BY534" s="330"/>
      <c r="BZ534" s="330"/>
    </row>
    <row r="535" spans="1:78" x14ac:dyDescent="0.25">
      <c r="A535" s="331"/>
      <c r="B535" s="328"/>
      <c r="C535" s="328"/>
      <c r="D535" s="329"/>
      <c r="E535" s="330"/>
      <c r="F535" s="330"/>
      <c r="G535" s="330"/>
      <c r="H535" s="330"/>
      <c r="I535" s="330"/>
      <c r="J535" s="330"/>
      <c r="K535" s="330"/>
      <c r="L535" s="329"/>
      <c r="M535" s="329"/>
      <c r="N535" s="330"/>
      <c r="O535" s="330"/>
      <c r="P535" s="330"/>
      <c r="Q535" s="330"/>
      <c r="R535" s="330"/>
      <c r="S535" s="330"/>
      <c r="T535" s="330"/>
      <c r="U535" s="330"/>
      <c r="V535" s="330"/>
      <c r="W535" s="330"/>
      <c r="X535" s="329"/>
      <c r="Y535" s="330"/>
      <c r="Z535" s="330"/>
      <c r="AA535" s="330"/>
      <c r="AB535" s="330"/>
      <c r="AC535" s="330"/>
      <c r="AD535" s="330"/>
      <c r="AE535" s="330"/>
      <c r="AF535" s="330"/>
      <c r="AG535" s="330"/>
      <c r="AH535" s="330"/>
      <c r="AI535" s="330"/>
      <c r="AJ535" s="330"/>
      <c r="AK535" s="330"/>
      <c r="AL535" s="329"/>
      <c r="AM535" s="329"/>
      <c r="AN535" s="330"/>
      <c r="AO535" s="330"/>
      <c r="AP535" s="330"/>
      <c r="AQ535" s="330"/>
      <c r="AR535" s="231"/>
      <c r="AS535" s="333"/>
      <c r="AT535" s="206"/>
      <c r="AU535" s="328"/>
      <c r="AV535" s="206"/>
      <c r="AW535" s="206"/>
      <c r="AX535" s="206"/>
      <c r="AY535" s="206"/>
      <c r="AZ535" s="206"/>
      <c r="BA535" s="206"/>
      <c r="BB535" s="206"/>
      <c r="BC535" s="206"/>
      <c r="BD535" s="206"/>
      <c r="BE535" s="206"/>
      <c r="BF535" s="206"/>
      <c r="BG535" s="330"/>
      <c r="BH535" s="330"/>
      <c r="BI535" s="330"/>
      <c r="BJ535" s="330"/>
      <c r="BK535" s="330"/>
      <c r="BL535" s="330"/>
      <c r="BM535" s="330"/>
      <c r="BN535" s="330"/>
      <c r="BO535" s="330"/>
      <c r="BP535" s="330"/>
      <c r="BQ535" s="330"/>
      <c r="BR535" s="330"/>
      <c r="BS535" s="330"/>
      <c r="BT535" s="330"/>
      <c r="BU535" s="330"/>
      <c r="BV535" s="330"/>
      <c r="BW535" s="330"/>
      <c r="BX535" s="330"/>
      <c r="BY535" s="330"/>
      <c r="BZ535" s="330"/>
    </row>
    <row r="536" spans="1:78" x14ac:dyDescent="0.25">
      <c r="A536" s="331"/>
      <c r="B536" s="328"/>
      <c r="C536" s="328"/>
      <c r="D536" s="329"/>
      <c r="E536" s="330"/>
      <c r="F536" s="330"/>
      <c r="G536" s="330"/>
      <c r="H536" s="330"/>
      <c r="I536" s="330"/>
      <c r="J536" s="330"/>
      <c r="K536" s="330"/>
      <c r="L536" s="329"/>
      <c r="M536" s="329"/>
      <c r="N536" s="330"/>
      <c r="O536" s="330"/>
      <c r="P536" s="330"/>
      <c r="Q536" s="330"/>
      <c r="R536" s="330"/>
      <c r="S536" s="330"/>
      <c r="T536" s="330"/>
      <c r="U536" s="330"/>
      <c r="V536" s="330"/>
      <c r="W536" s="330"/>
      <c r="X536" s="329"/>
      <c r="Y536" s="330"/>
      <c r="Z536" s="330"/>
      <c r="AA536" s="330"/>
      <c r="AB536" s="330"/>
      <c r="AC536" s="330"/>
      <c r="AD536" s="330"/>
      <c r="AE536" s="330"/>
      <c r="AF536" s="330"/>
      <c r="AG536" s="330"/>
      <c r="AH536" s="330"/>
      <c r="AI536" s="330"/>
      <c r="AJ536" s="330"/>
      <c r="AK536" s="330"/>
      <c r="AL536" s="329"/>
      <c r="AM536" s="329"/>
      <c r="AN536" s="330"/>
      <c r="AO536" s="330"/>
      <c r="AP536" s="330"/>
      <c r="AQ536" s="330"/>
      <c r="AR536" s="231"/>
      <c r="AS536" s="333"/>
      <c r="AT536" s="206"/>
      <c r="AU536" s="328"/>
      <c r="AV536" s="206"/>
      <c r="AW536" s="206"/>
      <c r="AX536" s="206"/>
      <c r="AY536" s="206"/>
      <c r="AZ536" s="206"/>
      <c r="BA536" s="206"/>
      <c r="BB536" s="206"/>
      <c r="BC536" s="206"/>
      <c r="BD536" s="206"/>
      <c r="BE536" s="206"/>
      <c r="BF536" s="206"/>
      <c r="BG536" s="330"/>
      <c r="BH536" s="330"/>
      <c r="BI536" s="330"/>
      <c r="BJ536" s="330"/>
      <c r="BK536" s="330"/>
      <c r="BL536" s="330"/>
      <c r="BM536" s="330"/>
      <c r="BN536" s="330"/>
      <c r="BO536" s="330"/>
      <c r="BP536" s="330"/>
      <c r="BQ536" s="330"/>
      <c r="BR536" s="330"/>
      <c r="BS536" s="330"/>
      <c r="BT536" s="330"/>
      <c r="BU536" s="330"/>
      <c r="BV536" s="330"/>
      <c r="BW536" s="330"/>
      <c r="BX536" s="330"/>
      <c r="BY536" s="330"/>
      <c r="BZ536" s="330"/>
    </row>
    <row r="537" spans="1:78" x14ac:dyDescent="0.25">
      <c r="A537" s="331"/>
      <c r="B537" s="328"/>
      <c r="C537" s="328"/>
      <c r="D537" s="329"/>
      <c r="E537" s="330"/>
      <c r="F537" s="330"/>
      <c r="G537" s="330"/>
      <c r="H537" s="330"/>
      <c r="I537" s="330"/>
      <c r="J537" s="330"/>
      <c r="K537" s="330"/>
      <c r="L537" s="329"/>
      <c r="M537" s="329"/>
      <c r="N537" s="330"/>
      <c r="O537" s="330"/>
      <c r="P537" s="330"/>
      <c r="Q537" s="330"/>
      <c r="R537" s="330"/>
      <c r="S537" s="330"/>
      <c r="T537" s="330"/>
      <c r="U537" s="330"/>
      <c r="V537" s="330"/>
      <c r="W537" s="330"/>
      <c r="X537" s="329"/>
      <c r="Y537" s="330"/>
      <c r="Z537" s="330"/>
      <c r="AA537" s="330"/>
      <c r="AB537" s="330"/>
      <c r="AC537" s="330"/>
      <c r="AD537" s="330"/>
      <c r="AE537" s="330"/>
      <c r="AF537" s="330"/>
      <c r="AG537" s="330"/>
      <c r="AH537" s="330"/>
      <c r="AI537" s="330"/>
      <c r="AJ537" s="330"/>
      <c r="AK537" s="330"/>
      <c r="AL537" s="329"/>
      <c r="AM537" s="329"/>
      <c r="AN537" s="330"/>
      <c r="AO537" s="330"/>
      <c r="AP537" s="330"/>
      <c r="AQ537" s="330"/>
      <c r="AR537" s="231"/>
      <c r="AS537" s="333"/>
      <c r="AT537" s="206"/>
      <c r="AU537" s="328"/>
      <c r="AV537" s="206"/>
      <c r="AW537" s="206"/>
      <c r="AX537" s="206"/>
      <c r="AY537" s="206"/>
      <c r="AZ537" s="206"/>
      <c r="BA537" s="206"/>
      <c r="BB537" s="206"/>
      <c r="BC537" s="206"/>
      <c r="BD537" s="206"/>
      <c r="BE537" s="206"/>
      <c r="BF537" s="206"/>
      <c r="BG537" s="330"/>
      <c r="BH537" s="330"/>
      <c r="BI537" s="330"/>
      <c r="BJ537" s="330"/>
      <c r="BK537" s="330"/>
      <c r="BL537" s="330"/>
      <c r="BM537" s="330"/>
      <c r="BN537" s="330"/>
      <c r="BO537" s="330"/>
      <c r="BP537" s="330"/>
      <c r="BQ537" s="330"/>
      <c r="BR537" s="330"/>
      <c r="BS537" s="330"/>
      <c r="BT537" s="330"/>
      <c r="BU537" s="330"/>
      <c r="BV537" s="330"/>
      <c r="BW537" s="330"/>
      <c r="BX537" s="330"/>
      <c r="BY537" s="330"/>
      <c r="BZ537" s="330"/>
    </row>
    <row r="538" spans="1:78" x14ac:dyDescent="0.25">
      <c r="A538" s="331"/>
      <c r="B538" s="328"/>
      <c r="C538" s="328"/>
      <c r="D538" s="329"/>
      <c r="E538" s="330"/>
      <c r="F538" s="330"/>
      <c r="G538" s="330"/>
      <c r="H538" s="330"/>
      <c r="I538" s="330"/>
      <c r="J538" s="330"/>
      <c r="K538" s="330"/>
      <c r="L538" s="329"/>
      <c r="M538" s="329"/>
      <c r="N538" s="330"/>
      <c r="O538" s="330"/>
      <c r="P538" s="330"/>
      <c r="Q538" s="330"/>
      <c r="R538" s="330"/>
      <c r="S538" s="330"/>
      <c r="T538" s="330"/>
      <c r="U538" s="330"/>
      <c r="V538" s="330"/>
      <c r="W538" s="330"/>
      <c r="X538" s="329"/>
      <c r="Y538" s="330"/>
      <c r="Z538" s="330"/>
      <c r="AA538" s="330"/>
      <c r="AB538" s="330"/>
      <c r="AC538" s="330"/>
      <c r="AD538" s="330"/>
      <c r="AE538" s="330"/>
      <c r="AF538" s="330"/>
      <c r="AG538" s="330"/>
      <c r="AH538" s="330"/>
      <c r="AI538" s="330"/>
      <c r="AJ538" s="330"/>
      <c r="AK538" s="330"/>
      <c r="AL538" s="329"/>
      <c r="AM538" s="329"/>
      <c r="AN538" s="330"/>
      <c r="AO538" s="330"/>
      <c r="AP538" s="330"/>
      <c r="AQ538" s="330"/>
      <c r="AR538" s="231"/>
      <c r="AS538" s="333"/>
      <c r="AT538" s="206"/>
      <c r="AU538" s="328"/>
      <c r="AV538" s="206"/>
      <c r="AW538" s="206"/>
      <c r="AX538" s="206"/>
      <c r="AY538" s="206"/>
      <c r="AZ538" s="206"/>
      <c r="BA538" s="206"/>
      <c r="BB538" s="206"/>
      <c r="BC538" s="206"/>
      <c r="BD538" s="206"/>
      <c r="BE538" s="206"/>
      <c r="BF538" s="206"/>
      <c r="BG538" s="330"/>
      <c r="BH538" s="330"/>
      <c r="BI538" s="330"/>
      <c r="BJ538" s="330"/>
      <c r="BK538" s="330"/>
      <c r="BL538" s="330"/>
      <c r="BM538" s="330"/>
      <c r="BN538" s="330"/>
      <c r="BO538" s="330"/>
      <c r="BP538" s="330"/>
      <c r="BQ538" s="330"/>
      <c r="BR538" s="330"/>
      <c r="BS538" s="330"/>
      <c r="BT538" s="330"/>
      <c r="BU538" s="330"/>
      <c r="BV538" s="330"/>
      <c r="BW538" s="330"/>
      <c r="BX538" s="330"/>
      <c r="BY538" s="330"/>
      <c r="BZ538" s="330"/>
    </row>
    <row r="539" spans="1:78" x14ac:dyDescent="0.25">
      <c r="A539" s="331"/>
      <c r="B539" s="328"/>
      <c r="C539" s="328"/>
      <c r="D539" s="329"/>
      <c r="E539" s="330"/>
      <c r="F539" s="330"/>
      <c r="G539" s="330"/>
      <c r="H539" s="330"/>
      <c r="I539" s="330"/>
      <c r="J539" s="330"/>
      <c r="K539" s="330"/>
      <c r="L539" s="329"/>
      <c r="M539" s="329"/>
      <c r="N539" s="330"/>
      <c r="O539" s="330"/>
      <c r="P539" s="330"/>
      <c r="Q539" s="330"/>
      <c r="R539" s="330"/>
      <c r="S539" s="330"/>
      <c r="T539" s="330"/>
      <c r="U539" s="330"/>
      <c r="V539" s="330"/>
      <c r="W539" s="330"/>
      <c r="X539" s="329"/>
      <c r="Y539" s="330"/>
      <c r="Z539" s="330"/>
      <c r="AA539" s="330"/>
      <c r="AB539" s="330"/>
      <c r="AC539" s="330"/>
      <c r="AD539" s="330"/>
      <c r="AE539" s="330"/>
      <c r="AF539" s="330"/>
      <c r="AG539" s="330"/>
      <c r="AH539" s="330"/>
      <c r="AI539" s="330"/>
      <c r="AJ539" s="330"/>
      <c r="AK539" s="330"/>
      <c r="AL539" s="329"/>
      <c r="AM539" s="329"/>
      <c r="AN539" s="330"/>
      <c r="AO539" s="330"/>
      <c r="AP539" s="330"/>
      <c r="AQ539" s="330"/>
      <c r="AR539" s="231"/>
      <c r="AS539" s="333"/>
      <c r="AT539" s="206"/>
      <c r="AU539" s="328"/>
      <c r="AV539" s="206"/>
      <c r="AW539" s="206"/>
      <c r="AX539" s="206"/>
      <c r="AY539" s="206"/>
      <c r="AZ539" s="206"/>
      <c r="BA539" s="206"/>
      <c r="BB539" s="206"/>
      <c r="BC539" s="206"/>
      <c r="BD539" s="206"/>
      <c r="BE539" s="206"/>
      <c r="BF539" s="206"/>
      <c r="BG539" s="330"/>
      <c r="BH539" s="330"/>
      <c r="BI539" s="330"/>
      <c r="BJ539" s="330"/>
      <c r="BK539" s="330"/>
      <c r="BL539" s="330"/>
      <c r="BM539" s="330"/>
      <c r="BN539" s="330"/>
      <c r="BO539" s="330"/>
      <c r="BP539" s="330"/>
      <c r="BQ539" s="330"/>
      <c r="BR539" s="330"/>
      <c r="BS539" s="330"/>
      <c r="BT539" s="330"/>
      <c r="BU539" s="330"/>
      <c r="BV539" s="330"/>
      <c r="BW539" s="330"/>
      <c r="BX539" s="330"/>
      <c r="BY539" s="330"/>
      <c r="BZ539" s="330"/>
    </row>
    <row r="540" spans="1:78" x14ac:dyDescent="0.25">
      <c r="A540" s="331"/>
      <c r="B540" s="328"/>
      <c r="C540" s="328"/>
      <c r="D540" s="329"/>
      <c r="E540" s="330"/>
      <c r="F540" s="330"/>
      <c r="G540" s="330"/>
      <c r="H540" s="330"/>
      <c r="I540" s="330"/>
      <c r="J540" s="330"/>
      <c r="K540" s="330"/>
      <c r="L540" s="329"/>
      <c r="M540" s="329"/>
      <c r="N540" s="330"/>
      <c r="O540" s="330"/>
      <c r="P540" s="330"/>
      <c r="Q540" s="330"/>
      <c r="R540" s="330"/>
      <c r="S540" s="330"/>
      <c r="T540" s="330"/>
      <c r="U540" s="330"/>
      <c r="V540" s="330"/>
      <c r="W540" s="330"/>
      <c r="X540" s="329"/>
      <c r="Y540" s="330"/>
      <c r="Z540" s="330"/>
      <c r="AA540" s="330"/>
      <c r="AB540" s="330"/>
      <c r="AC540" s="330"/>
      <c r="AD540" s="330"/>
      <c r="AE540" s="330"/>
      <c r="AF540" s="330"/>
      <c r="AG540" s="330"/>
      <c r="AH540" s="330"/>
      <c r="AI540" s="330"/>
      <c r="AJ540" s="330"/>
      <c r="AK540" s="330"/>
      <c r="AL540" s="329"/>
      <c r="AM540" s="329"/>
      <c r="AN540" s="330"/>
      <c r="AO540" s="330"/>
      <c r="AP540" s="330"/>
      <c r="AQ540" s="330"/>
      <c r="AR540" s="231"/>
      <c r="AS540" s="333"/>
      <c r="AT540" s="206"/>
      <c r="AU540" s="328"/>
      <c r="AV540" s="206"/>
      <c r="AW540" s="206"/>
      <c r="AX540" s="206"/>
      <c r="AY540" s="206"/>
      <c r="AZ540" s="206"/>
      <c r="BA540" s="206"/>
      <c r="BB540" s="206"/>
      <c r="BC540" s="206"/>
      <c r="BD540" s="206"/>
      <c r="BE540" s="206"/>
      <c r="BF540" s="206"/>
      <c r="BG540" s="330"/>
      <c r="BH540" s="330"/>
      <c r="BI540" s="330"/>
      <c r="BJ540" s="330"/>
      <c r="BK540" s="330"/>
      <c r="BL540" s="330"/>
      <c r="BM540" s="330"/>
      <c r="BN540" s="330"/>
      <c r="BO540" s="330"/>
      <c r="BP540" s="330"/>
      <c r="BQ540" s="330"/>
      <c r="BR540" s="330"/>
      <c r="BS540" s="330"/>
      <c r="BT540" s="330"/>
      <c r="BU540" s="330"/>
      <c r="BV540" s="330"/>
      <c r="BW540" s="330"/>
      <c r="BX540" s="330"/>
      <c r="BY540" s="330"/>
      <c r="BZ540" s="330"/>
    </row>
    <row r="541" spans="1:78" x14ac:dyDescent="0.25">
      <c r="A541" s="331"/>
      <c r="B541" s="328"/>
      <c r="C541" s="328"/>
      <c r="D541" s="329"/>
      <c r="E541" s="330"/>
      <c r="F541" s="330"/>
      <c r="G541" s="330"/>
      <c r="H541" s="330"/>
      <c r="I541" s="330"/>
      <c r="J541" s="330"/>
      <c r="K541" s="330"/>
      <c r="L541" s="329"/>
      <c r="M541" s="329"/>
      <c r="N541" s="330"/>
      <c r="O541" s="330"/>
      <c r="P541" s="330"/>
      <c r="Q541" s="330"/>
      <c r="R541" s="330"/>
      <c r="S541" s="330"/>
      <c r="T541" s="330"/>
      <c r="U541" s="330"/>
      <c r="V541" s="330"/>
      <c r="W541" s="330"/>
      <c r="X541" s="329"/>
      <c r="Y541" s="330"/>
      <c r="Z541" s="330"/>
      <c r="AA541" s="330"/>
      <c r="AB541" s="330"/>
      <c r="AC541" s="330"/>
      <c r="AD541" s="330"/>
      <c r="AE541" s="330"/>
      <c r="AF541" s="330"/>
      <c r="AG541" s="330"/>
      <c r="AH541" s="330"/>
      <c r="AI541" s="330"/>
      <c r="AJ541" s="330"/>
      <c r="AK541" s="330"/>
      <c r="AL541" s="329"/>
      <c r="AM541" s="329"/>
      <c r="AN541" s="330"/>
      <c r="AO541" s="330"/>
      <c r="AP541" s="330"/>
      <c r="AQ541" s="330"/>
      <c r="AR541" s="231"/>
      <c r="AS541" s="333"/>
      <c r="AT541" s="206"/>
      <c r="AU541" s="328"/>
      <c r="AV541" s="206"/>
      <c r="AW541" s="206"/>
      <c r="AX541" s="206"/>
      <c r="AY541" s="206"/>
      <c r="AZ541" s="206"/>
      <c r="BA541" s="206"/>
      <c r="BB541" s="206"/>
      <c r="BC541" s="206"/>
      <c r="BD541" s="206"/>
      <c r="BE541" s="206"/>
      <c r="BF541" s="206"/>
      <c r="BG541" s="330"/>
      <c r="BH541" s="330"/>
      <c r="BI541" s="330"/>
      <c r="BJ541" s="330"/>
      <c r="BK541" s="330"/>
      <c r="BL541" s="330"/>
      <c r="BM541" s="330"/>
      <c r="BN541" s="330"/>
      <c r="BO541" s="330"/>
      <c r="BP541" s="330"/>
      <c r="BQ541" s="330"/>
      <c r="BR541" s="330"/>
      <c r="BS541" s="330"/>
      <c r="BT541" s="330"/>
      <c r="BU541" s="330"/>
      <c r="BV541" s="330"/>
      <c r="BW541" s="330"/>
      <c r="BX541" s="330"/>
      <c r="BY541" s="330"/>
      <c r="BZ541" s="330"/>
    </row>
    <row r="542" spans="1:78" x14ac:dyDescent="0.25">
      <c r="A542" s="331"/>
      <c r="B542" s="328"/>
      <c r="C542" s="328"/>
      <c r="D542" s="329"/>
      <c r="E542" s="330"/>
      <c r="F542" s="330"/>
      <c r="G542" s="330"/>
      <c r="H542" s="330"/>
      <c r="I542" s="330"/>
      <c r="J542" s="330"/>
      <c r="K542" s="330"/>
      <c r="L542" s="329"/>
      <c r="M542" s="329"/>
      <c r="N542" s="330"/>
      <c r="O542" s="330"/>
      <c r="P542" s="330"/>
      <c r="Q542" s="330"/>
      <c r="R542" s="330"/>
      <c r="S542" s="330"/>
      <c r="T542" s="330"/>
      <c r="U542" s="330"/>
      <c r="V542" s="330"/>
      <c r="W542" s="330"/>
      <c r="X542" s="329"/>
      <c r="Y542" s="330"/>
      <c r="Z542" s="330"/>
      <c r="AA542" s="330"/>
      <c r="AB542" s="330"/>
      <c r="AC542" s="330"/>
      <c r="AD542" s="330"/>
      <c r="AE542" s="330"/>
      <c r="AF542" s="330"/>
      <c r="AG542" s="330"/>
      <c r="AH542" s="330"/>
      <c r="AI542" s="330"/>
      <c r="AJ542" s="330"/>
      <c r="AK542" s="330"/>
      <c r="AL542" s="329"/>
      <c r="AM542" s="329"/>
      <c r="AN542" s="330"/>
      <c r="AO542" s="330"/>
      <c r="AP542" s="330"/>
      <c r="AQ542" s="330"/>
      <c r="AR542" s="231"/>
      <c r="AS542" s="333"/>
      <c r="AT542" s="206"/>
      <c r="AU542" s="328"/>
      <c r="AV542" s="206"/>
      <c r="AW542" s="206"/>
      <c r="AX542" s="206"/>
      <c r="AY542" s="206"/>
      <c r="AZ542" s="206"/>
      <c r="BA542" s="206"/>
      <c r="BB542" s="206"/>
      <c r="BC542" s="206"/>
      <c r="BD542" s="206"/>
      <c r="BE542" s="206"/>
      <c r="BF542" s="206"/>
      <c r="BG542" s="330"/>
      <c r="BH542" s="330"/>
      <c r="BI542" s="330"/>
      <c r="BJ542" s="330"/>
      <c r="BK542" s="330"/>
      <c r="BL542" s="330"/>
      <c r="BM542" s="330"/>
      <c r="BN542" s="330"/>
      <c r="BO542" s="330"/>
      <c r="BP542" s="330"/>
      <c r="BQ542" s="330"/>
      <c r="BR542" s="330"/>
      <c r="BS542" s="330"/>
      <c r="BT542" s="330"/>
      <c r="BU542" s="330"/>
      <c r="BV542" s="330"/>
      <c r="BW542" s="330"/>
      <c r="BX542" s="330"/>
      <c r="BY542" s="330"/>
      <c r="BZ542" s="330"/>
    </row>
    <row r="543" spans="1:78" x14ac:dyDescent="0.25">
      <c r="A543" s="331"/>
      <c r="B543" s="328"/>
      <c r="C543" s="328"/>
      <c r="D543" s="329"/>
      <c r="E543" s="330"/>
      <c r="F543" s="330"/>
      <c r="G543" s="330"/>
      <c r="H543" s="330"/>
      <c r="I543" s="330"/>
      <c r="J543" s="330"/>
      <c r="K543" s="330"/>
      <c r="L543" s="329"/>
      <c r="M543" s="329"/>
      <c r="N543" s="330"/>
      <c r="O543" s="330"/>
      <c r="P543" s="330"/>
      <c r="Q543" s="330"/>
      <c r="R543" s="330"/>
      <c r="S543" s="330"/>
      <c r="T543" s="330"/>
      <c r="U543" s="330"/>
      <c r="V543" s="330"/>
      <c r="W543" s="330"/>
      <c r="X543" s="329"/>
      <c r="Y543" s="330"/>
      <c r="Z543" s="330"/>
      <c r="AA543" s="330"/>
      <c r="AB543" s="330"/>
      <c r="AC543" s="330"/>
      <c r="AD543" s="330"/>
      <c r="AE543" s="330"/>
      <c r="AF543" s="330"/>
      <c r="AG543" s="330"/>
      <c r="AH543" s="330"/>
      <c r="AI543" s="330"/>
      <c r="AJ543" s="330"/>
      <c r="AK543" s="330"/>
      <c r="AL543" s="329"/>
      <c r="AM543" s="329"/>
      <c r="AN543" s="330"/>
      <c r="AO543" s="330"/>
      <c r="AP543" s="330"/>
      <c r="AQ543" s="330"/>
      <c r="AR543" s="231"/>
      <c r="AS543" s="333"/>
      <c r="AT543" s="206"/>
      <c r="AU543" s="328"/>
      <c r="AV543" s="206"/>
      <c r="AW543" s="206"/>
      <c r="AX543" s="206"/>
      <c r="AY543" s="206"/>
      <c r="AZ543" s="206"/>
      <c r="BA543" s="206"/>
      <c r="BB543" s="206"/>
      <c r="BC543" s="206"/>
      <c r="BD543" s="206"/>
      <c r="BE543" s="206"/>
      <c r="BF543" s="206"/>
      <c r="BG543" s="330"/>
      <c r="BH543" s="330"/>
      <c r="BI543" s="330"/>
      <c r="BJ543" s="330"/>
      <c r="BK543" s="330"/>
      <c r="BL543" s="330"/>
      <c r="BM543" s="330"/>
      <c r="BN543" s="330"/>
      <c r="BO543" s="330"/>
      <c r="BP543" s="330"/>
      <c r="BQ543" s="330"/>
      <c r="BR543" s="330"/>
      <c r="BS543" s="330"/>
      <c r="BT543" s="330"/>
      <c r="BU543" s="330"/>
      <c r="BV543" s="330"/>
      <c r="BW543" s="330"/>
      <c r="BX543" s="330"/>
      <c r="BY543" s="330"/>
      <c r="BZ543" s="330"/>
    </row>
    <row r="544" spans="1:78" x14ac:dyDescent="0.25">
      <c r="A544" s="331"/>
      <c r="B544" s="328"/>
      <c r="C544" s="328"/>
      <c r="D544" s="329"/>
      <c r="E544" s="330"/>
      <c r="F544" s="330"/>
      <c r="G544" s="330"/>
      <c r="H544" s="330"/>
      <c r="I544" s="330"/>
      <c r="J544" s="330"/>
      <c r="K544" s="330"/>
      <c r="L544" s="329"/>
      <c r="M544" s="329"/>
      <c r="N544" s="330"/>
      <c r="O544" s="330"/>
      <c r="P544" s="330"/>
      <c r="Q544" s="330"/>
      <c r="R544" s="330"/>
      <c r="S544" s="330"/>
      <c r="T544" s="330"/>
      <c r="U544" s="330"/>
      <c r="V544" s="330"/>
      <c r="W544" s="330"/>
      <c r="X544" s="329"/>
      <c r="Y544" s="330"/>
      <c r="Z544" s="330"/>
      <c r="AA544" s="330"/>
      <c r="AB544" s="330"/>
      <c r="AC544" s="330"/>
      <c r="AD544" s="330"/>
      <c r="AE544" s="330"/>
      <c r="AF544" s="330"/>
      <c r="AG544" s="330"/>
      <c r="AH544" s="330"/>
      <c r="AI544" s="330"/>
      <c r="AJ544" s="330"/>
      <c r="AK544" s="330"/>
      <c r="AL544" s="329"/>
      <c r="AM544" s="329"/>
      <c r="AN544" s="330"/>
      <c r="AO544" s="330"/>
      <c r="AP544" s="330"/>
      <c r="AQ544" s="330"/>
      <c r="AR544" s="231"/>
      <c r="AS544" s="333"/>
      <c r="AT544" s="206"/>
      <c r="AU544" s="328"/>
      <c r="AV544" s="206"/>
      <c r="AW544" s="206"/>
      <c r="AX544" s="206"/>
      <c r="AY544" s="206"/>
      <c r="AZ544" s="206"/>
      <c r="BA544" s="206"/>
      <c r="BB544" s="206"/>
      <c r="BC544" s="206"/>
      <c r="BD544" s="206"/>
      <c r="BE544" s="206"/>
      <c r="BF544" s="206"/>
      <c r="BG544" s="330"/>
      <c r="BH544" s="330"/>
      <c r="BI544" s="330"/>
      <c r="BJ544" s="330"/>
      <c r="BK544" s="330"/>
      <c r="BL544" s="330"/>
      <c r="BM544" s="330"/>
      <c r="BN544" s="330"/>
      <c r="BO544" s="330"/>
      <c r="BP544" s="330"/>
      <c r="BQ544" s="330"/>
      <c r="BR544" s="330"/>
      <c r="BS544" s="330"/>
      <c r="BT544" s="330"/>
      <c r="BU544" s="330"/>
      <c r="BV544" s="330"/>
      <c r="BW544" s="330"/>
      <c r="BX544" s="330"/>
      <c r="BY544" s="330"/>
      <c r="BZ544" s="330"/>
    </row>
    <row r="545" spans="1:78" x14ac:dyDescent="0.25">
      <c r="A545" s="331"/>
      <c r="B545" s="328"/>
      <c r="C545" s="328"/>
      <c r="D545" s="329"/>
      <c r="E545" s="330"/>
      <c r="F545" s="330"/>
      <c r="G545" s="330"/>
      <c r="H545" s="330"/>
      <c r="I545" s="330"/>
      <c r="J545" s="330"/>
      <c r="K545" s="330"/>
      <c r="L545" s="329"/>
      <c r="M545" s="329"/>
      <c r="N545" s="330"/>
      <c r="O545" s="330"/>
      <c r="P545" s="330"/>
      <c r="Q545" s="330"/>
      <c r="R545" s="330"/>
      <c r="S545" s="330"/>
      <c r="T545" s="330"/>
      <c r="U545" s="330"/>
      <c r="V545" s="330"/>
      <c r="W545" s="330"/>
      <c r="X545" s="329"/>
      <c r="Y545" s="330"/>
      <c r="Z545" s="330"/>
      <c r="AA545" s="330"/>
      <c r="AB545" s="330"/>
      <c r="AC545" s="330"/>
      <c r="AD545" s="330"/>
      <c r="AE545" s="330"/>
      <c r="AF545" s="330"/>
      <c r="AG545" s="330"/>
      <c r="AH545" s="330"/>
      <c r="AI545" s="330"/>
      <c r="AJ545" s="330"/>
      <c r="AK545" s="330"/>
      <c r="AL545" s="329"/>
      <c r="AM545" s="329"/>
      <c r="AN545" s="330"/>
      <c r="AO545" s="330"/>
      <c r="AP545" s="330"/>
      <c r="AQ545" s="330"/>
      <c r="AR545" s="231"/>
      <c r="AS545" s="333"/>
      <c r="AT545" s="206"/>
      <c r="AU545" s="328"/>
      <c r="AV545" s="206"/>
      <c r="AW545" s="206"/>
      <c r="AX545" s="206"/>
      <c r="AY545" s="206"/>
      <c r="AZ545" s="206"/>
      <c r="BA545" s="206"/>
      <c r="BB545" s="206"/>
      <c r="BC545" s="206"/>
      <c r="BD545" s="206"/>
      <c r="BE545" s="206"/>
      <c r="BF545" s="206"/>
      <c r="BG545" s="330"/>
      <c r="BH545" s="330"/>
      <c r="BI545" s="330"/>
      <c r="BJ545" s="330"/>
      <c r="BK545" s="330"/>
      <c r="BL545" s="330"/>
      <c r="BM545" s="330"/>
      <c r="BN545" s="330"/>
      <c r="BO545" s="330"/>
      <c r="BP545" s="330"/>
      <c r="BQ545" s="330"/>
      <c r="BR545" s="330"/>
      <c r="BS545" s="330"/>
      <c r="BT545" s="330"/>
      <c r="BU545" s="330"/>
      <c r="BV545" s="330"/>
      <c r="BW545" s="330"/>
      <c r="BX545" s="330"/>
      <c r="BY545" s="330"/>
      <c r="BZ545" s="330"/>
    </row>
    <row r="546" spans="1:78" x14ac:dyDescent="0.25">
      <c r="A546" s="331"/>
      <c r="B546" s="328"/>
      <c r="C546" s="328"/>
      <c r="D546" s="329"/>
      <c r="E546" s="330"/>
      <c r="F546" s="330"/>
      <c r="G546" s="330"/>
      <c r="H546" s="330"/>
      <c r="I546" s="330"/>
      <c r="J546" s="330"/>
      <c r="K546" s="330"/>
      <c r="L546" s="329"/>
      <c r="M546" s="329"/>
      <c r="N546" s="330"/>
      <c r="O546" s="330"/>
      <c r="P546" s="330"/>
      <c r="Q546" s="330"/>
      <c r="R546" s="330"/>
      <c r="S546" s="330"/>
      <c r="T546" s="330"/>
      <c r="U546" s="330"/>
      <c r="V546" s="330"/>
      <c r="W546" s="330"/>
      <c r="X546" s="329"/>
      <c r="Y546" s="330"/>
      <c r="Z546" s="330"/>
      <c r="AA546" s="330"/>
      <c r="AB546" s="330"/>
      <c r="AC546" s="330"/>
      <c r="AD546" s="330"/>
      <c r="AE546" s="330"/>
      <c r="AF546" s="330"/>
      <c r="AG546" s="330"/>
      <c r="AH546" s="330"/>
      <c r="AI546" s="330"/>
      <c r="AJ546" s="330"/>
      <c r="AK546" s="330"/>
      <c r="AL546" s="329"/>
      <c r="AM546" s="329"/>
      <c r="AN546" s="330"/>
      <c r="AO546" s="330"/>
      <c r="AP546" s="330"/>
      <c r="AQ546" s="330"/>
      <c r="AR546" s="231"/>
      <c r="AS546" s="333"/>
      <c r="AT546" s="206"/>
      <c r="AU546" s="328"/>
      <c r="AV546" s="206"/>
      <c r="AW546" s="206"/>
      <c r="AX546" s="206"/>
      <c r="AY546" s="206"/>
      <c r="AZ546" s="206"/>
      <c r="BA546" s="206"/>
      <c r="BB546" s="206"/>
      <c r="BC546" s="206"/>
      <c r="BD546" s="206"/>
      <c r="BE546" s="206"/>
      <c r="BF546" s="206"/>
      <c r="BG546" s="330"/>
      <c r="BH546" s="330"/>
      <c r="BI546" s="330"/>
      <c r="BJ546" s="330"/>
      <c r="BK546" s="330"/>
      <c r="BL546" s="330"/>
      <c r="BM546" s="330"/>
      <c r="BN546" s="330"/>
      <c r="BO546" s="330"/>
      <c r="BP546" s="330"/>
      <c r="BQ546" s="330"/>
      <c r="BR546" s="330"/>
      <c r="BS546" s="330"/>
      <c r="BT546" s="330"/>
      <c r="BU546" s="330"/>
      <c r="BV546" s="330"/>
      <c r="BW546" s="330"/>
      <c r="BX546" s="330"/>
      <c r="BY546" s="330"/>
      <c r="BZ546" s="330"/>
    </row>
    <row r="547" spans="1:78" x14ac:dyDescent="0.25">
      <c r="A547" s="331"/>
      <c r="B547" s="328"/>
      <c r="C547" s="328"/>
      <c r="D547" s="329"/>
      <c r="E547" s="330"/>
      <c r="F547" s="330"/>
      <c r="G547" s="330"/>
      <c r="H547" s="330"/>
      <c r="I547" s="330"/>
      <c r="J547" s="330"/>
      <c r="K547" s="330"/>
      <c r="L547" s="329"/>
      <c r="M547" s="329"/>
      <c r="N547" s="330"/>
      <c r="O547" s="330"/>
      <c r="P547" s="330"/>
      <c r="Q547" s="330"/>
      <c r="R547" s="330"/>
      <c r="S547" s="330"/>
      <c r="T547" s="330"/>
      <c r="U547" s="330"/>
      <c r="V547" s="330"/>
      <c r="W547" s="330"/>
      <c r="X547" s="329"/>
      <c r="Y547" s="330"/>
      <c r="Z547" s="330"/>
      <c r="AA547" s="330"/>
      <c r="AB547" s="330"/>
      <c r="AC547" s="330"/>
      <c r="AD547" s="330"/>
      <c r="AE547" s="330"/>
      <c r="AF547" s="330"/>
      <c r="AG547" s="330"/>
      <c r="AH547" s="330"/>
      <c r="AI547" s="330"/>
      <c r="AJ547" s="330"/>
      <c r="AK547" s="330"/>
      <c r="AL547" s="329"/>
      <c r="AM547" s="329"/>
      <c r="AN547" s="330"/>
      <c r="AO547" s="330"/>
      <c r="AP547" s="330"/>
      <c r="AQ547" s="330"/>
      <c r="AR547" s="231"/>
      <c r="AS547" s="333"/>
      <c r="AT547" s="206"/>
      <c r="AU547" s="328"/>
      <c r="AV547" s="206"/>
      <c r="AW547" s="206"/>
      <c r="AX547" s="206"/>
      <c r="AY547" s="206"/>
      <c r="AZ547" s="206"/>
      <c r="BA547" s="206"/>
      <c r="BB547" s="206"/>
      <c r="BC547" s="206"/>
      <c r="BD547" s="206"/>
      <c r="BE547" s="206"/>
      <c r="BF547" s="206"/>
      <c r="BG547" s="330"/>
      <c r="BH547" s="330"/>
      <c r="BI547" s="330"/>
      <c r="BJ547" s="330"/>
      <c r="BK547" s="330"/>
      <c r="BL547" s="330"/>
      <c r="BM547" s="330"/>
      <c r="BN547" s="330"/>
      <c r="BO547" s="330"/>
      <c r="BP547" s="330"/>
      <c r="BQ547" s="330"/>
      <c r="BR547" s="330"/>
      <c r="BS547" s="330"/>
      <c r="BT547" s="330"/>
      <c r="BU547" s="330"/>
      <c r="BV547" s="330"/>
      <c r="BW547" s="330"/>
      <c r="BX547" s="330"/>
      <c r="BY547" s="330"/>
      <c r="BZ547" s="330"/>
    </row>
    <row r="548" spans="1:78" x14ac:dyDescent="0.25">
      <c r="A548" s="331"/>
      <c r="B548" s="328"/>
      <c r="C548" s="328"/>
      <c r="D548" s="329"/>
      <c r="E548" s="330"/>
      <c r="F548" s="330"/>
      <c r="G548" s="330"/>
      <c r="H548" s="330"/>
      <c r="I548" s="330"/>
      <c r="J548" s="330"/>
      <c r="K548" s="330"/>
      <c r="L548" s="329"/>
      <c r="M548" s="329"/>
      <c r="N548" s="330"/>
      <c r="O548" s="330"/>
      <c r="P548" s="330"/>
      <c r="Q548" s="330"/>
      <c r="R548" s="330"/>
      <c r="S548" s="330"/>
      <c r="T548" s="330"/>
      <c r="U548" s="330"/>
      <c r="V548" s="330"/>
      <c r="W548" s="330"/>
      <c r="X548" s="329"/>
      <c r="Y548" s="330"/>
      <c r="Z548" s="330"/>
      <c r="AA548" s="330"/>
      <c r="AB548" s="330"/>
      <c r="AC548" s="330"/>
      <c r="AD548" s="330"/>
      <c r="AE548" s="330"/>
      <c r="AF548" s="330"/>
      <c r="AG548" s="330"/>
      <c r="AH548" s="330"/>
      <c r="AI548" s="330"/>
      <c r="AJ548" s="330"/>
      <c r="AK548" s="330"/>
      <c r="AL548" s="329"/>
      <c r="AM548" s="329"/>
      <c r="AN548" s="330"/>
      <c r="AO548" s="330"/>
      <c r="AP548" s="330"/>
      <c r="AQ548" s="330"/>
      <c r="AR548" s="231"/>
      <c r="AS548" s="333"/>
      <c r="AT548" s="206"/>
      <c r="AU548" s="328"/>
      <c r="AV548" s="206"/>
      <c r="AW548" s="206"/>
      <c r="AX548" s="206"/>
      <c r="AY548" s="206"/>
      <c r="AZ548" s="206"/>
      <c r="BA548" s="206"/>
      <c r="BB548" s="206"/>
      <c r="BC548" s="206"/>
      <c r="BD548" s="206"/>
      <c r="BE548" s="206"/>
      <c r="BF548" s="206"/>
      <c r="BG548" s="330"/>
      <c r="BH548" s="330"/>
      <c r="BI548" s="330"/>
      <c r="BJ548" s="330"/>
      <c r="BK548" s="330"/>
      <c r="BL548" s="330"/>
      <c r="BM548" s="330"/>
      <c r="BN548" s="330"/>
      <c r="BO548" s="330"/>
      <c r="BP548" s="330"/>
      <c r="BQ548" s="330"/>
      <c r="BR548" s="330"/>
      <c r="BS548" s="330"/>
      <c r="BT548" s="330"/>
      <c r="BU548" s="330"/>
      <c r="BV548" s="330"/>
      <c r="BW548" s="330"/>
      <c r="BX548" s="330"/>
      <c r="BY548" s="330"/>
      <c r="BZ548" s="330"/>
    </row>
    <row r="549" spans="1:78" x14ac:dyDescent="0.25">
      <c r="A549" s="331"/>
      <c r="B549" s="328"/>
      <c r="C549" s="328"/>
      <c r="D549" s="329"/>
      <c r="E549" s="330"/>
      <c r="F549" s="330"/>
      <c r="G549" s="330"/>
      <c r="H549" s="330"/>
      <c r="I549" s="330"/>
      <c r="J549" s="330"/>
      <c r="K549" s="330"/>
      <c r="L549" s="329"/>
      <c r="M549" s="329"/>
      <c r="N549" s="330"/>
      <c r="O549" s="330"/>
      <c r="P549" s="330"/>
      <c r="Q549" s="330"/>
      <c r="R549" s="330"/>
      <c r="S549" s="330"/>
      <c r="T549" s="330"/>
      <c r="U549" s="330"/>
      <c r="V549" s="330"/>
      <c r="W549" s="330"/>
      <c r="X549" s="329"/>
      <c r="Y549" s="330"/>
      <c r="Z549" s="330"/>
      <c r="AA549" s="330"/>
      <c r="AB549" s="330"/>
      <c r="AC549" s="330"/>
      <c r="AD549" s="330"/>
      <c r="AE549" s="330"/>
      <c r="AF549" s="330"/>
      <c r="AG549" s="330"/>
      <c r="AH549" s="330"/>
      <c r="AI549" s="330"/>
      <c r="AJ549" s="330"/>
      <c r="AK549" s="330"/>
      <c r="AL549" s="329"/>
      <c r="AM549" s="329"/>
      <c r="AN549" s="330"/>
      <c r="AO549" s="330"/>
      <c r="AP549" s="330"/>
      <c r="AQ549" s="330"/>
      <c r="AR549" s="231"/>
      <c r="AS549" s="333"/>
      <c r="AT549" s="206"/>
      <c r="AU549" s="328"/>
      <c r="AV549" s="206"/>
      <c r="AW549" s="206"/>
      <c r="AX549" s="206"/>
      <c r="AY549" s="206"/>
      <c r="AZ549" s="206"/>
      <c r="BA549" s="206"/>
      <c r="BB549" s="206"/>
      <c r="BC549" s="206"/>
      <c r="BD549" s="206"/>
      <c r="BE549" s="206"/>
      <c r="BF549" s="206"/>
      <c r="BG549" s="330"/>
      <c r="BH549" s="330"/>
      <c r="BI549" s="330"/>
      <c r="BJ549" s="330"/>
      <c r="BK549" s="330"/>
      <c r="BL549" s="330"/>
      <c r="BM549" s="330"/>
      <c r="BN549" s="330"/>
      <c r="BO549" s="330"/>
      <c r="BP549" s="330"/>
      <c r="BQ549" s="330"/>
      <c r="BR549" s="330"/>
      <c r="BS549" s="330"/>
      <c r="BT549" s="330"/>
      <c r="BU549" s="330"/>
      <c r="BV549" s="330"/>
      <c r="BW549" s="330"/>
      <c r="BX549" s="330"/>
      <c r="BY549" s="330"/>
      <c r="BZ549" s="330"/>
    </row>
    <row r="550" spans="1:78" x14ac:dyDescent="0.25">
      <c r="A550" s="331"/>
      <c r="B550" s="328"/>
      <c r="C550" s="328"/>
      <c r="D550" s="329"/>
      <c r="E550" s="330"/>
      <c r="F550" s="330"/>
      <c r="G550" s="330"/>
      <c r="H550" s="330"/>
      <c r="I550" s="330"/>
      <c r="J550" s="330"/>
      <c r="K550" s="330"/>
      <c r="L550" s="329"/>
      <c r="M550" s="329"/>
      <c r="N550" s="330"/>
      <c r="O550" s="330"/>
      <c r="P550" s="330"/>
      <c r="Q550" s="330"/>
      <c r="R550" s="330"/>
      <c r="S550" s="330"/>
      <c r="T550" s="330"/>
      <c r="U550" s="330"/>
      <c r="V550" s="330"/>
      <c r="W550" s="330"/>
      <c r="X550" s="329"/>
      <c r="Y550" s="330"/>
      <c r="Z550" s="330"/>
      <c r="AA550" s="330"/>
      <c r="AB550" s="330"/>
      <c r="AC550" s="330"/>
      <c r="AD550" s="330"/>
      <c r="AE550" s="330"/>
      <c r="AF550" s="330"/>
      <c r="AG550" s="330"/>
      <c r="AH550" s="330"/>
      <c r="AI550" s="330"/>
      <c r="AJ550" s="330"/>
      <c r="AK550" s="330"/>
      <c r="AL550" s="329"/>
      <c r="AM550" s="329"/>
      <c r="AN550" s="330"/>
      <c r="AO550" s="330"/>
      <c r="AP550" s="330"/>
      <c r="AQ550" s="330"/>
      <c r="AR550" s="231"/>
      <c r="AS550" s="333"/>
      <c r="AT550" s="206"/>
      <c r="AU550" s="328"/>
      <c r="AV550" s="206"/>
      <c r="AW550" s="206"/>
      <c r="AX550" s="206"/>
      <c r="AY550" s="206"/>
      <c r="AZ550" s="206"/>
      <c r="BA550" s="206"/>
      <c r="BB550" s="206"/>
      <c r="BC550" s="206"/>
      <c r="BD550" s="206"/>
      <c r="BE550" s="206"/>
      <c r="BF550" s="206"/>
      <c r="BG550" s="330"/>
      <c r="BH550" s="330"/>
      <c r="BI550" s="330"/>
      <c r="BJ550" s="330"/>
      <c r="BK550" s="330"/>
      <c r="BL550" s="330"/>
      <c r="BM550" s="330"/>
      <c r="BN550" s="330"/>
      <c r="BO550" s="330"/>
      <c r="BP550" s="330"/>
      <c r="BQ550" s="330"/>
      <c r="BR550" s="330"/>
      <c r="BS550" s="330"/>
      <c r="BT550" s="330"/>
      <c r="BU550" s="330"/>
      <c r="BV550" s="330"/>
      <c r="BW550" s="330"/>
      <c r="BX550" s="330"/>
      <c r="BY550" s="330"/>
      <c r="BZ550" s="330"/>
    </row>
    <row r="551" spans="1:78" x14ac:dyDescent="0.25">
      <c r="A551" s="331"/>
      <c r="B551" s="328"/>
      <c r="C551" s="328"/>
      <c r="D551" s="329"/>
      <c r="E551" s="330"/>
      <c r="F551" s="330"/>
      <c r="G551" s="330"/>
      <c r="H551" s="330"/>
      <c r="I551" s="330"/>
      <c r="J551" s="330"/>
      <c r="K551" s="330"/>
      <c r="L551" s="329"/>
      <c r="M551" s="329"/>
      <c r="N551" s="330"/>
      <c r="O551" s="330"/>
      <c r="P551" s="330"/>
      <c r="Q551" s="330"/>
      <c r="R551" s="330"/>
      <c r="S551" s="330"/>
      <c r="T551" s="330"/>
      <c r="U551" s="330"/>
      <c r="V551" s="330"/>
      <c r="W551" s="330"/>
      <c r="X551" s="329"/>
      <c r="Y551" s="330"/>
      <c r="Z551" s="330"/>
      <c r="AA551" s="330"/>
      <c r="AB551" s="330"/>
      <c r="AC551" s="330"/>
      <c r="AD551" s="330"/>
      <c r="AE551" s="330"/>
      <c r="AF551" s="330"/>
      <c r="AG551" s="330"/>
      <c r="AH551" s="330"/>
      <c r="AI551" s="330"/>
      <c r="AJ551" s="330"/>
      <c r="AK551" s="330"/>
      <c r="AL551" s="329"/>
      <c r="AM551" s="329"/>
      <c r="AN551" s="330"/>
      <c r="AO551" s="330"/>
      <c r="AP551" s="330"/>
      <c r="AQ551" s="330"/>
      <c r="AR551" s="231"/>
      <c r="AS551" s="333"/>
      <c r="AT551" s="206"/>
      <c r="AU551" s="328"/>
      <c r="AV551" s="206"/>
      <c r="AW551" s="206"/>
      <c r="AX551" s="206"/>
      <c r="AY551" s="206"/>
      <c r="AZ551" s="206"/>
      <c r="BA551" s="206"/>
      <c r="BB551" s="206"/>
      <c r="BC551" s="206"/>
      <c r="BD551" s="206"/>
      <c r="BE551" s="206"/>
      <c r="BF551" s="206"/>
      <c r="BG551" s="330"/>
      <c r="BH551" s="330"/>
      <c r="BI551" s="330"/>
      <c r="BJ551" s="330"/>
      <c r="BK551" s="330"/>
      <c r="BL551" s="330"/>
      <c r="BM551" s="330"/>
      <c r="BN551" s="330"/>
      <c r="BO551" s="330"/>
      <c r="BP551" s="330"/>
      <c r="BQ551" s="330"/>
      <c r="BR551" s="330"/>
      <c r="BS551" s="330"/>
      <c r="BT551" s="330"/>
      <c r="BU551" s="330"/>
      <c r="BV551" s="330"/>
      <c r="BW551" s="330"/>
      <c r="BX551" s="330"/>
      <c r="BY551" s="330"/>
      <c r="BZ551" s="330"/>
    </row>
    <row r="552" spans="1:78" x14ac:dyDescent="0.25">
      <c r="A552" s="331"/>
      <c r="B552" s="328"/>
      <c r="C552" s="328"/>
      <c r="D552" s="329"/>
      <c r="E552" s="330"/>
      <c r="F552" s="330"/>
      <c r="G552" s="330"/>
      <c r="H552" s="330"/>
      <c r="I552" s="330"/>
      <c r="J552" s="330"/>
      <c r="K552" s="330"/>
      <c r="L552" s="329"/>
      <c r="M552" s="329"/>
      <c r="N552" s="330"/>
      <c r="O552" s="330"/>
      <c r="P552" s="330"/>
      <c r="Q552" s="330"/>
      <c r="R552" s="330"/>
      <c r="S552" s="330"/>
      <c r="T552" s="330"/>
      <c r="U552" s="330"/>
      <c r="V552" s="330"/>
      <c r="W552" s="330"/>
      <c r="X552" s="329"/>
      <c r="Y552" s="330"/>
      <c r="Z552" s="330"/>
      <c r="AA552" s="330"/>
      <c r="AB552" s="330"/>
      <c r="AC552" s="330"/>
      <c r="AD552" s="330"/>
      <c r="AE552" s="330"/>
      <c r="AF552" s="330"/>
      <c r="AG552" s="330"/>
      <c r="AH552" s="330"/>
      <c r="AI552" s="330"/>
      <c r="AJ552" s="330"/>
      <c r="AK552" s="330"/>
      <c r="AL552" s="329"/>
      <c r="AM552" s="329"/>
      <c r="AN552" s="330"/>
      <c r="AO552" s="330"/>
      <c r="AP552" s="330"/>
      <c r="AQ552" s="330"/>
      <c r="AR552" s="231"/>
      <c r="AS552" s="333"/>
      <c r="AT552" s="206"/>
      <c r="AU552" s="328"/>
      <c r="AV552" s="206"/>
      <c r="AW552" s="206"/>
      <c r="AX552" s="206"/>
      <c r="AY552" s="206"/>
      <c r="AZ552" s="206"/>
      <c r="BA552" s="206"/>
      <c r="BB552" s="206"/>
      <c r="BC552" s="206"/>
      <c r="BD552" s="206"/>
      <c r="BE552" s="206"/>
      <c r="BF552" s="206"/>
      <c r="BG552" s="330"/>
      <c r="BH552" s="330"/>
      <c r="BI552" s="330"/>
      <c r="BJ552" s="330"/>
      <c r="BK552" s="330"/>
      <c r="BL552" s="330"/>
      <c r="BM552" s="330"/>
      <c r="BN552" s="330"/>
      <c r="BO552" s="330"/>
      <c r="BP552" s="330"/>
      <c r="BQ552" s="330"/>
      <c r="BR552" s="330"/>
      <c r="BS552" s="330"/>
      <c r="BT552" s="330"/>
      <c r="BU552" s="330"/>
      <c r="BV552" s="330"/>
      <c r="BW552" s="330"/>
      <c r="BX552" s="330"/>
      <c r="BY552" s="330"/>
      <c r="BZ552" s="330"/>
    </row>
    <row r="553" spans="1:78" x14ac:dyDescent="0.25">
      <c r="A553" s="331"/>
      <c r="B553" s="328"/>
      <c r="C553" s="328"/>
      <c r="D553" s="329"/>
      <c r="E553" s="330"/>
      <c r="F553" s="330"/>
      <c r="G553" s="330"/>
      <c r="H553" s="330"/>
      <c r="I553" s="330"/>
      <c r="J553" s="330"/>
      <c r="K553" s="330"/>
      <c r="L553" s="329"/>
      <c r="M553" s="329"/>
      <c r="N553" s="330"/>
      <c r="O553" s="330"/>
      <c r="P553" s="330"/>
      <c r="Q553" s="330"/>
      <c r="R553" s="330"/>
      <c r="S553" s="330"/>
      <c r="T553" s="330"/>
      <c r="U553" s="330"/>
      <c r="V553" s="330"/>
      <c r="W553" s="330"/>
      <c r="X553" s="329"/>
      <c r="Y553" s="330"/>
      <c r="Z553" s="330"/>
      <c r="AA553" s="330"/>
      <c r="AB553" s="330"/>
      <c r="AC553" s="330"/>
      <c r="AD553" s="330"/>
      <c r="AE553" s="330"/>
      <c r="AF553" s="330"/>
      <c r="AG553" s="330"/>
      <c r="AH553" s="330"/>
      <c r="AI553" s="330"/>
      <c r="AJ553" s="330"/>
      <c r="AK553" s="330"/>
      <c r="AL553" s="329"/>
      <c r="AM553" s="329"/>
      <c r="AN553" s="330"/>
      <c r="AO553" s="330"/>
      <c r="AP553" s="330"/>
      <c r="AQ553" s="330"/>
      <c r="AR553" s="231"/>
      <c r="AS553" s="333"/>
      <c r="AT553" s="206"/>
      <c r="AU553" s="328"/>
      <c r="AV553" s="206"/>
      <c r="AW553" s="206"/>
      <c r="AX553" s="206"/>
      <c r="AY553" s="206"/>
      <c r="AZ553" s="206"/>
      <c r="BA553" s="206"/>
      <c r="BB553" s="206"/>
      <c r="BC553" s="206"/>
      <c r="BD553" s="206"/>
      <c r="BE553" s="206"/>
      <c r="BF553" s="206"/>
      <c r="BG553" s="330"/>
      <c r="BH553" s="330"/>
      <c r="BI553" s="330"/>
      <c r="BJ553" s="330"/>
      <c r="BK553" s="330"/>
      <c r="BL553" s="330"/>
      <c r="BM553" s="330"/>
      <c r="BN553" s="330"/>
      <c r="BO553" s="330"/>
      <c r="BP553" s="330"/>
      <c r="BQ553" s="330"/>
      <c r="BR553" s="330"/>
      <c r="BS553" s="330"/>
      <c r="BT553" s="330"/>
      <c r="BU553" s="330"/>
      <c r="BV553" s="330"/>
      <c r="BW553" s="330"/>
      <c r="BX553" s="330"/>
      <c r="BY553" s="330"/>
      <c r="BZ553" s="330"/>
    </row>
    <row r="554" spans="1:78" x14ac:dyDescent="0.25">
      <c r="A554" s="331"/>
      <c r="B554" s="328"/>
      <c r="C554" s="328"/>
      <c r="D554" s="329"/>
      <c r="E554" s="330"/>
      <c r="F554" s="330"/>
      <c r="G554" s="330"/>
      <c r="H554" s="330"/>
      <c r="I554" s="330"/>
      <c r="J554" s="330"/>
      <c r="K554" s="330"/>
      <c r="L554" s="329"/>
      <c r="M554" s="329"/>
      <c r="N554" s="330"/>
      <c r="O554" s="330"/>
      <c r="P554" s="330"/>
      <c r="Q554" s="330"/>
      <c r="R554" s="330"/>
      <c r="S554" s="330"/>
      <c r="T554" s="330"/>
      <c r="U554" s="330"/>
      <c r="V554" s="330"/>
      <c r="W554" s="330"/>
      <c r="X554" s="329"/>
      <c r="Y554" s="330"/>
      <c r="Z554" s="330"/>
      <c r="AA554" s="330"/>
      <c r="AB554" s="330"/>
      <c r="AC554" s="330"/>
      <c r="AD554" s="330"/>
      <c r="AE554" s="330"/>
      <c r="AF554" s="330"/>
      <c r="AG554" s="330"/>
      <c r="AH554" s="330"/>
      <c r="AI554" s="330"/>
      <c r="AJ554" s="330"/>
      <c r="AK554" s="330"/>
      <c r="AL554" s="329"/>
      <c r="AM554" s="329"/>
      <c r="AN554" s="330"/>
      <c r="AO554" s="330"/>
      <c r="AP554" s="330"/>
      <c r="AQ554" s="330"/>
      <c r="AR554" s="231"/>
      <c r="AS554" s="333"/>
      <c r="AT554" s="206"/>
      <c r="AU554" s="328"/>
      <c r="AV554" s="206"/>
      <c r="AW554" s="206"/>
      <c r="AX554" s="206"/>
      <c r="AY554" s="206"/>
      <c r="AZ554" s="206"/>
      <c r="BA554" s="206"/>
      <c r="BB554" s="206"/>
      <c r="BC554" s="206"/>
      <c r="BD554" s="206"/>
      <c r="BE554" s="206"/>
      <c r="BF554" s="206"/>
      <c r="BG554" s="330"/>
      <c r="BH554" s="330"/>
      <c r="BI554" s="330"/>
      <c r="BJ554" s="330"/>
      <c r="BK554" s="330"/>
      <c r="BL554" s="330"/>
      <c r="BM554" s="330"/>
      <c r="BN554" s="330"/>
      <c r="BO554" s="330"/>
      <c r="BP554" s="330"/>
      <c r="BQ554" s="330"/>
      <c r="BR554" s="330"/>
      <c r="BS554" s="330"/>
      <c r="BT554" s="330"/>
      <c r="BU554" s="330"/>
      <c r="BV554" s="330"/>
      <c r="BW554" s="330"/>
      <c r="BX554" s="330"/>
      <c r="BY554" s="330"/>
      <c r="BZ554" s="330"/>
    </row>
    <row r="555" spans="1:78" x14ac:dyDescent="0.25">
      <c r="A555" s="331"/>
      <c r="B555" s="328"/>
      <c r="C555" s="328"/>
      <c r="D555" s="329"/>
      <c r="E555" s="330"/>
      <c r="F555" s="330"/>
      <c r="G555" s="330"/>
      <c r="H555" s="330"/>
      <c r="I555" s="330"/>
      <c r="J555" s="330"/>
      <c r="K555" s="330"/>
      <c r="L555" s="329"/>
      <c r="M555" s="329"/>
      <c r="N555" s="330"/>
      <c r="O555" s="330"/>
      <c r="P555" s="330"/>
      <c r="Q555" s="330"/>
      <c r="R555" s="330"/>
      <c r="S555" s="330"/>
      <c r="T555" s="330"/>
      <c r="U555" s="330"/>
      <c r="V555" s="330"/>
      <c r="W555" s="330"/>
      <c r="X555" s="329"/>
      <c r="Y555" s="330"/>
      <c r="Z555" s="330"/>
      <c r="AA555" s="330"/>
      <c r="AB555" s="330"/>
      <c r="AC555" s="330"/>
      <c r="AD555" s="330"/>
      <c r="AE555" s="330"/>
      <c r="AF555" s="330"/>
      <c r="AG555" s="330"/>
      <c r="AH555" s="330"/>
      <c r="AI555" s="330"/>
      <c r="AJ555" s="330"/>
      <c r="AK555" s="330"/>
      <c r="AL555" s="329"/>
      <c r="AM555" s="329"/>
      <c r="AN555" s="330"/>
      <c r="AO555" s="330"/>
      <c r="AP555" s="330"/>
      <c r="AQ555" s="330"/>
      <c r="AR555" s="231"/>
      <c r="AS555" s="333"/>
      <c r="AT555" s="206"/>
      <c r="AU555" s="328"/>
      <c r="AV555" s="206"/>
      <c r="AW555" s="206"/>
      <c r="AX555" s="206"/>
      <c r="AY555" s="206"/>
      <c r="AZ555" s="206"/>
      <c r="BA555" s="206"/>
      <c r="BB555" s="206"/>
      <c r="BC555" s="206"/>
      <c r="BD555" s="206"/>
      <c r="BE555" s="206"/>
      <c r="BF555" s="206"/>
      <c r="BG555" s="330"/>
      <c r="BH555" s="330"/>
      <c r="BI555" s="330"/>
      <c r="BJ555" s="330"/>
      <c r="BK555" s="330"/>
      <c r="BL555" s="330"/>
      <c r="BM555" s="330"/>
      <c r="BN555" s="330"/>
      <c r="BO555" s="330"/>
      <c r="BP555" s="330"/>
      <c r="BQ555" s="330"/>
      <c r="BR555" s="330"/>
      <c r="BS555" s="330"/>
      <c r="BT555" s="330"/>
      <c r="BU555" s="330"/>
      <c r="BV555" s="330"/>
      <c r="BW555" s="330"/>
      <c r="BX555" s="330"/>
      <c r="BY555" s="330"/>
      <c r="BZ555" s="330"/>
    </row>
    <row r="556" spans="1:78" x14ac:dyDescent="0.25">
      <c r="A556" s="331"/>
      <c r="B556" s="328"/>
      <c r="C556" s="328"/>
      <c r="D556" s="329"/>
      <c r="E556" s="330"/>
      <c r="F556" s="330"/>
      <c r="G556" s="330"/>
      <c r="H556" s="330"/>
      <c r="I556" s="330"/>
      <c r="J556" s="330"/>
      <c r="K556" s="330"/>
      <c r="L556" s="329"/>
      <c r="M556" s="329"/>
      <c r="N556" s="330"/>
      <c r="O556" s="330"/>
      <c r="P556" s="330"/>
      <c r="Q556" s="330"/>
      <c r="R556" s="330"/>
      <c r="S556" s="330"/>
      <c r="T556" s="330"/>
      <c r="U556" s="330"/>
      <c r="V556" s="330"/>
      <c r="W556" s="330"/>
      <c r="X556" s="329"/>
      <c r="Y556" s="330"/>
      <c r="Z556" s="330"/>
      <c r="AA556" s="330"/>
      <c r="AB556" s="330"/>
      <c r="AC556" s="330"/>
      <c r="AD556" s="330"/>
      <c r="AE556" s="330"/>
      <c r="AF556" s="330"/>
      <c r="AG556" s="330"/>
      <c r="AH556" s="330"/>
      <c r="AI556" s="330"/>
      <c r="AJ556" s="330"/>
      <c r="AK556" s="330"/>
      <c r="AL556" s="329"/>
      <c r="AM556" s="329"/>
      <c r="AN556" s="330"/>
      <c r="AO556" s="330"/>
      <c r="AP556" s="330"/>
      <c r="AQ556" s="330"/>
      <c r="AR556" s="231"/>
      <c r="AS556" s="333"/>
      <c r="AT556" s="206"/>
      <c r="AU556" s="328"/>
      <c r="AV556" s="206"/>
      <c r="AW556" s="206"/>
      <c r="AX556" s="206"/>
      <c r="AY556" s="206"/>
      <c r="AZ556" s="206"/>
      <c r="BA556" s="206"/>
      <c r="BB556" s="206"/>
      <c r="BC556" s="206"/>
      <c r="BD556" s="206"/>
      <c r="BE556" s="206"/>
      <c r="BF556" s="206"/>
      <c r="BG556" s="330"/>
      <c r="BH556" s="330"/>
      <c r="BI556" s="330"/>
      <c r="BJ556" s="330"/>
      <c r="BK556" s="330"/>
      <c r="BL556" s="330"/>
      <c r="BM556" s="330"/>
      <c r="BN556" s="330"/>
      <c r="BO556" s="330"/>
      <c r="BP556" s="330"/>
      <c r="BQ556" s="330"/>
      <c r="BR556" s="330"/>
      <c r="BS556" s="330"/>
      <c r="BT556" s="330"/>
      <c r="BU556" s="330"/>
      <c r="BV556" s="330"/>
      <c r="BW556" s="330"/>
      <c r="BX556" s="330"/>
      <c r="BY556" s="330"/>
      <c r="BZ556" s="330"/>
    </row>
    <row r="557" spans="1:78" x14ac:dyDescent="0.25">
      <c r="A557" s="331"/>
      <c r="B557" s="328"/>
      <c r="C557" s="328"/>
      <c r="D557" s="329"/>
      <c r="E557" s="330"/>
      <c r="F557" s="330"/>
      <c r="G557" s="330"/>
      <c r="H557" s="330"/>
      <c r="I557" s="330"/>
      <c r="J557" s="330"/>
      <c r="K557" s="330"/>
      <c r="L557" s="329"/>
      <c r="M557" s="329"/>
      <c r="N557" s="330"/>
      <c r="O557" s="330"/>
      <c r="P557" s="330"/>
      <c r="Q557" s="330"/>
      <c r="R557" s="330"/>
      <c r="S557" s="330"/>
      <c r="T557" s="330"/>
      <c r="U557" s="330"/>
      <c r="V557" s="330"/>
      <c r="W557" s="330"/>
      <c r="X557" s="329"/>
      <c r="Y557" s="330"/>
      <c r="Z557" s="330"/>
      <c r="AA557" s="330"/>
      <c r="AB557" s="330"/>
      <c r="AC557" s="330"/>
      <c r="AD557" s="330"/>
      <c r="AE557" s="330"/>
      <c r="AF557" s="330"/>
      <c r="AG557" s="330"/>
      <c r="AH557" s="330"/>
      <c r="AI557" s="330"/>
      <c r="AJ557" s="330"/>
      <c r="AK557" s="330"/>
      <c r="AL557" s="329"/>
      <c r="AM557" s="329"/>
      <c r="AN557" s="330"/>
      <c r="AO557" s="330"/>
      <c r="AP557" s="330"/>
      <c r="AQ557" s="330"/>
      <c r="AR557" s="231"/>
      <c r="AS557" s="333"/>
      <c r="AT557" s="206"/>
      <c r="AU557" s="328"/>
      <c r="AV557" s="206"/>
      <c r="AW557" s="206"/>
      <c r="AX557" s="206"/>
      <c r="AY557" s="206"/>
      <c r="AZ557" s="206"/>
      <c r="BA557" s="206"/>
      <c r="BB557" s="206"/>
      <c r="BC557" s="206"/>
      <c r="BD557" s="206"/>
      <c r="BE557" s="206"/>
      <c r="BF557" s="206"/>
      <c r="BG557" s="330"/>
      <c r="BH557" s="330"/>
      <c r="BI557" s="330"/>
      <c r="BJ557" s="330"/>
      <c r="BK557" s="330"/>
      <c r="BL557" s="330"/>
      <c r="BM557" s="330"/>
      <c r="BN557" s="330"/>
      <c r="BO557" s="330"/>
      <c r="BP557" s="330"/>
      <c r="BQ557" s="330"/>
      <c r="BR557" s="330"/>
      <c r="BS557" s="330"/>
      <c r="BT557" s="330"/>
      <c r="BU557" s="330"/>
      <c r="BV557" s="330"/>
      <c r="BW557" s="330"/>
      <c r="BX557" s="330"/>
      <c r="BY557" s="330"/>
      <c r="BZ557" s="330"/>
    </row>
    <row r="558" spans="1:78" x14ac:dyDescent="0.25">
      <c r="A558" s="331"/>
      <c r="B558" s="328"/>
      <c r="C558" s="328"/>
      <c r="D558" s="329"/>
      <c r="E558" s="330"/>
      <c r="F558" s="330"/>
      <c r="G558" s="330"/>
      <c r="H558" s="330"/>
      <c r="I558" s="330"/>
      <c r="J558" s="330"/>
      <c r="K558" s="330"/>
      <c r="L558" s="329"/>
      <c r="M558" s="329"/>
      <c r="N558" s="330"/>
      <c r="O558" s="330"/>
      <c r="P558" s="330"/>
      <c r="Q558" s="330"/>
      <c r="R558" s="330"/>
      <c r="S558" s="330"/>
      <c r="T558" s="330"/>
      <c r="U558" s="330"/>
      <c r="V558" s="330"/>
      <c r="W558" s="330"/>
      <c r="X558" s="329"/>
      <c r="Y558" s="330"/>
      <c r="Z558" s="330"/>
      <c r="AA558" s="330"/>
      <c r="AB558" s="330"/>
      <c r="AC558" s="330"/>
      <c r="AD558" s="330"/>
      <c r="AE558" s="330"/>
      <c r="AF558" s="330"/>
      <c r="AG558" s="330"/>
      <c r="AH558" s="330"/>
      <c r="AI558" s="330"/>
      <c r="AJ558" s="330"/>
      <c r="AK558" s="330"/>
      <c r="AL558" s="329"/>
      <c r="AM558" s="329"/>
      <c r="AN558" s="330"/>
      <c r="AO558" s="330"/>
      <c r="AP558" s="330"/>
      <c r="AQ558" s="330"/>
      <c r="AR558" s="231"/>
      <c r="AS558" s="333"/>
      <c r="AT558" s="206"/>
      <c r="AU558" s="328"/>
      <c r="AV558" s="206"/>
      <c r="AW558" s="206"/>
      <c r="AX558" s="206"/>
      <c r="AY558" s="206"/>
      <c r="AZ558" s="206"/>
      <c r="BA558" s="206"/>
      <c r="BB558" s="206"/>
      <c r="BC558" s="206"/>
      <c r="BD558" s="206"/>
      <c r="BE558" s="206"/>
      <c r="BF558" s="206"/>
      <c r="BG558" s="330"/>
      <c r="BH558" s="330"/>
      <c r="BI558" s="330"/>
      <c r="BJ558" s="330"/>
      <c r="BK558" s="330"/>
      <c r="BL558" s="330"/>
      <c r="BM558" s="330"/>
      <c r="BN558" s="330"/>
      <c r="BO558" s="330"/>
      <c r="BP558" s="330"/>
      <c r="BQ558" s="330"/>
      <c r="BR558" s="330"/>
      <c r="BS558" s="330"/>
      <c r="BT558" s="330"/>
      <c r="BU558" s="330"/>
      <c r="BV558" s="330"/>
      <c r="BW558" s="330"/>
      <c r="BX558" s="330"/>
      <c r="BY558" s="330"/>
      <c r="BZ558" s="330"/>
    </row>
    <row r="559" spans="1:78" x14ac:dyDescent="0.25">
      <c r="A559" s="331"/>
      <c r="B559" s="328"/>
      <c r="C559" s="328"/>
      <c r="D559" s="329"/>
      <c r="E559" s="330"/>
      <c r="F559" s="330"/>
      <c r="G559" s="330"/>
      <c r="H559" s="330"/>
      <c r="I559" s="330"/>
      <c r="J559" s="330"/>
      <c r="K559" s="330"/>
      <c r="L559" s="329"/>
      <c r="M559" s="329"/>
      <c r="N559" s="330"/>
      <c r="O559" s="330"/>
      <c r="P559" s="330"/>
      <c r="Q559" s="330"/>
      <c r="R559" s="330"/>
      <c r="S559" s="330"/>
      <c r="T559" s="330"/>
      <c r="U559" s="330"/>
      <c r="V559" s="330"/>
      <c r="W559" s="330"/>
      <c r="X559" s="329"/>
      <c r="Y559" s="330"/>
      <c r="Z559" s="330"/>
      <c r="AA559" s="330"/>
      <c r="AB559" s="330"/>
      <c r="AC559" s="330"/>
      <c r="AD559" s="330"/>
      <c r="AE559" s="330"/>
      <c r="AF559" s="330"/>
      <c r="AG559" s="330"/>
      <c r="AH559" s="330"/>
      <c r="AI559" s="330"/>
      <c r="AJ559" s="330"/>
      <c r="AK559" s="330"/>
      <c r="AL559" s="329"/>
      <c r="AM559" s="329"/>
      <c r="AN559" s="330"/>
      <c r="AO559" s="330"/>
      <c r="AP559" s="330"/>
      <c r="AQ559" s="330"/>
      <c r="AR559" s="231"/>
      <c r="AS559" s="333"/>
      <c r="AT559" s="206"/>
      <c r="AU559" s="328"/>
      <c r="AV559" s="206"/>
      <c r="AW559" s="206"/>
      <c r="AX559" s="206"/>
      <c r="AY559" s="206"/>
      <c r="AZ559" s="206"/>
      <c r="BA559" s="206"/>
      <c r="BB559" s="206"/>
      <c r="BC559" s="206"/>
      <c r="BD559" s="206"/>
      <c r="BE559" s="206"/>
      <c r="BF559" s="206"/>
      <c r="BG559" s="330"/>
      <c r="BH559" s="330"/>
      <c r="BI559" s="330"/>
      <c r="BJ559" s="330"/>
      <c r="BK559" s="330"/>
      <c r="BL559" s="330"/>
      <c r="BM559" s="330"/>
      <c r="BN559" s="330"/>
      <c r="BO559" s="330"/>
      <c r="BP559" s="330"/>
      <c r="BQ559" s="330"/>
      <c r="BR559" s="330"/>
      <c r="BS559" s="330"/>
      <c r="BT559" s="330"/>
      <c r="BU559" s="330"/>
      <c r="BV559" s="330"/>
      <c r="BW559" s="330"/>
      <c r="BX559" s="330"/>
      <c r="BY559" s="330"/>
      <c r="BZ559" s="330"/>
    </row>
    <row r="560" spans="1:78" x14ac:dyDescent="0.25">
      <c r="A560" s="331"/>
      <c r="B560" s="328"/>
      <c r="C560" s="328"/>
      <c r="D560" s="329"/>
      <c r="E560" s="330"/>
      <c r="F560" s="330"/>
      <c r="G560" s="330"/>
      <c r="H560" s="330"/>
      <c r="I560" s="330"/>
      <c r="J560" s="330"/>
      <c r="K560" s="330"/>
      <c r="L560" s="329"/>
      <c r="M560" s="329"/>
      <c r="N560" s="330"/>
      <c r="O560" s="330"/>
      <c r="P560" s="330"/>
      <c r="Q560" s="330"/>
      <c r="R560" s="330"/>
      <c r="S560" s="330"/>
      <c r="T560" s="330"/>
      <c r="U560" s="330"/>
      <c r="V560" s="330"/>
      <c r="W560" s="330"/>
      <c r="X560" s="329"/>
      <c r="Y560" s="330"/>
      <c r="Z560" s="330"/>
      <c r="AA560" s="330"/>
      <c r="AB560" s="330"/>
      <c r="AC560" s="330"/>
      <c r="AD560" s="330"/>
      <c r="AE560" s="330"/>
      <c r="AF560" s="330"/>
      <c r="AG560" s="330"/>
      <c r="AH560" s="330"/>
      <c r="AI560" s="330"/>
      <c r="AJ560" s="330"/>
      <c r="AK560" s="330"/>
      <c r="AL560" s="329"/>
      <c r="AM560" s="329"/>
      <c r="AN560" s="330"/>
      <c r="AO560" s="330"/>
      <c r="AP560" s="330"/>
      <c r="AQ560" s="330"/>
      <c r="AR560" s="231"/>
      <c r="AS560" s="333"/>
      <c r="AT560" s="206"/>
      <c r="AU560" s="328"/>
      <c r="AV560" s="206"/>
      <c r="AW560" s="206"/>
      <c r="AX560" s="206"/>
      <c r="AY560" s="206"/>
      <c r="AZ560" s="206"/>
      <c r="BA560" s="206"/>
      <c r="BB560" s="206"/>
      <c r="BC560" s="206"/>
      <c r="BD560" s="206"/>
      <c r="BE560" s="206"/>
      <c r="BF560" s="206"/>
      <c r="BG560" s="330"/>
      <c r="BH560" s="330"/>
      <c r="BI560" s="330"/>
      <c r="BJ560" s="330"/>
      <c r="BK560" s="330"/>
      <c r="BL560" s="330"/>
      <c r="BM560" s="330"/>
      <c r="BN560" s="330"/>
      <c r="BO560" s="330"/>
      <c r="BP560" s="330"/>
      <c r="BQ560" s="330"/>
      <c r="BR560" s="330"/>
      <c r="BS560" s="330"/>
      <c r="BT560" s="330"/>
      <c r="BU560" s="330"/>
      <c r="BV560" s="330"/>
      <c r="BW560" s="330"/>
      <c r="BX560" s="330"/>
      <c r="BY560" s="330"/>
      <c r="BZ560" s="330"/>
    </row>
    <row r="561" spans="1:78" x14ac:dyDescent="0.25">
      <c r="A561" s="331"/>
      <c r="B561" s="328"/>
      <c r="C561" s="328"/>
      <c r="D561" s="329"/>
      <c r="E561" s="330"/>
      <c r="F561" s="330"/>
      <c r="G561" s="330"/>
      <c r="H561" s="330"/>
      <c r="I561" s="330"/>
      <c r="J561" s="330"/>
      <c r="K561" s="330"/>
      <c r="L561" s="329"/>
      <c r="M561" s="329"/>
      <c r="N561" s="330"/>
      <c r="O561" s="330"/>
      <c r="P561" s="330"/>
      <c r="Q561" s="330"/>
      <c r="R561" s="330"/>
      <c r="S561" s="330"/>
      <c r="T561" s="330"/>
      <c r="U561" s="330"/>
      <c r="V561" s="330"/>
      <c r="W561" s="330"/>
      <c r="X561" s="329"/>
      <c r="Y561" s="330"/>
      <c r="Z561" s="330"/>
      <c r="AA561" s="330"/>
      <c r="AB561" s="330"/>
      <c r="AC561" s="330"/>
      <c r="AD561" s="330"/>
      <c r="AE561" s="330"/>
      <c r="AF561" s="330"/>
      <c r="AG561" s="330"/>
      <c r="AH561" s="330"/>
      <c r="AI561" s="330"/>
      <c r="AJ561" s="330"/>
      <c r="AK561" s="330"/>
      <c r="AL561" s="329"/>
      <c r="AM561" s="329"/>
      <c r="AN561" s="330"/>
      <c r="AO561" s="330"/>
      <c r="AP561" s="330"/>
      <c r="AQ561" s="330"/>
      <c r="AR561" s="231"/>
      <c r="AS561" s="333"/>
      <c r="AT561" s="206"/>
      <c r="AU561" s="328"/>
      <c r="AV561" s="206"/>
      <c r="AW561" s="206"/>
      <c r="AX561" s="206"/>
      <c r="AY561" s="206"/>
      <c r="AZ561" s="206"/>
      <c r="BA561" s="206"/>
      <c r="BB561" s="206"/>
      <c r="BC561" s="206"/>
      <c r="BD561" s="206"/>
      <c r="BE561" s="206"/>
      <c r="BF561" s="206"/>
      <c r="BG561" s="330"/>
      <c r="BH561" s="330"/>
      <c r="BI561" s="330"/>
      <c r="BJ561" s="330"/>
      <c r="BK561" s="330"/>
      <c r="BL561" s="330"/>
      <c r="BM561" s="330"/>
      <c r="BN561" s="330"/>
      <c r="BO561" s="330"/>
      <c r="BP561" s="330"/>
      <c r="BQ561" s="330"/>
      <c r="BR561" s="330"/>
      <c r="BS561" s="330"/>
      <c r="BT561" s="330"/>
      <c r="BU561" s="330"/>
      <c r="BV561" s="330"/>
      <c r="BW561" s="330"/>
      <c r="BX561" s="330"/>
      <c r="BY561" s="330"/>
      <c r="BZ561" s="330"/>
    </row>
    <row r="562" spans="1:78" x14ac:dyDescent="0.25">
      <c r="A562" s="331"/>
      <c r="B562" s="328"/>
      <c r="C562" s="328"/>
      <c r="D562" s="329"/>
      <c r="E562" s="330"/>
      <c r="F562" s="330"/>
      <c r="G562" s="330"/>
      <c r="H562" s="330"/>
      <c r="I562" s="330"/>
      <c r="J562" s="330"/>
      <c r="K562" s="330"/>
      <c r="L562" s="329"/>
      <c r="M562" s="329"/>
      <c r="N562" s="330"/>
      <c r="O562" s="330"/>
      <c r="P562" s="330"/>
      <c r="Q562" s="330"/>
      <c r="R562" s="330"/>
      <c r="S562" s="330"/>
      <c r="T562" s="330"/>
      <c r="U562" s="330"/>
      <c r="V562" s="330"/>
      <c r="W562" s="330"/>
      <c r="X562" s="329"/>
      <c r="Y562" s="330"/>
      <c r="Z562" s="330"/>
      <c r="AA562" s="330"/>
      <c r="AB562" s="330"/>
      <c r="AC562" s="330"/>
      <c r="AD562" s="330"/>
      <c r="AE562" s="330"/>
      <c r="AF562" s="330"/>
      <c r="AG562" s="330"/>
      <c r="AH562" s="330"/>
      <c r="AI562" s="330"/>
      <c r="AJ562" s="330"/>
      <c r="AK562" s="330"/>
      <c r="AL562" s="329"/>
      <c r="AM562" s="329"/>
      <c r="AN562" s="330"/>
      <c r="AO562" s="330"/>
      <c r="AP562" s="330"/>
      <c r="AQ562" s="330"/>
      <c r="AR562" s="231"/>
      <c r="AS562" s="333"/>
      <c r="AT562" s="206"/>
      <c r="AU562" s="328"/>
      <c r="AV562" s="206"/>
      <c r="AW562" s="206"/>
      <c r="AX562" s="206"/>
      <c r="AY562" s="206"/>
      <c r="AZ562" s="206"/>
      <c r="BA562" s="206"/>
      <c r="BB562" s="206"/>
      <c r="BC562" s="206"/>
      <c r="BD562" s="206"/>
      <c r="BE562" s="206"/>
      <c r="BF562" s="206"/>
      <c r="BG562" s="330"/>
      <c r="BH562" s="330"/>
      <c r="BI562" s="330"/>
      <c r="BJ562" s="330"/>
      <c r="BK562" s="330"/>
      <c r="BL562" s="330"/>
      <c r="BM562" s="330"/>
      <c r="BN562" s="330"/>
      <c r="BO562" s="330"/>
      <c r="BP562" s="330"/>
      <c r="BQ562" s="330"/>
      <c r="BR562" s="330"/>
      <c r="BS562" s="330"/>
      <c r="BT562" s="330"/>
      <c r="BU562" s="330"/>
      <c r="BV562" s="330"/>
      <c r="BW562" s="330"/>
      <c r="BX562" s="330"/>
      <c r="BY562" s="330"/>
      <c r="BZ562" s="330"/>
    </row>
    <row r="563" spans="1:78" x14ac:dyDescent="0.25">
      <c r="A563" s="331"/>
      <c r="B563" s="328"/>
      <c r="C563" s="328"/>
      <c r="D563" s="329"/>
      <c r="E563" s="330"/>
      <c r="F563" s="330"/>
      <c r="G563" s="330"/>
      <c r="H563" s="330"/>
      <c r="I563" s="330"/>
      <c r="J563" s="330"/>
      <c r="K563" s="330"/>
      <c r="L563" s="329"/>
      <c r="M563" s="329"/>
      <c r="N563" s="330"/>
      <c r="O563" s="330"/>
      <c r="P563" s="330"/>
      <c r="Q563" s="330"/>
      <c r="R563" s="330"/>
      <c r="S563" s="330"/>
      <c r="T563" s="330"/>
      <c r="U563" s="330"/>
      <c r="V563" s="330"/>
      <c r="W563" s="330"/>
      <c r="X563" s="329"/>
      <c r="Y563" s="330"/>
      <c r="Z563" s="330"/>
      <c r="AA563" s="330"/>
      <c r="AB563" s="330"/>
      <c r="AC563" s="330"/>
      <c r="AD563" s="330"/>
      <c r="AE563" s="330"/>
      <c r="AF563" s="330"/>
      <c r="AG563" s="330"/>
      <c r="AH563" s="330"/>
      <c r="AI563" s="330"/>
      <c r="AJ563" s="330"/>
      <c r="AK563" s="330"/>
      <c r="AL563" s="329"/>
      <c r="AM563" s="329"/>
      <c r="AN563" s="330"/>
      <c r="AO563" s="330"/>
      <c r="AP563" s="330"/>
      <c r="AQ563" s="330"/>
      <c r="AR563" s="231"/>
      <c r="AS563" s="333"/>
      <c r="AT563" s="206"/>
      <c r="AU563" s="328"/>
      <c r="AV563" s="206"/>
      <c r="AW563" s="206"/>
      <c r="AX563" s="206"/>
      <c r="AY563" s="206"/>
      <c r="AZ563" s="206"/>
      <c r="BA563" s="206"/>
      <c r="BB563" s="206"/>
      <c r="BC563" s="206"/>
      <c r="BD563" s="206"/>
      <c r="BE563" s="206"/>
      <c r="BF563" s="206"/>
      <c r="BG563" s="330"/>
      <c r="BH563" s="330"/>
      <c r="BI563" s="330"/>
      <c r="BJ563" s="330"/>
      <c r="BK563" s="330"/>
      <c r="BL563" s="330"/>
      <c r="BM563" s="330"/>
      <c r="BN563" s="330"/>
      <c r="BO563" s="330"/>
      <c r="BP563" s="330"/>
      <c r="BQ563" s="330"/>
      <c r="BR563" s="330"/>
      <c r="BS563" s="330"/>
      <c r="BT563" s="330"/>
      <c r="BU563" s="330"/>
      <c r="BV563" s="330"/>
      <c r="BW563" s="330"/>
      <c r="BX563" s="330"/>
      <c r="BY563" s="330"/>
      <c r="BZ563" s="330"/>
    </row>
    <row r="564" spans="1:78" x14ac:dyDescent="0.25">
      <c r="A564" s="331"/>
      <c r="B564" s="328"/>
      <c r="C564" s="328"/>
      <c r="D564" s="329"/>
      <c r="E564" s="330"/>
      <c r="F564" s="330"/>
      <c r="G564" s="330"/>
      <c r="H564" s="330"/>
      <c r="I564" s="330"/>
      <c r="J564" s="330"/>
      <c r="K564" s="330"/>
      <c r="L564" s="329"/>
      <c r="M564" s="329"/>
      <c r="N564" s="330"/>
      <c r="O564" s="330"/>
      <c r="P564" s="330"/>
      <c r="Q564" s="330"/>
      <c r="R564" s="330"/>
      <c r="S564" s="330"/>
      <c r="T564" s="330"/>
      <c r="U564" s="330"/>
      <c r="V564" s="330"/>
      <c r="W564" s="330"/>
      <c r="X564" s="329"/>
      <c r="Y564" s="330"/>
      <c r="Z564" s="330"/>
      <c r="AA564" s="330"/>
      <c r="AB564" s="330"/>
      <c r="AC564" s="330"/>
      <c r="AD564" s="330"/>
      <c r="AE564" s="330"/>
      <c r="AF564" s="330"/>
      <c r="AG564" s="330"/>
      <c r="AH564" s="330"/>
      <c r="AI564" s="330"/>
      <c r="AJ564" s="330"/>
      <c r="AK564" s="330"/>
      <c r="AL564" s="329"/>
      <c r="AM564" s="329"/>
      <c r="AN564" s="330"/>
      <c r="AO564" s="330"/>
      <c r="AP564" s="330"/>
      <c r="AQ564" s="330"/>
      <c r="AR564" s="231"/>
      <c r="AS564" s="333"/>
      <c r="AT564" s="206"/>
      <c r="AU564" s="328"/>
      <c r="AV564" s="206"/>
      <c r="AW564" s="206"/>
      <c r="AX564" s="206"/>
      <c r="AY564" s="206"/>
      <c r="AZ564" s="206"/>
      <c r="BA564" s="206"/>
      <c r="BB564" s="206"/>
      <c r="BC564" s="206"/>
      <c r="BD564" s="206"/>
      <c r="BE564" s="206"/>
      <c r="BF564" s="206"/>
      <c r="BG564" s="330"/>
      <c r="BH564" s="330"/>
      <c r="BI564" s="330"/>
      <c r="BJ564" s="330"/>
      <c r="BK564" s="330"/>
      <c r="BL564" s="330"/>
      <c r="BM564" s="330"/>
      <c r="BN564" s="330"/>
      <c r="BO564" s="330"/>
      <c r="BP564" s="330"/>
      <c r="BQ564" s="330"/>
      <c r="BR564" s="330"/>
      <c r="BS564" s="330"/>
      <c r="BT564" s="330"/>
      <c r="BU564" s="330"/>
      <c r="BV564" s="330"/>
      <c r="BW564" s="330"/>
      <c r="BX564" s="330"/>
      <c r="BY564" s="330"/>
      <c r="BZ564" s="330"/>
    </row>
    <row r="565" spans="1:78" x14ac:dyDescent="0.25">
      <c r="A565" s="331"/>
      <c r="B565" s="328"/>
      <c r="C565" s="328"/>
      <c r="D565" s="329"/>
      <c r="E565" s="330"/>
      <c r="F565" s="330"/>
      <c r="G565" s="330"/>
      <c r="H565" s="330"/>
      <c r="I565" s="330"/>
      <c r="J565" s="330"/>
      <c r="K565" s="330"/>
      <c r="L565" s="329"/>
      <c r="M565" s="329"/>
      <c r="N565" s="330"/>
      <c r="O565" s="330"/>
      <c r="P565" s="330"/>
      <c r="Q565" s="330"/>
      <c r="R565" s="330"/>
      <c r="S565" s="330"/>
      <c r="T565" s="330"/>
      <c r="U565" s="330"/>
      <c r="V565" s="330"/>
      <c r="W565" s="330"/>
      <c r="X565" s="329"/>
      <c r="Y565" s="330"/>
      <c r="Z565" s="330"/>
      <c r="AA565" s="330"/>
      <c r="AB565" s="330"/>
      <c r="AC565" s="330"/>
      <c r="AD565" s="330"/>
      <c r="AE565" s="330"/>
      <c r="AF565" s="330"/>
      <c r="AG565" s="330"/>
      <c r="AH565" s="330"/>
      <c r="AI565" s="330"/>
      <c r="AJ565" s="330"/>
      <c r="AK565" s="330"/>
      <c r="AL565" s="329"/>
      <c r="AM565" s="329"/>
      <c r="AN565" s="330"/>
      <c r="AO565" s="330"/>
      <c r="AP565" s="330"/>
      <c r="AQ565" s="330"/>
      <c r="AR565" s="231"/>
      <c r="AS565" s="333"/>
      <c r="AT565" s="206"/>
      <c r="AU565" s="328"/>
      <c r="AV565" s="206"/>
      <c r="AW565" s="206"/>
      <c r="AX565" s="206"/>
      <c r="AY565" s="206"/>
      <c r="AZ565" s="206"/>
      <c r="BA565" s="206"/>
      <c r="BB565" s="206"/>
      <c r="BC565" s="206"/>
      <c r="BD565" s="206"/>
      <c r="BE565" s="206"/>
      <c r="BF565" s="206"/>
      <c r="BG565" s="330"/>
      <c r="BH565" s="330"/>
      <c r="BI565" s="330"/>
      <c r="BJ565" s="330"/>
      <c r="BK565" s="330"/>
      <c r="BL565" s="330"/>
      <c r="BM565" s="330"/>
      <c r="BN565" s="330"/>
      <c r="BO565" s="330"/>
      <c r="BP565" s="330"/>
      <c r="BQ565" s="330"/>
      <c r="BR565" s="330"/>
      <c r="BS565" s="330"/>
      <c r="BT565" s="330"/>
      <c r="BU565" s="330"/>
      <c r="BV565" s="330"/>
      <c r="BW565" s="330"/>
      <c r="BX565" s="330"/>
      <c r="BY565" s="330"/>
      <c r="BZ565" s="330"/>
    </row>
    <row r="566" spans="1:78" x14ac:dyDescent="0.25">
      <c r="A566" s="331"/>
      <c r="B566" s="328"/>
      <c r="C566" s="328"/>
      <c r="D566" s="329"/>
      <c r="E566" s="330"/>
      <c r="F566" s="330"/>
      <c r="G566" s="330"/>
      <c r="H566" s="330"/>
      <c r="I566" s="330"/>
      <c r="J566" s="330"/>
      <c r="K566" s="330"/>
      <c r="L566" s="329"/>
      <c r="M566" s="329"/>
      <c r="N566" s="330"/>
      <c r="O566" s="330"/>
      <c r="P566" s="330"/>
      <c r="Q566" s="330"/>
      <c r="R566" s="330"/>
      <c r="S566" s="330"/>
      <c r="T566" s="330"/>
      <c r="U566" s="330"/>
      <c r="V566" s="330"/>
      <c r="W566" s="330"/>
      <c r="X566" s="329"/>
      <c r="Y566" s="330"/>
      <c r="Z566" s="330"/>
      <c r="AA566" s="330"/>
      <c r="AB566" s="330"/>
      <c r="AC566" s="330"/>
      <c r="AD566" s="330"/>
      <c r="AE566" s="330"/>
      <c r="AF566" s="330"/>
      <c r="AG566" s="330"/>
      <c r="AH566" s="330"/>
      <c r="AI566" s="330"/>
      <c r="AJ566" s="330"/>
      <c r="AK566" s="330"/>
      <c r="AL566" s="329"/>
      <c r="AM566" s="329"/>
      <c r="AN566" s="330"/>
      <c r="AO566" s="330"/>
      <c r="AP566" s="330"/>
      <c r="AQ566" s="330"/>
      <c r="AR566" s="231"/>
      <c r="AS566" s="333"/>
      <c r="AT566" s="206"/>
      <c r="AU566" s="328"/>
      <c r="AV566" s="206"/>
      <c r="AW566" s="206"/>
      <c r="AX566" s="206"/>
      <c r="AY566" s="206"/>
      <c r="AZ566" s="206"/>
      <c r="BA566" s="206"/>
      <c r="BB566" s="206"/>
      <c r="BC566" s="206"/>
      <c r="BD566" s="206"/>
      <c r="BE566" s="206"/>
      <c r="BF566" s="206"/>
      <c r="BG566" s="330"/>
      <c r="BH566" s="330"/>
      <c r="BI566" s="330"/>
      <c r="BJ566" s="330"/>
      <c r="BK566" s="330"/>
      <c r="BL566" s="330"/>
      <c r="BM566" s="330"/>
      <c r="BN566" s="330"/>
      <c r="BO566" s="330"/>
      <c r="BP566" s="330"/>
      <c r="BQ566" s="330"/>
      <c r="BR566" s="330"/>
      <c r="BS566" s="330"/>
      <c r="BT566" s="330"/>
      <c r="BU566" s="330"/>
      <c r="BV566" s="330"/>
      <c r="BW566" s="330"/>
      <c r="BX566" s="330"/>
      <c r="BY566" s="330"/>
      <c r="BZ566" s="330"/>
    </row>
    <row r="567" spans="1:78" x14ac:dyDescent="0.25">
      <c r="A567" s="331"/>
      <c r="B567" s="328"/>
      <c r="C567" s="328"/>
      <c r="D567" s="329"/>
      <c r="E567" s="330"/>
      <c r="F567" s="330"/>
      <c r="G567" s="330"/>
      <c r="H567" s="330"/>
      <c r="I567" s="330"/>
      <c r="J567" s="330"/>
      <c r="K567" s="330"/>
      <c r="L567" s="329"/>
      <c r="M567" s="329"/>
      <c r="N567" s="330"/>
      <c r="O567" s="330"/>
      <c r="P567" s="330"/>
      <c r="Q567" s="330"/>
      <c r="R567" s="330"/>
      <c r="S567" s="330"/>
      <c r="T567" s="330"/>
      <c r="U567" s="330"/>
      <c r="V567" s="330"/>
      <c r="W567" s="330"/>
      <c r="X567" s="329"/>
      <c r="Y567" s="330"/>
      <c r="Z567" s="330"/>
      <c r="AA567" s="330"/>
      <c r="AB567" s="330"/>
      <c r="AC567" s="330"/>
      <c r="AD567" s="330"/>
      <c r="AE567" s="330"/>
      <c r="AF567" s="330"/>
      <c r="AG567" s="330"/>
      <c r="AH567" s="330"/>
      <c r="AI567" s="330"/>
      <c r="AJ567" s="330"/>
      <c r="AK567" s="330"/>
      <c r="AL567" s="329"/>
      <c r="AM567" s="329"/>
      <c r="AN567" s="330"/>
      <c r="AO567" s="330"/>
      <c r="AP567" s="330"/>
      <c r="AQ567" s="330"/>
      <c r="AR567" s="231"/>
      <c r="AS567" s="333"/>
      <c r="AT567" s="206"/>
      <c r="AU567" s="328"/>
      <c r="AV567" s="206"/>
      <c r="AW567" s="206"/>
      <c r="AX567" s="206"/>
      <c r="AY567" s="206"/>
      <c r="AZ567" s="206"/>
      <c r="BA567" s="206"/>
      <c r="BB567" s="206"/>
      <c r="BC567" s="206"/>
      <c r="BD567" s="206"/>
      <c r="BE567" s="206"/>
      <c r="BF567" s="206"/>
      <c r="BG567" s="330"/>
      <c r="BH567" s="330"/>
      <c r="BI567" s="330"/>
      <c r="BJ567" s="330"/>
      <c r="BK567" s="330"/>
      <c r="BL567" s="330"/>
      <c r="BM567" s="330"/>
      <c r="BN567" s="330"/>
      <c r="BO567" s="330"/>
      <c r="BP567" s="330"/>
      <c r="BQ567" s="330"/>
      <c r="BR567" s="330"/>
      <c r="BS567" s="330"/>
      <c r="BT567" s="330"/>
      <c r="BU567" s="330"/>
      <c r="BV567" s="330"/>
      <c r="BW567" s="330"/>
      <c r="BX567" s="330"/>
      <c r="BY567" s="330"/>
      <c r="BZ567" s="330"/>
    </row>
    <row r="568" spans="1:78" x14ac:dyDescent="0.25">
      <c r="A568" s="331"/>
      <c r="B568" s="328"/>
      <c r="C568" s="328"/>
      <c r="D568" s="329"/>
      <c r="E568" s="330"/>
      <c r="F568" s="330"/>
      <c r="G568" s="330"/>
      <c r="H568" s="330"/>
      <c r="I568" s="330"/>
      <c r="J568" s="330"/>
      <c r="K568" s="330"/>
      <c r="L568" s="329"/>
      <c r="M568" s="329"/>
      <c r="N568" s="330"/>
      <c r="O568" s="330"/>
      <c r="P568" s="330"/>
      <c r="Q568" s="330"/>
      <c r="R568" s="330"/>
      <c r="S568" s="330"/>
      <c r="T568" s="330"/>
      <c r="U568" s="330"/>
      <c r="V568" s="330"/>
      <c r="W568" s="330"/>
      <c r="X568" s="329"/>
      <c r="Y568" s="330"/>
      <c r="Z568" s="330"/>
      <c r="AA568" s="330"/>
      <c r="AB568" s="330"/>
      <c r="AC568" s="330"/>
      <c r="AD568" s="330"/>
      <c r="AE568" s="330"/>
      <c r="AF568" s="330"/>
      <c r="AG568" s="330"/>
      <c r="AH568" s="330"/>
      <c r="AI568" s="330"/>
      <c r="AJ568" s="330"/>
      <c r="AK568" s="330"/>
      <c r="AL568" s="329"/>
      <c r="AM568" s="329"/>
      <c r="AN568" s="330"/>
      <c r="AO568" s="330"/>
      <c r="AP568" s="330"/>
      <c r="AQ568" s="330"/>
      <c r="AR568" s="231"/>
      <c r="AS568" s="333"/>
      <c r="AT568" s="206"/>
      <c r="AU568" s="328"/>
      <c r="AV568" s="206"/>
      <c r="AW568" s="206"/>
      <c r="AX568" s="206"/>
      <c r="AY568" s="206"/>
      <c r="AZ568" s="206"/>
      <c r="BA568" s="206"/>
      <c r="BB568" s="206"/>
      <c r="BC568" s="206"/>
      <c r="BD568" s="206"/>
      <c r="BE568" s="206"/>
      <c r="BF568" s="206"/>
      <c r="BG568" s="330"/>
      <c r="BH568" s="330"/>
      <c r="BI568" s="330"/>
      <c r="BJ568" s="330"/>
      <c r="BK568" s="330"/>
      <c r="BL568" s="330"/>
      <c r="BM568" s="330"/>
      <c r="BN568" s="330"/>
      <c r="BO568" s="330"/>
      <c r="BP568" s="330"/>
      <c r="BQ568" s="330"/>
      <c r="BR568" s="330"/>
      <c r="BS568" s="330"/>
      <c r="BT568" s="330"/>
      <c r="BU568" s="330"/>
      <c r="BV568" s="330"/>
      <c r="BW568" s="330"/>
      <c r="BX568" s="330"/>
      <c r="BY568" s="330"/>
      <c r="BZ568" s="330"/>
    </row>
    <row r="569" spans="1:78" x14ac:dyDescent="0.25">
      <c r="A569" s="331"/>
      <c r="B569" s="328"/>
      <c r="C569" s="328"/>
      <c r="D569" s="329"/>
      <c r="E569" s="330"/>
      <c r="F569" s="330"/>
      <c r="G569" s="330"/>
      <c r="H569" s="330"/>
      <c r="I569" s="330"/>
      <c r="J569" s="330"/>
      <c r="K569" s="330"/>
      <c r="L569" s="329"/>
      <c r="M569" s="329"/>
      <c r="N569" s="330"/>
      <c r="O569" s="330"/>
      <c r="P569" s="330"/>
      <c r="Q569" s="330"/>
      <c r="R569" s="330"/>
      <c r="S569" s="330"/>
      <c r="T569" s="330"/>
      <c r="U569" s="330"/>
      <c r="V569" s="330"/>
      <c r="W569" s="330"/>
      <c r="X569" s="329"/>
      <c r="Y569" s="330"/>
      <c r="Z569" s="330"/>
      <c r="AA569" s="330"/>
      <c r="AB569" s="330"/>
      <c r="AC569" s="330"/>
      <c r="AD569" s="330"/>
      <c r="AE569" s="330"/>
      <c r="AF569" s="330"/>
      <c r="AG569" s="330"/>
      <c r="AH569" s="330"/>
      <c r="AI569" s="330"/>
      <c r="AJ569" s="330"/>
      <c r="AK569" s="330"/>
      <c r="AL569" s="329"/>
      <c r="AM569" s="329"/>
      <c r="AN569" s="330"/>
      <c r="AO569" s="330"/>
      <c r="AP569" s="330"/>
      <c r="AQ569" s="330"/>
      <c r="AR569" s="231"/>
      <c r="AS569" s="333"/>
      <c r="AT569" s="206"/>
      <c r="AU569" s="328"/>
      <c r="AV569" s="206"/>
      <c r="AW569" s="206"/>
      <c r="AX569" s="206"/>
      <c r="AY569" s="206"/>
      <c r="AZ569" s="206"/>
      <c r="BA569" s="206"/>
      <c r="BB569" s="206"/>
      <c r="BC569" s="206"/>
      <c r="BD569" s="206"/>
      <c r="BE569" s="206"/>
      <c r="BF569" s="206"/>
      <c r="BG569" s="330"/>
      <c r="BH569" s="330"/>
      <c r="BI569" s="330"/>
      <c r="BJ569" s="330"/>
      <c r="BK569" s="330"/>
      <c r="BL569" s="330"/>
      <c r="BM569" s="330"/>
      <c r="BN569" s="330"/>
      <c r="BO569" s="330"/>
      <c r="BP569" s="330"/>
      <c r="BQ569" s="330"/>
      <c r="BR569" s="330"/>
      <c r="BS569" s="330"/>
      <c r="BT569" s="330"/>
      <c r="BU569" s="330"/>
      <c r="BV569" s="330"/>
      <c r="BW569" s="330"/>
      <c r="BX569" s="330"/>
      <c r="BY569" s="330"/>
      <c r="BZ569" s="330"/>
    </row>
    <row r="570" spans="1:78" x14ac:dyDescent="0.25">
      <c r="A570" s="331"/>
      <c r="B570" s="328"/>
      <c r="C570" s="328"/>
      <c r="D570" s="329"/>
      <c r="E570" s="330"/>
      <c r="F570" s="330"/>
      <c r="G570" s="330"/>
      <c r="H570" s="330"/>
      <c r="I570" s="330"/>
      <c r="J570" s="330"/>
      <c r="K570" s="330"/>
      <c r="L570" s="329"/>
      <c r="M570" s="329"/>
      <c r="N570" s="330"/>
      <c r="O570" s="330"/>
      <c r="P570" s="330"/>
      <c r="Q570" s="330"/>
      <c r="R570" s="330"/>
      <c r="S570" s="330"/>
      <c r="T570" s="330"/>
      <c r="U570" s="330"/>
      <c r="V570" s="330"/>
      <c r="W570" s="330"/>
      <c r="X570" s="329"/>
      <c r="Y570" s="330"/>
      <c r="Z570" s="330"/>
      <c r="AA570" s="330"/>
      <c r="AB570" s="330"/>
      <c r="AC570" s="330"/>
      <c r="AD570" s="330"/>
      <c r="AE570" s="330"/>
      <c r="AF570" s="330"/>
      <c r="AG570" s="330"/>
      <c r="AH570" s="330"/>
      <c r="AI570" s="330"/>
      <c r="AJ570" s="330"/>
      <c r="AK570" s="330"/>
      <c r="AL570" s="329"/>
      <c r="AM570" s="329"/>
      <c r="AN570" s="330"/>
      <c r="AO570" s="330"/>
      <c r="AP570" s="330"/>
      <c r="AQ570" s="330"/>
      <c r="AR570" s="231"/>
      <c r="AS570" s="333"/>
      <c r="AT570" s="206"/>
      <c r="AU570" s="328"/>
      <c r="AV570" s="206"/>
      <c r="AW570" s="206"/>
      <c r="AX570" s="206"/>
      <c r="AY570" s="206"/>
      <c r="AZ570" s="206"/>
      <c r="BA570" s="206"/>
      <c r="BB570" s="206"/>
      <c r="BC570" s="206"/>
      <c r="BD570" s="206"/>
      <c r="BE570" s="206"/>
      <c r="BF570" s="206"/>
      <c r="BG570" s="330"/>
      <c r="BH570" s="330"/>
      <c r="BI570" s="330"/>
      <c r="BJ570" s="330"/>
      <c r="BK570" s="330"/>
      <c r="BL570" s="330"/>
      <c r="BM570" s="330"/>
      <c r="BN570" s="330"/>
      <c r="BO570" s="330"/>
      <c r="BP570" s="330"/>
      <c r="BQ570" s="330"/>
      <c r="BR570" s="330"/>
      <c r="BS570" s="330"/>
      <c r="BT570" s="330"/>
      <c r="BU570" s="330"/>
      <c r="BV570" s="330"/>
      <c r="BW570" s="330"/>
      <c r="BX570" s="330"/>
      <c r="BY570" s="330"/>
      <c r="BZ570" s="330"/>
    </row>
    <row r="571" spans="1:78" x14ac:dyDescent="0.25">
      <c r="A571" s="331"/>
      <c r="B571" s="328"/>
      <c r="C571" s="328"/>
      <c r="D571" s="329"/>
      <c r="E571" s="330"/>
      <c r="F571" s="330"/>
      <c r="G571" s="330"/>
      <c r="H571" s="330"/>
      <c r="I571" s="330"/>
      <c r="J571" s="330"/>
      <c r="K571" s="330"/>
      <c r="L571" s="329"/>
      <c r="M571" s="329"/>
      <c r="N571" s="330"/>
      <c r="O571" s="330"/>
      <c r="P571" s="330"/>
      <c r="Q571" s="330"/>
      <c r="R571" s="330"/>
      <c r="S571" s="330"/>
      <c r="T571" s="330"/>
      <c r="U571" s="330"/>
      <c r="V571" s="330"/>
      <c r="W571" s="330"/>
      <c r="X571" s="329"/>
      <c r="Y571" s="330"/>
      <c r="Z571" s="330"/>
      <c r="AA571" s="330"/>
      <c r="AB571" s="330"/>
      <c r="AC571" s="330"/>
      <c r="AD571" s="330"/>
      <c r="AE571" s="330"/>
      <c r="AF571" s="330"/>
      <c r="AG571" s="330"/>
      <c r="AH571" s="330"/>
      <c r="AI571" s="330"/>
      <c r="AJ571" s="330"/>
      <c r="AK571" s="330"/>
      <c r="AL571" s="329"/>
      <c r="AM571" s="329"/>
      <c r="AN571" s="330"/>
      <c r="AO571" s="330"/>
      <c r="AP571" s="330"/>
      <c r="AQ571" s="330"/>
      <c r="AR571" s="231"/>
      <c r="AS571" s="333"/>
      <c r="AT571" s="206"/>
      <c r="AU571" s="328"/>
      <c r="AV571" s="206"/>
      <c r="AW571" s="206"/>
      <c r="AX571" s="206"/>
      <c r="AY571" s="206"/>
      <c r="AZ571" s="206"/>
      <c r="BA571" s="206"/>
      <c r="BB571" s="206"/>
      <c r="BC571" s="206"/>
      <c r="BD571" s="206"/>
      <c r="BE571" s="206"/>
      <c r="BF571" s="206"/>
      <c r="BG571" s="330"/>
      <c r="BH571" s="330"/>
      <c r="BI571" s="330"/>
      <c r="BJ571" s="330"/>
      <c r="BK571" s="330"/>
      <c r="BL571" s="330"/>
      <c r="BM571" s="330"/>
      <c r="BN571" s="330"/>
      <c r="BO571" s="330"/>
      <c r="BP571" s="330"/>
      <c r="BQ571" s="330"/>
      <c r="BR571" s="330"/>
      <c r="BS571" s="330"/>
      <c r="BT571" s="330"/>
      <c r="BU571" s="330"/>
      <c r="BV571" s="330"/>
      <c r="BW571" s="330"/>
      <c r="BX571" s="330"/>
      <c r="BY571" s="330"/>
      <c r="BZ571" s="330"/>
    </row>
    <row r="572" spans="1:78" x14ac:dyDescent="0.25">
      <c r="A572" s="331"/>
      <c r="B572" s="328"/>
      <c r="C572" s="328"/>
      <c r="D572" s="329"/>
      <c r="E572" s="330"/>
      <c r="F572" s="330"/>
      <c r="G572" s="330"/>
      <c r="H572" s="330"/>
      <c r="I572" s="330"/>
      <c r="J572" s="330"/>
      <c r="K572" s="330"/>
      <c r="L572" s="329"/>
      <c r="M572" s="329"/>
      <c r="N572" s="330"/>
      <c r="O572" s="330"/>
      <c r="P572" s="330"/>
      <c r="Q572" s="330"/>
      <c r="R572" s="330"/>
      <c r="S572" s="330"/>
      <c r="T572" s="330"/>
      <c r="U572" s="330"/>
      <c r="V572" s="330"/>
      <c r="W572" s="330"/>
      <c r="X572" s="329"/>
      <c r="Y572" s="330"/>
      <c r="Z572" s="330"/>
      <c r="AA572" s="330"/>
      <c r="AB572" s="330"/>
      <c r="AC572" s="330"/>
      <c r="AD572" s="330"/>
      <c r="AE572" s="330"/>
      <c r="AF572" s="330"/>
      <c r="AG572" s="330"/>
      <c r="AH572" s="330"/>
      <c r="AI572" s="330"/>
      <c r="AJ572" s="330"/>
      <c r="AK572" s="330"/>
      <c r="AL572" s="329"/>
      <c r="AM572" s="329"/>
      <c r="AN572" s="330"/>
      <c r="AO572" s="330"/>
      <c r="AP572" s="330"/>
      <c r="AQ572" s="330"/>
      <c r="AR572" s="231"/>
      <c r="AS572" s="333"/>
      <c r="AT572" s="206"/>
      <c r="AU572" s="328"/>
      <c r="AV572" s="206"/>
      <c r="AW572" s="206"/>
      <c r="AX572" s="206"/>
      <c r="AY572" s="206"/>
      <c r="AZ572" s="206"/>
      <c r="BA572" s="206"/>
      <c r="BB572" s="206"/>
      <c r="BC572" s="206"/>
      <c r="BD572" s="206"/>
      <c r="BE572" s="206"/>
      <c r="BF572" s="206"/>
      <c r="BG572" s="330"/>
      <c r="BH572" s="330"/>
      <c r="BI572" s="330"/>
      <c r="BJ572" s="330"/>
      <c r="BK572" s="330"/>
      <c r="BL572" s="330"/>
      <c r="BM572" s="330"/>
      <c r="BN572" s="330"/>
      <c r="BO572" s="330"/>
      <c r="BP572" s="330"/>
      <c r="BQ572" s="330"/>
      <c r="BR572" s="330"/>
      <c r="BS572" s="330"/>
      <c r="BT572" s="330"/>
      <c r="BU572" s="330"/>
      <c r="BV572" s="330"/>
      <c r="BW572" s="330"/>
      <c r="BX572" s="330"/>
      <c r="BY572" s="330"/>
      <c r="BZ572" s="330"/>
    </row>
    <row r="573" spans="1:78" x14ac:dyDescent="0.25">
      <c r="A573" s="331"/>
      <c r="B573" s="328"/>
      <c r="C573" s="328"/>
      <c r="D573" s="329"/>
      <c r="E573" s="330"/>
      <c r="F573" s="330"/>
      <c r="G573" s="330"/>
      <c r="H573" s="330"/>
      <c r="I573" s="330"/>
      <c r="J573" s="330"/>
      <c r="K573" s="330"/>
      <c r="L573" s="329"/>
      <c r="M573" s="329"/>
      <c r="N573" s="330"/>
      <c r="O573" s="330"/>
      <c r="P573" s="330"/>
      <c r="Q573" s="330"/>
      <c r="R573" s="330"/>
      <c r="S573" s="330"/>
      <c r="T573" s="330"/>
      <c r="U573" s="330"/>
      <c r="V573" s="330"/>
      <c r="W573" s="330"/>
      <c r="X573" s="329"/>
      <c r="Y573" s="330"/>
      <c r="Z573" s="330"/>
      <c r="AA573" s="330"/>
      <c r="AB573" s="330"/>
      <c r="AC573" s="330"/>
      <c r="AD573" s="330"/>
      <c r="AE573" s="330"/>
      <c r="AF573" s="330"/>
      <c r="AG573" s="330"/>
      <c r="AH573" s="330"/>
      <c r="AI573" s="330"/>
      <c r="AJ573" s="330"/>
      <c r="AK573" s="330"/>
      <c r="AL573" s="329"/>
      <c r="AM573" s="329"/>
      <c r="AN573" s="330"/>
      <c r="AO573" s="330"/>
      <c r="AP573" s="330"/>
      <c r="AQ573" s="330"/>
      <c r="AR573" s="231"/>
      <c r="AS573" s="333"/>
      <c r="AT573" s="206"/>
      <c r="AU573" s="328"/>
      <c r="AV573" s="206"/>
      <c r="AW573" s="206"/>
      <c r="AX573" s="206"/>
      <c r="AY573" s="206"/>
      <c r="AZ573" s="206"/>
      <c r="BA573" s="206"/>
      <c r="BB573" s="206"/>
      <c r="BC573" s="206"/>
      <c r="BD573" s="206"/>
      <c r="BE573" s="206"/>
      <c r="BF573" s="206"/>
      <c r="BG573" s="330"/>
      <c r="BH573" s="330"/>
      <c r="BI573" s="330"/>
      <c r="BJ573" s="330"/>
      <c r="BK573" s="330"/>
      <c r="BL573" s="330"/>
      <c r="BM573" s="330"/>
      <c r="BN573" s="330"/>
      <c r="BO573" s="330"/>
      <c r="BP573" s="330"/>
      <c r="BQ573" s="330"/>
      <c r="BR573" s="330"/>
      <c r="BS573" s="330"/>
      <c r="BT573" s="330"/>
      <c r="BU573" s="330"/>
      <c r="BV573" s="330"/>
      <c r="BW573" s="330"/>
      <c r="BX573" s="330"/>
      <c r="BY573" s="330"/>
      <c r="BZ573" s="330"/>
    </row>
    <row r="574" spans="1:78" x14ac:dyDescent="0.25">
      <c r="A574" s="331"/>
      <c r="B574" s="328"/>
      <c r="C574" s="328"/>
      <c r="D574" s="329"/>
      <c r="E574" s="330"/>
      <c r="F574" s="330"/>
      <c r="G574" s="330"/>
      <c r="H574" s="330"/>
      <c r="I574" s="330"/>
      <c r="J574" s="330"/>
      <c r="K574" s="330"/>
      <c r="L574" s="329"/>
      <c r="M574" s="329"/>
      <c r="N574" s="330"/>
      <c r="O574" s="330"/>
      <c r="P574" s="330"/>
      <c r="Q574" s="330"/>
      <c r="R574" s="330"/>
      <c r="S574" s="330"/>
      <c r="T574" s="330"/>
      <c r="U574" s="330"/>
      <c r="V574" s="330"/>
      <c r="W574" s="330"/>
      <c r="X574" s="329"/>
      <c r="Y574" s="330"/>
      <c r="Z574" s="330"/>
      <c r="AA574" s="330"/>
      <c r="AB574" s="330"/>
      <c r="AC574" s="330"/>
      <c r="AD574" s="330"/>
      <c r="AE574" s="330"/>
      <c r="AF574" s="330"/>
      <c r="AG574" s="330"/>
      <c r="AH574" s="330"/>
      <c r="AI574" s="330"/>
      <c r="AJ574" s="330"/>
      <c r="AK574" s="330"/>
      <c r="AL574" s="329"/>
      <c r="AM574" s="329"/>
      <c r="AN574" s="330"/>
      <c r="AO574" s="330"/>
      <c r="AP574" s="330"/>
      <c r="AQ574" s="330"/>
      <c r="AR574" s="231"/>
      <c r="AS574" s="333"/>
      <c r="AT574" s="206"/>
      <c r="AU574" s="328"/>
      <c r="AV574" s="206"/>
      <c r="AW574" s="206"/>
      <c r="AX574" s="206"/>
      <c r="AY574" s="206"/>
      <c r="AZ574" s="206"/>
      <c r="BA574" s="206"/>
      <c r="BB574" s="206"/>
      <c r="BC574" s="206"/>
      <c r="BD574" s="206"/>
      <c r="BE574" s="206"/>
      <c r="BF574" s="206"/>
      <c r="BG574" s="330"/>
      <c r="BH574" s="330"/>
      <c r="BI574" s="330"/>
      <c r="BJ574" s="330"/>
      <c r="BK574" s="330"/>
      <c r="BL574" s="330"/>
      <c r="BM574" s="330"/>
      <c r="BN574" s="330"/>
      <c r="BO574" s="330"/>
      <c r="BP574" s="330"/>
      <c r="BQ574" s="330"/>
      <c r="BR574" s="330"/>
      <c r="BS574" s="330"/>
      <c r="BT574" s="330"/>
      <c r="BU574" s="330"/>
      <c r="BV574" s="330"/>
      <c r="BW574" s="330"/>
      <c r="BX574" s="330"/>
      <c r="BY574" s="330"/>
      <c r="BZ574" s="330"/>
    </row>
    <row r="575" spans="1:78" x14ac:dyDescent="0.25">
      <c r="A575" s="331"/>
      <c r="B575" s="328"/>
      <c r="C575" s="328"/>
      <c r="D575" s="329"/>
      <c r="E575" s="330"/>
      <c r="F575" s="330"/>
      <c r="G575" s="330"/>
      <c r="H575" s="330"/>
      <c r="I575" s="330"/>
      <c r="J575" s="330"/>
      <c r="K575" s="330"/>
      <c r="L575" s="329"/>
      <c r="M575" s="329"/>
      <c r="N575" s="330"/>
      <c r="O575" s="330"/>
      <c r="P575" s="330"/>
      <c r="Q575" s="330"/>
      <c r="R575" s="330"/>
      <c r="S575" s="330"/>
      <c r="T575" s="330"/>
      <c r="U575" s="330"/>
      <c r="V575" s="330"/>
      <c r="W575" s="330"/>
      <c r="X575" s="329"/>
      <c r="Y575" s="330"/>
      <c r="Z575" s="330"/>
      <c r="AA575" s="330"/>
      <c r="AB575" s="330"/>
      <c r="AC575" s="330"/>
      <c r="AD575" s="330"/>
      <c r="AE575" s="330"/>
      <c r="AF575" s="330"/>
      <c r="AG575" s="330"/>
      <c r="AH575" s="330"/>
      <c r="AI575" s="330"/>
      <c r="AJ575" s="330"/>
      <c r="AK575" s="330"/>
      <c r="AL575" s="329"/>
      <c r="AM575" s="329"/>
      <c r="AN575" s="330"/>
      <c r="AO575" s="330"/>
      <c r="AP575" s="330"/>
      <c r="AQ575" s="330"/>
      <c r="AR575" s="231"/>
      <c r="AS575" s="333"/>
      <c r="AT575" s="206"/>
      <c r="AU575" s="328"/>
      <c r="AV575" s="206"/>
      <c r="AW575" s="206"/>
      <c r="AX575" s="206"/>
      <c r="AY575" s="206"/>
      <c r="AZ575" s="206"/>
      <c r="BA575" s="206"/>
      <c r="BB575" s="206"/>
      <c r="BC575" s="206"/>
      <c r="BD575" s="206"/>
      <c r="BE575" s="206"/>
      <c r="BF575" s="206"/>
      <c r="BG575" s="330"/>
      <c r="BH575" s="330"/>
      <c r="BI575" s="330"/>
      <c r="BJ575" s="330"/>
      <c r="BK575" s="330"/>
      <c r="BL575" s="330"/>
      <c r="BM575" s="330"/>
      <c r="BN575" s="330"/>
      <c r="BO575" s="330"/>
      <c r="BP575" s="330"/>
      <c r="BQ575" s="330"/>
      <c r="BR575" s="330"/>
      <c r="BS575" s="330"/>
      <c r="BT575" s="330"/>
      <c r="BU575" s="330"/>
      <c r="BV575" s="330"/>
      <c r="BW575" s="330"/>
      <c r="BX575" s="330"/>
      <c r="BY575" s="330"/>
      <c r="BZ575" s="330"/>
    </row>
    <row r="576" spans="1:78" x14ac:dyDescent="0.25">
      <c r="A576" s="331"/>
      <c r="B576" s="328"/>
      <c r="C576" s="328"/>
      <c r="D576" s="329"/>
      <c r="E576" s="330"/>
      <c r="F576" s="330"/>
      <c r="G576" s="330"/>
      <c r="H576" s="330"/>
      <c r="I576" s="330"/>
      <c r="J576" s="330"/>
      <c r="K576" s="330"/>
      <c r="L576" s="329"/>
      <c r="M576" s="329"/>
      <c r="N576" s="330"/>
      <c r="O576" s="330"/>
      <c r="P576" s="330"/>
      <c r="Q576" s="330"/>
      <c r="R576" s="330"/>
      <c r="S576" s="330"/>
      <c r="T576" s="330"/>
      <c r="U576" s="330"/>
      <c r="V576" s="330"/>
      <c r="W576" s="330"/>
      <c r="X576" s="329"/>
      <c r="Y576" s="330"/>
      <c r="Z576" s="330"/>
      <c r="AA576" s="330"/>
      <c r="AB576" s="330"/>
      <c r="AC576" s="330"/>
      <c r="AD576" s="330"/>
      <c r="AE576" s="330"/>
      <c r="AF576" s="330"/>
      <c r="AG576" s="330"/>
      <c r="AH576" s="330"/>
      <c r="AI576" s="330"/>
      <c r="AJ576" s="330"/>
      <c r="AK576" s="330"/>
      <c r="AL576" s="329"/>
      <c r="AM576" s="329"/>
      <c r="AN576" s="330"/>
      <c r="AO576" s="330"/>
      <c r="AP576" s="330"/>
      <c r="AQ576" s="330"/>
      <c r="AR576" s="231"/>
      <c r="AS576" s="333"/>
      <c r="AT576" s="206"/>
      <c r="AU576" s="328"/>
      <c r="AV576" s="206"/>
      <c r="AW576" s="206"/>
      <c r="AX576" s="206"/>
      <c r="AY576" s="206"/>
      <c r="AZ576" s="206"/>
      <c r="BA576" s="206"/>
      <c r="BB576" s="206"/>
      <c r="BC576" s="206"/>
      <c r="BD576" s="206"/>
      <c r="BE576" s="206"/>
      <c r="BF576" s="206"/>
      <c r="BG576" s="330"/>
      <c r="BH576" s="330"/>
      <c r="BI576" s="330"/>
      <c r="BJ576" s="330"/>
      <c r="BK576" s="330"/>
      <c r="BL576" s="330"/>
      <c r="BM576" s="330"/>
      <c r="BN576" s="330"/>
      <c r="BO576" s="330"/>
      <c r="BP576" s="330"/>
      <c r="BQ576" s="330"/>
      <c r="BR576" s="330"/>
      <c r="BS576" s="330"/>
      <c r="BT576" s="330"/>
      <c r="BU576" s="330"/>
      <c r="BV576" s="330"/>
      <c r="BW576" s="330"/>
      <c r="BX576" s="330"/>
      <c r="BY576" s="330"/>
      <c r="BZ576" s="330"/>
    </row>
    <row r="577" spans="1:78" x14ac:dyDescent="0.25">
      <c r="A577" s="331"/>
      <c r="B577" s="328"/>
      <c r="C577" s="328"/>
      <c r="D577" s="329"/>
      <c r="E577" s="330"/>
      <c r="F577" s="330"/>
      <c r="G577" s="330"/>
      <c r="H577" s="330"/>
      <c r="I577" s="330"/>
      <c r="J577" s="330"/>
      <c r="K577" s="330"/>
      <c r="L577" s="329"/>
      <c r="M577" s="329"/>
      <c r="N577" s="330"/>
      <c r="O577" s="330"/>
      <c r="P577" s="330"/>
      <c r="Q577" s="330"/>
      <c r="R577" s="330"/>
      <c r="S577" s="330"/>
      <c r="T577" s="330"/>
      <c r="U577" s="330"/>
      <c r="V577" s="330"/>
      <c r="W577" s="330"/>
      <c r="X577" s="329"/>
      <c r="Y577" s="330"/>
      <c r="Z577" s="330"/>
      <c r="AA577" s="330"/>
      <c r="AB577" s="330"/>
      <c r="AC577" s="330"/>
      <c r="AD577" s="330"/>
      <c r="AE577" s="330"/>
      <c r="AF577" s="330"/>
      <c r="AG577" s="330"/>
      <c r="AH577" s="330"/>
      <c r="AI577" s="330"/>
      <c r="AJ577" s="330"/>
      <c r="AK577" s="330"/>
      <c r="AL577" s="329"/>
      <c r="AM577" s="329"/>
      <c r="AN577" s="330"/>
      <c r="AO577" s="330"/>
      <c r="AP577" s="330"/>
      <c r="AQ577" s="330"/>
      <c r="AR577" s="231"/>
      <c r="AS577" s="333"/>
      <c r="AT577" s="206"/>
      <c r="AU577" s="328"/>
      <c r="AV577" s="206"/>
      <c r="AW577" s="206"/>
      <c r="AX577" s="206"/>
      <c r="AY577" s="206"/>
      <c r="AZ577" s="206"/>
      <c r="BA577" s="206"/>
      <c r="BB577" s="206"/>
      <c r="BC577" s="206"/>
      <c r="BD577" s="206"/>
      <c r="BE577" s="206"/>
      <c r="BF577" s="206"/>
      <c r="BG577" s="330"/>
      <c r="BH577" s="330"/>
      <c r="BI577" s="330"/>
      <c r="BJ577" s="330"/>
      <c r="BK577" s="330"/>
      <c r="BL577" s="330"/>
      <c r="BM577" s="330"/>
      <c r="BN577" s="330"/>
      <c r="BO577" s="330"/>
      <c r="BP577" s="330"/>
      <c r="BQ577" s="330"/>
      <c r="BR577" s="330"/>
      <c r="BS577" s="330"/>
      <c r="BT577" s="330"/>
      <c r="BU577" s="330"/>
      <c r="BV577" s="330"/>
      <c r="BW577" s="330"/>
      <c r="BX577" s="330"/>
      <c r="BY577" s="330"/>
      <c r="BZ577" s="330"/>
    </row>
    <row r="578" spans="1:78" x14ac:dyDescent="0.25">
      <c r="A578" s="331"/>
      <c r="B578" s="328"/>
      <c r="C578" s="328"/>
      <c r="D578" s="329"/>
      <c r="E578" s="330"/>
      <c r="F578" s="330"/>
      <c r="G578" s="330"/>
      <c r="H578" s="330"/>
      <c r="I578" s="330"/>
      <c r="J578" s="330"/>
      <c r="K578" s="330"/>
      <c r="L578" s="329"/>
      <c r="M578" s="329"/>
      <c r="N578" s="330"/>
      <c r="O578" s="330"/>
      <c r="P578" s="330"/>
      <c r="Q578" s="330"/>
      <c r="R578" s="330"/>
      <c r="S578" s="330"/>
      <c r="T578" s="330"/>
      <c r="U578" s="330"/>
      <c r="V578" s="330"/>
      <c r="W578" s="330"/>
      <c r="X578" s="329"/>
      <c r="Y578" s="330"/>
      <c r="Z578" s="330"/>
      <c r="AA578" s="330"/>
      <c r="AB578" s="330"/>
      <c r="AC578" s="330"/>
      <c r="AD578" s="330"/>
      <c r="AE578" s="330"/>
      <c r="AF578" s="330"/>
      <c r="AG578" s="330"/>
      <c r="AH578" s="330"/>
      <c r="AI578" s="330"/>
      <c r="AJ578" s="330"/>
      <c r="AK578" s="330"/>
      <c r="AL578" s="329"/>
      <c r="AM578" s="329"/>
      <c r="AN578" s="330"/>
      <c r="AO578" s="330"/>
      <c r="AP578" s="330"/>
      <c r="AQ578" s="330"/>
      <c r="AR578" s="231"/>
      <c r="AS578" s="333"/>
      <c r="AT578" s="206"/>
      <c r="AU578" s="328"/>
      <c r="AV578" s="206"/>
      <c r="AW578" s="206"/>
      <c r="AX578" s="206"/>
      <c r="AY578" s="206"/>
      <c r="AZ578" s="206"/>
      <c r="BA578" s="206"/>
      <c r="BB578" s="206"/>
      <c r="BC578" s="206"/>
      <c r="BD578" s="206"/>
      <c r="BE578" s="206"/>
      <c r="BF578" s="206"/>
      <c r="BG578" s="330"/>
      <c r="BH578" s="330"/>
      <c r="BI578" s="330"/>
      <c r="BJ578" s="330"/>
      <c r="BK578" s="330"/>
      <c r="BL578" s="330"/>
      <c r="BM578" s="330"/>
      <c r="BN578" s="330"/>
      <c r="BO578" s="330"/>
      <c r="BP578" s="330"/>
      <c r="BQ578" s="330"/>
      <c r="BR578" s="330"/>
      <c r="BS578" s="330"/>
      <c r="BT578" s="330"/>
      <c r="BU578" s="330"/>
      <c r="BV578" s="330"/>
      <c r="BW578" s="330"/>
      <c r="BX578" s="330"/>
      <c r="BY578" s="330"/>
      <c r="BZ578" s="330"/>
    </row>
    <row r="579" spans="1:78" x14ac:dyDescent="0.25">
      <c r="A579" s="331"/>
      <c r="B579" s="328"/>
      <c r="C579" s="328"/>
      <c r="D579" s="329"/>
      <c r="E579" s="330"/>
      <c r="F579" s="330"/>
      <c r="G579" s="330"/>
      <c r="H579" s="330"/>
      <c r="I579" s="330"/>
      <c r="J579" s="330"/>
      <c r="K579" s="330"/>
      <c r="L579" s="329"/>
      <c r="M579" s="329"/>
      <c r="N579" s="330"/>
      <c r="O579" s="330"/>
      <c r="P579" s="330"/>
      <c r="Q579" s="330"/>
      <c r="R579" s="330"/>
      <c r="S579" s="330"/>
      <c r="T579" s="330"/>
      <c r="U579" s="330"/>
      <c r="V579" s="330"/>
      <c r="W579" s="330"/>
      <c r="X579" s="329"/>
      <c r="Y579" s="330"/>
      <c r="Z579" s="330"/>
      <c r="AA579" s="330"/>
      <c r="AB579" s="330"/>
      <c r="AC579" s="330"/>
      <c r="AD579" s="330"/>
      <c r="AE579" s="330"/>
      <c r="AF579" s="330"/>
      <c r="AG579" s="330"/>
      <c r="AH579" s="330"/>
      <c r="AI579" s="330"/>
      <c r="AJ579" s="330"/>
      <c r="AK579" s="330"/>
      <c r="AL579" s="329"/>
      <c r="AM579" s="329"/>
      <c r="AN579" s="330"/>
      <c r="AO579" s="330"/>
      <c r="AP579" s="330"/>
      <c r="AQ579" s="330"/>
      <c r="AR579" s="231"/>
      <c r="AS579" s="333"/>
      <c r="AT579" s="206"/>
      <c r="AU579" s="328"/>
      <c r="AV579" s="206"/>
      <c r="AW579" s="206"/>
      <c r="AX579" s="206"/>
      <c r="AY579" s="206"/>
      <c r="AZ579" s="206"/>
      <c r="BA579" s="206"/>
      <c r="BB579" s="206"/>
      <c r="BC579" s="206"/>
      <c r="BD579" s="206"/>
      <c r="BE579" s="206"/>
      <c r="BF579" s="206"/>
      <c r="BG579" s="330"/>
      <c r="BH579" s="330"/>
      <c r="BI579" s="330"/>
      <c r="BJ579" s="330"/>
      <c r="BK579" s="330"/>
      <c r="BL579" s="330"/>
      <c r="BM579" s="330"/>
      <c r="BN579" s="330"/>
      <c r="BO579" s="330"/>
      <c r="BP579" s="330"/>
      <c r="BQ579" s="330"/>
      <c r="BR579" s="330"/>
      <c r="BS579" s="330"/>
      <c r="BT579" s="330"/>
      <c r="BU579" s="330"/>
      <c r="BV579" s="330"/>
      <c r="BW579" s="330"/>
      <c r="BX579" s="330"/>
      <c r="BY579" s="330"/>
      <c r="BZ579" s="330"/>
    </row>
    <row r="580" spans="1:78" x14ac:dyDescent="0.25">
      <c r="A580" s="331"/>
      <c r="B580" s="328"/>
      <c r="C580" s="328"/>
      <c r="D580" s="329"/>
      <c r="E580" s="330"/>
      <c r="F580" s="330"/>
      <c r="G580" s="330"/>
      <c r="H580" s="330"/>
      <c r="I580" s="330"/>
      <c r="J580" s="330"/>
      <c r="K580" s="330"/>
      <c r="L580" s="329"/>
      <c r="M580" s="329"/>
      <c r="N580" s="330"/>
      <c r="O580" s="330"/>
      <c r="P580" s="330"/>
      <c r="Q580" s="330"/>
      <c r="R580" s="330"/>
      <c r="S580" s="330"/>
      <c r="T580" s="330"/>
      <c r="U580" s="330"/>
      <c r="V580" s="330"/>
      <c r="W580" s="330"/>
      <c r="X580" s="329"/>
      <c r="Y580" s="330"/>
      <c r="Z580" s="330"/>
      <c r="AA580" s="330"/>
      <c r="AB580" s="330"/>
      <c r="AC580" s="330"/>
      <c r="AD580" s="330"/>
      <c r="AE580" s="330"/>
      <c r="AF580" s="330"/>
      <c r="AG580" s="330"/>
      <c r="AH580" s="330"/>
      <c r="AI580" s="330"/>
      <c r="AJ580" s="330"/>
      <c r="AK580" s="330"/>
      <c r="AL580" s="329"/>
      <c r="AM580" s="329"/>
      <c r="AN580" s="330"/>
      <c r="AO580" s="330"/>
      <c r="AP580" s="330"/>
      <c r="AQ580" s="330"/>
      <c r="AR580" s="231"/>
      <c r="AS580" s="333"/>
      <c r="AT580" s="206"/>
      <c r="AU580" s="328"/>
      <c r="AV580" s="206"/>
      <c r="AW580" s="206"/>
      <c r="AX580" s="206"/>
      <c r="AY580" s="206"/>
      <c r="AZ580" s="206"/>
      <c r="BA580" s="206"/>
      <c r="BB580" s="206"/>
      <c r="BC580" s="206"/>
      <c r="BD580" s="206"/>
      <c r="BE580" s="206"/>
      <c r="BF580" s="206"/>
      <c r="BG580" s="330"/>
      <c r="BH580" s="330"/>
      <c r="BI580" s="330"/>
      <c r="BJ580" s="330"/>
      <c r="BK580" s="330"/>
      <c r="BL580" s="330"/>
      <c r="BM580" s="330"/>
      <c r="BN580" s="330"/>
      <c r="BO580" s="330"/>
      <c r="BP580" s="330"/>
      <c r="BQ580" s="330"/>
      <c r="BR580" s="330"/>
      <c r="BS580" s="330"/>
      <c r="BT580" s="330"/>
      <c r="BU580" s="330"/>
      <c r="BV580" s="330"/>
      <c r="BW580" s="330"/>
      <c r="BX580" s="330"/>
      <c r="BY580" s="330"/>
      <c r="BZ580" s="330"/>
    </row>
    <row r="581" spans="1:78" x14ac:dyDescent="0.25">
      <c r="A581" s="331"/>
      <c r="B581" s="328"/>
      <c r="C581" s="328"/>
      <c r="D581" s="329"/>
      <c r="E581" s="330"/>
      <c r="F581" s="330"/>
      <c r="G581" s="330"/>
      <c r="H581" s="330"/>
      <c r="I581" s="330"/>
      <c r="J581" s="330"/>
      <c r="K581" s="330"/>
      <c r="L581" s="329"/>
      <c r="M581" s="329"/>
      <c r="N581" s="330"/>
      <c r="O581" s="330"/>
      <c r="P581" s="330"/>
      <c r="Q581" s="330"/>
      <c r="R581" s="330"/>
      <c r="S581" s="330"/>
      <c r="T581" s="330"/>
      <c r="U581" s="330"/>
      <c r="V581" s="330"/>
      <c r="W581" s="330"/>
      <c r="X581" s="329"/>
      <c r="Y581" s="330"/>
      <c r="Z581" s="330"/>
      <c r="AA581" s="330"/>
      <c r="AB581" s="330"/>
      <c r="AC581" s="330"/>
      <c r="AD581" s="330"/>
      <c r="AE581" s="330"/>
      <c r="AF581" s="330"/>
      <c r="AG581" s="330"/>
      <c r="AH581" s="330"/>
      <c r="AI581" s="330"/>
      <c r="AJ581" s="330"/>
      <c r="AK581" s="330"/>
      <c r="AL581" s="329"/>
      <c r="AM581" s="329"/>
      <c r="AN581" s="330"/>
      <c r="AO581" s="330"/>
      <c r="AP581" s="330"/>
      <c r="AQ581" s="330"/>
      <c r="AR581" s="231"/>
      <c r="AS581" s="333"/>
      <c r="AT581" s="206"/>
      <c r="AU581" s="328"/>
      <c r="AV581" s="206"/>
      <c r="AW581" s="206"/>
      <c r="AX581" s="206"/>
      <c r="AY581" s="206"/>
      <c r="AZ581" s="206"/>
      <c r="BA581" s="206"/>
      <c r="BB581" s="206"/>
      <c r="BC581" s="206"/>
      <c r="BD581" s="206"/>
      <c r="BE581" s="206"/>
      <c r="BF581" s="206"/>
      <c r="BG581" s="330"/>
      <c r="BH581" s="330"/>
      <c r="BI581" s="330"/>
      <c r="BJ581" s="330"/>
      <c r="BK581" s="330"/>
      <c r="BL581" s="330"/>
      <c r="BM581" s="330"/>
      <c r="BN581" s="330"/>
      <c r="BO581" s="330"/>
      <c r="BP581" s="330"/>
      <c r="BQ581" s="330"/>
      <c r="BR581" s="330"/>
      <c r="BS581" s="330"/>
      <c r="BT581" s="330"/>
      <c r="BU581" s="330"/>
      <c r="BV581" s="330"/>
      <c r="BW581" s="330"/>
      <c r="BX581" s="330"/>
      <c r="BY581" s="330"/>
      <c r="BZ581" s="330"/>
    </row>
    <row r="582" spans="1:78" x14ac:dyDescent="0.25">
      <c r="A582" s="331"/>
      <c r="B582" s="328"/>
      <c r="C582" s="328"/>
      <c r="D582" s="329"/>
      <c r="E582" s="330"/>
      <c r="F582" s="330"/>
      <c r="G582" s="330"/>
      <c r="H582" s="330"/>
      <c r="I582" s="330"/>
      <c r="J582" s="330"/>
      <c r="K582" s="330"/>
      <c r="L582" s="329"/>
      <c r="M582" s="329"/>
      <c r="N582" s="330"/>
      <c r="O582" s="330"/>
      <c r="P582" s="330"/>
      <c r="Q582" s="330"/>
      <c r="R582" s="330"/>
      <c r="S582" s="330"/>
      <c r="T582" s="330"/>
      <c r="U582" s="330"/>
      <c r="V582" s="330"/>
      <c r="W582" s="330"/>
      <c r="X582" s="329"/>
      <c r="Y582" s="330"/>
      <c r="Z582" s="330"/>
      <c r="AA582" s="330"/>
      <c r="AB582" s="330"/>
      <c r="AC582" s="330"/>
      <c r="AD582" s="330"/>
      <c r="AE582" s="330"/>
      <c r="AF582" s="330"/>
      <c r="AG582" s="330"/>
      <c r="AH582" s="330"/>
      <c r="AI582" s="330"/>
      <c r="AJ582" s="330"/>
      <c r="AK582" s="330"/>
      <c r="AL582" s="329"/>
      <c r="AM582" s="329"/>
      <c r="AN582" s="330"/>
      <c r="AO582" s="330"/>
      <c r="AP582" s="330"/>
      <c r="AQ582" s="330"/>
      <c r="AR582" s="231"/>
      <c r="AS582" s="333"/>
      <c r="AT582" s="206"/>
      <c r="AU582" s="328"/>
      <c r="AV582" s="206"/>
      <c r="AW582" s="206"/>
      <c r="AX582" s="206"/>
      <c r="AY582" s="206"/>
      <c r="AZ582" s="206"/>
      <c r="BA582" s="206"/>
      <c r="BB582" s="206"/>
      <c r="BC582" s="206"/>
      <c r="BD582" s="206"/>
      <c r="BE582" s="206"/>
      <c r="BF582" s="206"/>
      <c r="BG582" s="330"/>
      <c r="BH582" s="330"/>
      <c r="BI582" s="330"/>
      <c r="BJ582" s="330"/>
      <c r="BK582" s="330"/>
      <c r="BL582" s="330"/>
      <c r="BM582" s="330"/>
      <c r="BN582" s="330"/>
      <c r="BO582" s="330"/>
      <c r="BP582" s="330"/>
      <c r="BQ582" s="330"/>
      <c r="BR582" s="330"/>
      <c r="BS582" s="330"/>
      <c r="BT582" s="330"/>
      <c r="BU582" s="330"/>
      <c r="BV582" s="330"/>
      <c r="BW582" s="330"/>
      <c r="BX582" s="330"/>
      <c r="BY582" s="330"/>
      <c r="BZ582" s="330"/>
    </row>
    <row r="583" spans="1:78" x14ac:dyDescent="0.25">
      <c r="A583" s="331"/>
      <c r="B583" s="328"/>
      <c r="C583" s="328"/>
      <c r="D583" s="329"/>
      <c r="E583" s="330"/>
      <c r="F583" s="330"/>
      <c r="G583" s="330"/>
      <c r="H583" s="330"/>
      <c r="I583" s="330"/>
      <c r="J583" s="330"/>
      <c r="K583" s="330"/>
      <c r="L583" s="329"/>
      <c r="M583" s="329"/>
      <c r="N583" s="330"/>
      <c r="O583" s="330"/>
      <c r="P583" s="330"/>
      <c r="Q583" s="330"/>
      <c r="R583" s="330"/>
      <c r="S583" s="330"/>
      <c r="T583" s="330"/>
      <c r="U583" s="330"/>
      <c r="V583" s="330"/>
      <c r="W583" s="330"/>
      <c r="X583" s="329"/>
      <c r="Y583" s="330"/>
      <c r="Z583" s="330"/>
      <c r="AA583" s="330"/>
      <c r="AB583" s="330"/>
      <c r="AC583" s="330"/>
      <c r="AD583" s="330"/>
      <c r="AE583" s="330"/>
      <c r="AF583" s="330"/>
      <c r="AG583" s="330"/>
      <c r="AH583" s="330"/>
      <c r="AI583" s="330"/>
      <c r="AJ583" s="330"/>
      <c r="AK583" s="330"/>
      <c r="AL583" s="329"/>
      <c r="AM583" s="329"/>
      <c r="AN583" s="330"/>
      <c r="AO583" s="330"/>
      <c r="AP583" s="330"/>
      <c r="AQ583" s="330"/>
      <c r="AR583" s="231"/>
      <c r="AS583" s="333"/>
      <c r="AT583" s="206"/>
      <c r="AU583" s="328"/>
      <c r="AV583" s="206"/>
      <c r="AW583" s="206"/>
      <c r="AX583" s="206"/>
      <c r="AY583" s="206"/>
      <c r="AZ583" s="206"/>
      <c r="BA583" s="206"/>
      <c r="BB583" s="206"/>
      <c r="BC583" s="206"/>
      <c r="BD583" s="206"/>
      <c r="BE583" s="206"/>
      <c r="BF583" s="206"/>
      <c r="BG583" s="330"/>
      <c r="BH583" s="330"/>
      <c r="BI583" s="330"/>
      <c r="BJ583" s="330"/>
      <c r="BK583" s="330"/>
      <c r="BL583" s="330"/>
      <c r="BM583" s="330"/>
      <c r="BN583" s="330"/>
      <c r="BO583" s="330"/>
      <c r="BP583" s="330"/>
      <c r="BQ583" s="330"/>
      <c r="BR583" s="330"/>
      <c r="BS583" s="330"/>
      <c r="BT583" s="330"/>
      <c r="BU583" s="330"/>
      <c r="BV583" s="330"/>
      <c r="BW583" s="330"/>
      <c r="BX583" s="330"/>
      <c r="BY583" s="330"/>
      <c r="BZ583" s="330"/>
    </row>
    <row r="584" spans="1:78" x14ac:dyDescent="0.25">
      <c r="A584" s="331"/>
      <c r="B584" s="328"/>
      <c r="C584" s="328"/>
      <c r="D584" s="329"/>
      <c r="E584" s="330"/>
      <c r="F584" s="330"/>
      <c r="G584" s="330"/>
      <c r="H584" s="330"/>
      <c r="I584" s="330"/>
      <c r="J584" s="330"/>
      <c r="K584" s="330"/>
      <c r="L584" s="329"/>
      <c r="M584" s="329"/>
      <c r="N584" s="330"/>
      <c r="O584" s="330"/>
      <c r="P584" s="330"/>
      <c r="Q584" s="330"/>
      <c r="R584" s="330"/>
      <c r="S584" s="330"/>
      <c r="T584" s="330"/>
      <c r="U584" s="330"/>
      <c r="V584" s="330"/>
      <c r="W584" s="330"/>
      <c r="X584" s="329"/>
      <c r="Y584" s="330"/>
      <c r="Z584" s="330"/>
      <c r="AA584" s="330"/>
      <c r="AB584" s="330"/>
      <c r="AC584" s="330"/>
      <c r="AD584" s="330"/>
      <c r="AE584" s="330"/>
      <c r="AF584" s="330"/>
      <c r="AG584" s="330"/>
      <c r="AH584" s="330"/>
      <c r="AI584" s="330"/>
      <c r="AJ584" s="330"/>
      <c r="AK584" s="330"/>
      <c r="AL584" s="329"/>
      <c r="AM584" s="329"/>
      <c r="AN584" s="330"/>
      <c r="AO584" s="330"/>
      <c r="AP584" s="330"/>
      <c r="AQ584" s="330"/>
      <c r="AR584" s="231"/>
      <c r="AS584" s="333"/>
      <c r="AT584" s="206"/>
      <c r="AU584" s="328"/>
      <c r="AV584" s="206"/>
      <c r="AW584" s="206"/>
      <c r="AX584" s="206"/>
      <c r="AY584" s="206"/>
      <c r="AZ584" s="206"/>
      <c r="BA584" s="206"/>
      <c r="BB584" s="206"/>
      <c r="BC584" s="206"/>
      <c r="BD584" s="206"/>
      <c r="BE584" s="206"/>
      <c r="BF584" s="206"/>
      <c r="BG584" s="330"/>
      <c r="BH584" s="330"/>
      <c r="BI584" s="330"/>
      <c r="BJ584" s="330"/>
      <c r="BK584" s="330"/>
      <c r="BL584" s="330"/>
      <c r="BM584" s="330"/>
      <c r="BN584" s="330"/>
      <c r="BO584" s="330"/>
      <c r="BP584" s="330"/>
      <c r="BQ584" s="330"/>
      <c r="BR584" s="330"/>
      <c r="BS584" s="330"/>
      <c r="BT584" s="330"/>
      <c r="BU584" s="330"/>
      <c r="BV584" s="330"/>
      <c r="BW584" s="330"/>
      <c r="BX584" s="330"/>
      <c r="BY584" s="330"/>
      <c r="BZ584" s="330"/>
    </row>
    <row r="585" spans="1:78" x14ac:dyDescent="0.25">
      <c r="A585" s="331"/>
      <c r="B585" s="328"/>
      <c r="C585" s="328"/>
      <c r="D585" s="329"/>
      <c r="E585" s="330"/>
      <c r="F585" s="330"/>
      <c r="G585" s="330"/>
      <c r="H585" s="330"/>
      <c r="I585" s="330"/>
      <c r="J585" s="330"/>
      <c r="K585" s="330"/>
      <c r="L585" s="329"/>
      <c r="M585" s="329"/>
      <c r="N585" s="330"/>
      <c r="O585" s="330"/>
      <c r="P585" s="330"/>
      <c r="Q585" s="330"/>
      <c r="R585" s="330"/>
      <c r="S585" s="330"/>
      <c r="T585" s="330"/>
      <c r="U585" s="330"/>
      <c r="V585" s="330"/>
      <c r="W585" s="330"/>
      <c r="X585" s="329"/>
      <c r="Y585" s="330"/>
      <c r="Z585" s="330"/>
      <c r="AA585" s="330"/>
      <c r="AB585" s="330"/>
      <c r="AC585" s="330"/>
      <c r="AD585" s="330"/>
      <c r="AE585" s="330"/>
      <c r="AF585" s="330"/>
      <c r="AG585" s="330"/>
      <c r="AH585" s="330"/>
      <c r="AI585" s="330"/>
      <c r="AJ585" s="330"/>
      <c r="AK585" s="330"/>
      <c r="AL585" s="329"/>
      <c r="AM585" s="329"/>
      <c r="AN585" s="330"/>
      <c r="AO585" s="330"/>
      <c r="AP585" s="330"/>
      <c r="AQ585" s="330"/>
      <c r="AR585" s="231"/>
      <c r="AS585" s="333"/>
      <c r="AT585" s="206"/>
      <c r="AU585" s="328"/>
      <c r="AV585" s="206"/>
      <c r="AW585" s="206"/>
      <c r="AX585" s="206"/>
      <c r="AY585" s="206"/>
      <c r="AZ585" s="206"/>
      <c r="BA585" s="206"/>
      <c r="BB585" s="206"/>
      <c r="BC585" s="206"/>
      <c r="BD585" s="206"/>
      <c r="BE585" s="206"/>
      <c r="BF585" s="206"/>
      <c r="BG585" s="330"/>
      <c r="BH585" s="330"/>
      <c r="BI585" s="330"/>
      <c r="BJ585" s="330"/>
      <c r="BK585" s="330"/>
      <c r="BL585" s="330"/>
      <c r="BM585" s="330"/>
      <c r="BN585" s="330"/>
      <c r="BO585" s="330"/>
      <c r="BP585" s="330"/>
      <c r="BQ585" s="330"/>
      <c r="BR585" s="330"/>
      <c r="BS585" s="330"/>
      <c r="BT585" s="330"/>
      <c r="BU585" s="330"/>
      <c r="BV585" s="330"/>
      <c r="BW585" s="330"/>
      <c r="BX585" s="330"/>
      <c r="BY585" s="330"/>
      <c r="BZ585" s="330"/>
    </row>
    <row r="586" spans="1:78" x14ac:dyDescent="0.25">
      <c r="A586" s="331"/>
      <c r="B586" s="328"/>
      <c r="C586" s="328"/>
      <c r="D586" s="329"/>
      <c r="E586" s="330"/>
      <c r="F586" s="330"/>
      <c r="G586" s="330"/>
      <c r="H586" s="330"/>
      <c r="I586" s="330"/>
      <c r="J586" s="330"/>
      <c r="K586" s="330"/>
      <c r="L586" s="329"/>
      <c r="M586" s="329"/>
      <c r="N586" s="330"/>
      <c r="O586" s="330"/>
      <c r="P586" s="330"/>
      <c r="Q586" s="330"/>
      <c r="R586" s="330"/>
      <c r="S586" s="330"/>
      <c r="T586" s="330"/>
      <c r="U586" s="330"/>
      <c r="V586" s="330"/>
      <c r="W586" s="330"/>
      <c r="X586" s="329"/>
      <c r="Y586" s="330"/>
      <c r="Z586" s="330"/>
      <c r="AA586" s="330"/>
      <c r="AB586" s="330"/>
      <c r="AC586" s="330"/>
      <c r="AD586" s="330"/>
      <c r="AE586" s="330"/>
      <c r="AF586" s="330"/>
      <c r="AG586" s="330"/>
      <c r="AH586" s="330"/>
      <c r="AI586" s="330"/>
      <c r="AJ586" s="330"/>
      <c r="AK586" s="330"/>
      <c r="AL586" s="329"/>
      <c r="AM586" s="329"/>
      <c r="AN586" s="330"/>
      <c r="AO586" s="330"/>
      <c r="AP586" s="330"/>
      <c r="AQ586" s="330"/>
      <c r="AR586" s="231"/>
      <c r="AS586" s="333"/>
      <c r="AT586" s="206"/>
      <c r="AU586" s="328"/>
      <c r="AV586" s="206"/>
      <c r="AW586" s="206"/>
      <c r="AX586" s="206"/>
      <c r="AY586" s="206"/>
      <c r="AZ586" s="206"/>
      <c r="BA586" s="206"/>
      <c r="BB586" s="206"/>
      <c r="BC586" s="206"/>
      <c r="BD586" s="206"/>
      <c r="BE586" s="206"/>
      <c r="BF586" s="206"/>
      <c r="BG586" s="330"/>
      <c r="BH586" s="330"/>
      <c r="BI586" s="330"/>
      <c r="BJ586" s="330"/>
      <c r="BK586" s="330"/>
      <c r="BL586" s="330"/>
      <c r="BM586" s="330"/>
      <c r="BN586" s="330"/>
      <c r="BO586" s="330"/>
      <c r="BP586" s="330"/>
      <c r="BQ586" s="330"/>
      <c r="BR586" s="330"/>
      <c r="BS586" s="330"/>
      <c r="BT586" s="330"/>
      <c r="BU586" s="330"/>
      <c r="BV586" s="330"/>
      <c r="BW586" s="330"/>
      <c r="BX586" s="330"/>
      <c r="BY586" s="330"/>
      <c r="BZ586" s="330"/>
    </row>
    <row r="587" spans="1:78" x14ac:dyDescent="0.25">
      <c r="A587" s="331"/>
      <c r="B587" s="328"/>
      <c r="C587" s="328"/>
      <c r="D587" s="329"/>
      <c r="E587" s="330"/>
      <c r="F587" s="330"/>
      <c r="G587" s="330"/>
      <c r="H587" s="330"/>
      <c r="I587" s="330"/>
      <c r="J587" s="330"/>
      <c r="K587" s="330"/>
      <c r="L587" s="329"/>
      <c r="M587" s="329"/>
      <c r="N587" s="330"/>
      <c r="O587" s="330"/>
      <c r="P587" s="330"/>
      <c r="Q587" s="330"/>
      <c r="R587" s="330"/>
      <c r="S587" s="330"/>
      <c r="T587" s="330"/>
      <c r="U587" s="330"/>
      <c r="V587" s="330"/>
      <c r="W587" s="330"/>
      <c r="X587" s="329"/>
      <c r="Y587" s="330"/>
      <c r="Z587" s="330"/>
      <c r="AA587" s="330"/>
      <c r="AB587" s="330"/>
      <c r="AC587" s="330"/>
      <c r="AD587" s="330"/>
      <c r="AE587" s="330"/>
      <c r="AF587" s="330"/>
      <c r="AG587" s="330"/>
      <c r="AH587" s="330"/>
      <c r="AI587" s="330"/>
      <c r="AJ587" s="330"/>
      <c r="AK587" s="330"/>
      <c r="AL587" s="329"/>
      <c r="AM587" s="329"/>
      <c r="AN587" s="330"/>
      <c r="AO587" s="330"/>
      <c r="AP587" s="330"/>
      <c r="AQ587" s="330"/>
      <c r="AR587" s="231"/>
      <c r="AS587" s="333"/>
      <c r="AT587" s="206"/>
      <c r="AU587" s="328"/>
      <c r="AV587" s="206"/>
      <c r="AW587" s="206"/>
      <c r="AX587" s="206"/>
      <c r="AY587" s="206"/>
      <c r="AZ587" s="206"/>
      <c r="BA587" s="206"/>
      <c r="BB587" s="206"/>
      <c r="BC587" s="206"/>
      <c r="BD587" s="206"/>
      <c r="BE587" s="206"/>
      <c r="BF587" s="206"/>
      <c r="BG587" s="330"/>
      <c r="BH587" s="330"/>
      <c r="BI587" s="330"/>
      <c r="BJ587" s="330"/>
      <c r="BK587" s="330"/>
      <c r="BL587" s="330"/>
      <c r="BM587" s="330"/>
      <c r="BN587" s="330"/>
      <c r="BO587" s="330"/>
      <c r="BP587" s="330"/>
      <c r="BQ587" s="330"/>
      <c r="BR587" s="330"/>
      <c r="BS587" s="330"/>
      <c r="BT587" s="330"/>
      <c r="BU587" s="330"/>
      <c r="BV587" s="330"/>
      <c r="BW587" s="330"/>
      <c r="BX587" s="330"/>
      <c r="BY587" s="330"/>
      <c r="BZ587" s="330"/>
    </row>
    <row r="588" spans="1:78" x14ac:dyDescent="0.25">
      <c r="A588" s="331"/>
      <c r="B588" s="328"/>
      <c r="C588" s="328"/>
      <c r="D588" s="329"/>
      <c r="E588" s="330"/>
      <c r="F588" s="330"/>
      <c r="G588" s="330"/>
      <c r="H588" s="330"/>
      <c r="I588" s="330"/>
      <c r="J588" s="330"/>
      <c r="K588" s="330"/>
      <c r="L588" s="329"/>
      <c r="M588" s="329"/>
      <c r="N588" s="330"/>
      <c r="O588" s="330"/>
      <c r="P588" s="330"/>
      <c r="Q588" s="330"/>
      <c r="R588" s="330"/>
      <c r="S588" s="330"/>
      <c r="T588" s="330"/>
      <c r="U588" s="330"/>
      <c r="V588" s="330"/>
      <c r="W588" s="330"/>
      <c r="X588" s="329"/>
      <c r="Y588" s="330"/>
      <c r="Z588" s="330"/>
      <c r="AA588" s="330"/>
      <c r="AB588" s="330"/>
      <c r="AC588" s="330"/>
      <c r="AD588" s="330"/>
      <c r="AE588" s="330"/>
      <c r="AF588" s="330"/>
      <c r="AG588" s="330"/>
      <c r="AH588" s="330"/>
      <c r="AI588" s="330"/>
      <c r="AJ588" s="330"/>
      <c r="AK588" s="330"/>
      <c r="AL588" s="329"/>
      <c r="AM588" s="329"/>
      <c r="AN588" s="330"/>
      <c r="AO588" s="330"/>
      <c r="AP588" s="330"/>
      <c r="AQ588" s="330"/>
      <c r="AR588" s="231"/>
      <c r="AS588" s="333"/>
      <c r="AT588" s="206"/>
      <c r="AU588" s="328"/>
      <c r="AV588" s="206"/>
      <c r="AW588" s="206"/>
      <c r="AX588" s="206"/>
      <c r="AY588" s="206"/>
      <c r="AZ588" s="206"/>
      <c r="BA588" s="206"/>
      <c r="BB588" s="206"/>
      <c r="BC588" s="206"/>
      <c r="BD588" s="206"/>
      <c r="BE588" s="206"/>
      <c r="BF588" s="206"/>
      <c r="BG588" s="330"/>
      <c r="BH588" s="330"/>
      <c r="BI588" s="330"/>
      <c r="BJ588" s="330"/>
      <c r="BK588" s="330"/>
      <c r="BL588" s="330"/>
      <c r="BM588" s="330"/>
      <c r="BN588" s="330"/>
      <c r="BO588" s="330"/>
      <c r="BP588" s="330"/>
      <c r="BQ588" s="330"/>
      <c r="BR588" s="330"/>
      <c r="BS588" s="330"/>
      <c r="BT588" s="330"/>
      <c r="BU588" s="330"/>
      <c r="BV588" s="330"/>
      <c r="BW588" s="330"/>
      <c r="BX588" s="330"/>
      <c r="BY588" s="330"/>
      <c r="BZ588" s="330"/>
    </row>
    <row r="589" spans="1:78" x14ac:dyDescent="0.25">
      <c r="A589" s="331"/>
      <c r="B589" s="328"/>
      <c r="C589" s="328"/>
      <c r="D589" s="329"/>
      <c r="E589" s="330"/>
      <c r="F589" s="330"/>
      <c r="G589" s="330"/>
      <c r="H589" s="330"/>
      <c r="I589" s="330"/>
      <c r="J589" s="330"/>
      <c r="K589" s="330"/>
      <c r="L589" s="329"/>
      <c r="M589" s="329"/>
      <c r="N589" s="330"/>
      <c r="O589" s="330"/>
      <c r="P589" s="330"/>
      <c r="Q589" s="330"/>
      <c r="R589" s="330"/>
      <c r="S589" s="330"/>
      <c r="T589" s="330"/>
      <c r="U589" s="330"/>
      <c r="V589" s="330"/>
      <c r="W589" s="330"/>
      <c r="X589" s="329"/>
      <c r="Y589" s="330"/>
      <c r="Z589" s="330"/>
      <c r="AA589" s="330"/>
      <c r="AB589" s="330"/>
      <c r="AC589" s="330"/>
      <c r="AD589" s="330"/>
      <c r="AE589" s="330"/>
      <c r="AF589" s="330"/>
      <c r="AG589" s="330"/>
      <c r="AH589" s="330"/>
      <c r="AI589" s="330"/>
      <c r="AJ589" s="330"/>
      <c r="AK589" s="330"/>
      <c r="AL589" s="329"/>
      <c r="AM589" s="329"/>
      <c r="AN589" s="330"/>
      <c r="AO589" s="330"/>
      <c r="AP589" s="330"/>
      <c r="AQ589" s="330"/>
      <c r="AR589" s="231"/>
      <c r="AS589" s="333"/>
      <c r="AT589" s="206"/>
      <c r="AU589" s="328"/>
      <c r="AV589" s="206"/>
      <c r="AW589" s="206"/>
      <c r="AX589" s="206"/>
      <c r="AY589" s="206"/>
      <c r="AZ589" s="206"/>
      <c r="BA589" s="206"/>
      <c r="BB589" s="206"/>
      <c r="BC589" s="206"/>
      <c r="BD589" s="206"/>
      <c r="BE589" s="206"/>
      <c r="BF589" s="206"/>
      <c r="BG589" s="330"/>
      <c r="BH589" s="330"/>
      <c r="BI589" s="330"/>
      <c r="BJ589" s="330"/>
      <c r="BK589" s="330"/>
      <c r="BL589" s="330"/>
      <c r="BM589" s="330"/>
      <c r="BN589" s="330"/>
      <c r="BO589" s="330"/>
      <c r="BP589" s="330"/>
      <c r="BQ589" s="330"/>
      <c r="BR589" s="330"/>
      <c r="BS589" s="330"/>
      <c r="BT589" s="330"/>
      <c r="BU589" s="330"/>
      <c r="BV589" s="330"/>
      <c r="BW589" s="330"/>
      <c r="BX589" s="330"/>
      <c r="BY589" s="330"/>
      <c r="BZ589" s="330"/>
    </row>
    <row r="590" spans="1:78" x14ac:dyDescent="0.25">
      <c r="A590" s="331"/>
      <c r="B590" s="328"/>
      <c r="C590" s="328"/>
      <c r="D590" s="329"/>
      <c r="E590" s="330"/>
      <c r="F590" s="330"/>
      <c r="G590" s="330"/>
      <c r="H590" s="330"/>
      <c r="I590" s="330"/>
      <c r="J590" s="330"/>
      <c r="K590" s="330"/>
      <c r="L590" s="329"/>
      <c r="M590" s="329"/>
      <c r="N590" s="330"/>
      <c r="O590" s="330"/>
      <c r="P590" s="330"/>
      <c r="Q590" s="330"/>
      <c r="R590" s="330"/>
      <c r="S590" s="330"/>
      <c r="T590" s="330"/>
      <c r="U590" s="330"/>
      <c r="V590" s="330"/>
      <c r="W590" s="330"/>
      <c r="X590" s="329"/>
      <c r="Y590" s="330"/>
      <c r="Z590" s="330"/>
      <c r="AA590" s="330"/>
      <c r="AB590" s="330"/>
      <c r="AC590" s="330"/>
      <c r="AD590" s="330"/>
      <c r="AE590" s="330"/>
      <c r="AF590" s="330"/>
      <c r="AG590" s="330"/>
      <c r="AH590" s="330"/>
      <c r="AI590" s="330"/>
      <c r="AJ590" s="330"/>
      <c r="AK590" s="330"/>
      <c r="AL590" s="329"/>
      <c r="AM590" s="329"/>
      <c r="AN590" s="330"/>
      <c r="AO590" s="330"/>
      <c r="AP590" s="330"/>
      <c r="AQ590" s="330"/>
      <c r="AR590" s="231"/>
      <c r="AS590" s="333"/>
      <c r="AT590" s="206"/>
      <c r="AU590" s="328"/>
      <c r="AV590" s="206"/>
      <c r="AW590" s="206"/>
      <c r="AX590" s="206"/>
      <c r="AY590" s="206"/>
      <c r="AZ590" s="206"/>
      <c r="BA590" s="206"/>
      <c r="BB590" s="206"/>
      <c r="BC590" s="206"/>
      <c r="BD590" s="206"/>
      <c r="BE590" s="206"/>
      <c r="BF590" s="206"/>
      <c r="BG590" s="330"/>
      <c r="BH590" s="330"/>
      <c r="BI590" s="330"/>
      <c r="BJ590" s="330"/>
      <c r="BK590" s="330"/>
      <c r="BL590" s="330"/>
      <c r="BM590" s="330"/>
      <c r="BN590" s="330"/>
      <c r="BO590" s="330"/>
      <c r="BP590" s="330"/>
      <c r="BQ590" s="330"/>
      <c r="BR590" s="330"/>
      <c r="BS590" s="330"/>
      <c r="BT590" s="330"/>
      <c r="BU590" s="330"/>
      <c r="BV590" s="330"/>
      <c r="BW590" s="330"/>
      <c r="BX590" s="330"/>
      <c r="BY590" s="330"/>
      <c r="BZ590" s="330"/>
    </row>
    <row r="591" spans="1:78" x14ac:dyDescent="0.25">
      <c r="A591" s="331"/>
      <c r="B591" s="328"/>
      <c r="C591" s="328"/>
      <c r="D591" s="329"/>
      <c r="E591" s="330"/>
      <c r="F591" s="330"/>
      <c r="G591" s="330"/>
      <c r="H591" s="330"/>
      <c r="I591" s="330"/>
      <c r="J591" s="330"/>
      <c r="K591" s="330"/>
      <c r="L591" s="329"/>
      <c r="M591" s="329"/>
      <c r="N591" s="330"/>
      <c r="O591" s="330"/>
      <c r="P591" s="330"/>
      <c r="Q591" s="330"/>
      <c r="R591" s="330"/>
      <c r="S591" s="330"/>
      <c r="T591" s="330"/>
      <c r="U591" s="330"/>
      <c r="V591" s="330"/>
      <c r="W591" s="330"/>
      <c r="X591" s="329"/>
      <c r="Y591" s="330"/>
      <c r="Z591" s="330"/>
      <c r="AA591" s="330"/>
      <c r="AB591" s="330"/>
      <c r="AC591" s="330"/>
      <c r="AD591" s="330"/>
      <c r="AE591" s="330"/>
      <c r="AF591" s="330"/>
      <c r="AG591" s="330"/>
      <c r="AH591" s="330"/>
      <c r="AI591" s="330"/>
      <c r="AJ591" s="330"/>
      <c r="AK591" s="330"/>
      <c r="AL591" s="329"/>
      <c r="AM591" s="329"/>
      <c r="AN591" s="330"/>
      <c r="AO591" s="330"/>
      <c r="AP591" s="330"/>
      <c r="AQ591" s="330"/>
      <c r="AR591" s="231"/>
      <c r="AS591" s="333"/>
      <c r="AT591" s="206"/>
      <c r="AU591" s="328"/>
      <c r="AV591" s="206"/>
      <c r="AW591" s="206"/>
      <c r="AX591" s="206"/>
      <c r="AY591" s="206"/>
      <c r="AZ591" s="206"/>
      <c r="BA591" s="206"/>
      <c r="BB591" s="206"/>
      <c r="BC591" s="206"/>
      <c r="BD591" s="206"/>
      <c r="BE591" s="206"/>
      <c r="BF591" s="206"/>
      <c r="BG591" s="330"/>
      <c r="BH591" s="330"/>
      <c r="BI591" s="330"/>
      <c r="BJ591" s="330"/>
      <c r="BK591" s="330"/>
      <c r="BL591" s="330"/>
      <c r="BM591" s="330"/>
      <c r="BN591" s="330"/>
      <c r="BO591" s="330"/>
      <c r="BP591" s="330"/>
      <c r="BQ591" s="330"/>
      <c r="BR591" s="330"/>
      <c r="BS591" s="330"/>
      <c r="BT591" s="330"/>
      <c r="BU591" s="330"/>
      <c r="BV591" s="330"/>
      <c r="BW591" s="330"/>
      <c r="BX591" s="330"/>
      <c r="BY591" s="330"/>
      <c r="BZ591" s="330"/>
    </row>
    <row r="592" spans="1:78" x14ac:dyDescent="0.25">
      <c r="A592" s="331"/>
      <c r="B592" s="328"/>
      <c r="C592" s="328"/>
      <c r="D592" s="329"/>
      <c r="E592" s="330"/>
      <c r="F592" s="330"/>
      <c r="G592" s="330"/>
      <c r="H592" s="330"/>
      <c r="I592" s="330"/>
      <c r="J592" s="330"/>
      <c r="K592" s="330"/>
      <c r="L592" s="329"/>
      <c r="M592" s="329"/>
      <c r="N592" s="330"/>
      <c r="O592" s="330"/>
      <c r="P592" s="330"/>
      <c r="Q592" s="330"/>
      <c r="R592" s="330"/>
      <c r="S592" s="330"/>
      <c r="T592" s="330"/>
      <c r="U592" s="330"/>
      <c r="V592" s="330"/>
      <c r="W592" s="330"/>
      <c r="X592" s="329"/>
      <c r="Y592" s="330"/>
      <c r="Z592" s="330"/>
      <c r="AA592" s="330"/>
      <c r="AB592" s="330"/>
      <c r="AC592" s="330"/>
      <c r="AD592" s="330"/>
      <c r="AE592" s="330"/>
      <c r="AF592" s="330"/>
      <c r="AG592" s="330"/>
      <c r="AH592" s="330"/>
      <c r="AI592" s="330"/>
      <c r="AJ592" s="330"/>
      <c r="AK592" s="330"/>
      <c r="AL592" s="329"/>
      <c r="AM592" s="329"/>
      <c r="AN592" s="330"/>
      <c r="AO592" s="330"/>
      <c r="AP592" s="330"/>
      <c r="AQ592" s="330"/>
      <c r="AR592" s="231"/>
      <c r="AS592" s="333"/>
      <c r="AT592" s="206"/>
      <c r="AU592" s="328"/>
      <c r="AV592" s="206"/>
      <c r="AW592" s="206"/>
      <c r="AX592" s="206"/>
      <c r="AY592" s="206"/>
      <c r="AZ592" s="206"/>
      <c r="BA592" s="206"/>
      <c r="BB592" s="206"/>
      <c r="BC592" s="206"/>
      <c r="BD592" s="206"/>
      <c r="BE592" s="206"/>
      <c r="BF592" s="206"/>
      <c r="BG592" s="330"/>
      <c r="BH592" s="330"/>
      <c r="BI592" s="330"/>
      <c r="BJ592" s="330"/>
      <c r="BK592" s="330"/>
      <c r="BL592" s="330"/>
      <c r="BM592" s="330"/>
      <c r="BN592" s="330"/>
      <c r="BO592" s="330"/>
      <c r="BP592" s="330"/>
      <c r="BQ592" s="330"/>
      <c r="BR592" s="330"/>
      <c r="BS592" s="330"/>
      <c r="BT592" s="330"/>
      <c r="BU592" s="330"/>
      <c r="BV592" s="330"/>
      <c r="BW592" s="330"/>
      <c r="BX592" s="330"/>
      <c r="BY592" s="330"/>
      <c r="BZ592" s="330"/>
    </row>
    <row r="593" spans="1:78" x14ac:dyDescent="0.25">
      <c r="A593" s="331"/>
      <c r="B593" s="328"/>
      <c r="C593" s="328"/>
      <c r="D593" s="329"/>
      <c r="E593" s="330"/>
      <c r="F593" s="330"/>
      <c r="G593" s="330"/>
      <c r="H593" s="330"/>
      <c r="I593" s="330"/>
      <c r="J593" s="330"/>
      <c r="K593" s="330"/>
      <c r="L593" s="329"/>
      <c r="M593" s="329"/>
      <c r="N593" s="330"/>
      <c r="O593" s="330"/>
      <c r="P593" s="330"/>
      <c r="Q593" s="330"/>
      <c r="R593" s="330"/>
      <c r="S593" s="330"/>
      <c r="T593" s="330"/>
      <c r="U593" s="330"/>
      <c r="V593" s="330"/>
      <c r="W593" s="330"/>
      <c r="X593" s="329"/>
      <c r="Y593" s="330"/>
      <c r="Z593" s="330"/>
      <c r="AA593" s="330"/>
      <c r="AB593" s="330"/>
      <c r="AC593" s="330"/>
      <c r="AD593" s="330"/>
      <c r="AE593" s="330"/>
      <c r="AF593" s="330"/>
      <c r="AG593" s="330"/>
      <c r="AH593" s="330"/>
      <c r="AI593" s="330"/>
      <c r="AJ593" s="330"/>
      <c r="AK593" s="330"/>
      <c r="AL593" s="329"/>
      <c r="AM593" s="329"/>
      <c r="AN593" s="330"/>
      <c r="AO593" s="330"/>
      <c r="AP593" s="330"/>
      <c r="AQ593" s="330"/>
      <c r="AR593" s="231"/>
      <c r="AS593" s="333"/>
      <c r="AT593" s="206"/>
      <c r="AU593" s="328"/>
      <c r="AV593" s="206"/>
      <c r="AW593" s="206"/>
      <c r="AX593" s="206"/>
      <c r="AY593" s="206"/>
      <c r="AZ593" s="206"/>
      <c r="BA593" s="206"/>
      <c r="BB593" s="206"/>
      <c r="BC593" s="206"/>
      <c r="BD593" s="206"/>
      <c r="BE593" s="206"/>
      <c r="BF593" s="206"/>
      <c r="BG593" s="330"/>
      <c r="BH593" s="330"/>
      <c r="BI593" s="330"/>
      <c r="BJ593" s="330"/>
      <c r="BK593" s="330"/>
      <c r="BL593" s="330"/>
      <c r="BM593" s="330"/>
      <c r="BN593" s="330"/>
      <c r="BO593" s="330"/>
      <c r="BP593" s="330"/>
      <c r="BQ593" s="330"/>
      <c r="BR593" s="330"/>
      <c r="BS593" s="330"/>
      <c r="BT593" s="330"/>
      <c r="BU593" s="330"/>
      <c r="BV593" s="330"/>
      <c r="BW593" s="330"/>
      <c r="BX593" s="330"/>
      <c r="BY593" s="330"/>
      <c r="BZ593" s="330"/>
    </row>
    <row r="594" spans="1:78" x14ac:dyDescent="0.25">
      <c r="A594" s="331"/>
      <c r="B594" s="328"/>
      <c r="C594" s="328"/>
      <c r="D594" s="329"/>
      <c r="E594" s="330"/>
      <c r="F594" s="330"/>
      <c r="G594" s="330"/>
      <c r="H594" s="330"/>
      <c r="I594" s="330"/>
      <c r="J594" s="330"/>
      <c r="K594" s="330"/>
      <c r="L594" s="329"/>
      <c r="M594" s="329"/>
      <c r="N594" s="330"/>
      <c r="O594" s="330"/>
      <c r="P594" s="330"/>
      <c r="Q594" s="330"/>
      <c r="R594" s="330"/>
      <c r="S594" s="330"/>
      <c r="T594" s="330"/>
      <c r="U594" s="330"/>
      <c r="V594" s="330"/>
      <c r="W594" s="330"/>
      <c r="X594" s="329"/>
      <c r="Y594" s="330"/>
      <c r="Z594" s="330"/>
      <c r="AA594" s="330"/>
      <c r="AB594" s="330"/>
      <c r="AC594" s="330"/>
      <c r="AD594" s="330"/>
      <c r="AE594" s="330"/>
      <c r="AF594" s="330"/>
      <c r="AG594" s="330"/>
      <c r="AH594" s="330"/>
      <c r="AI594" s="330"/>
      <c r="AJ594" s="330"/>
      <c r="AK594" s="330"/>
      <c r="AL594" s="329"/>
      <c r="AM594" s="329"/>
      <c r="AN594" s="330"/>
      <c r="AO594" s="330"/>
      <c r="AP594" s="330"/>
      <c r="AQ594" s="330"/>
      <c r="AR594" s="231"/>
      <c r="AS594" s="333"/>
      <c r="AT594" s="206"/>
      <c r="AU594" s="328"/>
      <c r="AV594" s="206"/>
      <c r="AW594" s="206"/>
      <c r="AX594" s="206"/>
      <c r="AY594" s="206"/>
      <c r="AZ594" s="206"/>
      <c r="BA594" s="206"/>
      <c r="BB594" s="206"/>
      <c r="BC594" s="206"/>
      <c r="BD594" s="206"/>
      <c r="BE594" s="206"/>
      <c r="BF594" s="206"/>
      <c r="BG594" s="330"/>
      <c r="BH594" s="330"/>
      <c r="BI594" s="330"/>
      <c r="BJ594" s="330"/>
      <c r="BK594" s="330"/>
      <c r="BL594" s="330"/>
      <c r="BM594" s="330"/>
      <c r="BN594" s="330"/>
      <c r="BO594" s="330"/>
      <c r="BP594" s="330"/>
      <c r="BQ594" s="330"/>
      <c r="BR594" s="330"/>
      <c r="BS594" s="330"/>
      <c r="BT594" s="330"/>
      <c r="BU594" s="330"/>
      <c r="BV594" s="330"/>
      <c r="BW594" s="330"/>
      <c r="BX594" s="330"/>
      <c r="BY594" s="330"/>
      <c r="BZ594" s="330"/>
    </row>
    <row r="595" spans="1:78" x14ac:dyDescent="0.25">
      <c r="A595" s="331"/>
      <c r="B595" s="328"/>
      <c r="C595" s="328"/>
      <c r="D595" s="329"/>
      <c r="E595" s="330"/>
      <c r="F595" s="330"/>
      <c r="G595" s="330"/>
      <c r="H595" s="330"/>
      <c r="I595" s="330"/>
      <c r="J595" s="330"/>
      <c r="K595" s="330"/>
      <c r="L595" s="329"/>
      <c r="M595" s="329"/>
      <c r="N595" s="330"/>
      <c r="O595" s="330"/>
      <c r="P595" s="330"/>
      <c r="Q595" s="330"/>
      <c r="R595" s="330"/>
      <c r="S595" s="330"/>
      <c r="T595" s="330"/>
      <c r="U595" s="330"/>
      <c r="V595" s="330"/>
      <c r="W595" s="330"/>
      <c r="X595" s="329"/>
      <c r="Y595" s="330"/>
      <c r="Z595" s="330"/>
      <c r="AA595" s="330"/>
      <c r="AB595" s="330"/>
      <c r="AC595" s="330"/>
      <c r="AD595" s="330"/>
      <c r="AE595" s="330"/>
      <c r="AF595" s="330"/>
      <c r="AG595" s="330"/>
      <c r="AH595" s="330"/>
      <c r="AI595" s="330"/>
      <c r="AJ595" s="330"/>
      <c r="AK595" s="330"/>
      <c r="AL595" s="329"/>
      <c r="AM595" s="329"/>
      <c r="AN595" s="330"/>
      <c r="AO595" s="330"/>
      <c r="AP595" s="330"/>
      <c r="AQ595" s="330"/>
      <c r="AR595" s="231"/>
      <c r="AS595" s="333"/>
      <c r="AT595" s="206"/>
      <c r="AU595" s="328"/>
      <c r="AV595" s="206"/>
      <c r="AW595" s="206"/>
      <c r="AX595" s="206"/>
      <c r="AY595" s="206"/>
      <c r="AZ595" s="206"/>
      <c r="BA595" s="206"/>
      <c r="BB595" s="206"/>
      <c r="BC595" s="206"/>
      <c r="BD595" s="206"/>
      <c r="BE595" s="206"/>
      <c r="BF595" s="206"/>
      <c r="BG595" s="330"/>
      <c r="BH595" s="330"/>
      <c r="BI595" s="330"/>
      <c r="BJ595" s="330"/>
      <c r="BK595" s="330"/>
      <c r="BL595" s="330"/>
      <c r="BM595" s="330"/>
      <c r="BN595" s="330"/>
      <c r="BO595" s="330"/>
      <c r="BP595" s="330"/>
      <c r="BQ595" s="330"/>
      <c r="BR595" s="330"/>
      <c r="BS595" s="330"/>
      <c r="BT595" s="330"/>
      <c r="BU595" s="330"/>
      <c r="BV595" s="330"/>
      <c r="BW595" s="330"/>
      <c r="BX595" s="330"/>
      <c r="BY595" s="330"/>
      <c r="BZ595" s="330"/>
    </row>
    <row r="596" spans="1:78" x14ac:dyDescent="0.25">
      <c r="A596" s="331"/>
      <c r="B596" s="328"/>
      <c r="C596" s="328"/>
      <c r="D596" s="329"/>
      <c r="E596" s="330"/>
      <c r="F596" s="330"/>
      <c r="G596" s="330"/>
      <c r="H596" s="330"/>
      <c r="I596" s="330"/>
      <c r="J596" s="330"/>
      <c r="K596" s="330"/>
      <c r="L596" s="329"/>
      <c r="M596" s="329"/>
      <c r="N596" s="330"/>
      <c r="O596" s="330"/>
      <c r="P596" s="330"/>
      <c r="Q596" s="330"/>
      <c r="R596" s="330"/>
      <c r="S596" s="330"/>
      <c r="T596" s="330"/>
      <c r="U596" s="330"/>
      <c r="V596" s="330"/>
      <c r="W596" s="330"/>
      <c r="X596" s="329"/>
      <c r="Y596" s="330"/>
      <c r="Z596" s="330"/>
      <c r="AA596" s="330"/>
      <c r="AB596" s="330"/>
      <c r="AC596" s="330"/>
      <c r="AD596" s="330"/>
      <c r="AE596" s="330"/>
      <c r="AF596" s="330"/>
      <c r="AG596" s="330"/>
      <c r="AH596" s="330"/>
      <c r="AI596" s="330"/>
      <c r="AJ596" s="330"/>
      <c r="AK596" s="330"/>
      <c r="AL596" s="329"/>
      <c r="AM596" s="329"/>
      <c r="AN596" s="330"/>
      <c r="AO596" s="330"/>
      <c r="AP596" s="330"/>
      <c r="AQ596" s="330"/>
      <c r="AR596" s="231"/>
      <c r="AS596" s="333"/>
      <c r="AT596" s="206"/>
      <c r="AU596" s="328"/>
      <c r="AV596" s="206"/>
      <c r="AW596" s="206"/>
      <c r="AX596" s="206"/>
      <c r="AY596" s="206"/>
      <c r="AZ596" s="206"/>
      <c r="BA596" s="206"/>
      <c r="BB596" s="206"/>
      <c r="BC596" s="206"/>
      <c r="BD596" s="206"/>
      <c r="BE596" s="206"/>
      <c r="BF596" s="206"/>
      <c r="BG596" s="330"/>
      <c r="BH596" s="330"/>
      <c r="BI596" s="330"/>
      <c r="BJ596" s="330"/>
      <c r="BK596" s="330"/>
      <c r="BL596" s="330"/>
      <c r="BM596" s="330"/>
      <c r="BN596" s="330"/>
      <c r="BO596" s="330"/>
      <c r="BP596" s="330"/>
      <c r="BQ596" s="330"/>
      <c r="BR596" s="330"/>
      <c r="BS596" s="330"/>
      <c r="BT596" s="330"/>
      <c r="BU596" s="330"/>
      <c r="BV596" s="330"/>
      <c r="BW596" s="330"/>
      <c r="BX596" s="330"/>
      <c r="BY596" s="330"/>
      <c r="BZ596" s="330"/>
    </row>
    <row r="597" spans="1:78" x14ac:dyDescent="0.25">
      <c r="A597" s="331"/>
      <c r="B597" s="328"/>
      <c r="C597" s="328"/>
      <c r="D597" s="329"/>
      <c r="E597" s="330"/>
      <c r="F597" s="330"/>
      <c r="G597" s="330"/>
      <c r="H597" s="330"/>
      <c r="I597" s="330"/>
      <c r="J597" s="330"/>
      <c r="K597" s="330"/>
      <c r="L597" s="329"/>
      <c r="M597" s="329"/>
      <c r="N597" s="330"/>
      <c r="O597" s="330"/>
      <c r="P597" s="330"/>
      <c r="Q597" s="330"/>
      <c r="R597" s="330"/>
      <c r="S597" s="330"/>
      <c r="T597" s="330"/>
      <c r="U597" s="330"/>
      <c r="V597" s="330"/>
      <c r="W597" s="330"/>
      <c r="X597" s="329"/>
      <c r="Y597" s="330"/>
      <c r="Z597" s="330"/>
      <c r="AA597" s="330"/>
      <c r="AB597" s="330"/>
      <c r="AC597" s="330"/>
      <c r="AD597" s="330"/>
      <c r="AE597" s="330"/>
      <c r="AF597" s="330"/>
      <c r="AG597" s="330"/>
      <c r="AH597" s="330"/>
      <c r="AI597" s="330"/>
      <c r="AJ597" s="330"/>
      <c r="AK597" s="330"/>
      <c r="AL597" s="329"/>
      <c r="AM597" s="329"/>
      <c r="AN597" s="330"/>
      <c r="AO597" s="330"/>
      <c r="AP597" s="330"/>
      <c r="AQ597" s="330"/>
      <c r="AR597" s="231"/>
      <c r="AS597" s="333"/>
      <c r="AT597" s="206"/>
      <c r="AU597" s="328"/>
      <c r="AV597" s="206"/>
      <c r="AW597" s="206"/>
      <c r="AX597" s="206"/>
      <c r="AY597" s="206"/>
      <c r="AZ597" s="206"/>
      <c r="BA597" s="206"/>
      <c r="BB597" s="206"/>
      <c r="BC597" s="206"/>
      <c r="BD597" s="206"/>
      <c r="BE597" s="206"/>
      <c r="BF597" s="206"/>
      <c r="BG597" s="330"/>
      <c r="BH597" s="330"/>
      <c r="BI597" s="330"/>
      <c r="BJ597" s="330"/>
      <c r="BK597" s="330"/>
      <c r="BL597" s="330"/>
      <c r="BM597" s="330"/>
      <c r="BN597" s="330"/>
      <c r="BO597" s="330"/>
      <c r="BP597" s="330"/>
      <c r="BQ597" s="330"/>
      <c r="BR597" s="330"/>
      <c r="BS597" s="330"/>
      <c r="BT597" s="330"/>
      <c r="BU597" s="330"/>
      <c r="BV597" s="330"/>
      <c r="BW597" s="330"/>
      <c r="BX597" s="330"/>
      <c r="BY597" s="330"/>
      <c r="BZ597" s="330"/>
    </row>
    <row r="598" spans="1:78" x14ac:dyDescent="0.25">
      <c r="A598" s="331"/>
      <c r="B598" s="328"/>
      <c r="C598" s="328"/>
      <c r="D598" s="329"/>
      <c r="E598" s="330"/>
      <c r="F598" s="330"/>
      <c r="G598" s="330"/>
      <c r="H598" s="330"/>
      <c r="I598" s="330"/>
      <c r="J598" s="330"/>
      <c r="K598" s="330"/>
      <c r="L598" s="329"/>
      <c r="M598" s="329"/>
      <c r="N598" s="330"/>
      <c r="O598" s="330"/>
      <c r="P598" s="330"/>
      <c r="Q598" s="330"/>
      <c r="R598" s="330"/>
      <c r="S598" s="330"/>
      <c r="T598" s="330"/>
      <c r="U598" s="330"/>
      <c r="V598" s="330"/>
      <c r="W598" s="330"/>
      <c r="X598" s="329"/>
      <c r="Y598" s="330"/>
      <c r="Z598" s="330"/>
      <c r="AA598" s="330"/>
      <c r="AB598" s="330"/>
      <c r="AC598" s="330"/>
      <c r="AD598" s="330"/>
      <c r="AE598" s="330"/>
      <c r="AF598" s="330"/>
      <c r="AG598" s="330"/>
      <c r="AH598" s="330"/>
      <c r="AI598" s="330"/>
      <c r="AJ598" s="330"/>
      <c r="AK598" s="330"/>
      <c r="AL598" s="329"/>
      <c r="AM598" s="329"/>
      <c r="AN598" s="330"/>
      <c r="AO598" s="330"/>
      <c r="AP598" s="330"/>
      <c r="AQ598" s="330"/>
      <c r="AR598" s="231"/>
      <c r="AS598" s="333"/>
      <c r="AT598" s="206"/>
      <c r="AU598" s="328"/>
      <c r="AV598" s="206"/>
      <c r="AW598" s="206"/>
      <c r="AX598" s="206"/>
      <c r="AY598" s="206"/>
      <c r="AZ598" s="206"/>
      <c r="BA598" s="206"/>
      <c r="BB598" s="206"/>
      <c r="BC598" s="206"/>
      <c r="BD598" s="206"/>
      <c r="BE598" s="206"/>
      <c r="BF598" s="206"/>
      <c r="BG598" s="330"/>
      <c r="BH598" s="330"/>
      <c r="BI598" s="330"/>
      <c r="BJ598" s="330"/>
      <c r="BK598" s="330"/>
      <c r="BL598" s="330"/>
      <c r="BM598" s="330"/>
      <c r="BN598" s="330"/>
      <c r="BO598" s="330"/>
      <c r="BP598" s="330"/>
      <c r="BQ598" s="330"/>
      <c r="BR598" s="330"/>
      <c r="BS598" s="330"/>
      <c r="BT598" s="330"/>
      <c r="BU598" s="330"/>
      <c r="BV598" s="330"/>
      <c r="BW598" s="330"/>
      <c r="BX598" s="330"/>
      <c r="BY598" s="330"/>
      <c r="BZ598" s="330"/>
    </row>
    <row r="599" spans="1:78" x14ac:dyDescent="0.25">
      <c r="A599" s="331"/>
      <c r="B599" s="328"/>
      <c r="C599" s="328"/>
      <c r="D599" s="329"/>
      <c r="E599" s="330"/>
      <c r="F599" s="330"/>
      <c r="G599" s="330"/>
      <c r="H599" s="330"/>
      <c r="I599" s="330"/>
      <c r="J599" s="330"/>
      <c r="K599" s="330"/>
      <c r="L599" s="329"/>
      <c r="M599" s="329"/>
      <c r="N599" s="330"/>
      <c r="O599" s="330"/>
      <c r="P599" s="330"/>
      <c r="Q599" s="330"/>
      <c r="R599" s="330"/>
      <c r="S599" s="330"/>
      <c r="T599" s="330"/>
      <c r="U599" s="330"/>
      <c r="V599" s="330"/>
      <c r="W599" s="330"/>
      <c r="X599" s="329"/>
      <c r="Y599" s="330"/>
      <c r="Z599" s="330"/>
      <c r="AA599" s="330"/>
      <c r="AB599" s="330"/>
      <c r="AC599" s="330"/>
      <c r="AD599" s="330"/>
      <c r="AE599" s="330"/>
      <c r="AF599" s="330"/>
      <c r="AG599" s="330"/>
      <c r="AH599" s="330"/>
      <c r="AI599" s="330"/>
      <c r="AJ599" s="330"/>
      <c r="AK599" s="330"/>
      <c r="AL599" s="329"/>
      <c r="AM599" s="329"/>
      <c r="AN599" s="330"/>
      <c r="AO599" s="330"/>
      <c r="AP599" s="330"/>
      <c r="AQ599" s="330"/>
      <c r="AR599" s="231"/>
      <c r="AS599" s="333"/>
      <c r="AT599" s="206"/>
      <c r="AU599" s="328"/>
      <c r="AV599" s="206"/>
      <c r="AW599" s="206"/>
      <c r="AX599" s="206"/>
      <c r="AY599" s="206"/>
      <c r="AZ599" s="206"/>
      <c r="BA599" s="206"/>
      <c r="BB599" s="206"/>
      <c r="BC599" s="206"/>
      <c r="BD599" s="206"/>
      <c r="BE599" s="206"/>
      <c r="BF599" s="206"/>
      <c r="BG599" s="330"/>
      <c r="BH599" s="330"/>
      <c r="BI599" s="330"/>
      <c r="BJ599" s="330"/>
      <c r="BK599" s="330"/>
      <c r="BL599" s="330"/>
      <c r="BM599" s="330"/>
      <c r="BN599" s="330"/>
      <c r="BO599" s="330"/>
      <c r="BP599" s="330"/>
      <c r="BQ599" s="330"/>
      <c r="BR599" s="330"/>
      <c r="BS599" s="330"/>
      <c r="BT599" s="330"/>
      <c r="BU599" s="330"/>
      <c r="BV599" s="330"/>
      <c r="BW599" s="330"/>
      <c r="BX599" s="330"/>
      <c r="BY599" s="330"/>
      <c r="BZ599" s="330"/>
    </row>
    <row r="600" spans="1:78" x14ac:dyDescent="0.25">
      <c r="A600" s="331"/>
      <c r="B600" s="328"/>
      <c r="C600" s="328"/>
      <c r="D600" s="329"/>
      <c r="E600" s="330"/>
      <c r="F600" s="330"/>
      <c r="G600" s="330"/>
      <c r="H600" s="330"/>
      <c r="I600" s="330"/>
      <c r="J600" s="330"/>
      <c r="K600" s="330"/>
      <c r="L600" s="329"/>
      <c r="M600" s="329"/>
      <c r="N600" s="330"/>
      <c r="O600" s="330"/>
      <c r="P600" s="330"/>
      <c r="Q600" s="330"/>
      <c r="R600" s="330"/>
      <c r="S600" s="330"/>
      <c r="T600" s="330"/>
      <c r="U600" s="330"/>
      <c r="V600" s="330"/>
      <c r="W600" s="330"/>
      <c r="X600" s="329"/>
      <c r="Y600" s="330"/>
      <c r="Z600" s="330"/>
      <c r="AA600" s="330"/>
      <c r="AB600" s="330"/>
      <c r="AC600" s="330"/>
      <c r="AD600" s="330"/>
      <c r="AE600" s="330"/>
      <c r="AF600" s="330"/>
      <c r="AG600" s="330"/>
      <c r="AH600" s="330"/>
      <c r="AI600" s="330"/>
      <c r="AJ600" s="330"/>
      <c r="AK600" s="330"/>
      <c r="AL600" s="329"/>
      <c r="AM600" s="329"/>
      <c r="AN600" s="330"/>
      <c r="AO600" s="330"/>
      <c r="AP600" s="330"/>
      <c r="AQ600" s="330"/>
      <c r="AR600" s="231"/>
      <c r="AS600" s="333"/>
      <c r="AT600" s="206"/>
      <c r="AU600" s="328"/>
      <c r="AV600" s="206"/>
      <c r="AW600" s="206"/>
      <c r="AX600" s="206"/>
      <c r="AY600" s="206"/>
      <c r="AZ600" s="206"/>
      <c r="BA600" s="206"/>
      <c r="BB600" s="206"/>
      <c r="BC600" s="206"/>
      <c r="BD600" s="206"/>
      <c r="BE600" s="206"/>
      <c r="BF600" s="206"/>
      <c r="BG600" s="330"/>
      <c r="BH600" s="330"/>
      <c r="BI600" s="330"/>
      <c r="BJ600" s="330"/>
      <c r="BK600" s="330"/>
      <c r="BL600" s="330"/>
      <c r="BM600" s="330"/>
      <c r="BN600" s="330"/>
      <c r="BO600" s="330"/>
      <c r="BP600" s="330"/>
      <c r="BQ600" s="330"/>
      <c r="BR600" s="330"/>
      <c r="BS600" s="330"/>
      <c r="BT600" s="330"/>
      <c r="BU600" s="330"/>
      <c r="BV600" s="330"/>
      <c r="BW600" s="330"/>
      <c r="BX600" s="330"/>
      <c r="BY600" s="330"/>
      <c r="BZ600" s="330"/>
    </row>
    <row r="601" spans="1:78" x14ac:dyDescent="0.25">
      <c r="A601" s="331"/>
      <c r="B601" s="328"/>
      <c r="C601" s="328"/>
      <c r="D601" s="329"/>
      <c r="E601" s="330"/>
      <c r="F601" s="330"/>
      <c r="G601" s="330"/>
      <c r="H601" s="330"/>
      <c r="I601" s="330"/>
      <c r="J601" s="330"/>
      <c r="K601" s="330"/>
      <c r="L601" s="329"/>
      <c r="M601" s="329"/>
      <c r="N601" s="330"/>
      <c r="O601" s="330"/>
      <c r="P601" s="330"/>
      <c r="Q601" s="330"/>
      <c r="R601" s="330"/>
      <c r="S601" s="330"/>
      <c r="T601" s="330"/>
      <c r="U601" s="330"/>
      <c r="V601" s="330"/>
      <c r="W601" s="330"/>
      <c r="X601" s="329"/>
      <c r="Y601" s="330"/>
      <c r="Z601" s="330"/>
      <c r="AA601" s="330"/>
      <c r="AB601" s="330"/>
      <c r="AC601" s="330"/>
      <c r="AD601" s="330"/>
      <c r="AE601" s="330"/>
      <c r="AF601" s="330"/>
      <c r="AG601" s="330"/>
      <c r="AH601" s="330"/>
      <c r="AI601" s="330"/>
      <c r="AJ601" s="330"/>
      <c r="AK601" s="330"/>
      <c r="AL601" s="329"/>
      <c r="AM601" s="329"/>
      <c r="AN601" s="330"/>
      <c r="AO601" s="330"/>
      <c r="AP601" s="330"/>
      <c r="AQ601" s="330"/>
      <c r="AR601" s="231"/>
      <c r="AS601" s="333"/>
      <c r="AT601" s="206"/>
      <c r="AU601" s="328"/>
      <c r="AV601" s="206"/>
      <c r="AW601" s="206"/>
      <c r="AX601" s="206"/>
      <c r="AY601" s="206"/>
      <c r="AZ601" s="206"/>
      <c r="BA601" s="206"/>
      <c r="BB601" s="206"/>
      <c r="BC601" s="206"/>
      <c r="BD601" s="206"/>
      <c r="BE601" s="206"/>
      <c r="BF601" s="206"/>
      <c r="BG601" s="330"/>
      <c r="BH601" s="330"/>
      <c r="BI601" s="330"/>
      <c r="BJ601" s="330"/>
      <c r="BK601" s="330"/>
      <c r="BL601" s="330"/>
      <c r="BM601" s="330"/>
      <c r="BN601" s="330"/>
      <c r="BO601" s="330"/>
      <c r="BP601" s="330"/>
      <c r="BQ601" s="330"/>
      <c r="BR601" s="330"/>
      <c r="BS601" s="330"/>
      <c r="BT601" s="330"/>
      <c r="BU601" s="330"/>
      <c r="BV601" s="330"/>
      <c r="BW601" s="330"/>
      <c r="BX601" s="330"/>
      <c r="BY601" s="330"/>
      <c r="BZ601" s="330"/>
    </row>
    <row r="602" spans="1:78" x14ac:dyDescent="0.25">
      <c r="A602" s="331"/>
      <c r="B602" s="328"/>
      <c r="C602" s="328"/>
      <c r="D602" s="329"/>
      <c r="E602" s="330"/>
      <c r="F602" s="330"/>
      <c r="G602" s="330"/>
      <c r="H602" s="330"/>
      <c r="I602" s="330"/>
      <c r="J602" s="330"/>
      <c r="K602" s="330"/>
      <c r="L602" s="329"/>
      <c r="M602" s="329"/>
      <c r="N602" s="330"/>
      <c r="O602" s="330"/>
      <c r="P602" s="330"/>
      <c r="Q602" s="330"/>
      <c r="R602" s="330"/>
      <c r="S602" s="330"/>
      <c r="T602" s="330"/>
      <c r="U602" s="330"/>
      <c r="V602" s="330"/>
      <c r="W602" s="330"/>
      <c r="X602" s="329"/>
      <c r="Y602" s="330"/>
      <c r="Z602" s="330"/>
      <c r="AA602" s="330"/>
      <c r="AB602" s="330"/>
      <c r="AC602" s="330"/>
      <c r="AD602" s="330"/>
      <c r="AE602" s="330"/>
      <c r="AF602" s="330"/>
      <c r="AG602" s="330"/>
      <c r="AH602" s="330"/>
      <c r="AI602" s="330"/>
      <c r="AJ602" s="330"/>
      <c r="AK602" s="330"/>
      <c r="AL602" s="329"/>
      <c r="AM602" s="329"/>
      <c r="AN602" s="330"/>
      <c r="AO602" s="330"/>
      <c r="AP602" s="330"/>
      <c r="AQ602" s="330"/>
      <c r="AR602" s="231"/>
      <c r="AS602" s="333"/>
      <c r="AT602" s="206"/>
      <c r="AU602" s="328"/>
      <c r="AV602" s="206"/>
      <c r="AW602" s="206"/>
      <c r="AX602" s="206"/>
      <c r="AY602" s="206"/>
      <c r="AZ602" s="206"/>
      <c r="BA602" s="206"/>
      <c r="BB602" s="206"/>
      <c r="BC602" s="206"/>
      <c r="BD602" s="206"/>
      <c r="BE602" s="206"/>
      <c r="BF602" s="206"/>
      <c r="BG602" s="330"/>
      <c r="BH602" s="330"/>
      <c r="BI602" s="330"/>
      <c r="BJ602" s="330"/>
      <c r="BK602" s="330"/>
      <c r="BL602" s="330"/>
      <c r="BM602" s="330"/>
      <c r="BN602" s="330"/>
      <c r="BO602" s="330"/>
      <c r="BP602" s="330"/>
      <c r="BQ602" s="330"/>
      <c r="BR602" s="330"/>
      <c r="BS602" s="330"/>
      <c r="BT602" s="330"/>
      <c r="BU602" s="330"/>
      <c r="BV602" s="330"/>
      <c r="BW602" s="330"/>
      <c r="BX602" s="330"/>
      <c r="BY602" s="330"/>
      <c r="BZ602" s="330"/>
    </row>
    <row r="603" spans="1:78" x14ac:dyDescent="0.25">
      <c r="A603" s="331"/>
      <c r="B603" s="328"/>
      <c r="C603" s="328"/>
      <c r="D603" s="329"/>
      <c r="E603" s="330"/>
      <c r="F603" s="330"/>
      <c r="G603" s="330"/>
      <c r="H603" s="330"/>
      <c r="I603" s="330"/>
      <c r="J603" s="330"/>
      <c r="K603" s="330"/>
      <c r="L603" s="329"/>
      <c r="M603" s="329"/>
      <c r="N603" s="330"/>
      <c r="O603" s="330"/>
      <c r="P603" s="330"/>
      <c r="Q603" s="330"/>
      <c r="R603" s="330"/>
      <c r="S603" s="330"/>
      <c r="T603" s="330"/>
      <c r="U603" s="330"/>
      <c r="V603" s="330"/>
      <c r="W603" s="330"/>
      <c r="X603" s="329"/>
      <c r="Y603" s="330"/>
      <c r="Z603" s="330"/>
      <c r="AA603" s="330"/>
      <c r="AB603" s="330"/>
      <c r="AC603" s="330"/>
      <c r="AD603" s="330"/>
      <c r="AE603" s="330"/>
      <c r="AF603" s="330"/>
      <c r="AG603" s="330"/>
      <c r="AH603" s="330"/>
      <c r="AI603" s="330"/>
      <c r="AJ603" s="330"/>
      <c r="AK603" s="330"/>
      <c r="AL603" s="329"/>
      <c r="AM603" s="329"/>
      <c r="AN603" s="330"/>
      <c r="AO603" s="330"/>
      <c r="AP603" s="330"/>
      <c r="AQ603" s="330"/>
      <c r="AR603" s="231"/>
      <c r="AS603" s="333"/>
      <c r="AT603" s="206"/>
      <c r="AU603" s="328"/>
      <c r="AV603" s="206"/>
      <c r="AW603" s="206"/>
      <c r="AX603" s="206"/>
      <c r="AY603" s="206"/>
      <c r="AZ603" s="206"/>
      <c r="BA603" s="206"/>
      <c r="BB603" s="206"/>
      <c r="BC603" s="206"/>
      <c r="BD603" s="206"/>
      <c r="BE603" s="206"/>
      <c r="BF603" s="206"/>
      <c r="BG603" s="330"/>
      <c r="BH603" s="330"/>
      <c r="BI603" s="330"/>
      <c r="BJ603" s="330"/>
      <c r="BK603" s="330"/>
      <c r="BL603" s="330"/>
      <c r="BM603" s="330"/>
      <c r="BN603" s="330"/>
      <c r="BO603" s="330"/>
      <c r="BP603" s="330"/>
      <c r="BQ603" s="330"/>
      <c r="BR603" s="330"/>
      <c r="BS603" s="330"/>
      <c r="BT603" s="330"/>
      <c r="BU603" s="330"/>
      <c r="BV603" s="330"/>
      <c r="BW603" s="330"/>
      <c r="BX603" s="330"/>
      <c r="BY603" s="330"/>
      <c r="BZ603" s="330"/>
    </row>
    <row r="604" spans="1:78" x14ac:dyDescent="0.25">
      <c r="A604" s="331"/>
      <c r="B604" s="328"/>
      <c r="C604" s="328"/>
      <c r="D604" s="329"/>
      <c r="E604" s="330"/>
      <c r="F604" s="330"/>
      <c r="G604" s="330"/>
      <c r="H604" s="330"/>
      <c r="I604" s="330"/>
      <c r="J604" s="330"/>
      <c r="K604" s="330"/>
      <c r="L604" s="329"/>
      <c r="M604" s="329"/>
      <c r="N604" s="330"/>
      <c r="O604" s="330"/>
      <c r="P604" s="330"/>
      <c r="Q604" s="330"/>
      <c r="R604" s="330"/>
      <c r="S604" s="330"/>
      <c r="T604" s="330"/>
      <c r="U604" s="330"/>
      <c r="V604" s="330"/>
      <c r="W604" s="330"/>
      <c r="X604" s="329"/>
      <c r="Y604" s="330"/>
      <c r="Z604" s="330"/>
      <c r="AA604" s="330"/>
      <c r="AB604" s="330"/>
      <c r="AC604" s="330"/>
      <c r="AD604" s="330"/>
      <c r="AE604" s="330"/>
      <c r="AF604" s="330"/>
      <c r="AG604" s="330"/>
      <c r="AH604" s="330"/>
      <c r="AI604" s="330"/>
      <c r="AJ604" s="330"/>
      <c r="AK604" s="330"/>
      <c r="AL604" s="329"/>
      <c r="AM604" s="329"/>
      <c r="AN604" s="330"/>
      <c r="AO604" s="330"/>
      <c r="AP604" s="330"/>
      <c r="AQ604" s="330"/>
      <c r="AR604" s="231"/>
      <c r="AS604" s="333"/>
      <c r="AT604" s="206"/>
      <c r="AU604" s="328"/>
      <c r="AV604" s="206"/>
      <c r="AW604" s="206"/>
      <c r="AX604" s="206"/>
      <c r="AY604" s="206"/>
      <c r="AZ604" s="206"/>
      <c r="BA604" s="206"/>
      <c r="BB604" s="206"/>
      <c r="BC604" s="206"/>
      <c r="BD604" s="206"/>
      <c r="BE604" s="206"/>
      <c r="BF604" s="206"/>
      <c r="BG604" s="330"/>
      <c r="BH604" s="330"/>
      <c r="BI604" s="330"/>
      <c r="BJ604" s="330"/>
      <c r="BK604" s="330"/>
      <c r="BL604" s="330"/>
      <c r="BM604" s="330"/>
      <c r="BN604" s="330"/>
      <c r="BO604" s="330"/>
      <c r="BP604" s="330"/>
      <c r="BQ604" s="330"/>
      <c r="BR604" s="330"/>
      <c r="BS604" s="330"/>
      <c r="BT604" s="330"/>
      <c r="BU604" s="330"/>
      <c r="BV604" s="330"/>
      <c r="BW604" s="330"/>
      <c r="BX604" s="330"/>
      <c r="BY604" s="330"/>
      <c r="BZ604" s="330"/>
    </row>
    <row r="605" spans="1:78" x14ac:dyDescent="0.25">
      <c r="A605" s="331"/>
      <c r="B605" s="328"/>
      <c r="C605" s="328"/>
      <c r="D605" s="329"/>
      <c r="E605" s="330"/>
      <c r="F605" s="330"/>
      <c r="G605" s="330"/>
      <c r="H605" s="330"/>
      <c r="I605" s="330"/>
      <c r="J605" s="330"/>
      <c r="K605" s="330"/>
      <c r="L605" s="329"/>
      <c r="M605" s="329"/>
      <c r="N605" s="330"/>
      <c r="O605" s="330"/>
      <c r="P605" s="330"/>
      <c r="Q605" s="330"/>
      <c r="R605" s="330"/>
      <c r="S605" s="330"/>
      <c r="T605" s="330"/>
      <c r="U605" s="330"/>
      <c r="V605" s="330"/>
      <c r="W605" s="330"/>
      <c r="X605" s="329"/>
      <c r="Y605" s="330"/>
      <c r="Z605" s="330"/>
      <c r="AA605" s="330"/>
      <c r="AB605" s="330"/>
      <c r="AC605" s="330"/>
      <c r="AD605" s="330"/>
      <c r="AE605" s="330"/>
      <c r="AF605" s="330"/>
      <c r="AG605" s="330"/>
      <c r="AH605" s="330"/>
      <c r="AI605" s="330"/>
      <c r="AJ605" s="330"/>
      <c r="AK605" s="330"/>
      <c r="AL605" s="329"/>
      <c r="AM605" s="329"/>
      <c r="AN605" s="330"/>
      <c r="AO605" s="330"/>
      <c r="AP605" s="330"/>
      <c r="AQ605" s="330"/>
      <c r="AR605" s="231"/>
      <c r="AS605" s="333"/>
      <c r="AT605" s="206"/>
      <c r="AU605" s="328"/>
      <c r="AV605" s="206"/>
      <c r="AW605" s="206"/>
      <c r="AX605" s="206"/>
      <c r="AY605" s="206"/>
      <c r="AZ605" s="206"/>
      <c r="BA605" s="206"/>
      <c r="BB605" s="206"/>
      <c r="BC605" s="206"/>
      <c r="BD605" s="206"/>
      <c r="BE605" s="206"/>
      <c r="BF605" s="206"/>
      <c r="BG605" s="330"/>
      <c r="BH605" s="330"/>
      <c r="BI605" s="330"/>
      <c r="BJ605" s="330"/>
      <c r="BK605" s="330"/>
      <c r="BL605" s="330"/>
      <c r="BM605" s="330"/>
      <c r="BN605" s="330"/>
      <c r="BO605" s="330"/>
      <c r="BP605" s="330"/>
      <c r="BQ605" s="330"/>
      <c r="BR605" s="330"/>
      <c r="BS605" s="330"/>
      <c r="BT605" s="330"/>
      <c r="BU605" s="330"/>
      <c r="BV605" s="330"/>
      <c r="BW605" s="330"/>
      <c r="BX605" s="330"/>
      <c r="BY605" s="330"/>
      <c r="BZ605" s="330"/>
    </row>
    <row r="606" spans="1:78" x14ac:dyDescent="0.25">
      <c r="A606" s="331"/>
      <c r="B606" s="328"/>
      <c r="C606" s="328"/>
      <c r="D606" s="329"/>
      <c r="E606" s="330"/>
      <c r="F606" s="330"/>
      <c r="G606" s="330"/>
      <c r="H606" s="330"/>
      <c r="I606" s="330"/>
      <c r="J606" s="330"/>
      <c r="K606" s="330"/>
      <c r="L606" s="329"/>
      <c r="M606" s="329"/>
      <c r="N606" s="330"/>
      <c r="O606" s="330"/>
      <c r="P606" s="330"/>
      <c r="Q606" s="330"/>
      <c r="R606" s="330"/>
      <c r="S606" s="330"/>
      <c r="T606" s="330"/>
      <c r="U606" s="330"/>
      <c r="V606" s="330"/>
      <c r="W606" s="330"/>
      <c r="X606" s="329"/>
      <c r="Y606" s="330"/>
      <c r="Z606" s="330"/>
      <c r="AA606" s="330"/>
      <c r="AB606" s="330"/>
      <c r="AC606" s="330"/>
      <c r="AD606" s="330"/>
      <c r="AE606" s="330"/>
      <c r="AF606" s="330"/>
      <c r="AG606" s="330"/>
      <c r="AH606" s="330"/>
      <c r="AI606" s="330"/>
      <c r="AJ606" s="330"/>
      <c r="AK606" s="330"/>
      <c r="AL606" s="329"/>
      <c r="AM606" s="329"/>
      <c r="AN606" s="330"/>
      <c r="AO606" s="330"/>
      <c r="AP606" s="330"/>
      <c r="AQ606" s="330"/>
      <c r="AR606" s="231"/>
      <c r="AS606" s="333"/>
      <c r="AT606" s="206"/>
      <c r="AU606" s="328"/>
      <c r="AV606" s="206"/>
      <c r="AW606" s="206"/>
      <c r="AX606" s="206"/>
      <c r="AY606" s="206"/>
      <c r="AZ606" s="206"/>
      <c r="BA606" s="206"/>
      <c r="BB606" s="206"/>
      <c r="BC606" s="206"/>
      <c r="BD606" s="206"/>
      <c r="BE606" s="206"/>
      <c r="BF606" s="206"/>
      <c r="BG606" s="330"/>
      <c r="BH606" s="330"/>
      <c r="BI606" s="330"/>
      <c r="BJ606" s="330"/>
      <c r="BK606" s="330"/>
      <c r="BL606" s="330"/>
      <c r="BM606" s="330"/>
      <c r="BN606" s="330"/>
      <c r="BO606" s="330"/>
      <c r="BP606" s="330"/>
      <c r="BQ606" s="330"/>
      <c r="BR606" s="330"/>
      <c r="BS606" s="330"/>
      <c r="BT606" s="330"/>
      <c r="BU606" s="330"/>
      <c r="BV606" s="330"/>
      <c r="BW606" s="330"/>
      <c r="BX606" s="330"/>
      <c r="BY606" s="330"/>
      <c r="BZ606" s="330"/>
    </row>
    <row r="607" spans="1:78" x14ac:dyDescent="0.25">
      <c r="A607" s="331"/>
      <c r="B607" s="328"/>
      <c r="C607" s="328"/>
      <c r="D607" s="329"/>
      <c r="E607" s="330"/>
      <c r="F607" s="330"/>
      <c r="G607" s="330"/>
      <c r="H607" s="330"/>
      <c r="I607" s="330"/>
      <c r="J607" s="330"/>
      <c r="K607" s="330"/>
      <c r="L607" s="329"/>
      <c r="M607" s="329"/>
      <c r="N607" s="330"/>
      <c r="O607" s="330"/>
      <c r="P607" s="330"/>
      <c r="Q607" s="330"/>
      <c r="R607" s="330"/>
      <c r="S607" s="330"/>
      <c r="T607" s="330"/>
      <c r="U607" s="330"/>
      <c r="V607" s="330"/>
      <c r="W607" s="330"/>
      <c r="X607" s="329"/>
      <c r="Y607" s="330"/>
      <c r="Z607" s="330"/>
      <c r="AA607" s="330"/>
      <c r="AB607" s="330"/>
      <c r="AC607" s="330"/>
      <c r="AD607" s="330"/>
      <c r="AE607" s="330"/>
      <c r="AF607" s="330"/>
      <c r="AG607" s="330"/>
      <c r="AH607" s="330"/>
      <c r="AI607" s="330"/>
      <c r="AJ607" s="330"/>
      <c r="AK607" s="330"/>
      <c r="AL607" s="329"/>
      <c r="AM607" s="329"/>
      <c r="AN607" s="330"/>
      <c r="AO607" s="330"/>
      <c r="AP607" s="330"/>
      <c r="AQ607" s="330"/>
      <c r="AR607" s="231"/>
      <c r="AS607" s="333"/>
      <c r="AT607" s="206"/>
      <c r="AU607" s="328"/>
      <c r="AV607" s="206"/>
      <c r="AW607" s="206"/>
      <c r="AX607" s="206"/>
      <c r="AY607" s="206"/>
      <c r="AZ607" s="206"/>
      <c r="BA607" s="206"/>
      <c r="BB607" s="206"/>
      <c r="BC607" s="206"/>
      <c r="BD607" s="206"/>
      <c r="BE607" s="206"/>
      <c r="BF607" s="206"/>
      <c r="BG607" s="330"/>
      <c r="BH607" s="330"/>
      <c r="BI607" s="330"/>
      <c r="BJ607" s="330"/>
      <c r="BK607" s="330"/>
      <c r="BL607" s="330"/>
      <c r="BM607" s="330"/>
      <c r="BN607" s="330"/>
      <c r="BO607" s="330"/>
      <c r="BP607" s="330"/>
      <c r="BQ607" s="330"/>
      <c r="BR607" s="330"/>
      <c r="BS607" s="330"/>
      <c r="BT607" s="330"/>
      <c r="BU607" s="330"/>
      <c r="BV607" s="330"/>
      <c r="BW607" s="330"/>
      <c r="BX607" s="330"/>
      <c r="BY607" s="330"/>
      <c r="BZ607" s="330"/>
    </row>
    <row r="608" spans="1:78" x14ac:dyDescent="0.25">
      <c r="A608" s="331"/>
      <c r="B608" s="328"/>
      <c r="C608" s="328"/>
      <c r="D608" s="329"/>
      <c r="E608" s="330"/>
      <c r="F608" s="330"/>
      <c r="G608" s="330"/>
      <c r="H608" s="330"/>
      <c r="I608" s="330"/>
      <c r="J608" s="330"/>
      <c r="K608" s="330"/>
      <c r="L608" s="329"/>
      <c r="M608" s="329"/>
      <c r="N608" s="330"/>
      <c r="O608" s="330"/>
      <c r="P608" s="330"/>
      <c r="Q608" s="330"/>
      <c r="R608" s="330"/>
      <c r="S608" s="330"/>
      <c r="T608" s="330"/>
      <c r="U608" s="330"/>
      <c r="V608" s="330"/>
      <c r="W608" s="330"/>
      <c r="X608" s="329"/>
      <c r="Y608" s="330"/>
      <c r="Z608" s="330"/>
      <c r="AA608" s="330"/>
      <c r="AB608" s="330"/>
      <c r="AC608" s="330"/>
      <c r="AD608" s="330"/>
      <c r="AE608" s="330"/>
      <c r="AF608" s="330"/>
      <c r="AG608" s="330"/>
      <c r="AH608" s="330"/>
      <c r="AI608" s="330"/>
      <c r="AJ608" s="330"/>
      <c r="AK608" s="330"/>
      <c r="AL608" s="329"/>
      <c r="AM608" s="329"/>
      <c r="AN608" s="330"/>
      <c r="AO608" s="330"/>
      <c r="AP608" s="330"/>
      <c r="AQ608" s="330"/>
      <c r="AR608" s="231"/>
      <c r="AS608" s="333"/>
      <c r="AT608" s="206"/>
      <c r="AU608" s="328"/>
      <c r="AV608" s="206"/>
      <c r="AW608" s="206"/>
      <c r="AX608" s="206"/>
      <c r="AY608" s="206"/>
      <c r="AZ608" s="206"/>
      <c r="BA608" s="206"/>
      <c r="BB608" s="206"/>
      <c r="BC608" s="206"/>
      <c r="BD608" s="206"/>
      <c r="BE608" s="206"/>
      <c r="BF608" s="206"/>
      <c r="BG608" s="330"/>
      <c r="BH608" s="330"/>
      <c r="BI608" s="330"/>
      <c r="BJ608" s="330"/>
      <c r="BK608" s="330"/>
      <c r="BL608" s="330"/>
      <c r="BM608" s="330"/>
      <c r="BN608" s="330"/>
      <c r="BO608" s="330"/>
      <c r="BP608" s="330"/>
      <c r="BQ608" s="330"/>
      <c r="BR608" s="330"/>
      <c r="BS608" s="330"/>
      <c r="BT608" s="330"/>
      <c r="BU608" s="330"/>
      <c r="BV608" s="330"/>
      <c r="BW608" s="330"/>
      <c r="BX608" s="330"/>
      <c r="BY608" s="330"/>
      <c r="BZ608" s="330"/>
    </row>
    <row r="609" spans="1:78" x14ac:dyDescent="0.25">
      <c r="A609" s="331"/>
      <c r="B609" s="328"/>
      <c r="C609" s="328"/>
      <c r="D609" s="329"/>
      <c r="E609" s="330"/>
      <c r="F609" s="330"/>
      <c r="G609" s="330"/>
      <c r="H609" s="330"/>
      <c r="I609" s="330"/>
      <c r="J609" s="330"/>
      <c r="K609" s="330"/>
      <c r="L609" s="329"/>
      <c r="M609" s="329"/>
      <c r="N609" s="330"/>
      <c r="O609" s="330"/>
      <c r="P609" s="330"/>
      <c r="Q609" s="330"/>
      <c r="R609" s="330"/>
      <c r="S609" s="330"/>
      <c r="T609" s="330"/>
      <c r="U609" s="330"/>
      <c r="V609" s="330"/>
      <c r="W609" s="330"/>
      <c r="X609" s="329"/>
      <c r="Y609" s="330"/>
      <c r="Z609" s="330"/>
      <c r="AA609" s="330"/>
      <c r="AB609" s="330"/>
      <c r="AC609" s="330"/>
      <c r="AD609" s="330"/>
      <c r="AE609" s="330"/>
      <c r="AF609" s="330"/>
      <c r="AG609" s="330"/>
      <c r="AH609" s="330"/>
      <c r="AI609" s="330"/>
      <c r="AJ609" s="330"/>
      <c r="AK609" s="330"/>
      <c r="AL609" s="329"/>
      <c r="AM609" s="329"/>
      <c r="AN609" s="330"/>
      <c r="AO609" s="330"/>
      <c r="AP609" s="330"/>
      <c r="AQ609" s="330"/>
      <c r="AR609" s="231"/>
      <c r="AS609" s="333"/>
      <c r="AT609" s="206"/>
      <c r="AU609" s="328"/>
      <c r="AV609" s="206"/>
      <c r="AW609" s="206"/>
      <c r="AX609" s="206"/>
      <c r="AY609" s="206"/>
      <c r="AZ609" s="206"/>
      <c r="BA609" s="206"/>
      <c r="BB609" s="206"/>
      <c r="BC609" s="206"/>
      <c r="BD609" s="206"/>
      <c r="BE609" s="206"/>
      <c r="BF609" s="206"/>
      <c r="BG609" s="330"/>
      <c r="BH609" s="330"/>
      <c r="BI609" s="330"/>
      <c r="BJ609" s="330"/>
      <c r="BK609" s="330"/>
      <c r="BL609" s="330"/>
      <c r="BM609" s="330"/>
      <c r="BN609" s="330"/>
      <c r="BO609" s="330"/>
      <c r="BP609" s="330"/>
      <c r="BQ609" s="330"/>
      <c r="BR609" s="330"/>
      <c r="BS609" s="330"/>
      <c r="BT609" s="330"/>
      <c r="BU609" s="330"/>
      <c r="BV609" s="330"/>
      <c r="BW609" s="330"/>
      <c r="BX609" s="330"/>
      <c r="BY609" s="330"/>
      <c r="BZ609" s="330"/>
    </row>
    <row r="610" spans="1:78" x14ac:dyDescent="0.25">
      <c r="A610" s="331"/>
      <c r="B610" s="328"/>
      <c r="C610" s="328"/>
      <c r="D610" s="329"/>
      <c r="E610" s="330"/>
      <c r="F610" s="330"/>
      <c r="G610" s="330"/>
      <c r="H610" s="330"/>
      <c r="I610" s="330"/>
      <c r="J610" s="330"/>
      <c r="K610" s="330"/>
      <c r="L610" s="329"/>
      <c r="M610" s="329"/>
      <c r="N610" s="330"/>
      <c r="O610" s="330"/>
      <c r="P610" s="330"/>
      <c r="Q610" s="330"/>
      <c r="R610" s="330"/>
      <c r="S610" s="330"/>
      <c r="T610" s="330"/>
      <c r="U610" s="330"/>
      <c r="V610" s="330"/>
      <c r="W610" s="330"/>
      <c r="X610" s="329"/>
      <c r="Y610" s="330"/>
      <c r="Z610" s="330"/>
      <c r="AA610" s="330"/>
      <c r="AB610" s="330"/>
      <c r="AC610" s="330"/>
      <c r="AD610" s="330"/>
      <c r="AE610" s="330"/>
      <c r="AF610" s="330"/>
      <c r="AG610" s="330"/>
      <c r="AH610" s="330"/>
      <c r="AI610" s="330"/>
      <c r="AJ610" s="330"/>
      <c r="AK610" s="330"/>
      <c r="AL610" s="329"/>
      <c r="AM610" s="329"/>
      <c r="AN610" s="330"/>
      <c r="AO610" s="330"/>
      <c r="AP610" s="330"/>
      <c r="AQ610" s="330"/>
      <c r="AR610" s="231"/>
      <c r="AS610" s="333"/>
      <c r="AT610" s="206"/>
      <c r="AU610" s="328"/>
      <c r="AV610" s="206"/>
      <c r="AW610" s="206"/>
      <c r="AX610" s="206"/>
      <c r="AY610" s="206"/>
      <c r="AZ610" s="206"/>
      <c r="BA610" s="206"/>
      <c r="BB610" s="206"/>
      <c r="BC610" s="206"/>
      <c r="BD610" s="206"/>
      <c r="BE610" s="206"/>
      <c r="BF610" s="206"/>
      <c r="BG610" s="330"/>
      <c r="BH610" s="330"/>
      <c r="BI610" s="330"/>
      <c r="BJ610" s="330"/>
      <c r="BK610" s="330"/>
      <c r="BL610" s="330"/>
      <c r="BM610" s="330"/>
      <c r="BN610" s="330"/>
      <c r="BO610" s="330"/>
      <c r="BP610" s="330"/>
      <c r="BQ610" s="330"/>
      <c r="BR610" s="330"/>
      <c r="BS610" s="330"/>
      <c r="BT610" s="330"/>
      <c r="BU610" s="330"/>
      <c r="BV610" s="330"/>
      <c r="BW610" s="330"/>
      <c r="BX610" s="330"/>
      <c r="BY610" s="330"/>
      <c r="BZ610" s="330"/>
    </row>
    <row r="611" spans="1:78" x14ac:dyDescent="0.25">
      <c r="A611" s="331"/>
      <c r="B611" s="328"/>
      <c r="C611" s="328"/>
      <c r="D611" s="329"/>
      <c r="E611" s="330"/>
      <c r="F611" s="330"/>
      <c r="G611" s="330"/>
      <c r="H611" s="330"/>
      <c r="I611" s="330"/>
      <c r="J611" s="330"/>
      <c r="K611" s="330"/>
      <c r="L611" s="329"/>
      <c r="M611" s="329"/>
      <c r="N611" s="330"/>
      <c r="O611" s="330"/>
      <c r="P611" s="330"/>
      <c r="Q611" s="330"/>
      <c r="R611" s="330"/>
      <c r="S611" s="330"/>
      <c r="T611" s="330"/>
      <c r="U611" s="330"/>
      <c r="V611" s="330"/>
      <c r="W611" s="330"/>
      <c r="X611" s="329"/>
      <c r="Y611" s="330"/>
      <c r="Z611" s="330"/>
      <c r="AA611" s="330"/>
      <c r="AB611" s="330"/>
      <c r="AC611" s="330"/>
      <c r="AD611" s="330"/>
      <c r="AE611" s="330"/>
      <c r="AF611" s="330"/>
      <c r="AG611" s="330"/>
      <c r="AH611" s="330"/>
      <c r="AI611" s="330"/>
      <c r="AJ611" s="330"/>
      <c r="AK611" s="330"/>
      <c r="AL611" s="329"/>
      <c r="AM611" s="329"/>
      <c r="AN611" s="330"/>
      <c r="AO611" s="330"/>
      <c r="AP611" s="330"/>
      <c r="AQ611" s="330"/>
      <c r="AR611" s="231"/>
      <c r="AS611" s="333"/>
      <c r="AT611" s="206"/>
      <c r="AU611" s="328"/>
      <c r="AV611" s="206"/>
      <c r="AW611" s="206"/>
      <c r="AX611" s="206"/>
      <c r="AY611" s="206"/>
      <c r="AZ611" s="206"/>
      <c r="BA611" s="206"/>
      <c r="BB611" s="206"/>
      <c r="BC611" s="206"/>
      <c r="BD611" s="206"/>
      <c r="BE611" s="206"/>
      <c r="BF611" s="206"/>
      <c r="BG611" s="330"/>
      <c r="BH611" s="330"/>
      <c r="BI611" s="330"/>
      <c r="BJ611" s="330"/>
      <c r="BK611" s="330"/>
      <c r="BL611" s="330"/>
      <c r="BM611" s="330"/>
      <c r="BN611" s="330"/>
      <c r="BO611" s="330"/>
      <c r="BP611" s="330"/>
      <c r="BQ611" s="330"/>
      <c r="BR611" s="330"/>
      <c r="BS611" s="330"/>
      <c r="BT611" s="330"/>
      <c r="BU611" s="330"/>
      <c r="BV611" s="330"/>
      <c r="BW611" s="330"/>
      <c r="BX611" s="330"/>
      <c r="BY611" s="330"/>
      <c r="BZ611" s="330"/>
    </row>
    <row r="612" spans="1:78" x14ac:dyDescent="0.25">
      <c r="A612" s="331"/>
      <c r="B612" s="328"/>
      <c r="C612" s="328"/>
      <c r="D612" s="329"/>
      <c r="E612" s="330"/>
      <c r="F612" s="330"/>
      <c r="G612" s="330"/>
      <c r="H612" s="330"/>
      <c r="I612" s="330"/>
      <c r="J612" s="330"/>
      <c r="K612" s="330"/>
      <c r="L612" s="329"/>
      <c r="M612" s="329"/>
      <c r="N612" s="330"/>
      <c r="O612" s="330"/>
      <c r="P612" s="330"/>
      <c r="Q612" s="330"/>
      <c r="R612" s="330"/>
      <c r="S612" s="330"/>
      <c r="T612" s="330"/>
      <c r="U612" s="330"/>
      <c r="V612" s="330"/>
      <c r="W612" s="330"/>
      <c r="X612" s="329"/>
      <c r="Y612" s="330"/>
      <c r="Z612" s="330"/>
      <c r="AA612" s="330"/>
      <c r="AB612" s="330"/>
      <c r="AC612" s="330"/>
      <c r="AD612" s="330"/>
      <c r="AE612" s="330"/>
      <c r="AF612" s="330"/>
      <c r="AG612" s="330"/>
      <c r="AH612" s="330"/>
      <c r="AI612" s="330"/>
      <c r="AJ612" s="330"/>
      <c r="AK612" s="330"/>
      <c r="AL612" s="329"/>
      <c r="AM612" s="329"/>
      <c r="AN612" s="330"/>
      <c r="AO612" s="330"/>
      <c r="AP612" s="330"/>
      <c r="AQ612" s="330"/>
      <c r="AR612" s="231"/>
      <c r="AS612" s="333"/>
      <c r="AT612" s="206"/>
      <c r="AU612" s="328"/>
      <c r="AV612" s="206"/>
      <c r="AW612" s="206"/>
      <c r="AX612" s="206"/>
      <c r="AY612" s="206"/>
      <c r="AZ612" s="206"/>
      <c r="BA612" s="206"/>
      <c r="BB612" s="206"/>
      <c r="BC612" s="206"/>
      <c r="BD612" s="206"/>
      <c r="BE612" s="206"/>
      <c r="BF612" s="206"/>
      <c r="BG612" s="330"/>
      <c r="BH612" s="330"/>
      <c r="BI612" s="330"/>
      <c r="BJ612" s="330"/>
      <c r="BK612" s="330"/>
      <c r="BL612" s="330"/>
      <c r="BM612" s="330"/>
      <c r="BN612" s="330"/>
      <c r="BO612" s="330"/>
      <c r="BP612" s="330"/>
      <c r="BQ612" s="330"/>
      <c r="BR612" s="330"/>
      <c r="BS612" s="330"/>
      <c r="BT612" s="330"/>
      <c r="BU612" s="330"/>
      <c r="BV612" s="330"/>
      <c r="BW612" s="330"/>
      <c r="BX612" s="330"/>
      <c r="BY612" s="330"/>
      <c r="BZ612" s="330"/>
    </row>
    <row r="613" spans="1:78" x14ac:dyDescent="0.25">
      <c r="A613" s="331"/>
      <c r="B613" s="328"/>
      <c r="C613" s="328"/>
      <c r="D613" s="329"/>
      <c r="E613" s="330"/>
      <c r="F613" s="330"/>
      <c r="G613" s="330"/>
      <c r="H613" s="330"/>
      <c r="I613" s="330"/>
      <c r="J613" s="330"/>
      <c r="K613" s="330"/>
      <c r="L613" s="329"/>
      <c r="M613" s="329"/>
      <c r="N613" s="330"/>
      <c r="O613" s="330"/>
      <c r="P613" s="330"/>
      <c r="Q613" s="330"/>
      <c r="R613" s="330"/>
      <c r="S613" s="330"/>
      <c r="T613" s="330"/>
      <c r="U613" s="330"/>
      <c r="V613" s="330"/>
      <c r="W613" s="330"/>
      <c r="X613" s="329"/>
      <c r="Y613" s="330"/>
      <c r="Z613" s="330"/>
      <c r="AA613" s="330"/>
      <c r="AB613" s="330"/>
      <c r="AC613" s="330"/>
      <c r="AD613" s="330"/>
      <c r="AE613" s="330"/>
      <c r="AF613" s="330"/>
      <c r="AG613" s="330"/>
      <c r="AH613" s="330"/>
      <c r="AI613" s="330"/>
      <c r="AJ613" s="330"/>
      <c r="AK613" s="330"/>
      <c r="AL613" s="329"/>
      <c r="AM613" s="329"/>
      <c r="AN613" s="330"/>
      <c r="AO613" s="330"/>
      <c r="AP613" s="330"/>
      <c r="AQ613" s="330"/>
      <c r="AR613" s="231"/>
      <c r="AS613" s="333"/>
      <c r="AT613" s="206"/>
      <c r="AU613" s="328"/>
      <c r="AV613" s="206"/>
      <c r="AW613" s="206"/>
      <c r="AX613" s="206"/>
      <c r="AY613" s="206"/>
      <c r="AZ613" s="206"/>
      <c r="BA613" s="206"/>
      <c r="BB613" s="206"/>
      <c r="BC613" s="206"/>
      <c r="BD613" s="206"/>
      <c r="BE613" s="206"/>
      <c r="BF613" s="206"/>
      <c r="BG613" s="330"/>
      <c r="BH613" s="330"/>
      <c r="BI613" s="330"/>
      <c r="BJ613" s="330"/>
      <c r="BK613" s="330"/>
      <c r="BL613" s="330"/>
      <c r="BM613" s="330"/>
      <c r="BN613" s="330"/>
      <c r="BO613" s="330"/>
      <c r="BP613" s="330"/>
      <c r="BQ613" s="330"/>
      <c r="BR613" s="330"/>
      <c r="BS613" s="330"/>
      <c r="BT613" s="330"/>
      <c r="BU613" s="330"/>
      <c r="BV613" s="330"/>
      <c r="BW613" s="330"/>
      <c r="BX613" s="330"/>
      <c r="BY613" s="330"/>
      <c r="BZ613" s="330"/>
    </row>
    <row r="614" spans="1:78" x14ac:dyDescent="0.25">
      <c r="A614" s="331"/>
      <c r="B614" s="328"/>
      <c r="C614" s="328"/>
      <c r="D614" s="329"/>
      <c r="E614" s="330"/>
      <c r="F614" s="330"/>
      <c r="G614" s="330"/>
      <c r="H614" s="330"/>
      <c r="I614" s="330"/>
      <c r="J614" s="330"/>
      <c r="K614" s="330"/>
      <c r="L614" s="329"/>
      <c r="M614" s="329"/>
      <c r="N614" s="330"/>
      <c r="O614" s="330"/>
      <c r="P614" s="330"/>
      <c r="Q614" s="330"/>
      <c r="R614" s="330"/>
      <c r="S614" s="330"/>
      <c r="T614" s="330"/>
      <c r="U614" s="330"/>
      <c r="V614" s="330"/>
      <c r="W614" s="330"/>
      <c r="X614" s="329"/>
      <c r="Y614" s="330"/>
      <c r="Z614" s="330"/>
      <c r="AA614" s="330"/>
      <c r="AB614" s="330"/>
      <c r="AC614" s="330"/>
      <c r="AD614" s="330"/>
      <c r="AE614" s="330"/>
      <c r="AF614" s="330"/>
      <c r="AG614" s="330"/>
      <c r="AH614" s="330"/>
      <c r="AI614" s="330"/>
      <c r="AJ614" s="330"/>
      <c r="AK614" s="330"/>
      <c r="AL614" s="329"/>
      <c r="AM614" s="329"/>
      <c r="AN614" s="330"/>
      <c r="AO614" s="330"/>
      <c r="AP614" s="330"/>
      <c r="AQ614" s="330"/>
      <c r="AR614" s="231"/>
      <c r="AS614" s="333"/>
      <c r="AT614" s="206"/>
      <c r="AU614" s="328"/>
      <c r="AV614" s="206"/>
      <c r="AW614" s="206"/>
      <c r="AX614" s="206"/>
      <c r="AY614" s="206"/>
      <c r="AZ614" s="206"/>
      <c r="BA614" s="206"/>
      <c r="BB614" s="206"/>
      <c r="BC614" s="206"/>
      <c r="BD614" s="206"/>
      <c r="BE614" s="206"/>
      <c r="BF614" s="206"/>
      <c r="BG614" s="330"/>
      <c r="BH614" s="330"/>
      <c r="BI614" s="330"/>
      <c r="BJ614" s="330"/>
      <c r="BK614" s="330"/>
      <c r="BL614" s="330"/>
      <c r="BM614" s="330"/>
      <c r="BN614" s="330"/>
      <c r="BO614" s="330"/>
      <c r="BP614" s="330"/>
      <c r="BQ614" s="330"/>
      <c r="BR614" s="330"/>
      <c r="BS614" s="330"/>
      <c r="BT614" s="330"/>
      <c r="BU614" s="330"/>
      <c r="BV614" s="330"/>
      <c r="BW614" s="330"/>
      <c r="BX614" s="330"/>
      <c r="BY614" s="330"/>
      <c r="BZ614" s="330"/>
    </row>
    <row r="615" spans="1:78" x14ac:dyDescent="0.25">
      <c r="A615" s="331"/>
      <c r="B615" s="328"/>
      <c r="C615" s="328"/>
      <c r="D615" s="329"/>
      <c r="E615" s="330"/>
      <c r="F615" s="330"/>
      <c r="G615" s="330"/>
      <c r="H615" s="330"/>
      <c r="I615" s="330"/>
      <c r="J615" s="330"/>
      <c r="K615" s="330"/>
      <c r="L615" s="329"/>
      <c r="M615" s="329"/>
      <c r="N615" s="330"/>
      <c r="O615" s="330"/>
      <c r="P615" s="330"/>
      <c r="Q615" s="330"/>
      <c r="R615" s="330"/>
      <c r="S615" s="330"/>
      <c r="T615" s="330"/>
      <c r="U615" s="330"/>
      <c r="V615" s="330"/>
      <c r="W615" s="330"/>
      <c r="X615" s="329"/>
      <c r="Y615" s="330"/>
      <c r="Z615" s="330"/>
      <c r="AA615" s="330"/>
      <c r="AB615" s="330"/>
      <c r="AC615" s="330"/>
      <c r="AD615" s="330"/>
      <c r="AE615" s="330"/>
      <c r="AF615" s="330"/>
      <c r="AG615" s="330"/>
      <c r="AH615" s="330"/>
      <c r="AI615" s="330"/>
      <c r="AJ615" s="330"/>
      <c r="AK615" s="330"/>
      <c r="AL615" s="329"/>
      <c r="AM615" s="329"/>
      <c r="AN615" s="330"/>
      <c r="AO615" s="330"/>
      <c r="AP615" s="330"/>
      <c r="AQ615" s="330"/>
      <c r="AR615" s="231"/>
      <c r="AS615" s="333"/>
      <c r="AT615" s="206"/>
      <c r="AU615" s="328"/>
      <c r="AV615" s="206"/>
      <c r="AW615" s="206"/>
      <c r="AX615" s="206"/>
      <c r="AY615" s="206"/>
      <c r="AZ615" s="206"/>
      <c r="BA615" s="206"/>
      <c r="BB615" s="206"/>
      <c r="BC615" s="206"/>
      <c r="BD615" s="206"/>
      <c r="BE615" s="206"/>
      <c r="BF615" s="206"/>
      <c r="BG615" s="330"/>
      <c r="BH615" s="330"/>
      <c r="BI615" s="330"/>
      <c r="BJ615" s="330"/>
      <c r="BK615" s="330"/>
      <c r="BL615" s="330"/>
      <c r="BM615" s="330"/>
      <c r="BN615" s="330"/>
      <c r="BO615" s="330"/>
      <c r="BP615" s="330"/>
      <c r="BQ615" s="330"/>
      <c r="BR615" s="330"/>
      <c r="BS615" s="330"/>
      <c r="BT615" s="330"/>
      <c r="BU615" s="330"/>
      <c r="BV615" s="330"/>
      <c r="BW615" s="330"/>
      <c r="BX615" s="330"/>
      <c r="BY615" s="330"/>
      <c r="BZ615" s="330"/>
    </row>
    <row r="616" spans="1:78" x14ac:dyDescent="0.25">
      <c r="A616" s="331"/>
      <c r="B616" s="328"/>
      <c r="C616" s="328"/>
      <c r="D616" s="329"/>
      <c r="E616" s="330"/>
      <c r="F616" s="330"/>
      <c r="G616" s="330"/>
      <c r="H616" s="330"/>
      <c r="I616" s="330"/>
      <c r="J616" s="330"/>
      <c r="K616" s="330"/>
      <c r="L616" s="329"/>
      <c r="M616" s="329"/>
      <c r="N616" s="330"/>
      <c r="O616" s="330"/>
      <c r="P616" s="330"/>
      <c r="Q616" s="330"/>
      <c r="R616" s="330"/>
      <c r="S616" s="330"/>
      <c r="T616" s="330"/>
      <c r="U616" s="330"/>
      <c r="V616" s="330"/>
      <c r="W616" s="330"/>
      <c r="X616" s="329"/>
      <c r="Y616" s="330"/>
      <c r="Z616" s="330"/>
      <c r="AA616" s="330"/>
      <c r="AB616" s="330"/>
      <c r="AC616" s="330"/>
      <c r="AD616" s="330"/>
      <c r="AE616" s="330"/>
      <c r="AF616" s="330"/>
      <c r="AG616" s="330"/>
      <c r="AH616" s="330"/>
      <c r="AI616" s="330"/>
      <c r="AJ616" s="330"/>
      <c r="AK616" s="330"/>
      <c r="AL616" s="329"/>
      <c r="AM616" s="329"/>
      <c r="AN616" s="330"/>
      <c r="AO616" s="330"/>
      <c r="AP616" s="330"/>
      <c r="AQ616" s="330"/>
      <c r="AR616" s="231"/>
      <c r="AS616" s="333"/>
      <c r="AT616" s="206"/>
      <c r="AU616" s="328"/>
      <c r="AV616" s="206"/>
      <c r="AW616" s="206"/>
      <c r="AX616" s="206"/>
      <c r="AY616" s="206"/>
      <c r="AZ616" s="206"/>
      <c r="BA616" s="206"/>
      <c r="BB616" s="206"/>
      <c r="BC616" s="206"/>
      <c r="BD616" s="206"/>
      <c r="BE616" s="206"/>
      <c r="BF616" s="206"/>
      <c r="BG616" s="330"/>
      <c r="BH616" s="330"/>
      <c r="BI616" s="330"/>
      <c r="BJ616" s="330"/>
      <c r="BK616" s="330"/>
      <c r="BL616" s="330"/>
      <c r="BM616" s="330"/>
      <c r="BN616" s="330"/>
      <c r="BO616" s="330"/>
      <c r="BP616" s="330"/>
      <c r="BQ616" s="330"/>
      <c r="BR616" s="330"/>
      <c r="BS616" s="330"/>
      <c r="BT616" s="330"/>
      <c r="BU616" s="330"/>
      <c r="BV616" s="330"/>
      <c r="BW616" s="330"/>
      <c r="BX616" s="330"/>
      <c r="BY616" s="330"/>
      <c r="BZ616" s="330"/>
    </row>
    <row r="617" spans="1:78" x14ac:dyDescent="0.25">
      <c r="A617" s="331"/>
      <c r="B617" s="328"/>
      <c r="C617" s="328"/>
      <c r="D617" s="329"/>
      <c r="E617" s="330"/>
      <c r="F617" s="330"/>
      <c r="G617" s="330"/>
      <c r="H617" s="330"/>
      <c r="I617" s="330"/>
      <c r="J617" s="330"/>
      <c r="K617" s="330"/>
      <c r="L617" s="329"/>
      <c r="M617" s="329"/>
      <c r="N617" s="330"/>
      <c r="O617" s="330"/>
      <c r="P617" s="330"/>
      <c r="Q617" s="330"/>
      <c r="R617" s="330"/>
      <c r="S617" s="330"/>
      <c r="T617" s="330"/>
      <c r="U617" s="330"/>
      <c r="V617" s="330"/>
      <c r="W617" s="330"/>
      <c r="X617" s="329"/>
      <c r="Y617" s="330"/>
      <c r="Z617" s="330"/>
      <c r="AA617" s="330"/>
      <c r="AB617" s="330"/>
      <c r="AC617" s="330"/>
      <c r="AD617" s="330"/>
      <c r="AE617" s="330"/>
      <c r="AF617" s="330"/>
      <c r="AG617" s="330"/>
      <c r="AH617" s="330"/>
      <c r="AI617" s="330"/>
      <c r="AJ617" s="330"/>
      <c r="AK617" s="330"/>
      <c r="AL617" s="329"/>
      <c r="AM617" s="329"/>
      <c r="AN617" s="330"/>
      <c r="AO617" s="330"/>
      <c r="AP617" s="330"/>
      <c r="AQ617" s="330"/>
      <c r="AR617" s="231"/>
      <c r="AS617" s="333"/>
      <c r="AT617" s="206"/>
      <c r="AU617" s="328"/>
      <c r="AV617" s="206"/>
      <c r="AW617" s="206"/>
      <c r="AX617" s="206"/>
      <c r="AY617" s="206"/>
      <c r="AZ617" s="206"/>
      <c r="BA617" s="206"/>
      <c r="BB617" s="206"/>
      <c r="BC617" s="206"/>
      <c r="BD617" s="206"/>
      <c r="BE617" s="206"/>
      <c r="BF617" s="206"/>
      <c r="BG617" s="330"/>
      <c r="BH617" s="330"/>
      <c r="BI617" s="330"/>
      <c r="BJ617" s="330"/>
      <c r="BK617" s="330"/>
      <c r="BL617" s="330"/>
      <c r="BM617" s="330"/>
      <c r="BN617" s="330"/>
      <c r="BO617" s="330"/>
      <c r="BP617" s="330"/>
      <c r="BQ617" s="330"/>
      <c r="BR617" s="330"/>
      <c r="BS617" s="330"/>
      <c r="BT617" s="330"/>
      <c r="BU617" s="330"/>
      <c r="BV617" s="330"/>
      <c r="BW617" s="330"/>
      <c r="BX617" s="330"/>
      <c r="BY617" s="330"/>
      <c r="BZ617" s="330"/>
    </row>
    <row r="618" spans="1:78" x14ac:dyDescent="0.25">
      <c r="A618" s="331"/>
      <c r="B618" s="328"/>
      <c r="C618" s="328"/>
      <c r="D618" s="329"/>
      <c r="E618" s="330"/>
      <c r="F618" s="330"/>
      <c r="G618" s="330"/>
      <c r="H618" s="330"/>
      <c r="I618" s="330"/>
      <c r="J618" s="330"/>
      <c r="K618" s="330"/>
      <c r="L618" s="329"/>
      <c r="M618" s="329"/>
      <c r="N618" s="330"/>
      <c r="O618" s="330"/>
      <c r="P618" s="330"/>
      <c r="Q618" s="330"/>
      <c r="R618" s="330"/>
      <c r="S618" s="330"/>
      <c r="T618" s="330"/>
      <c r="U618" s="330"/>
      <c r="V618" s="330"/>
      <c r="W618" s="330"/>
      <c r="X618" s="329"/>
      <c r="Y618" s="330"/>
      <c r="Z618" s="330"/>
      <c r="AA618" s="330"/>
      <c r="AB618" s="330"/>
      <c r="AC618" s="330"/>
      <c r="AD618" s="330"/>
      <c r="AE618" s="330"/>
      <c r="AF618" s="330"/>
      <c r="AG618" s="330"/>
      <c r="AH618" s="330"/>
      <c r="AI618" s="330"/>
      <c r="AJ618" s="330"/>
      <c r="AK618" s="330"/>
      <c r="AL618" s="329"/>
      <c r="AM618" s="329"/>
      <c r="AN618" s="330"/>
      <c r="AO618" s="330"/>
      <c r="AP618" s="330"/>
      <c r="AQ618" s="330"/>
      <c r="AR618" s="231"/>
      <c r="AS618" s="333"/>
      <c r="AT618" s="206"/>
      <c r="AU618" s="328"/>
      <c r="AV618" s="206"/>
      <c r="AW618" s="206"/>
      <c r="AX618" s="206"/>
      <c r="AY618" s="206"/>
      <c r="AZ618" s="206"/>
      <c r="BA618" s="206"/>
      <c r="BB618" s="206"/>
      <c r="BC618" s="206"/>
      <c r="BD618" s="206"/>
      <c r="BE618" s="206"/>
      <c r="BF618" s="206"/>
      <c r="BG618" s="330"/>
      <c r="BH618" s="330"/>
      <c r="BI618" s="330"/>
      <c r="BJ618" s="330"/>
      <c r="BK618" s="330"/>
      <c r="BL618" s="330"/>
      <c r="BM618" s="330"/>
      <c r="BN618" s="330"/>
      <c r="BO618" s="330"/>
      <c r="BP618" s="330"/>
      <c r="BQ618" s="330"/>
      <c r="BR618" s="330"/>
      <c r="BS618" s="330"/>
      <c r="BT618" s="330"/>
      <c r="BU618" s="330"/>
      <c r="BV618" s="330"/>
      <c r="BW618" s="330"/>
      <c r="BX618" s="330"/>
      <c r="BY618" s="330"/>
      <c r="BZ618" s="330"/>
    </row>
    <row r="619" spans="1:78" x14ac:dyDescent="0.25">
      <c r="A619" s="331"/>
      <c r="B619" s="328"/>
      <c r="C619" s="328"/>
      <c r="D619" s="329"/>
      <c r="E619" s="330"/>
      <c r="F619" s="330"/>
      <c r="G619" s="330"/>
      <c r="H619" s="330"/>
      <c r="I619" s="330"/>
      <c r="J619" s="330"/>
      <c r="K619" s="330"/>
      <c r="L619" s="329"/>
      <c r="M619" s="329"/>
      <c r="N619" s="330"/>
      <c r="O619" s="330"/>
      <c r="P619" s="330"/>
      <c r="Q619" s="330"/>
      <c r="R619" s="330"/>
      <c r="S619" s="330"/>
      <c r="T619" s="330"/>
      <c r="U619" s="330"/>
      <c r="V619" s="330"/>
      <c r="W619" s="330"/>
      <c r="X619" s="329"/>
      <c r="Y619" s="330"/>
      <c r="Z619" s="330"/>
      <c r="AA619" s="330"/>
      <c r="AB619" s="330"/>
      <c r="AC619" s="330"/>
      <c r="AD619" s="330"/>
      <c r="AE619" s="330"/>
      <c r="AF619" s="330"/>
      <c r="AG619" s="330"/>
      <c r="AH619" s="330"/>
      <c r="AI619" s="330"/>
      <c r="AJ619" s="330"/>
      <c r="AK619" s="330"/>
      <c r="AL619" s="329"/>
      <c r="AM619" s="329"/>
      <c r="AN619" s="330"/>
      <c r="AO619" s="330"/>
      <c r="AP619" s="330"/>
      <c r="AQ619" s="330"/>
      <c r="AR619" s="231"/>
      <c r="AS619" s="333"/>
      <c r="AT619" s="206"/>
      <c r="AU619" s="328"/>
      <c r="AV619" s="206"/>
      <c r="AW619" s="206"/>
      <c r="AX619" s="206"/>
      <c r="AY619" s="206"/>
      <c r="AZ619" s="206"/>
      <c r="BA619" s="206"/>
      <c r="BB619" s="206"/>
      <c r="BC619" s="206"/>
      <c r="BD619" s="206"/>
      <c r="BE619" s="206"/>
      <c r="BF619" s="206"/>
      <c r="BG619" s="330"/>
      <c r="BH619" s="330"/>
      <c r="BI619" s="330"/>
      <c r="BJ619" s="330"/>
      <c r="BK619" s="330"/>
      <c r="BL619" s="330"/>
      <c r="BM619" s="330"/>
      <c r="BN619" s="330"/>
      <c r="BO619" s="330"/>
      <c r="BP619" s="330"/>
      <c r="BQ619" s="330"/>
      <c r="BR619" s="330"/>
      <c r="BS619" s="330"/>
      <c r="BT619" s="330"/>
      <c r="BU619" s="330"/>
      <c r="BV619" s="330"/>
      <c r="BW619" s="330"/>
      <c r="BX619" s="330"/>
      <c r="BY619" s="330"/>
      <c r="BZ619" s="330"/>
    </row>
    <row r="620" spans="1:78" x14ac:dyDescent="0.25">
      <c r="A620" s="331"/>
      <c r="B620" s="328"/>
      <c r="C620" s="328"/>
      <c r="D620" s="329"/>
      <c r="E620" s="330"/>
      <c r="F620" s="330"/>
      <c r="G620" s="330"/>
      <c r="H620" s="330"/>
      <c r="I620" s="330"/>
      <c r="J620" s="330"/>
      <c r="K620" s="330"/>
      <c r="L620" s="329"/>
      <c r="M620" s="329"/>
      <c r="N620" s="330"/>
      <c r="O620" s="330"/>
      <c r="P620" s="330"/>
      <c r="Q620" s="330"/>
      <c r="R620" s="330"/>
      <c r="S620" s="330"/>
      <c r="T620" s="330"/>
      <c r="U620" s="330"/>
      <c r="V620" s="330"/>
      <c r="W620" s="330"/>
      <c r="X620" s="329"/>
      <c r="Y620" s="330"/>
      <c r="Z620" s="330"/>
      <c r="AA620" s="330"/>
      <c r="AB620" s="330"/>
      <c r="AC620" s="330"/>
      <c r="AD620" s="330"/>
      <c r="AE620" s="330"/>
      <c r="AF620" s="330"/>
      <c r="AG620" s="330"/>
      <c r="AH620" s="330"/>
      <c r="AI620" s="330"/>
      <c r="AJ620" s="330"/>
      <c r="AK620" s="330"/>
      <c r="AL620" s="329"/>
      <c r="AM620" s="329"/>
      <c r="AN620" s="330"/>
      <c r="AO620" s="330"/>
      <c r="AP620" s="330"/>
      <c r="AQ620" s="330"/>
      <c r="AR620" s="231"/>
      <c r="AS620" s="333"/>
      <c r="AT620" s="206"/>
      <c r="AU620" s="328"/>
      <c r="AV620" s="206"/>
      <c r="AW620" s="206"/>
      <c r="AX620" s="206"/>
      <c r="AY620" s="206"/>
      <c r="AZ620" s="206"/>
      <c r="BA620" s="206"/>
      <c r="BB620" s="206"/>
      <c r="BC620" s="206"/>
      <c r="BD620" s="206"/>
      <c r="BE620" s="206"/>
      <c r="BF620" s="206"/>
      <c r="BG620" s="330"/>
      <c r="BH620" s="330"/>
      <c r="BI620" s="330"/>
      <c r="BJ620" s="330"/>
      <c r="BK620" s="330"/>
      <c r="BL620" s="330"/>
      <c r="BM620" s="330"/>
      <c r="BN620" s="330"/>
      <c r="BO620" s="330"/>
      <c r="BP620" s="330"/>
      <c r="BQ620" s="330"/>
      <c r="BR620" s="330"/>
      <c r="BS620" s="330"/>
      <c r="BT620" s="330"/>
      <c r="BU620" s="330"/>
      <c r="BV620" s="330"/>
      <c r="BW620" s="330"/>
      <c r="BX620" s="330"/>
      <c r="BY620" s="330"/>
      <c r="BZ620" s="330"/>
    </row>
    <row r="621" spans="1:78" x14ac:dyDescent="0.25">
      <c r="A621" s="331"/>
      <c r="B621" s="328"/>
      <c r="C621" s="328"/>
      <c r="D621" s="329"/>
      <c r="E621" s="330"/>
      <c r="F621" s="330"/>
      <c r="G621" s="330"/>
      <c r="H621" s="330"/>
      <c r="I621" s="330"/>
      <c r="J621" s="330"/>
      <c r="K621" s="330"/>
      <c r="L621" s="329"/>
      <c r="M621" s="329"/>
      <c r="N621" s="330"/>
      <c r="O621" s="330"/>
      <c r="P621" s="330"/>
      <c r="Q621" s="330"/>
      <c r="R621" s="330"/>
      <c r="S621" s="330"/>
      <c r="T621" s="330"/>
      <c r="U621" s="330"/>
      <c r="V621" s="330"/>
      <c r="W621" s="330"/>
      <c r="X621" s="329"/>
      <c r="Y621" s="330"/>
      <c r="Z621" s="330"/>
      <c r="AA621" s="330"/>
      <c r="AB621" s="330"/>
      <c r="AC621" s="330"/>
      <c r="AD621" s="330"/>
      <c r="AE621" s="330"/>
      <c r="AF621" s="330"/>
      <c r="AG621" s="330"/>
      <c r="AH621" s="330"/>
      <c r="AI621" s="330"/>
      <c r="AJ621" s="330"/>
      <c r="AK621" s="330"/>
      <c r="AL621" s="329"/>
      <c r="AM621" s="329"/>
      <c r="AN621" s="330"/>
      <c r="AO621" s="330"/>
      <c r="AP621" s="330"/>
      <c r="AQ621" s="330"/>
      <c r="AR621" s="231"/>
      <c r="AS621" s="333"/>
      <c r="AT621" s="206"/>
      <c r="AU621" s="328"/>
      <c r="AV621" s="206"/>
      <c r="AW621" s="206"/>
      <c r="AX621" s="206"/>
      <c r="AY621" s="206"/>
      <c r="AZ621" s="206"/>
      <c r="BA621" s="206"/>
      <c r="BB621" s="206"/>
      <c r="BC621" s="206"/>
      <c r="BD621" s="206"/>
      <c r="BE621" s="206"/>
      <c r="BF621" s="206"/>
      <c r="BG621" s="330"/>
      <c r="BH621" s="330"/>
      <c r="BI621" s="330"/>
      <c r="BJ621" s="330"/>
      <c r="BK621" s="330"/>
      <c r="BL621" s="330"/>
      <c r="BM621" s="330"/>
      <c r="BN621" s="330"/>
      <c r="BO621" s="330"/>
      <c r="BP621" s="330"/>
      <c r="BQ621" s="330"/>
      <c r="BR621" s="330"/>
      <c r="BS621" s="330"/>
      <c r="BT621" s="330"/>
      <c r="BU621" s="330"/>
      <c r="BV621" s="330"/>
      <c r="BW621" s="330"/>
      <c r="BX621" s="330"/>
      <c r="BY621" s="330"/>
      <c r="BZ621" s="330"/>
    </row>
    <row r="622" spans="1:78" x14ac:dyDescent="0.25">
      <c r="A622" s="331"/>
      <c r="B622" s="328"/>
      <c r="C622" s="328"/>
      <c r="D622" s="329"/>
      <c r="E622" s="330"/>
      <c r="F622" s="330"/>
      <c r="G622" s="330"/>
      <c r="H622" s="330"/>
      <c r="I622" s="330"/>
      <c r="J622" s="330"/>
      <c r="K622" s="330"/>
      <c r="L622" s="329"/>
      <c r="M622" s="329"/>
      <c r="N622" s="330"/>
      <c r="O622" s="330"/>
      <c r="P622" s="330"/>
      <c r="Q622" s="330"/>
      <c r="R622" s="330"/>
      <c r="S622" s="330"/>
      <c r="T622" s="330"/>
      <c r="U622" s="330"/>
      <c r="V622" s="330"/>
      <c r="W622" s="330"/>
      <c r="X622" s="329"/>
      <c r="Y622" s="330"/>
      <c r="Z622" s="330"/>
      <c r="AA622" s="330"/>
      <c r="AB622" s="330"/>
      <c r="AC622" s="330"/>
      <c r="AD622" s="330"/>
      <c r="AE622" s="330"/>
      <c r="AF622" s="330"/>
      <c r="AG622" s="330"/>
      <c r="AH622" s="330"/>
      <c r="AI622" s="330"/>
      <c r="AJ622" s="330"/>
      <c r="AK622" s="330"/>
      <c r="AL622" s="329"/>
      <c r="AM622" s="329"/>
      <c r="AN622" s="330"/>
      <c r="AO622" s="330"/>
      <c r="AP622" s="330"/>
      <c r="AQ622" s="330"/>
      <c r="AR622" s="231"/>
      <c r="AS622" s="333"/>
      <c r="AT622" s="206"/>
      <c r="AU622" s="328"/>
      <c r="AV622" s="206"/>
      <c r="AW622" s="206"/>
      <c r="AX622" s="206"/>
      <c r="AY622" s="206"/>
      <c r="AZ622" s="206"/>
      <c r="BA622" s="206"/>
      <c r="BB622" s="206"/>
      <c r="BC622" s="206"/>
      <c r="BD622" s="206"/>
      <c r="BE622" s="206"/>
      <c r="BF622" s="206"/>
      <c r="BG622" s="330"/>
      <c r="BH622" s="330"/>
      <c r="BI622" s="330"/>
      <c r="BJ622" s="330"/>
      <c r="BK622" s="330"/>
      <c r="BL622" s="330"/>
      <c r="BM622" s="330"/>
      <c r="BN622" s="330"/>
      <c r="BO622" s="330"/>
      <c r="BP622" s="330"/>
      <c r="BQ622" s="330"/>
      <c r="BR622" s="330"/>
      <c r="BS622" s="330"/>
      <c r="BT622" s="330"/>
      <c r="BU622" s="330"/>
      <c r="BV622" s="330"/>
      <c r="BW622" s="330"/>
      <c r="BX622" s="330"/>
      <c r="BY622" s="330"/>
      <c r="BZ622" s="330"/>
    </row>
    <row r="623" spans="1:78" x14ac:dyDescent="0.25">
      <c r="A623" s="331"/>
      <c r="B623" s="328"/>
      <c r="C623" s="328"/>
      <c r="D623" s="329"/>
      <c r="E623" s="330"/>
      <c r="F623" s="330"/>
      <c r="G623" s="330"/>
      <c r="H623" s="330"/>
      <c r="I623" s="330"/>
      <c r="J623" s="330"/>
      <c r="K623" s="330"/>
      <c r="L623" s="329"/>
      <c r="M623" s="329"/>
      <c r="N623" s="330"/>
      <c r="O623" s="330"/>
      <c r="P623" s="330"/>
      <c r="Q623" s="330"/>
      <c r="R623" s="330"/>
      <c r="S623" s="330"/>
      <c r="T623" s="330"/>
      <c r="U623" s="330"/>
      <c r="V623" s="330"/>
      <c r="W623" s="330"/>
      <c r="X623" s="329"/>
      <c r="Y623" s="330"/>
      <c r="Z623" s="330"/>
      <c r="AA623" s="330"/>
      <c r="AB623" s="330"/>
      <c r="AC623" s="330"/>
      <c r="AD623" s="330"/>
      <c r="AE623" s="330"/>
      <c r="AF623" s="330"/>
      <c r="AG623" s="330"/>
      <c r="AH623" s="330"/>
      <c r="AI623" s="330"/>
      <c r="AJ623" s="330"/>
      <c r="AK623" s="330"/>
      <c r="AL623" s="329"/>
      <c r="AM623" s="329"/>
      <c r="AN623" s="330"/>
      <c r="AO623" s="330"/>
      <c r="AP623" s="330"/>
      <c r="AQ623" s="330"/>
      <c r="AR623" s="231"/>
      <c r="AS623" s="333"/>
      <c r="AT623" s="206"/>
      <c r="AU623" s="328"/>
      <c r="AV623" s="206"/>
      <c r="AW623" s="206"/>
      <c r="AX623" s="206"/>
      <c r="AY623" s="206"/>
      <c r="AZ623" s="206"/>
      <c r="BA623" s="206"/>
      <c r="BB623" s="206"/>
      <c r="BC623" s="206"/>
      <c r="BD623" s="206"/>
      <c r="BE623" s="206"/>
      <c r="BF623" s="206"/>
      <c r="BG623" s="330"/>
      <c r="BH623" s="330"/>
      <c r="BI623" s="330"/>
      <c r="BJ623" s="330"/>
      <c r="BK623" s="330"/>
      <c r="BL623" s="330"/>
      <c r="BM623" s="330"/>
      <c r="BN623" s="330"/>
      <c r="BO623" s="330"/>
      <c r="BP623" s="330"/>
      <c r="BQ623" s="330"/>
      <c r="BR623" s="330"/>
      <c r="BS623" s="330"/>
      <c r="BT623" s="330"/>
      <c r="BU623" s="330"/>
      <c r="BV623" s="330"/>
      <c r="BW623" s="330"/>
      <c r="BX623" s="330"/>
      <c r="BY623" s="330"/>
      <c r="BZ623" s="330"/>
    </row>
    <row r="624" spans="1:78" x14ac:dyDescent="0.25">
      <c r="A624" s="331"/>
      <c r="B624" s="328"/>
      <c r="C624" s="328"/>
      <c r="D624" s="329"/>
      <c r="E624" s="330"/>
      <c r="F624" s="330"/>
      <c r="G624" s="330"/>
      <c r="H624" s="330"/>
      <c r="I624" s="330"/>
      <c r="J624" s="330"/>
      <c r="K624" s="330"/>
      <c r="L624" s="329"/>
      <c r="M624" s="329"/>
      <c r="N624" s="330"/>
      <c r="O624" s="330"/>
      <c r="P624" s="330"/>
      <c r="Q624" s="330"/>
      <c r="R624" s="330"/>
      <c r="S624" s="330"/>
      <c r="T624" s="330"/>
      <c r="U624" s="330"/>
      <c r="V624" s="330"/>
      <c r="W624" s="330"/>
      <c r="X624" s="329"/>
      <c r="Y624" s="330"/>
      <c r="Z624" s="330"/>
      <c r="AA624" s="330"/>
      <c r="AB624" s="330"/>
      <c r="AC624" s="330"/>
      <c r="AD624" s="330"/>
      <c r="AE624" s="330"/>
      <c r="AF624" s="330"/>
      <c r="AG624" s="330"/>
      <c r="AH624" s="330"/>
      <c r="AI624" s="330"/>
      <c r="AJ624" s="330"/>
      <c r="AK624" s="330"/>
      <c r="AL624" s="329"/>
      <c r="AM624" s="329"/>
      <c r="AN624" s="330"/>
      <c r="AO624" s="330"/>
      <c r="AP624" s="330"/>
      <c r="AQ624" s="330"/>
      <c r="AR624" s="231"/>
      <c r="AS624" s="333"/>
      <c r="AT624" s="206"/>
      <c r="AU624" s="328"/>
      <c r="AV624" s="206"/>
      <c r="AW624" s="206"/>
      <c r="AX624" s="206"/>
      <c r="AY624" s="206"/>
      <c r="AZ624" s="206"/>
      <c r="BA624" s="206"/>
      <c r="BB624" s="206"/>
      <c r="BC624" s="206"/>
      <c r="BD624" s="206"/>
      <c r="BE624" s="206"/>
      <c r="BF624" s="206"/>
      <c r="BG624" s="330"/>
      <c r="BH624" s="330"/>
      <c r="BI624" s="330"/>
      <c r="BJ624" s="330"/>
      <c r="BK624" s="330"/>
      <c r="BL624" s="330"/>
      <c r="BM624" s="330"/>
      <c r="BN624" s="330"/>
      <c r="BO624" s="330"/>
      <c r="BP624" s="330"/>
      <c r="BQ624" s="330"/>
      <c r="BR624" s="330"/>
      <c r="BS624" s="330"/>
      <c r="BT624" s="330"/>
      <c r="BU624" s="330"/>
      <c r="BV624" s="330"/>
      <c r="BW624" s="330"/>
      <c r="BX624" s="330"/>
      <c r="BY624" s="330"/>
      <c r="BZ624" s="330"/>
    </row>
    <row r="625" spans="1:78" x14ac:dyDescent="0.25">
      <c r="A625" s="331"/>
      <c r="B625" s="328"/>
      <c r="C625" s="328"/>
      <c r="D625" s="329"/>
      <c r="E625" s="330"/>
      <c r="F625" s="330"/>
      <c r="G625" s="330"/>
      <c r="H625" s="330"/>
      <c r="I625" s="330"/>
      <c r="J625" s="330"/>
      <c r="K625" s="330"/>
      <c r="L625" s="329"/>
      <c r="M625" s="329"/>
      <c r="N625" s="330"/>
      <c r="O625" s="330"/>
      <c r="P625" s="330"/>
      <c r="Q625" s="330"/>
      <c r="R625" s="330"/>
      <c r="S625" s="330"/>
      <c r="T625" s="330"/>
      <c r="U625" s="330"/>
      <c r="V625" s="330"/>
      <c r="W625" s="330"/>
      <c r="X625" s="329"/>
      <c r="Y625" s="330"/>
      <c r="Z625" s="330"/>
      <c r="AA625" s="330"/>
      <c r="AB625" s="330"/>
      <c r="AC625" s="330"/>
      <c r="AD625" s="330"/>
      <c r="AE625" s="330"/>
      <c r="AF625" s="330"/>
      <c r="AG625" s="330"/>
      <c r="AH625" s="330"/>
      <c r="AI625" s="330"/>
      <c r="AJ625" s="330"/>
      <c r="AK625" s="330"/>
      <c r="AL625" s="329"/>
      <c r="AM625" s="329"/>
      <c r="AN625" s="330"/>
      <c r="AO625" s="330"/>
      <c r="AP625" s="330"/>
      <c r="AQ625" s="330"/>
      <c r="AR625" s="231"/>
      <c r="AS625" s="333"/>
      <c r="AT625" s="206"/>
      <c r="AU625" s="328"/>
      <c r="AV625" s="206"/>
      <c r="AW625" s="206"/>
      <c r="AX625" s="206"/>
      <c r="AY625" s="206"/>
      <c r="AZ625" s="206"/>
      <c r="BA625" s="206"/>
      <c r="BB625" s="206"/>
      <c r="BC625" s="206"/>
      <c r="BD625" s="206"/>
      <c r="BE625" s="206"/>
      <c r="BF625" s="206"/>
      <c r="BG625" s="330"/>
      <c r="BH625" s="330"/>
      <c r="BI625" s="330"/>
      <c r="BJ625" s="330"/>
      <c r="BK625" s="330"/>
      <c r="BL625" s="330"/>
      <c r="BM625" s="330"/>
      <c r="BN625" s="330"/>
      <c r="BO625" s="330"/>
      <c r="BP625" s="330"/>
      <c r="BQ625" s="330"/>
      <c r="BR625" s="330"/>
      <c r="BS625" s="330"/>
      <c r="BT625" s="330"/>
      <c r="BU625" s="330"/>
      <c r="BV625" s="330"/>
      <c r="BW625" s="330"/>
      <c r="BX625" s="330"/>
      <c r="BY625" s="330"/>
      <c r="BZ625" s="330"/>
    </row>
    <row r="626" spans="1:78" x14ac:dyDescent="0.25">
      <c r="A626" s="331"/>
      <c r="B626" s="328"/>
      <c r="C626" s="328"/>
      <c r="D626" s="329"/>
      <c r="E626" s="330"/>
      <c r="F626" s="330"/>
      <c r="G626" s="330"/>
      <c r="H626" s="330"/>
      <c r="I626" s="330"/>
      <c r="J626" s="330"/>
      <c r="K626" s="330"/>
      <c r="L626" s="329"/>
      <c r="M626" s="329"/>
      <c r="N626" s="330"/>
      <c r="O626" s="330"/>
      <c r="P626" s="330"/>
      <c r="Q626" s="330"/>
      <c r="R626" s="330"/>
      <c r="S626" s="330"/>
      <c r="T626" s="330"/>
      <c r="U626" s="330"/>
      <c r="V626" s="330"/>
      <c r="W626" s="330"/>
      <c r="X626" s="329"/>
      <c r="Y626" s="330"/>
      <c r="Z626" s="330"/>
      <c r="AA626" s="330"/>
      <c r="AB626" s="330"/>
      <c r="AC626" s="330"/>
      <c r="AD626" s="330"/>
      <c r="AE626" s="330"/>
      <c r="AF626" s="330"/>
      <c r="AG626" s="330"/>
      <c r="AH626" s="330"/>
      <c r="AI626" s="330"/>
      <c r="AJ626" s="330"/>
      <c r="AK626" s="330"/>
      <c r="AL626" s="329"/>
      <c r="AM626" s="329"/>
      <c r="AN626" s="330"/>
      <c r="AO626" s="330"/>
      <c r="AP626" s="330"/>
      <c r="AQ626" s="330"/>
      <c r="AR626" s="231"/>
      <c r="AS626" s="333"/>
      <c r="AT626" s="206"/>
      <c r="AU626" s="328"/>
      <c r="AV626" s="206"/>
      <c r="AW626" s="206"/>
      <c r="AX626" s="206"/>
      <c r="AY626" s="206"/>
      <c r="AZ626" s="206"/>
      <c r="BA626" s="206"/>
      <c r="BB626" s="206"/>
      <c r="BC626" s="206"/>
      <c r="BD626" s="206"/>
      <c r="BE626" s="206"/>
      <c r="BF626" s="206"/>
      <c r="BG626" s="330"/>
      <c r="BH626" s="330"/>
      <c r="BI626" s="330"/>
      <c r="BJ626" s="330"/>
      <c r="BK626" s="330"/>
      <c r="BL626" s="330"/>
      <c r="BM626" s="330"/>
      <c r="BN626" s="330"/>
      <c r="BO626" s="330"/>
      <c r="BP626" s="330"/>
      <c r="BQ626" s="330"/>
      <c r="BR626" s="330"/>
      <c r="BS626" s="330"/>
      <c r="BT626" s="330"/>
      <c r="BU626" s="330"/>
      <c r="BV626" s="330"/>
      <c r="BW626" s="330"/>
      <c r="BX626" s="330"/>
      <c r="BY626" s="330"/>
      <c r="BZ626" s="330"/>
    </row>
    <row r="627" spans="1:78" x14ac:dyDescent="0.25">
      <c r="A627" s="331"/>
      <c r="B627" s="328"/>
      <c r="C627" s="328"/>
      <c r="D627" s="329"/>
      <c r="E627" s="330"/>
      <c r="F627" s="330"/>
      <c r="G627" s="330"/>
      <c r="H627" s="330"/>
      <c r="I627" s="330"/>
      <c r="J627" s="330"/>
      <c r="K627" s="330"/>
      <c r="L627" s="329"/>
      <c r="M627" s="329"/>
      <c r="N627" s="330"/>
      <c r="O627" s="330"/>
      <c r="P627" s="330"/>
      <c r="Q627" s="330"/>
      <c r="R627" s="330"/>
      <c r="S627" s="330"/>
      <c r="T627" s="330"/>
      <c r="U627" s="330"/>
      <c r="V627" s="330"/>
      <c r="W627" s="330"/>
      <c r="X627" s="329"/>
      <c r="Y627" s="330"/>
      <c r="Z627" s="330"/>
      <c r="AA627" s="330"/>
      <c r="AB627" s="330"/>
      <c r="AC627" s="330"/>
      <c r="AD627" s="330"/>
      <c r="AE627" s="330"/>
      <c r="AF627" s="330"/>
      <c r="AG627" s="330"/>
      <c r="AH627" s="330"/>
      <c r="AI627" s="330"/>
      <c r="AJ627" s="330"/>
      <c r="AK627" s="330"/>
      <c r="AL627" s="329"/>
      <c r="AM627" s="329"/>
      <c r="AN627" s="330"/>
      <c r="AO627" s="330"/>
      <c r="AP627" s="330"/>
      <c r="AQ627" s="330"/>
      <c r="AR627" s="231"/>
      <c r="AS627" s="333"/>
      <c r="AT627" s="206"/>
      <c r="AU627" s="328"/>
      <c r="AV627" s="206"/>
      <c r="AW627" s="206"/>
      <c r="AX627" s="206"/>
      <c r="AY627" s="206"/>
      <c r="AZ627" s="206"/>
      <c r="BA627" s="206"/>
      <c r="BB627" s="206"/>
      <c r="BC627" s="206"/>
      <c r="BD627" s="206"/>
      <c r="BE627" s="206"/>
      <c r="BF627" s="206"/>
      <c r="BG627" s="330"/>
      <c r="BH627" s="330"/>
      <c r="BI627" s="330"/>
      <c r="BJ627" s="330"/>
      <c r="BK627" s="330"/>
      <c r="BL627" s="330"/>
      <c r="BM627" s="330"/>
      <c r="BN627" s="330"/>
      <c r="BO627" s="330"/>
      <c r="BP627" s="330"/>
      <c r="BQ627" s="330"/>
      <c r="BR627" s="330"/>
      <c r="BS627" s="330"/>
      <c r="BT627" s="330"/>
      <c r="BU627" s="330"/>
      <c r="BV627" s="330"/>
      <c r="BW627" s="330"/>
      <c r="BX627" s="330"/>
      <c r="BY627" s="330"/>
      <c r="BZ627" s="330"/>
    </row>
    <row r="628" spans="1:78" x14ac:dyDescent="0.25">
      <c r="A628" s="331"/>
      <c r="B628" s="328"/>
      <c r="C628" s="328"/>
      <c r="D628" s="329"/>
      <c r="E628" s="330"/>
      <c r="F628" s="330"/>
      <c r="G628" s="330"/>
      <c r="H628" s="330"/>
      <c r="I628" s="330"/>
      <c r="J628" s="330"/>
      <c r="K628" s="330"/>
      <c r="L628" s="329"/>
      <c r="M628" s="329"/>
      <c r="N628" s="330"/>
      <c r="O628" s="330"/>
      <c r="P628" s="330"/>
      <c r="Q628" s="330"/>
      <c r="R628" s="330"/>
      <c r="S628" s="330"/>
      <c r="T628" s="330"/>
      <c r="U628" s="330"/>
      <c r="V628" s="330"/>
      <c r="W628" s="330"/>
      <c r="X628" s="329"/>
      <c r="Y628" s="330"/>
      <c r="Z628" s="330"/>
      <c r="AA628" s="330"/>
      <c r="AB628" s="330"/>
      <c r="AC628" s="330"/>
      <c r="AD628" s="330"/>
      <c r="AE628" s="330"/>
      <c r="AF628" s="330"/>
      <c r="AG628" s="330"/>
      <c r="AH628" s="330"/>
      <c r="AI628" s="330"/>
      <c r="AJ628" s="330"/>
      <c r="AK628" s="330"/>
      <c r="AL628" s="329"/>
      <c r="AM628" s="329"/>
      <c r="AN628" s="330"/>
      <c r="AO628" s="330"/>
      <c r="AP628" s="330"/>
      <c r="AQ628" s="330"/>
      <c r="AR628" s="231"/>
      <c r="AS628" s="333"/>
      <c r="AT628" s="206"/>
      <c r="AU628" s="328"/>
      <c r="AV628" s="206"/>
      <c r="AW628" s="206"/>
      <c r="AX628" s="206"/>
      <c r="AY628" s="206"/>
      <c r="AZ628" s="206"/>
      <c r="BA628" s="206"/>
      <c r="BB628" s="206"/>
      <c r="BC628" s="206"/>
      <c r="BD628" s="206"/>
      <c r="BE628" s="206"/>
      <c r="BF628" s="206"/>
      <c r="BG628" s="330"/>
      <c r="BH628" s="330"/>
      <c r="BI628" s="330"/>
      <c r="BJ628" s="330"/>
      <c r="BK628" s="330"/>
      <c r="BL628" s="330"/>
      <c r="BM628" s="330"/>
      <c r="BN628" s="330"/>
      <c r="BO628" s="330"/>
      <c r="BP628" s="330"/>
      <c r="BQ628" s="330"/>
      <c r="BR628" s="330"/>
      <c r="BS628" s="330"/>
      <c r="BT628" s="330"/>
      <c r="BU628" s="330"/>
      <c r="BV628" s="330"/>
      <c r="BW628" s="330"/>
      <c r="BX628" s="330"/>
      <c r="BY628" s="330"/>
      <c r="BZ628" s="330"/>
    </row>
    <row r="629" spans="1:78" x14ac:dyDescent="0.25">
      <c r="A629" s="331"/>
      <c r="B629" s="328"/>
      <c r="C629" s="328"/>
      <c r="D629" s="329"/>
      <c r="E629" s="330"/>
      <c r="F629" s="330"/>
      <c r="G629" s="330"/>
      <c r="H629" s="330"/>
      <c r="I629" s="330"/>
      <c r="J629" s="330"/>
      <c r="K629" s="330"/>
      <c r="L629" s="329"/>
      <c r="M629" s="329"/>
      <c r="N629" s="330"/>
      <c r="O629" s="330"/>
      <c r="P629" s="330"/>
      <c r="Q629" s="330"/>
      <c r="R629" s="330"/>
      <c r="S629" s="330"/>
      <c r="T629" s="330"/>
      <c r="U629" s="330"/>
      <c r="V629" s="330"/>
      <c r="W629" s="330"/>
      <c r="X629" s="329"/>
      <c r="Y629" s="330"/>
      <c r="Z629" s="330"/>
      <c r="AA629" s="330"/>
      <c r="AB629" s="330"/>
      <c r="AC629" s="330"/>
      <c r="AD629" s="330"/>
      <c r="AE629" s="330"/>
      <c r="AF629" s="330"/>
      <c r="AG629" s="330"/>
      <c r="AH629" s="330"/>
      <c r="AI629" s="330"/>
      <c r="AJ629" s="330"/>
      <c r="AK629" s="330"/>
      <c r="AL629" s="329"/>
      <c r="AM629" s="329"/>
      <c r="AN629" s="330"/>
      <c r="AO629" s="330"/>
      <c r="AP629" s="330"/>
      <c r="AQ629" s="330"/>
      <c r="AR629" s="231"/>
      <c r="AS629" s="333"/>
      <c r="AT629" s="206"/>
      <c r="AU629" s="328"/>
      <c r="AV629" s="206"/>
      <c r="AW629" s="206"/>
      <c r="AX629" s="206"/>
      <c r="AY629" s="206"/>
      <c r="AZ629" s="206"/>
      <c r="BA629" s="206"/>
      <c r="BB629" s="206"/>
      <c r="BC629" s="206"/>
      <c r="BD629" s="206"/>
      <c r="BE629" s="206"/>
      <c r="BF629" s="206"/>
      <c r="BG629" s="330"/>
      <c r="BH629" s="330"/>
      <c r="BI629" s="330"/>
      <c r="BJ629" s="330"/>
      <c r="BK629" s="330"/>
      <c r="BL629" s="330"/>
      <c r="BM629" s="330"/>
      <c r="BN629" s="330"/>
      <c r="BO629" s="330"/>
      <c r="BP629" s="330"/>
      <c r="BQ629" s="330"/>
      <c r="BR629" s="330"/>
      <c r="BS629" s="330"/>
      <c r="BT629" s="330"/>
      <c r="BU629" s="330"/>
      <c r="BV629" s="330"/>
      <c r="BW629" s="330"/>
      <c r="BX629" s="330"/>
      <c r="BY629" s="330"/>
      <c r="BZ629" s="330"/>
    </row>
    <row r="630" spans="1:78" x14ac:dyDescent="0.25">
      <c r="A630" s="331"/>
      <c r="B630" s="328"/>
      <c r="C630" s="328"/>
      <c r="D630" s="329"/>
      <c r="E630" s="330"/>
      <c r="F630" s="330"/>
      <c r="G630" s="330"/>
      <c r="H630" s="330"/>
      <c r="I630" s="330"/>
      <c r="J630" s="330"/>
      <c r="K630" s="330"/>
      <c r="L630" s="329"/>
      <c r="M630" s="329"/>
      <c r="N630" s="330"/>
      <c r="O630" s="330"/>
      <c r="P630" s="330"/>
      <c r="Q630" s="330"/>
      <c r="R630" s="330"/>
      <c r="S630" s="330"/>
      <c r="T630" s="330"/>
      <c r="U630" s="330"/>
      <c r="V630" s="330"/>
      <c r="W630" s="330"/>
      <c r="X630" s="329"/>
      <c r="Y630" s="330"/>
      <c r="Z630" s="330"/>
      <c r="AA630" s="330"/>
      <c r="AB630" s="330"/>
      <c r="AC630" s="330"/>
      <c r="AD630" s="330"/>
      <c r="AE630" s="330"/>
      <c r="AF630" s="330"/>
      <c r="AG630" s="330"/>
      <c r="AH630" s="330"/>
      <c r="AI630" s="330"/>
      <c r="AJ630" s="330"/>
      <c r="AK630" s="330"/>
      <c r="AL630" s="329"/>
      <c r="AM630" s="329"/>
      <c r="AN630" s="330"/>
      <c r="AO630" s="330"/>
      <c r="AP630" s="330"/>
      <c r="AQ630" s="330"/>
      <c r="AR630" s="231"/>
      <c r="AS630" s="333"/>
      <c r="AT630" s="206"/>
      <c r="AU630" s="328"/>
      <c r="AV630" s="206"/>
      <c r="AW630" s="206"/>
      <c r="AX630" s="206"/>
      <c r="AY630" s="206"/>
      <c r="AZ630" s="206"/>
      <c r="BA630" s="206"/>
      <c r="BB630" s="206"/>
      <c r="BC630" s="206"/>
      <c r="BD630" s="206"/>
      <c r="BE630" s="206"/>
      <c r="BF630" s="206"/>
      <c r="BG630" s="330"/>
      <c r="BH630" s="330"/>
      <c r="BI630" s="330"/>
      <c r="BJ630" s="330"/>
      <c r="BK630" s="330"/>
      <c r="BL630" s="330"/>
      <c r="BM630" s="330"/>
      <c r="BN630" s="330"/>
      <c r="BO630" s="330"/>
      <c r="BP630" s="330"/>
      <c r="BQ630" s="330"/>
      <c r="BR630" s="330"/>
      <c r="BS630" s="330"/>
      <c r="BT630" s="330"/>
      <c r="BU630" s="330"/>
      <c r="BV630" s="330"/>
      <c r="BW630" s="330"/>
      <c r="BX630" s="330"/>
      <c r="BY630" s="330"/>
      <c r="BZ630" s="330"/>
    </row>
    <row r="631" spans="1:78" x14ac:dyDescent="0.25">
      <c r="A631" s="331"/>
      <c r="B631" s="328"/>
      <c r="C631" s="328"/>
      <c r="D631" s="329"/>
      <c r="E631" s="330"/>
      <c r="F631" s="330"/>
      <c r="G631" s="330"/>
      <c r="H631" s="330"/>
      <c r="I631" s="330"/>
      <c r="J631" s="330"/>
      <c r="K631" s="330"/>
      <c r="L631" s="329"/>
      <c r="M631" s="329"/>
      <c r="N631" s="330"/>
      <c r="O631" s="330"/>
      <c r="P631" s="330"/>
      <c r="Q631" s="330"/>
      <c r="R631" s="330"/>
      <c r="S631" s="330"/>
      <c r="T631" s="330"/>
      <c r="U631" s="330"/>
      <c r="V631" s="330"/>
      <c r="W631" s="330"/>
      <c r="X631" s="329"/>
      <c r="Y631" s="330"/>
      <c r="Z631" s="330"/>
      <c r="AA631" s="330"/>
      <c r="AB631" s="330"/>
      <c r="AC631" s="330"/>
      <c r="AD631" s="330"/>
      <c r="AE631" s="330"/>
      <c r="AF631" s="330"/>
      <c r="AG631" s="330"/>
      <c r="AH631" s="330"/>
      <c r="AI631" s="330"/>
      <c r="AJ631" s="330"/>
      <c r="AK631" s="330"/>
      <c r="AL631" s="329"/>
      <c r="AM631" s="329"/>
      <c r="AN631" s="330"/>
      <c r="AO631" s="330"/>
      <c r="AP631" s="330"/>
      <c r="AQ631" s="330"/>
      <c r="AR631" s="231"/>
      <c r="AS631" s="333"/>
      <c r="AT631" s="206"/>
      <c r="AU631" s="328"/>
      <c r="AV631" s="206"/>
      <c r="AW631" s="206"/>
      <c r="AX631" s="206"/>
      <c r="AY631" s="206"/>
      <c r="AZ631" s="206"/>
      <c r="BA631" s="206"/>
      <c r="BB631" s="206"/>
      <c r="BC631" s="206"/>
      <c r="BD631" s="206"/>
      <c r="BE631" s="206"/>
      <c r="BF631" s="206"/>
      <c r="BG631" s="330"/>
      <c r="BH631" s="330"/>
      <c r="BI631" s="330"/>
      <c r="BJ631" s="330"/>
      <c r="BK631" s="330"/>
      <c r="BL631" s="330"/>
      <c r="BM631" s="330"/>
      <c r="BN631" s="330"/>
      <c r="BO631" s="330"/>
      <c r="BP631" s="330"/>
      <c r="BQ631" s="330"/>
      <c r="BR631" s="330"/>
      <c r="BS631" s="330"/>
      <c r="BT631" s="330"/>
      <c r="BU631" s="330"/>
      <c r="BV631" s="330"/>
      <c r="BW631" s="330"/>
      <c r="BX631" s="330"/>
      <c r="BY631" s="330"/>
      <c r="BZ631" s="330"/>
    </row>
    <row r="632" spans="1:78" x14ac:dyDescent="0.25">
      <c r="A632" s="331"/>
      <c r="B632" s="328"/>
      <c r="C632" s="328"/>
      <c r="D632" s="329"/>
      <c r="E632" s="330"/>
      <c r="F632" s="330"/>
      <c r="G632" s="330"/>
      <c r="H632" s="330"/>
      <c r="I632" s="330"/>
      <c r="J632" s="330"/>
      <c r="K632" s="330"/>
      <c r="L632" s="329"/>
      <c r="M632" s="329"/>
      <c r="N632" s="330"/>
      <c r="O632" s="330"/>
      <c r="P632" s="330"/>
      <c r="Q632" s="330"/>
      <c r="R632" s="330"/>
      <c r="S632" s="330"/>
      <c r="T632" s="330"/>
      <c r="U632" s="330"/>
      <c r="V632" s="330"/>
      <c r="W632" s="330"/>
      <c r="X632" s="329"/>
      <c r="Y632" s="330"/>
      <c r="Z632" s="330"/>
      <c r="AA632" s="330"/>
      <c r="AB632" s="330"/>
      <c r="AC632" s="330"/>
      <c r="AD632" s="330"/>
      <c r="AE632" s="330"/>
      <c r="AF632" s="330"/>
      <c r="AG632" s="330"/>
      <c r="AH632" s="330"/>
      <c r="AI632" s="330"/>
      <c r="AJ632" s="330"/>
      <c r="AK632" s="330"/>
      <c r="AL632" s="329"/>
      <c r="AM632" s="329"/>
      <c r="AN632" s="330"/>
      <c r="AO632" s="330"/>
      <c r="AP632" s="330"/>
      <c r="AQ632" s="330"/>
      <c r="AR632" s="231"/>
      <c r="AS632" s="333"/>
      <c r="AT632" s="206"/>
      <c r="AU632" s="328"/>
      <c r="AV632" s="206"/>
      <c r="AW632" s="206"/>
      <c r="AX632" s="206"/>
      <c r="AY632" s="206"/>
      <c r="AZ632" s="206"/>
      <c r="BA632" s="206"/>
      <c r="BB632" s="206"/>
      <c r="BC632" s="206"/>
      <c r="BD632" s="206"/>
      <c r="BE632" s="206"/>
      <c r="BF632" s="206"/>
      <c r="BG632" s="330"/>
      <c r="BH632" s="330"/>
      <c r="BI632" s="330"/>
      <c r="BJ632" s="330"/>
      <c r="BK632" s="330"/>
      <c r="BL632" s="330"/>
      <c r="BM632" s="330"/>
      <c r="BN632" s="330"/>
      <c r="BO632" s="330"/>
      <c r="BP632" s="330"/>
      <c r="BQ632" s="330"/>
      <c r="BR632" s="330"/>
      <c r="BS632" s="330"/>
      <c r="BT632" s="330"/>
      <c r="BU632" s="330"/>
      <c r="BV632" s="330"/>
      <c r="BW632" s="330"/>
      <c r="BX632" s="330"/>
      <c r="BY632" s="330"/>
      <c r="BZ632" s="330"/>
    </row>
    <row r="633" spans="1:78" x14ac:dyDescent="0.25">
      <c r="A633" s="331"/>
      <c r="B633" s="328"/>
      <c r="C633" s="328"/>
      <c r="D633" s="329"/>
      <c r="E633" s="330"/>
      <c r="F633" s="330"/>
      <c r="G633" s="330"/>
      <c r="H633" s="330"/>
      <c r="I633" s="330"/>
      <c r="J633" s="330"/>
      <c r="K633" s="330"/>
      <c r="L633" s="329"/>
      <c r="M633" s="329"/>
      <c r="N633" s="330"/>
      <c r="O633" s="330"/>
      <c r="P633" s="330"/>
      <c r="Q633" s="330"/>
      <c r="R633" s="330"/>
      <c r="S633" s="330"/>
      <c r="T633" s="330"/>
      <c r="U633" s="330"/>
      <c r="V633" s="330"/>
      <c r="W633" s="330"/>
      <c r="X633" s="329"/>
      <c r="Y633" s="330"/>
      <c r="Z633" s="330"/>
      <c r="AA633" s="330"/>
      <c r="AB633" s="330"/>
      <c r="AC633" s="330"/>
      <c r="AD633" s="330"/>
      <c r="AE633" s="330"/>
      <c r="AF633" s="330"/>
      <c r="AG633" s="330"/>
      <c r="AH633" s="330"/>
      <c r="AI633" s="330"/>
      <c r="AJ633" s="330"/>
      <c r="AK633" s="330"/>
      <c r="AL633" s="329"/>
      <c r="AM633" s="329"/>
      <c r="AN633" s="330"/>
      <c r="AO633" s="330"/>
      <c r="AP633" s="330"/>
      <c r="AQ633" s="330"/>
      <c r="AR633" s="231"/>
      <c r="AS633" s="333"/>
      <c r="AT633" s="206"/>
      <c r="AU633" s="328"/>
      <c r="AV633" s="206"/>
      <c r="AW633" s="206"/>
      <c r="AX633" s="206"/>
      <c r="AY633" s="206"/>
      <c r="AZ633" s="206"/>
      <c r="BA633" s="206"/>
      <c r="BB633" s="206"/>
      <c r="BC633" s="206"/>
      <c r="BD633" s="206"/>
      <c r="BE633" s="206"/>
      <c r="BF633" s="206"/>
      <c r="BG633" s="330"/>
      <c r="BH633" s="330"/>
      <c r="BI633" s="330"/>
      <c r="BJ633" s="330"/>
      <c r="BK633" s="330"/>
      <c r="BL633" s="330"/>
      <c r="BM633" s="330"/>
      <c r="BN633" s="330"/>
      <c r="BO633" s="330"/>
      <c r="BP633" s="330"/>
      <c r="BQ633" s="330"/>
      <c r="BR633" s="330"/>
      <c r="BS633" s="330"/>
      <c r="BT633" s="330"/>
      <c r="BU633" s="330"/>
      <c r="BV633" s="330"/>
      <c r="BW633" s="330"/>
      <c r="BX633" s="330"/>
      <c r="BY633" s="330"/>
      <c r="BZ633" s="330"/>
    </row>
    <row r="634" spans="1:78" x14ac:dyDescent="0.25">
      <c r="A634" s="331"/>
      <c r="B634" s="328"/>
      <c r="C634" s="328"/>
      <c r="D634" s="329"/>
      <c r="E634" s="330"/>
      <c r="F634" s="330"/>
      <c r="G634" s="330"/>
      <c r="H634" s="330"/>
      <c r="I634" s="330"/>
      <c r="J634" s="330"/>
      <c r="K634" s="330"/>
      <c r="L634" s="329"/>
      <c r="M634" s="329"/>
      <c r="N634" s="330"/>
      <c r="O634" s="330"/>
      <c r="P634" s="330"/>
      <c r="Q634" s="330"/>
      <c r="R634" s="330"/>
      <c r="S634" s="330"/>
      <c r="T634" s="330"/>
      <c r="U634" s="330"/>
      <c r="V634" s="330"/>
      <c r="W634" s="330"/>
      <c r="X634" s="329"/>
      <c r="Y634" s="330"/>
      <c r="Z634" s="330"/>
      <c r="AA634" s="330"/>
      <c r="AB634" s="330"/>
      <c r="AC634" s="330"/>
      <c r="AD634" s="330"/>
      <c r="AE634" s="330"/>
      <c r="AF634" s="330"/>
      <c r="AG634" s="330"/>
      <c r="AH634" s="330"/>
      <c r="AI634" s="330"/>
      <c r="AJ634" s="330"/>
      <c r="AK634" s="330"/>
      <c r="AL634" s="329"/>
      <c r="AM634" s="329"/>
      <c r="AN634" s="330"/>
      <c r="AO634" s="330"/>
      <c r="AP634" s="330"/>
      <c r="AQ634" s="330"/>
      <c r="AR634" s="231"/>
      <c r="AS634" s="333"/>
      <c r="AT634" s="206"/>
      <c r="AU634" s="328"/>
      <c r="AV634" s="206"/>
      <c r="AW634" s="206"/>
      <c r="AX634" s="206"/>
      <c r="AY634" s="206"/>
      <c r="AZ634" s="206"/>
      <c r="BA634" s="206"/>
      <c r="BB634" s="206"/>
      <c r="BC634" s="206"/>
      <c r="BD634" s="206"/>
      <c r="BE634" s="206"/>
      <c r="BF634" s="206"/>
      <c r="BG634" s="330"/>
      <c r="BH634" s="330"/>
      <c r="BI634" s="330"/>
      <c r="BJ634" s="330"/>
      <c r="BK634" s="330"/>
      <c r="BL634" s="330"/>
      <c r="BM634" s="330"/>
      <c r="BN634" s="330"/>
      <c r="BO634" s="330"/>
      <c r="BP634" s="330"/>
      <c r="BQ634" s="330"/>
      <c r="BR634" s="330"/>
      <c r="BS634" s="330"/>
      <c r="BT634" s="330"/>
      <c r="BU634" s="330"/>
      <c r="BV634" s="330"/>
      <c r="BW634" s="330"/>
      <c r="BX634" s="330"/>
      <c r="BY634" s="330"/>
      <c r="BZ634" s="330"/>
    </row>
    <row r="635" spans="1:78" x14ac:dyDescent="0.25">
      <c r="A635" s="331"/>
      <c r="B635" s="328"/>
      <c r="C635" s="328"/>
      <c r="D635" s="329"/>
      <c r="E635" s="330"/>
      <c r="F635" s="330"/>
      <c r="G635" s="330"/>
      <c r="H635" s="330"/>
      <c r="I635" s="330"/>
      <c r="J635" s="330"/>
      <c r="K635" s="330"/>
      <c r="L635" s="329"/>
      <c r="M635" s="329"/>
      <c r="N635" s="330"/>
      <c r="O635" s="330"/>
      <c r="P635" s="330"/>
      <c r="Q635" s="330"/>
      <c r="R635" s="330"/>
      <c r="S635" s="330"/>
      <c r="T635" s="330"/>
      <c r="U635" s="330"/>
      <c r="V635" s="330"/>
      <c r="W635" s="330"/>
      <c r="X635" s="329"/>
      <c r="Y635" s="330"/>
      <c r="Z635" s="330"/>
      <c r="AA635" s="330"/>
      <c r="AB635" s="330"/>
      <c r="AC635" s="330"/>
      <c r="AD635" s="330"/>
      <c r="AE635" s="330"/>
      <c r="AF635" s="330"/>
      <c r="AG635" s="330"/>
      <c r="AH635" s="330"/>
      <c r="AI635" s="330"/>
      <c r="AJ635" s="330"/>
      <c r="AK635" s="330"/>
      <c r="AL635" s="329"/>
      <c r="AM635" s="329"/>
      <c r="AN635" s="330"/>
      <c r="AO635" s="330"/>
      <c r="AP635" s="330"/>
      <c r="AQ635" s="330"/>
      <c r="AR635" s="231"/>
      <c r="AS635" s="333"/>
      <c r="AT635" s="206"/>
      <c r="AU635" s="328"/>
      <c r="AV635" s="206"/>
      <c r="AW635" s="206"/>
      <c r="AX635" s="206"/>
      <c r="AY635" s="206"/>
      <c r="AZ635" s="206"/>
      <c r="BA635" s="206"/>
      <c r="BB635" s="206"/>
      <c r="BC635" s="206"/>
      <c r="BD635" s="206"/>
      <c r="BE635" s="206"/>
      <c r="BF635" s="206"/>
      <c r="BG635" s="330"/>
      <c r="BH635" s="330"/>
      <c r="BI635" s="330"/>
      <c r="BJ635" s="330"/>
      <c r="BK635" s="330"/>
      <c r="BL635" s="330"/>
      <c r="BM635" s="330"/>
      <c r="BN635" s="330"/>
      <c r="BO635" s="330"/>
      <c r="BP635" s="330"/>
      <c r="BQ635" s="330"/>
      <c r="BR635" s="330"/>
      <c r="BS635" s="330"/>
      <c r="BT635" s="330"/>
      <c r="BU635" s="330"/>
      <c r="BV635" s="330"/>
      <c r="BW635" s="330"/>
      <c r="BX635" s="330"/>
      <c r="BY635" s="330"/>
      <c r="BZ635" s="330"/>
    </row>
    <row r="636" spans="1:78" x14ac:dyDescent="0.25">
      <c r="A636" s="331"/>
      <c r="B636" s="328"/>
      <c r="C636" s="328"/>
      <c r="D636" s="329"/>
      <c r="E636" s="330"/>
      <c r="F636" s="330"/>
      <c r="G636" s="330"/>
      <c r="H636" s="330"/>
      <c r="I636" s="330"/>
      <c r="J636" s="330"/>
      <c r="K636" s="330"/>
      <c r="L636" s="329"/>
      <c r="M636" s="329"/>
      <c r="N636" s="330"/>
      <c r="O636" s="330"/>
      <c r="P636" s="330"/>
      <c r="Q636" s="330"/>
      <c r="R636" s="330"/>
      <c r="S636" s="330"/>
      <c r="T636" s="330"/>
      <c r="U636" s="330"/>
      <c r="V636" s="330"/>
      <c r="W636" s="330"/>
      <c r="X636" s="329"/>
      <c r="Y636" s="330"/>
      <c r="Z636" s="330"/>
      <c r="AA636" s="330"/>
      <c r="AB636" s="330"/>
      <c r="AC636" s="330"/>
      <c r="AD636" s="330"/>
      <c r="AE636" s="330"/>
      <c r="AF636" s="330"/>
      <c r="AG636" s="330"/>
      <c r="AH636" s="330"/>
      <c r="AI636" s="330"/>
      <c r="AJ636" s="330"/>
      <c r="AK636" s="330"/>
      <c r="AL636" s="329"/>
      <c r="AM636" s="329"/>
      <c r="AN636" s="330"/>
      <c r="AO636" s="330"/>
      <c r="AP636" s="330"/>
      <c r="AQ636" s="330"/>
      <c r="AR636" s="231"/>
      <c r="AS636" s="333"/>
      <c r="AT636" s="206"/>
      <c r="AU636" s="328"/>
      <c r="AV636" s="206"/>
      <c r="AW636" s="206"/>
      <c r="AX636" s="206"/>
      <c r="AY636" s="206"/>
      <c r="AZ636" s="206"/>
      <c r="BA636" s="206"/>
      <c r="BB636" s="206"/>
      <c r="BC636" s="206"/>
      <c r="BD636" s="206"/>
      <c r="BE636" s="206"/>
      <c r="BF636" s="206"/>
      <c r="BG636" s="330"/>
      <c r="BH636" s="330"/>
      <c r="BI636" s="330"/>
      <c r="BJ636" s="330"/>
      <c r="BK636" s="330"/>
      <c r="BL636" s="330"/>
      <c r="BM636" s="330"/>
      <c r="BN636" s="330"/>
      <c r="BO636" s="330"/>
      <c r="BP636" s="330"/>
      <c r="BQ636" s="330"/>
      <c r="BR636" s="330"/>
      <c r="BS636" s="330"/>
      <c r="BT636" s="330"/>
      <c r="BU636" s="330"/>
      <c r="BV636" s="330"/>
      <c r="BW636" s="330"/>
      <c r="BX636" s="330"/>
      <c r="BY636" s="330"/>
      <c r="BZ636" s="330"/>
    </row>
    <row r="637" spans="1:78" x14ac:dyDescent="0.25">
      <c r="A637" s="331"/>
      <c r="B637" s="328"/>
      <c r="C637" s="328"/>
      <c r="D637" s="329"/>
      <c r="E637" s="330"/>
      <c r="F637" s="330"/>
      <c r="G637" s="330"/>
      <c r="H637" s="330"/>
      <c r="I637" s="330"/>
      <c r="J637" s="330"/>
      <c r="K637" s="330"/>
      <c r="L637" s="329"/>
      <c r="M637" s="329"/>
      <c r="N637" s="330"/>
      <c r="O637" s="330"/>
      <c r="P637" s="330"/>
      <c r="Q637" s="330"/>
      <c r="R637" s="330"/>
      <c r="S637" s="330"/>
      <c r="T637" s="330"/>
      <c r="U637" s="330"/>
      <c r="V637" s="330"/>
      <c r="W637" s="330"/>
      <c r="X637" s="329"/>
      <c r="Y637" s="330"/>
      <c r="Z637" s="330"/>
      <c r="AA637" s="330"/>
      <c r="AB637" s="330"/>
      <c r="AC637" s="330"/>
      <c r="AD637" s="330"/>
      <c r="AE637" s="330"/>
      <c r="AF637" s="330"/>
      <c r="AG637" s="330"/>
      <c r="AH637" s="330"/>
      <c r="AI637" s="330"/>
      <c r="AJ637" s="330"/>
      <c r="AK637" s="330"/>
      <c r="AL637" s="329"/>
      <c r="AM637" s="329"/>
      <c r="AN637" s="330"/>
      <c r="AO637" s="330"/>
      <c r="AP637" s="330"/>
      <c r="AQ637" s="330"/>
      <c r="AR637" s="231"/>
      <c r="AS637" s="333"/>
      <c r="AT637" s="206"/>
      <c r="AU637" s="328"/>
      <c r="AV637" s="206"/>
      <c r="AW637" s="206"/>
      <c r="AX637" s="206"/>
      <c r="AY637" s="206"/>
      <c r="AZ637" s="206"/>
      <c r="BA637" s="206"/>
      <c r="BB637" s="206"/>
      <c r="BC637" s="206"/>
      <c r="BD637" s="206"/>
      <c r="BE637" s="206"/>
      <c r="BF637" s="206"/>
      <c r="BG637" s="330"/>
      <c r="BH637" s="330"/>
      <c r="BI637" s="330"/>
      <c r="BJ637" s="330"/>
      <c r="BK637" s="330"/>
      <c r="BL637" s="330"/>
      <c r="BM637" s="330"/>
      <c r="BN637" s="330"/>
      <c r="BO637" s="330"/>
      <c r="BP637" s="330"/>
      <c r="BQ637" s="330"/>
      <c r="BR637" s="330"/>
      <c r="BS637" s="330"/>
      <c r="BT637" s="330"/>
      <c r="BU637" s="330"/>
      <c r="BV637" s="330"/>
      <c r="BW637" s="330"/>
      <c r="BX637" s="330"/>
      <c r="BY637" s="330"/>
      <c r="BZ637" s="330"/>
    </row>
    <row r="638" spans="1:78" x14ac:dyDescent="0.25">
      <c r="A638" s="331"/>
      <c r="B638" s="328"/>
      <c r="C638" s="328"/>
      <c r="D638" s="329"/>
      <c r="E638" s="330"/>
      <c r="F638" s="330"/>
      <c r="G638" s="330"/>
      <c r="H638" s="330"/>
      <c r="I638" s="330"/>
      <c r="J638" s="330"/>
      <c r="K638" s="330"/>
      <c r="L638" s="329"/>
      <c r="M638" s="329"/>
      <c r="N638" s="330"/>
      <c r="O638" s="330"/>
      <c r="P638" s="330"/>
      <c r="Q638" s="330"/>
      <c r="R638" s="330"/>
      <c r="S638" s="330"/>
      <c r="T638" s="330"/>
      <c r="U638" s="330"/>
      <c r="V638" s="330"/>
      <c r="W638" s="330"/>
      <c r="X638" s="329"/>
      <c r="Y638" s="330"/>
      <c r="Z638" s="330"/>
      <c r="AA638" s="330"/>
      <c r="AB638" s="330"/>
      <c r="AC638" s="330"/>
      <c r="AD638" s="330"/>
      <c r="AE638" s="330"/>
      <c r="AF638" s="330"/>
      <c r="AG638" s="330"/>
      <c r="AH638" s="330"/>
      <c r="AI638" s="330"/>
      <c r="AJ638" s="330"/>
      <c r="AK638" s="330"/>
      <c r="AL638" s="329"/>
      <c r="AM638" s="329"/>
      <c r="AN638" s="330"/>
      <c r="AO638" s="330"/>
      <c r="AP638" s="330"/>
      <c r="AQ638" s="330"/>
      <c r="AR638" s="231"/>
      <c r="AS638" s="333"/>
      <c r="AT638" s="206"/>
      <c r="AU638" s="328"/>
      <c r="AV638" s="206"/>
      <c r="AW638" s="206"/>
      <c r="AX638" s="206"/>
      <c r="AY638" s="206"/>
      <c r="AZ638" s="206"/>
      <c r="BA638" s="206"/>
      <c r="BB638" s="206"/>
      <c r="BC638" s="206"/>
      <c r="BD638" s="206"/>
      <c r="BE638" s="206"/>
      <c r="BF638" s="206"/>
      <c r="BG638" s="330"/>
      <c r="BH638" s="330"/>
      <c r="BI638" s="330"/>
      <c r="BJ638" s="330"/>
      <c r="BK638" s="330"/>
      <c r="BL638" s="330"/>
      <c r="BM638" s="330"/>
      <c r="BN638" s="330"/>
      <c r="BO638" s="330"/>
      <c r="BP638" s="330"/>
      <c r="BQ638" s="330"/>
      <c r="BR638" s="330"/>
      <c r="BS638" s="330"/>
      <c r="BT638" s="330"/>
      <c r="BU638" s="330"/>
      <c r="BV638" s="330"/>
      <c r="BW638" s="330"/>
      <c r="BX638" s="330"/>
      <c r="BY638" s="330"/>
      <c r="BZ638" s="330"/>
    </row>
    <row r="639" spans="1:78" x14ac:dyDescent="0.25">
      <c r="A639" s="331"/>
      <c r="B639" s="328"/>
      <c r="C639" s="328"/>
      <c r="D639" s="329"/>
      <c r="E639" s="330"/>
      <c r="F639" s="330"/>
      <c r="G639" s="330"/>
      <c r="H639" s="330"/>
      <c r="I639" s="330"/>
      <c r="J639" s="330"/>
      <c r="K639" s="330"/>
      <c r="L639" s="329"/>
      <c r="M639" s="329"/>
      <c r="N639" s="330"/>
      <c r="O639" s="330"/>
      <c r="P639" s="330"/>
      <c r="Q639" s="330"/>
      <c r="R639" s="330"/>
      <c r="S639" s="330"/>
      <c r="T639" s="330"/>
      <c r="U639" s="330"/>
      <c r="V639" s="330"/>
      <c r="W639" s="330"/>
      <c r="X639" s="329"/>
      <c r="Y639" s="330"/>
      <c r="Z639" s="330"/>
      <c r="AA639" s="330"/>
      <c r="AB639" s="330"/>
      <c r="AC639" s="330"/>
      <c r="AD639" s="330"/>
      <c r="AE639" s="330"/>
      <c r="AF639" s="330"/>
      <c r="AG639" s="330"/>
      <c r="AH639" s="330"/>
      <c r="AI639" s="330"/>
      <c r="AJ639" s="330"/>
      <c r="AK639" s="330"/>
      <c r="AL639" s="329"/>
      <c r="AM639" s="329"/>
      <c r="AN639" s="330"/>
      <c r="AO639" s="330"/>
      <c r="AP639" s="330"/>
      <c r="AQ639" s="330"/>
      <c r="AR639" s="231"/>
      <c r="AS639" s="333"/>
      <c r="AT639" s="206"/>
      <c r="AU639" s="328"/>
      <c r="AV639" s="206"/>
      <c r="AW639" s="206"/>
      <c r="AX639" s="206"/>
      <c r="AY639" s="206"/>
      <c r="AZ639" s="206"/>
      <c r="BA639" s="206"/>
      <c r="BB639" s="206"/>
      <c r="BC639" s="206"/>
      <c r="BD639" s="206"/>
      <c r="BE639" s="206"/>
      <c r="BF639" s="206"/>
      <c r="BG639" s="330"/>
      <c r="BH639" s="330"/>
      <c r="BI639" s="330"/>
      <c r="BJ639" s="330"/>
      <c r="BK639" s="330"/>
      <c r="BL639" s="330"/>
      <c r="BM639" s="330"/>
      <c r="BN639" s="330"/>
      <c r="BO639" s="330"/>
      <c r="BP639" s="330"/>
      <c r="BQ639" s="330"/>
      <c r="BR639" s="330"/>
      <c r="BS639" s="330"/>
      <c r="BT639" s="330"/>
      <c r="BU639" s="330"/>
      <c r="BV639" s="330"/>
      <c r="BW639" s="330"/>
      <c r="BX639" s="330"/>
      <c r="BY639" s="330"/>
      <c r="BZ639" s="330"/>
    </row>
    <row r="640" spans="1:78" x14ac:dyDescent="0.25">
      <c r="A640" s="331"/>
      <c r="B640" s="328"/>
      <c r="C640" s="328"/>
      <c r="D640" s="329"/>
      <c r="E640" s="330"/>
      <c r="F640" s="330"/>
      <c r="G640" s="330"/>
      <c r="H640" s="330"/>
      <c r="I640" s="330"/>
      <c r="J640" s="330"/>
      <c r="K640" s="330"/>
      <c r="L640" s="329"/>
      <c r="M640" s="329"/>
      <c r="N640" s="330"/>
      <c r="O640" s="330"/>
      <c r="P640" s="330"/>
      <c r="Q640" s="330"/>
      <c r="R640" s="330"/>
      <c r="S640" s="330"/>
      <c r="T640" s="330"/>
      <c r="U640" s="330"/>
      <c r="V640" s="330"/>
      <c r="W640" s="330"/>
      <c r="X640" s="329"/>
      <c r="Y640" s="330"/>
      <c r="Z640" s="330"/>
      <c r="AA640" s="330"/>
      <c r="AB640" s="330"/>
      <c r="AC640" s="330"/>
      <c r="AD640" s="330"/>
      <c r="AE640" s="330"/>
      <c r="AF640" s="330"/>
      <c r="AG640" s="330"/>
      <c r="AH640" s="330"/>
      <c r="AI640" s="330"/>
      <c r="AJ640" s="330"/>
      <c r="AK640" s="330"/>
      <c r="AL640" s="329"/>
      <c r="AM640" s="329"/>
      <c r="AN640" s="330"/>
      <c r="AO640" s="330"/>
      <c r="AP640" s="330"/>
      <c r="AQ640" s="330"/>
      <c r="AR640" s="231"/>
      <c r="AS640" s="333"/>
      <c r="AT640" s="206"/>
      <c r="AU640" s="328"/>
      <c r="AV640" s="206"/>
      <c r="AW640" s="206"/>
      <c r="AX640" s="206"/>
      <c r="AY640" s="206"/>
      <c r="AZ640" s="206"/>
      <c r="BA640" s="206"/>
      <c r="BB640" s="206"/>
      <c r="BC640" s="206"/>
      <c r="BD640" s="206"/>
      <c r="BE640" s="206"/>
      <c r="BF640" s="206"/>
      <c r="BG640" s="330"/>
      <c r="BH640" s="330"/>
      <c r="BI640" s="330"/>
      <c r="BJ640" s="330"/>
      <c r="BK640" s="330"/>
      <c r="BL640" s="330"/>
      <c r="BM640" s="330"/>
      <c r="BN640" s="330"/>
      <c r="BO640" s="330"/>
      <c r="BP640" s="330"/>
      <c r="BQ640" s="330"/>
      <c r="BR640" s="330"/>
      <c r="BS640" s="330"/>
      <c r="BT640" s="330"/>
      <c r="BU640" s="330"/>
      <c r="BV640" s="330"/>
      <c r="BW640" s="330"/>
      <c r="BX640" s="330"/>
      <c r="BY640" s="330"/>
      <c r="BZ640" s="330"/>
    </row>
    <row r="641" spans="1:78" x14ac:dyDescent="0.25">
      <c r="A641" s="331"/>
      <c r="B641" s="328"/>
      <c r="C641" s="328"/>
      <c r="D641" s="329"/>
      <c r="E641" s="330"/>
      <c r="F641" s="330"/>
      <c r="G641" s="330"/>
      <c r="H641" s="330"/>
      <c r="I641" s="330"/>
      <c r="J641" s="330"/>
      <c r="K641" s="330"/>
      <c r="L641" s="329"/>
      <c r="M641" s="329"/>
      <c r="N641" s="330"/>
      <c r="O641" s="330"/>
      <c r="P641" s="330"/>
      <c r="Q641" s="330"/>
      <c r="R641" s="330"/>
      <c r="S641" s="330"/>
      <c r="T641" s="330"/>
      <c r="U641" s="330"/>
      <c r="V641" s="330"/>
      <c r="W641" s="330"/>
      <c r="X641" s="329"/>
      <c r="Y641" s="330"/>
      <c r="Z641" s="330"/>
      <c r="AA641" s="330"/>
      <c r="AB641" s="330"/>
      <c r="AC641" s="330"/>
      <c r="AD641" s="330"/>
      <c r="AE641" s="330"/>
      <c r="AF641" s="330"/>
      <c r="AG641" s="330"/>
      <c r="AH641" s="330"/>
      <c r="AI641" s="330"/>
      <c r="AJ641" s="330"/>
      <c r="AK641" s="330"/>
      <c r="AL641" s="329"/>
      <c r="AM641" s="329"/>
      <c r="AN641" s="330"/>
      <c r="AO641" s="330"/>
      <c r="AP641" s="330"/>
      <c r="AQ641" s="330"/>
      <c r="AR641" s="231"/>
      <c r="AS641" s="333"/>
      <c r="AT641" s="206"/>
      <c r="AU641" s="328"/>
      <c r="AV641" s="206"/>
      <c r="AW641" s="206"/>
      <c r="AX641" s="206"/>
      <c r="AY641" s="206"/>
      <c r="AZ641" s="206"/>
      <c r="BA641" s="206"/>
      <c r="BB641" s="206"/>
      <c r="BC641" s="206"/>
      <c r="BD641" s="206"/>
      <c r="BE641" s="206"/>
      <c r="BF641" s="206"/>
      <c r="BG641" s="330"/>
      <c r="BH641" s="330"/>
      <c r="BI641" s="330"/>
      <c r="BJ641" s="330"/>
      <c r="BK641" s="330"/>
      <c r="BL641" s="330"/>
      <c r="BM641" s="330"/>
      <c r="BN641" s="330"/>
      <c r="BO641" s="330"/>
      <c r="BP641" s="330"/>
      <c r="BQ641" s="330"/>
      <c r="BR641" s="330"/>
      <c r="BS641" s="330"/>
      <c r="BT641" s="330"/>
      <c r="BU641" s="330"/>
      <c r="BV641" s="330"/>
      <c r="BW641" s="330"/>
      <c r="BX641" s="330"/>
      <c r="BY641" s="330"/>
      <c r="BZ641" s="330"/>
    </row>
    <row r="642" spans="1:78" x14ac:dyDescent="0.25">
      <c r="A642" s="331"/>
      <c r="B642" s="328"/>
      <c r="C642" s="328"/>
      <c r="D642" s="329"/>
      <c r="E642" s="330"/>
      <c r="F642" s="330"/>
      <c r="G642" s="330"/>
      <c r="H642" s="330"/>
      <c r="I642" s="330"/>
      <c r="J642" s="330"/>
      <c r="K642" s="330"/>
      <c r="L642" s="329"/>
      <c r="M642" s="329"/>
      <c r="N642" s="330"/>
      <c r="O642" s="330"/>
      <c r="P642" s="330"/>
      <c r="Q642" s="330"/>
      <c r="R642" s="330"/>
      <c r="S642" s="330"/>
      <c r="T642" s="330"/>
      <c r="U642" s="330"/>
      <c r="V642" s="330"/>
      <c r="W642" s="330"/>
      <c r="X642" s="329"/>
      <c r="Y642" s="330"/>
      <c r="Z642" s="330"/>
      <c r="AA642" s="330"/>
      <c r="AB642" s="330"/>
      <c r="AC642" s="330"/>
      <c r="AD642" s="330"/>
      <c r="AE642" s="330"/>
      <c r="AF642" s="330"/>
      <c r="AG642" s="330"/>
      <c r="AH642" s="330"/>
      <c r="AI642" s="330"/>
      <c r="AJ642" s="330"/>
      <c r="AK642" s="330"/>
      <c r="AL642" s="329"/>
      <c r="AM642" s="329"/>
      <c r="AN642" s="330"/>
      <c r="AO642" s="330"/>
      <c r="AP642" s="330"/>
      <c r="AQ642" s="330"/>
      <c r="AR642" s="231"/>
      <c r="AS642" s="333"/>
      <c r="AT642" s="206"/>
      <c r="AU642" s="328"/>
      <c r="AV642" s="206"/>
      <c r="AW642" s="206"/>
      <c r="AX642" s="206"/>
      <c r="AY642" s="206"/>
      <c r="AZ642" s="206"/>
      <c r="BA642" s="206"/>
      <c r="BB642" s="206"/>
      <c r="BC642" s="206"/>
      <c r="BD642" s="206"/>
      <c r="BE642" s="206"/>
      <c r="BF642" s="206"/>
      <c r="BG642" s="330"/>
      <c r="BH642" s="330"/>
      <c r="BI642" s="330"/>
      <c r="BJ642" s="330"/>
      <c r="BK642" s="330"/>
      <c r="BL642" s="330"/>
      <c r="BM642" s="330"/>
      <c r="BN642" s="330"/>
      <c r="BO642" s="330"/>
      <c r="BP642" s="330"/>
      <c r="BQ642" s="330"/>
      <c r="BR642" s="330"/>
      <c r="BS642" s="330"/>
      <c r="BT642" s="330"/>
      <c r="BU642" s="330"/>
      <c r="BV642" s="330"/>
      <c r="BW642" s="330"/>
      <c r="BX642" s="330"/>
      <c r="BY642" s="330"/>
      <c r="BZ642" s="330"/>
    </row>
    <row r="643" spans="1:78" x14ac:dyDescent="0.25">
      <c r="A643" s="331"/>
      <c r="B643" s="328"/>
      <c r="C643" s="328"/>
      <c r="D643" s="329"/>
      <c r="E643" s="330"/>
      <c r="F643" s="330"/>
      <c r="G643" s="330"/>
      <c r="H643" s="330"/>
      <c r="I643" s="330"/>
      <c r="J643" s="330"/>
      <c r="K643" s="330"/>
      <c r="L643" s="329"/>
      <c r="M643" s="329"/>
      <c r="N643" s="330"/>
      <c r="O643" s="330"/>
      <c r="P643" s="330"/>
      <c r="Q643" s="330"/>
      <c r="R643" s="330"/>
      <c r="S643" s="330"/>
      <c r="T643" s="330"/>
      <c r="U643" s="330"/>
      <c r="V643" s="330"/>
      <c r="W643" s="330"/>
      <c r="X643" s="329"/>
      <c r="Y643" s="330"/>
      <c r="Z643" s="330"/>
      <c r="AA643" s="330"/>
      <c r="AB643" s="330"/>
      <c r="AC643" s="330"/>
      <c r="AD643" s="330"/>
      <c r="AE643" s="330"/>
      <c r="AF643" s="330"/>
      <c r="AG643" s="330"/>
      <c r="AH643" s="330"/>
      <c r="AI643" s="330"/>
      <c r="AJ643" s="330"/>
      <c r="AK643" s="330"/>
      <c r="AL643" s="329"/>
      <c r="AM643" s="329"/>
      <c r="AN643" s="330"/>
      <c r="AO643" s="330"/>
      <c r="AP643" s="330"/>
      <c r="AQ643" s="330"/>
      <c r="AR643" s="231"/>
      <c r="AS643" s="333"/>
      <c r="AT643" s="206"/>
      <c r="AU643" s="328"/>
      <c r="AV643" s="206"/>
      <c r="AW643" s="206"/>
      <c r="AX643" s="206"/>
      <c r="AY643" s="206"/>
      <c r="AZ643" s="206"/>
      <c r="BA643" s="206"/>
      <c r="BB643" s="206"/>
      <c r="BC643" s="206"/>
      <c r="BD643" s="206"/>
      <c r="BE643" s="206"/>
      <c r="BF643" s="206"/>
      <c r="BG643" s="330"/>
      <c r="BH643" s="330"/>
      <c r="BI643" s="330"/>
      <c r="BJ643" s="330"/>
      <c r="BK643" s="330"/>
      <c r="BL643" s="330"/>
      <c r="BM643" s="330"/>
      <c r="BN643" s="330"/>
      <c r="BO643" s="330"/>
      <c r="BP643" s="330"/>
      <c r="BQ643" s="330"/>
      <c r="BR643" s="330"/>
      <c r="BS643" s="330"/>
      <c r="BT643" s="330"/>
      <c r="BU643" s="330"/>
      <c r="BV643" s="330"/>
      <c r="BW643" s="330"/>
      <c r="BX643" s="330"/>
      <c r="BY643" s="330"/>
      <c r="BZ643" s="330"/>
    </row>
    <row r="644" spans="1:78" x14ac:dyDescent="0.25">
      <c r="A644" s="331"/>
      <c r="B644" s="328"/>
      <c r="C644" s="328"/>
      <c r="D644" s="329"/>
      <c r="E644" s="330"/>
      <c r="F644" s="330"/>
      <c r="G644" s="330"/>
      <c r="H644" s="330"/>
      <c r="I644" s="330"/>
      <c r="J644" s="330"/>
      <c r="K644" s="330"/>
      <c r="L644" s="329"/>
      <c r="M644" s="329"/>
      <c r="N644" s="330"/>
      <c r="O644" s="330"/>
      <c r="P644" s="330"/>
      <c r="Q644" s="330"/>
      <c r="R644" s="330"/>
      <c r="S644" s="330"/>
      <c r="T644" s="330"/>
      <c r="U644" s="330"/>
      <c r="V644" s="330"/>
      <c r="W644" s="330"/>
      <c r="X644" s="329"/>
      <c r="Y644" s="330"/>
      <c r="Z644" s="330"/>
      <c r="AA644" s="330"/>
      <c r="AB644" s="330"/>
      <c r="AC644" s="330"/>
      <c r="AD644" s="330"/>
      <c r="AE644" s="330"/>
      <c r="AF644" s="330"/>
      <c r="AG644" s="330"/>
      <c r="AH644" s="330"/>
      <c r="AI644" s="330"/>
      <c r="AJ644" s="330"/>
      <c r="AK644" s="330"/>
      <c r="AL644" s="329"/>
      <c r="AM644" s="329"/>
      <c r="AN644" s="330"/>
      <c r="AO644" s="330"/>
      <c r="AP644" s="330"/>
      <c r="AQ644" s="330"/>
      <c r="AR644" s="231"/>
      <c r="AS644" s="333"/>
      <c r="AT644" s="206"/>
      <c r="AU644" s="328"/>
      <c r="AV644" s="206"/>
      <c r="AW644" s="206"/>
      <c r="AX644" s="206"/>
      <c r="AY644" s="206"/>
      <c r="AZ644" s="206"/>
      <c r="BA644" s="206"/>
      <c r="BB644" s="206"/>
      <c r="BC644" s="206"/>
      <c r="BD644" s="206"/>
      <c r="BE644" s="206"/>
      <c r="BF644" s="206"/>
      <c r="BG644" s="330"/>
      <c r="BH644" s="330"/>
      <c r="BI644" s="330"/>
      <c r="BJ644" s="330"/>
      <c r="BK644" s="330"/>
      <c r="BL644" s="330"/>
      <c r="BM644" s="330"/>
      <c r="BN644" s="330"/>
      <c r="BO644" s="330"/>
      <c r="BP644" s="330"/>
      <c r="BQ644" s="330"/>
      <c r="BR644" s="330"/>
      <c r="BS644" s="330"/>
      <c r="BT644" s="330"/>
      <c r="BU644" s="330"/>
      <c r="BV644" s="330"/>
      <c r="BW644" s="330"/>
      <c r="BX644" s="330"/>
      <c r="BY644" s="330"/>
      <c r="BZ644" s="330"/>
    </row>
    <row r="645" spans="1:78" x14ac:dyDescent="0.25">
      <c r="A645" s="331"/>
      <c r="B645" s="328"/>
      <c r="C645" s="328"/>
      <c r="D645" s="329"/>
      <c r="E645" s="330"/>
      <c r="F645" s="330"/>
      <c r="G645" s="330"/>
      <c r="H645" s="330"/>
      <c r="I645" s="330"/>
      <c r="J645" s="330"/>
      <c r="K645" s="330"/>
      <c r="L645" s="329"/>
      <c r="M645" s="329"/>
      <c r="N645" s="330"/>
      <c r="O645" s="330"/>
      <c r="P645" s="330"/>
      <c r="Q645" s="330"/>
      <c r="R645" s="330"/>
      <c r="S645" s="330"/>
      <c r="T645" s="330"/>
      <c r="U645" s="330"/>
      <c r="V645" s="330"/>
      <c r="W645" s="330"/>
      <c r="X645" s="329"/>
      <c r="Y645" s="330"/>
      <c r="Z645" s="330"/>
      <c r="AA645" s="330"/>
      <c r="AB645" s="330"/>
      <c r="AC645" s="330"/>
      <c r="AD645" s="330"/>
      <c r="AE645" s="330"/>
      <c r="AF645" s="330"/>
      <c r="AG645" s="330"/>
      <c r="AH645" s="330"/>
      <c r="AI645" s="330"/>
      <c r="AJ645" s="330"/>
      <c r="AK645" s="330"/>
      <c r="AL645" s="329"/>
      <c r="AM645" s="329"/>
      <c r="AN645" s="330"/>
      <c r="AO645" s="330"/>
      <c r="AP645" s="330"/>
      <c r="AQ645" s="330"/>
      <c r="AR645" s="231"/>
      <c r="AS645" s="333"/>
      <c r="AT645" s="206"/>
      <c r="AU645" s="328"/>
      <c r="AV645" s="206"/>
      <c r="AW645" s="206"/>
      <c r="AX645" s="206"/>
      <c r="AY645" s="206"/>
      <c r="AZ645" s="206"/>
      <c r="BA645" s="206"/>
      <c r="BB645" s="206"/>
      <c r="BC645" s="206"/>
      <c r="BD645" s="206"/>
      <c r="BE645" s="206"/>
      <c r="BF645" s="206"/>
      <c r="BG645" s="330"/>
      <c r="BH645" s="330"/>
      <c r="BI645" s="330"/>
      <c r="BJ645" s="330"/>
      <c r="BK645" s="330"/>
      <c r="BL645" s="330"/>
      <c r="BM645" s="330"/>
      <c r="BN645" s="330"/>
      <c r="BO645" s="330"/>
      <c r="BP645" s="330"/>
      <c r="BQ645" s="330"/>
      <c r="BR645" s="330"/>
      <c r="BS645" s="330"/>
      <c r="BT645" s="330"/>
      <c r="BU645" s="330"/>
      <c r="BV645" s="330"/>
      <c r="BW645" s="330"/>
      <c r="BX645" s="330"/>
      <c r="BY645" s="330"/>
      <c r="BZ645" s="330"/>
    </row>
    <row r="646" spans="1:78" x14ac:dyDescent="0.25">
      <c r="A646" s="331"/>
      <c r="B646" s="328"/>
      <c r="C646" s="328"/>
      <c r="D646" s="329"/>
      <c r="E646" s="330"/>
      <c r="F646" s="330"/>
      <c r="G646" s="330"/>
      <c r="H646" s="330"/>
      <c r="I646" s="330"/>
      <c r="J646" s="330"/>
      <c r="K646" s="330"/>
      <c r="L646" s="329"/>
      <c r="M646" s="329"/>
      <c r="N646" s="330"/>
      <c r="O646" s="330"/>
      <c r="P646" s="330"/>
      <c r="Q646" s="330"/>
      <c r="R646" s="330"/>
      <c r="S646" s="330"/>
      <c r="T646" s="330"/>
      <c r="U646" s="330"/>
      <c r="V646" s="330"/>
      <c r="W646" s="330"/>
      <c r="X646" s="329"/>
      <c r="Y646" s="330"/>
      <c r="Z646" s="330"/>
      <c r="AA646" s="330"/>
      <c r="AB646" s="330"/>
      <c r="AC646" s="330"/>
      <c r="AD646" s="330"/>
      <c r="AE646" s="330"/>
      <c r="AF646" s="330"/>
      <c r="AG646" s="330"/>
      <c r="AH646" s="330"/>
      <c r="AI646" s="330"/>
      <c r="AJ646" s="330"/>
      <c r="AK646" s="330"/>
      <c r="AL646" s="329"/>
      <c r="AM646" s="329"/>
      <c r="AN646" s="330"/>
      <c r="AO646" s="330"/>
      <c r="AP646" s="330"/>
      <c r="AQ646" s="330"/>
      <c r="AR646" s="231"/>
      <c r="AS646" s="333"/>
      <c r="AT646" s="206"/>
      <c r="AU646" s="328"/>
      <c r="AV646" s="206"/>
      <c r="AW646" s="206"/>
      <c r="AX646" s="206"/>
      <c r="AY646" s="206"/>
      <c r="AZ646" s="206"/>
      <c r="BA646" s="206"/>
      <c r="BB646" s="206"/>
      <c r="BC646" s="206"/>
      <c r="BD646" s="206"/>
      <c r="BE646" s="206"/>
      <c r="BF646" s="206"/>
      <c r="BG646" s="330"/>
      <c r="BH646" s="330"/>
      <c r="BI646" s="330"/>
      <c r="BJ646" s="330"/>
      <c r="BK646" s="330"/>
      <c r="BL646" s="330"/>
      <c r="BM646" s="330"/>
      <c r="BN646" s="330"/>
      <c r="BO646" s="330"/>
      <c r="BP646" s="330"/>
      <c r="BQ646" s="330"/>
      <c r="BR646" s="330"/>
      <c r="BS646" s="330"/>
      <c r="BT646" s="330"/>
      <c r="BU646" s="330"/>
      <c r="BV646" s="330"/>
      <c r="BW646" s="330"/>
      <c r="BX646" s="330"/>
      <c r="BY646" s="330"/>
      <c r="BZ646" s="330"/>
    </row>
    <row r="647" spans="1:78" x14ac:dyDescent="0.25">
      <c r="A647" s="331"/>
      <c r="B647" s="328"/>
      <c r="C647" s="328"/>
      <c r="D647" s="329"/>
      <c r="E647" s="330"/>
      <c r="F647" s="330"/>
      <c r="G647" s="330"/>
      <c r="H647" s="330"/>
      <c r="I647" s="330"/>
      <c r="J647" s="330"/>
      <c r="K647" s="330"/>
      <c r="L647" s="329"/>
      <c r="M647" s="329"/>
      <c r="N647" s="330"/>
      <c r="O647" s="330"/>
      <c r="P647" s="330"/>
      <c r="Q647" s="330"/>
      <c r="R647" s="330"/>
      <c r="S647" s="330"/>
      <c r="T647" s="330"/>
      <c r="U647" s="330"/>
      <c r="V647" s="330"/>
      <c r="W647" s="330"/>
      <c r="X647" s="329"/>
      <c r="Y647" s="330"/>
      <c r="Z647" s="330"/>
      <c r="AA647" s="330"/>
      <c r="AB647" s="330"/>
      <c r="AC647" s="330"/>
      <c r="AD647" s="330"/>
      <c r="AE647" s="330"/>
      <c r="AF647" s="330"/>
      <c r="AG647" s="330"/>
      <c r="AH647" s="330"/>
      <c r="AI647" s="330"/>
      <c r="AJ647" s="330"/>
      <c r="AK647" s="330"/>
      <c r="AL647" s="329"/>
      <c r="AM647" s="329"/>
      <c r="AN647" s="330"/>
      <c r="AO647" s="330"/>
      <c r="AP647" s="330"/>
      <c r="AQ647" s="330"/>
      <c r="AR647" s="231"/>
      <c r="AS647" s="333"/>
      <c r="AT647" s="206"/>
      <c r="AU647" s="328"/>
      <c r="AV647" s="206"/>
      <c r="AW647" s="206"/>
      <c r="AX647" s="206"/>
      <c r="AY647" s="206"/>
      <c r="AZ647" s="206"/>
      <c r="BA647" s="206"/>
      <c r="BB647" s="206"/>
      <c r="BC647" s="206"/>
      <c r="BD647" s="206"/>
      <c r="BE647" s="206"/>
      <c r="BF647" s="206"/>
      <c r="BG647" s="330"/>
      <c r="BH647" s="330"/>
      <c r="BI647" s="330"/>
      <c r="BJ647" s="330"/>
      <c r="BK647" s="330"/>
      <c r="BL647" s="330"/>
      <c r="BM647" s="330"/>
      <c r="BN647" s="330"/>
      <c r="BO647" s="330"/>
      <c r="BP647" s="330"/>
      <c r="BQ647" s="330"/>
      <c r="BR647" s="330"/>
      <c r="BS647" s="330"/>
      <c r="BT647" s="330"/>
      <c r="BU647" s="330"/>
      <c r="BV647" s="330"/>
      <c r="BW647" s="330"/>
      <c r="BX647" s="330"/>
      <c r="BY647" s="330"/>
      <c r="BZ647" s="330"/>
    </row>
    <row r="648" spans="1:78" x14ac:dyDescent="0.25">
      <c r="A648" s="331"/>
      <c r="B648" s="328"/>
      <c r="C648" s="328"/>
      <c r="D648" s="329"/>
      <c r="E648" s="330"/>
      <c r="F648" s="330"/>
      <c r="G648" s="330"/>
      <c r="H648" s="330"/>
      <c r="I648" s="330"/>
      <c r="J648" s="330"/>
      <c r="K648" s="330"/>
      <c r="L648" s="329"/>
      <c r="M648" s="329"/>
      <c r="N648" s="330"/>
      <c r="O648" s="330"/>
      <c r="P648" s="330"/>
      <c r="Q648" s="330"/>
      <c r="R648" s="330"/>
      <c r="S648" s="330"/>
      <c r="T648" s="330"/>
      <c r="U648" s="330"/>
      <c r="V648" s="330"/>
      <c r="W648" s="330"/>
      <c r="X648" s="329"/>
      <c r="Y648" s="330"/>
      <c r="Z648" s="330"/>
      <c r="AA648" s="330"/>
      <c r="AB648" s="330"/>
      <c r="AC648" s="330"/>
      <c r="AD648" s="330"/>
      <c r="AE648" s="330"/>
      <c r="AF648" s="330"/>
      <c r="AG648" s="330"/>
      <c r="AH648" s="330"/>
      <c r="AI648" s="330"/>
      <c r="AJ648" s="330"/>
      <c r="AK648" s="330"/>
      <c r="AL648" s="329"/>
      <c r="AM648" s="329"/>
      <c r="AN648" s="330"/>
      <c r="AO648" s="330"/>
      <c r="AP648" s="330"/>
      <c r="AQ648" s="330"/>
      <c r="AR648" s="231"/>
      <c r="AS648" s="333"/>
      <c r="AT648" s="206"/>
      <c r="AU648" s="328"/>
      <c r="AV648" s="206"/>
      <c r="AW648" s="206"/>
      <c r="AX648" s="206"/>
      <c r="AY648" s="206"/>
      <c r="AZ648" s="206"/>
      <c r="BA648" s="206"/>
      <c r="BB648" s="206"/>
      <c r="BC648" s="206"/>
      <c r="BD648" s="206"/>
      <c r="BE648" s="206"/>
      <c r="BF648" s="206"/>
      <c r="BG648" s="330"/>
      <c r="BH648" s="330"/>
      <c r="BI648" s="330"/>
      <c r="BJ648" s="330"/>
      <c r="BK648" s="330"/>
      <c r="BL648" s="330"/>
      <c r="BM648" s="330"/>
      <c r="BN648" s="330"/>
      <c r="BO648" s="330"/>
      <c r="BP648" s="330"/>
      <c r="BQ648" s="330"/>
      <c r="BR648" s="330"/>
      <c r="BS648" s="330"/>
      <c r="BT648" s="330"/>
      <c r="BU648" s="330"/>
      <c r="BV648" s="330"/>
      <c r="BW648" s="330"/>
      <c r="BX648" s="330"/>
      <c r="BY648" s="330"/>
      <c r="BZ648" s="330"/>
    </row>
    <row r="649" spans="1:78" x14ac:dyDescent="0.25">
      <c r="A649" s="331"/>
      <c r="B649" s="328"/>
      <c r="C649" s="328"/>
      <c r="D649" s="329"/>
      <c r="E649" s="330"/>
      <c r="F649" s="330"/>
      <c r="G649" s="330"/>
      <c r="H649" s="330"/>
      <c r="I649" s="330"/>
      <c r="J649" s="330"/>
      <c r="K649" s="330"/>
      <c r="L649" s="329"/>
      <c r="M649" s="329"/>
      <c r="N649" s="330"/>
      <c r="O649" s="330"/>
      <c r="P649" s="330"/>
      <c r="Q649" s="330"/>
      <c r="R649" s="330"/>
      <c r="S649" s="330"/>
      <c r="T649" s="330"/>
      <c r="U649" s="330"/>
      <c r="V649" s="330"/>
      <c r="W649" s="330"/>
      <c r="X649" s="329"/>
      <c r="Y649" s="330"/>
      <c r="Z649" s="330"/>
      <c r="AA649" s="330"/>
      <c r="AB649" s="330"/>
      <c r="AC649" s="330"/>
      <c r="AD649" s="330"/>
      <c r="AE649" s="330"/>
      <c r="AF649" s="330"/>
      <c r="AG649" s="330"/>
      <c r="AH649" s="330"/>
      <c r="AI649" s="330"/>
      <c r="AJ649" s="330"/>
      <c r="AK649" s="330"/>
      <c r="AL649" s="329"/>
      <c r="AM649" s="329"/>
      <c r="AN649" s="330"/>
      <c r="AO649" s="330"/>
      <c r="AP649" s="330"/>
      <c r="AQ649" s="330"/>
      <c r="AR649" s="231"/>
      <c r="AS649" s="333"/>
      <c r="AT649" s="206"/>
      <c r="AU649" s="328"/>
      <c r="AV649" s="206"/>
      <c r="AW649" s="206"/>
      <c r="AX649" s="206"/>
      <c r="AY649" s="206"/>
      <c r="AZ649" s="206"/>
      <c r="BA649" s="206"/>
      <c r="BB649" s="206"/>
      <c r="BC649" s="206"/>
      <c r="BD649" s="206"/>
      <c r="BE649" s="206"/>
      <c r="BF649" s="206"/>
      <c r="BG649" s="330"/>
      <c r="BH649" s="330"/>
      <c r="BI649" s="330"/>
      <c r="BJ649" s="330"/>
      <c r="BK649" s="330"/>
      <c r="BL649" s="330"/>
      <c r="BM649" s="330"/>
      <c r="BN649" s="330"/>
      <c r="BO649" s="330"/>
      <c r="BP649" s="330"/>
      <c r="BQ649" s="330"/>
      <c r="BR649" s="330"/>
      <c r="BS649" s="330"/>
      <c r="BT649" s="330"/>
      <c r="BU649" s="330"/>
      <c r="BV649" s="330"/>
      <c r="BW649" s="330"/>
      <c r="BX649" s="330"/>
      <c r="BY649" s="330"/>
      <c r="BZ649" s="330"/>
    </row>
    <row r="650" spans="1:78" x14ac:dyDescent="0.25">
      <c r="A650" s="331"/>
      <c r="B650" s="328"/>
      <c r="C650" s="328"/>
      <c r="D650" s="329"/>
      <c r="E650" s="330"/>
      <c r="F650" s="330"/>
      <c r="G650" s="330"/>
      <c r="H650" s="330"/>
      <c r="I650" s="330"/>
      <c r="J650" s="330"/>
      <c r="K650" s="330"/>
      <c r="L650" s="329"/>
      <c r="M650" s="329"/>
      <c r="N650" s="330"/>
      <c r="O650" s="330"/>
      <c r="P650" s="330"/>
      <c r="Q650" s="330"/>
      <c r="R650" s="330"/>
      <c r="S650" s="330"/>
      <c r="T650" s="330"/>
      <c r="U650" s="330"/>
      <c r="V650" s="330"/>
      <c r="W650" s="330"/>
      <c r="X650" s="329"/>
      <c r="Y650" s="330"/>
      <c r="Z650" s="330"/>
      <c r="AA650" s="330"/>
      <c r="AB650" s="330"/>
      <c r="AC650" s="330"/>
      <c r="AD650" s="330"/>
      <c r="AE650" s="330"/>
      <c r="AF650" s="330"/>
      <c r="AG650" s="330"/>
      <c r="AH650" s="330"/>
      <c r="AI650" s="330"/>
      <c r="AJ650" s="330"/>
      <c r="AK650" s="330"/>
      <c r="AL650" s="329"/>
      <c r="AM650" s="329"/>
      <c r="AN650" s="330"/>
      <c r="AO650" s="330"/>
      <c r="AP650" s="330"/>
      <c r="AQ650" s="330"/>
      <c r="AR650" s="231"/>
      <c r="AS650" s="333"/>
      <c r="AT650" s="206"/>
      <c r="AU650" s="328"/>
      <c r="AV650" s="206"/>
      <c r="AW650" s="206"/>
      <c r="AX650" s="206"/>
      <c r="AY650" s="206"/>
      <c r="AZ650" s="206"/>
      <c r="BA650" s="206"/>
      <c r="BB650" s="206"/>
      <c r="BC650" s="206"/>
      <c r="BD650" s="206"/>
      <c r="BE650" s="206"/>
      <c r="BF650" s="206"/>
      <c r="BG650" s="330"/>
      <c r="BH650" s="330"/>
      <c r="BI650" s="330"/>
      <c r="BJ650" s="330"/>
      <c r="BK650" s="330"/>
      <c r="BL650" s="330"/>
      <c r="BM650" s="330"/>
      <c r="BN650" s="330"/>
      <c r="BO650" s="330"/>
      <c r="BP650" s="330"/>
      <c r="BQ650" s="330"/>
      <c r="BR650" s="330"/>
      <c r="BS650" s="330"/>
      <c r="BT650" s="330"/>
      <c r="BU650" s="330"/>
      <c r="BV650" s="330"/>
      <c r="BW650" s="330"/>
      <c r="BX650" s="330"/>
      <c r="BY650" s="330"/>
      <c r="BZ650" s="330"/>
    </row>
    <row r="651" spans="1:78" x14ac:dyDescent="0.25">
      <c r="A651" s="331"/>
      <c r="B651" s="328"/>
      <c r="C651" s="328"/>
      <c r="D651" s="329"/>
      <c r="E651" s="330"/>
      <c r="F651" s="330"/>
      <c r="G651" s="330"/>
      <c r="H651" s="330"/>
      <c r="I651" s="330"/>
      <c r="J651" s="330"/>
      <c r="K651" s="330"/>
      <c r="L651" s="329"/>
      <c r="M651" s="329"/>
      <c r="N651" s="330"/>
      <c r="O651" s="330"/>
      <c r="P651" s="330"/>
      <c r="Q651" s="330"/>
      <c r="R651" s="330"/>
      <c r="S651" s="330"/>
      <c r="T651" s="330"/>
      <c r="U651" s="330"/>
      <c r="V651" s="330"/>
      <c r="W651" s="330"/>
      <c r="X651" s="329"/>
      <c r="Y651" s="330"/>
      <c r="Z651" s="330"/>
      <c r="AA651" s="330"/>
      <c r="AB651" s="330"/>
      <c r="AC651" s="330"/>
      <c r="AD651" s="330"/>
      <c r="AE651" s="330"/>
      <c r="AF651" s="330"/>
      <c r="AG651" s="330"/>
      <c r="AH651" s="330"/>
      <c r="AI651" s="330"/>
      <c r="AJ651" s="330"/>
      <c r="AK651" s="330"/>
      <c r="AL651" s="329"/>
      <c r="AM651" s="329"/>
      <c r="AN651" s="330"/>
      <c r="AO651" s="330"/>
      <c r="AP651" s="330"/>
      <c r="AQ651" s="330"/>
      <c r="AR651" s="231"/>
      <c r="AS651" s="333"/>
      <c r="AT651" s="206"/>
      <c r="AU651" s="328"/>
      <c r="AV651" s="206"/>
      <c r="AW651" s="206"/>
      <c r="AX651" s="206"/>
      <c r="AY651" s="206"/>
      <c r="AZ651" s="206"/>
      <c r="BA651" s="206"/>
      <c r="BB651" s="206"/>
      <c r="BC651" s="206"/>
      <c r="BD651" s="206"/>
      <c r="BE651" s="206"/>
      <c r="BF651" s="206"/>
      <c r="BG651" s="330"/>
      <c r="BH651" s="330"/>
      <c r="BI651" s="330"/>
      <c r="BJ651" s="330"/>
      <c r="BK651" s="330"/>
      <c r="BL651" s="330"/>
      <c r="BM651" s="330"/>
      <c r="BN651" s="330"/>
      <c r="BO651" s="330"/>
      <c r="BP651" s="330"/>
      <c r="BQ651" s="330"/>
      <c r="BR651" s="330"/>
      <c r="BS651" s="330"/>
      <c r="BT651" s="330"/>
      <c r="BU651" s="330"/>
      <c r="BV651" s="330"/>
      <c r="BW651" s="330"/>
      <c r="BX651" s="330"/>
      <c r="BY651" s="330"/>
      <c r="BZ651" s="330"/>
    </row>
    <row r="652" spans="1:78" x14ac:dyDescent="0.25">
      <c r="A652" s="331"/>
      <c r="B652" s="328"/>
      <c r="C652" s="328"/>
      <c r="D652" s="329"/>
      <c r="E652" s="330"/>
      <c r="F652" s="330"/>
      <c r="G652" s="330"/>
      <c r="H652" s="330"/>
      <c r="I652" s="330"/>
      <c r="J652" s="330"/>
      <c r="K652" s="330"/>
      <c r="L652" s="329"/>
      <c r="M652" s="329"/>
      <c r="N652" s="330"/>
      <c r="O652" s="330"/>
      <c r="P652" s="330"/>
      <c r="Q652" s="330"/>
      <c r="R652" s="330"/>
      <c r="S652" s="330"/>
      <c r="T652" s="330"/>
      <c r="U652" s="330"/>
      <c r="V652" s="330"/>
      <c r="W652" s="330"/>
      <c r="X652" s="329"/>
      <c r="Y652" s="330"/>
      <c r="Z652" s="330"/>
      <c r="AA652" s="330"/>
      <c r="AB652" s="330"/>
      <c r="AC652" s="330"/>
      <c r="AD652" s="330"/>
      <c r="AE652" s="330"/>
      <c r="AF652" s="330"/>
      <c r="AG652" s="330"/>
      <c r="AH652" s="330"/>
      <c r="AI652" s="330"/>
      <c r="AJ652" s="330"/>
      <c r="AK652" s="330"/>
      <c r="AL652" s="329"/>
      <c r="AM652" s="329"/>
      <c r="AN652" s="330"/>
      <c r="AO652" s="330"/>
      <c r="AP652" s="330"/>
      <c r="AQ652" s="330"/>
      <c r="AR652" s="231"/>
      <c r="AS652" s="333"/>
      <c r="AT652" s="206"/>
      <c r="AU652" s="328"/>
      <c r="AV652" s="206"/>
      <c r="AW652" s="206"/>
      <c r="AX652" s="206"/>
      <c r="AY652" s="206"/>
      <c r="AZ652" s="206"/>
      <c r="BA652" s="206"/>
      <c r="BB652" s="206"/>
      <c r="BC652" s="206"/>
      <c r="BD652" s="206"/>
      <c r="BE652" s="206"/>
      <c r="BF652" s="206"/>
      <c r="BG652" s="330"/>
      <c r="BH652" s="330"/>
      <c r="BI652" s="330"/>
      <c r="BJ652" s="330"/>
      <c r="BK652" s="330"/>
      <c r="BL652" s="330"/>
      <c r="BM652" s="330"/>
      <c r="BN652" s="330"/>
      <c r="BO652" s="330"/>
      <c r="BP652" s="330"/>
      <c r="BQ652" s="330"/>
      <c r="BR652" s="330"/>
      <c r="BS652" s="330"/>
      <c r="BT652" s="330"/>
      <c r="BU652" s="330"/>
      <c r="BV652" s="330"/>
      <c r="BW652" s="330"/>
      <c r="BX652" s="330"/>
      <c r="BY652" s="330"/>
      <c r="BZ652" s="330"/>
    </row>
    <row r="653" spans="1:78" x14ac:dyDescent="0.25">
      <c r="A653" s="331"/>
      <c r="B653" s="328"/>
      <c r="C653" s="328"/>
      <c r="D653" s="329"/>
      <c r="E653" s="330"/>
      <c r="F653" s="330"/>
      <c r="G653" s="330"/>
      <c r="H653" s="330"/>
      <c r="I653" s="330"/>
      <c r="J653" s="330"/>
      <c r="K653" s="330"/>
      <c r="L653" s="329"/>
      <c r="M653" s="329"/>
      <c r="N653" s="330"/>
      <c r="O653" s="330"/>
      <c r="P653" s="330"/>
      <c r="Q653" s="330"/>
      <c r="R653" s="330"/>
      <c r="S653" s="330"/>
      <c r="T653" s="330"/>
      <c r="U653" s="330"/>
      <c r="V653" s="330"/>
      <c r="W653" s="330"/>
      <c r="X653" s="329"/>
      <c r="Y653" s="330"/>
      <c r="Z653" s="330"/>
      <c r="AA653" s="330"/>
      <c r="AB653" s="330"/>
      <c r="AC653" s="330"/>
      <c r="AD653" s="330"/>
      <c r="AE653" s="330"/>
      <c r="AF653" s="330"/>
      <c r="AG653" s="330"/>
      <c r="AH653" s="330"/>
      <c r="AI653" s="330"/>
      <c r="AJ653" s="330"/>
      <c r="AK653" s="330"/>
      <c r="AL653" s="329"/>
      <c r="AM653" s="329"/>
      <c r="AN653" s="330"/>
      <c r="AO653" s="330"/>
      <c r="AP653" s="330"/>
      <c r="AQ653" s="330"/>
      <c r="AR653" s="231"/>
      <c r="AS653" s="333"/>
      <c r="AT653" s="206"/>
      <c r="AU653" s="328"/>
      <c r="AV653" s="206"/>
      <c r="AW653" s="206"/>
      <c r="AX653" s="206"/>
      <c r="AY653" s="206"/>
      <c r="AZ653" s="206"/>
      <c r="BA653" s="206"/>
      <c r="BB653" s="206"/>
      <c r="BC653" s="206"/>
      <c r="BD653" s="206"/>
      <c r="BE653" s="206"/>
      <c r="BF653" s="206"/>
      <c r="BG653" s="330"/>
      <c r="BH653" s="330"/>
      <c r="BI653" s="330"/>
      <c r="BJ653" s="330"/>
      <c r="BK653" s="330"/>
      <c r="BL653" s="330"/>
      <c r="BM653" s="330"/>
      <c r="BN653" s="330"/>
      <c r="BO653" s="330"/>
      <c r="BP653" s="330"/>
      <c r="BQ653" s="330"/>
      <c r="BR653" s="330"/>
      <c r="BS653" s="330"/>
      <c r="BT653" s="330"/>
      <c r="BU653" s="330"/>
      <c r="BV653" s="330"/>
      <c r="BW653" s="330"/>
      <c r="BX653" s="330"/>
      <c r="BY653" s="330"/>
      <c r="BZ653" s="330"/>
    </row>
    <row r="654" spans="1:78" x14ac:dyDescent="0.25">
      <c r="A654" s="331"/>
      <c r="B654" s="328"/>
      <c r="C654" s="328"/>
      <c r="D654" s="329"/>
      <c r="E654" s="330"/>
      <c r="F654" s="330"/>
      <c r="G654" s="330"/>
      <c r="H654" s="330"/>
      <c r="I654" s="330"/>
      <c r="J654" s="330"/>
      <c r="K654" s="330"/>
      <c r="L654" s="329"/>
      <c r="M654" s="329"/>
      <c r="N654" s="330"/>
      <c r="O654" s="330"/>
      <c r="P654" s="330"/>
      <c r="Q654" s="330"/>
      <c r="R654" s="330"/>
      <c r="S654" s="330"/>
      <c r="T654" s="330"/>
      <c r="U654" s="330"/>
      <c r="V654" s="330"/>
      <c r="W654" s="330"/>
      <c r="X654" s="329"/>
      <c r="Y654" s="330"/>
      <c r="Z654" s="330"/>
      <c r="AA654" s="330"/>
      <c r="AB654" s="330"/>
      <c r="AC654" s="330"/>
      <c r="AD654" s="330"/>
      <c r="AE654" s="330"/>
      <c r="AF654" s="330"/>
      <c r="AG654" s="330"/>
      <c r="AH654" s="330"/>
      <c r="AI654" s="330"/>
      <c r="AJ654" s="330"/>
      <c r="AK654" s="330"/>
      <c r="AL654" s="329"/>
      <c r="AM654" s="329"/>
      <c r="AN654" s="330"/>
      <c r="AO654" s="330"/>
      <c r="AP654" s="330"/>
      <c r="AQ654" s="330"/>
      <c r="AR654" s="231"/>
      <c r="AS654" s="333"/>
      <c r="AT654" s="206"/>
      <c r="AU654" s="328"/>
      <c r="AV654" s="206"/>
      <c r="AW654" s="206"/>
      <c r="AX654" s="206"/>
      <c r="AY654" s="206"/>
      <c r="AZ654" s="206"/>
      <c r="BA654" s="206"/>
      <c r="BB654" s="206"/>
      <c r="BC654" s="206"/>
      <c r="BD654" s="206"/>
      <c r="BE654" s="206"/>
      <c r="BF654" s="206"/>
      <c r="BG654" s="330"/>
      <c r="BH654" s="330"/>
      <c r="BI654" s="330"/>
      <c r="BJ654" s="330"/>
      <c r="BK654" s="330"/>
      <c r="BL654" s="330"/>
      <c r="BM654" s="330"/>
      <c r="BN654" s="330"/>
      <c r="BO654" s="330"/>
      <c r="BP654" s="330"/>
      <c r="BQ654" s="330"/>
      <c r="BR654" s="330"/>
      <c r="BS654" s="330"/>
      <c r="BT654" s="330"/>
      <c r="BU654" s="330"/>
      <c r="BV654" s="330"/>
      <c r="BW654" s="330"/>
      <c r="BX654" s="330"/>
      <c r="BY654" s="330"/>
      <c r="BZ654" s="330"/>
    </row>
    <row r="655" spans="1:78" x14ac:dyDescent="0.25">
      <c r="A655" s="331"/>
      <c r="B655" s="328"/>
      <c r="C655" s="328"/>
      <c r="D655" s="329"/>
      <c r="E655" s="330"/>
      <c r="F655" s="330"/>
      <c r="G655" s="330"/>
      <c r="H655" s="330"/>
      <c r="I655" s="330"/>
      <c r="J655" s="330"/>
      <c r="K655" s="330"/>
      <c r="L655" s="329"/>
      <c r="M655" s="329"/>
      <c r="N655" s="330"/>
      <c r="O655" s="330"/>
      <c r="P655" s="330"/>
      <c r="Q655" s="330"/>
      <c r="R655" s="330"/>
      <c r="S655" s="330"/>
      <c r="T655" s="330"/>
      <c r="U655" s="330"/>
      <c r="V655" s="330"/>
      <c r="W655" s="330"/>
      <c r="X655" s="329"/>
      <c r="Y655" s="330"/>
      <c r="Z655" s="330"/>
      <c r="AA655" s="330"/>
      <c r="AB655" s="330"/>
      <c r="AC655" s="330"/>
      <c r="AD655" s="330"/>
      <c r="AE655" s="330"/>
      <c r="AF655" s="330"/>
      <c r="AG655" s="330"/>
      <c r="AH655" s="330"/>
      <c r="AI655" s="330"/>
      <c r="AJ655" s="330"/>
      <c r="AK655" s="330"/>
      <c r="AL655" s="329"/>
      <c r="AM655" s="329"/>
      <c r="AN655" s="330"/>
      <c r="AO655" s="330"/>
      <c r="AP655" s="330"/>
      <c r="AQ655" s="330"/>
      <c r="AR655" s="231"/>
      <c r="AS655" s="333"/>
      <c r="AT655" s="206"/>
      <c r="AU655" s="328"/>
      <c r="AV655" s="206"/>
      <c r="AW655" s="206"/>
      <c r="AX655" s="206"/>
      <c r="AY655" s="206"/>
      <c r="AZ655" s="206"/>
      <c r="BA655" s="206"/>
      <c r="BB655" s="206"/>
      <c r="BC655" s="206"/>
      <c r="BD655" s="206"/>
      <c r="BE655" s="206"/>
      <c r="BF655" s="206"/>
      <c r="BG655" s="330"/>
      <c r="BH655" s="330"/>
      <c r="BI655" s="330"/>
      <c r="BJ655" s="330"/>
      <c r="BK655" s="330"/>
      <c r="BL655" s="330"/>
      <c r="BM655" s="330"/>
      <c r="BN655" s="330"/>
      <c r="BO655" s="330"/>
      <c r="BP655" s="330"/>
      <c r="BQ655" s="330"/>
      <c r="BR655" s="330"/>
      <c r="BS655" s="330"/>
      <c r="BT655" s="330"/>
      <c r="BU655" s="330"/>
      <c r="BV655" s="330"/>
      <c r="BW655" s="330"/>
      <c r="BX655" s="330"/>
      <c r="BY655" s="330"/>
      <c r="BZ655" s="330"/>
    </row>
    <row r="656" spans="1:78" x14ac:dyDescent="0.25">
      <c r="A656" s="331"/>
      <c r="B656" s="328"/>
      <c r="C656" s="328"/>
      <c r="D656" s="329"/>
      <c r="E656" s="330"/>
      <c r="F656" s="330"/>
      <c r="G656" s="330"/>
      <c r="H656" s="330"/>
      <c r="I656" s="330"/>
      <c r="J656" s="330"/>
      <c r="K656" s="330"/>
      <c r="L656" s="329"/>
      <c r="M656" s="329"/>
      <c r="N656" s="330"/>
      <c r="O656" s="330"/>
      <c r="P656" s="330"/>
      <c r="Q656" s="330"/>
      <c r="R656" s="330"/>
      <c r="S656" s="330"/>
      <c r="T656" s="330"/>
      <c r="U656" s="330"/>
      <c r="V656" s="330"/>
      <c r="W656" s="330"/>
      <c r="X656" s="329"/>
      <c r="Y656" s="330"/>
      <c r="Z656" s="330"/>
      <c r="AA656" s="330"/>
      <c r="AB656" s="330"/>
      <c r="AC656" s="330"/>
      <c r="AD656" s="330"/>
      <c r="AE656" s="330"/>
      <c r="AF656" s="330"/>
      <c r="AG656" s="330"/>
      <c r="AH656" s="330"/>
      <c r="AI656" s="330"/>
      <c r="AJ656" s="330"/>
      <c r="AK656" s="330"/>
      <c r="AL656" s="329"/>
      <c r="AM656" s="329"/>
      <c r="AN656" s="330"/>
      <c r="AO656" s="330"/>
      <c r="AP656" s="330"/>
      <c r="AQ656" s="330"/>
      <c r="AR656" s="231"/>
      <c r="AS656" s="333"/>
      <c r="AT656" s="206"/>
      <c r="AU656" s="328"/>
      <c r="AV656" s="206"/>
      <c r="AW656" s="206"/>
      <c r="AX656" s="206"/>
      <c r="AY656" s="206"/>
      <c r="AZ656" s="206"/>
      <c r="BA656" s="206"/>
      <c r="BB656" s="206"/>
      <c r="BC656" s="206"/>
      <c r="BD656" s="206"/>
      <c r="BE656" s="206"/>
      <c r="BF656" s="206"/>
      <c r="BG656" s="330"/>
      <c r="BH656" s="330"/>
      <c r="BI656" s="330"/>
      <c r="BJ656" s="330"/>
      <c r="BK656" s="330"/>
      <c r="BL656" s="330"/>
      <c r="BM656" s="330"/>
      <c r="BN656" s="330"/>
      <c r="BO656" s="330"/>
      <c r="BP656" s="330"/>
      <c r="BQ656" s="330"/>
      <c r="BR656" s="330"/>
      <c r="BS656" s="330"/>
      <c r="BT656" s="330"/>
      <c r="BU656" s="330"/>
      <c r="BV656" s="330"/>
      <c r="BW656" s="330"/>
      <c r="BX656" s="330"/>
      <c r="BY656" s="330"/>
      <c r="BZ656" s="330"/>
    </row>
    <row r="657" spans="1:78" x14ac:dyDescent="0.25">
      <c r="A657" s="331"/>
      <c r="B657" s="328"/>
      <c r="C657" s="328"/>
      <c r="D657" s="329"/>
      <c r="E657" s="330"/>
      <c r="F657" s="330"/>
      <c r="G657" s="330"/>
      <c r="H657" s="330"/>
      <c r="I657" s="330"/>
      <c r="J657" s="330"/>
      <c r="K657" s="330"/>
      <c r="L657" s="329"/>
      <c r="M657" s="329"/>
      <c r="N657" s="330"/>
      <c r="O657" s="330"/>
      <c r="P657" s="330"/>
      <c r="Q657" s="330"/>
      <c r="R657" s="330"/>
      <c r="S657" s="330"/>
      <c r="T657" s="330"/>
      <c r="U657" s="330"/>
      <c r="V657" s="330"/>
      <c r="W657" s="330"/>
      <c r="X657" s="329"/>
      <c r="Y657" s="330"/>
      <c r="Z657" s="330"/>
      <c r="AA657" s="330"/>
      <c r="AB657" s="330"/>
      <c r="AC657" s="330"/>
      <c r="AD657" s="330"/>
      <c r="AE657" s="330"/>
      <c r="AF657" s="330"/>
      <c r="AG657" s="330"/>
      <c r="AH657" s="330"/>
      <c r="AI657" s="330"/>
      <c r="AJ657" s="330"/>
      <c r="AK657" s="330"/>
      <c r="AL657" s="329"/>
      <c r="AM657" s="329"/>
      <c r="AN657" s="330"/>
      <c r="AO657" s="330"/>
      <c r="AP657" s="330"/>
      <c r="AQ657" s="330"/>
      <c r="AR657" s="231"/>
      <c r="AS657" s="333"/>
      <c r="AT657" s="206"/>
      <c r="AU657" s="328"/>
      <c r="AV657" s="206"/>
      <c r="AW657" s="206"/>
      <c r="AX657" s="206"/>
      <c r="AY657" s="206"/>
      <c r="AZ657" s="206"/>
      <c r="BA657" s="206"/>
      <c r="BB657" s="206"/>
      <c r="BC657" s="206"/>
      <c r="BD657" s="206"/>
      <c r="BE657" s="206"/>
      <c r="BF657" s="206"/>
      <c r="BG657" s="330"/>
      <c r="BH657" s="330"/>
      <c r="BI657" s="330"/>
      <c r="BJ657" s="330"/>
      <c r="BK657" s="330"/>
      <c r="BL657" s="330"/>
      <c r="BM657" s="330"/>
      <c r="BN657" s="330"/>
      <c r="BO657" s="330"/>
      <c r="BP657" s="330"/>
      <c r="BQ657" s="330"/>
      <c r="BR657" s="330"/>
      <c r="BS657" s="330"/>
      <c r="BT657" s="330"/>
      <c r="BU657" s="330"/>
      <c r="BV657" s="330"/>
      <c r="BW657" s="330"/>
      <c r="BX657" s="330"/>
      <c r="BY657" s="330"/>
      <c r="BZ657" s="330"/>
    </row>
    <row r="658" spans="1:78" x14ac:dyDescent="0.25">
      <c r="A658" s="331"/>
      <c r="B658" s="328"/>
      <c r="C658" s="328"/>
      <c r="D658" s="329"/>
      <c r="E658" s="330"/>
      <c r="F658" s="330"/>
      <c r="G658" s="330"/>
      <c r="H658" s="330"/>
      <c r="I658" s="330"/>
      <c r="J658" s="330"/>
      <c r="K658" s="330"/>
      <c r="L658" s="329"/>
      <c r="M658" s="329"/>
      <c r="N658" s="330"/>
      <c r="O658" s="330"/>
      <c r="P658" s="330"/>
      <c r="Q658" s="330"/>
      <c r="R658" s="330"/>
      <c r="S658" s="330"/>
      <c r="T658" s="330"/>
      <c r="U658" s="330"/>
      <c r="V658" s="330"/>
      <c r="W658" s="330"/>
      <c r="X658" s="329"/>
      <c r="Y658" s="330"/>
      <c r="Z658" s="330"/>
      <c r="AA658" s="330"/>
      <c r="AB658" s="330"/>
      <c r="AC658" s="330"/>
      <c r="AD658" s="330"/>
      <c r="AE658" s="330"/>
      <c r="AF658" s="330"/>
      <c r="AG658" s="330"/>
      <c r="AH658" s="330"/>
      <c r="AI658" s="330"/>
      <c r="AJ658" s="330"/>
      <c r="AK658" s="330"/>
      <c r="AL658" s="329"/>
      <c r="AM658" s="329"/>
      <c r="AN658" s="330"/>
      <c r="AO658" s="330"/>
      <c r="AP658" s="330"/>
      <c r="AQ658" s="330"/>
      <c r="AR658" s="231"/>
      <c r="AS658" s="333"/>
      <c r="AT658" s="206"/>
      <c r="AU658" s="328"/>
      <c r="AV658" s="206"/>
      <c r="AW658" s="206"/>
      <c r="AX658" s="206"/>
      <c r="AY658" s="206"/>
      <c r="AZ658" s="206"/>
      <c r="BA658" s="206"/>
      <c r="BB658" s="206"/>
      <c r="BC658" s="206"/>
      <c r="BD658" s="206"/>
      <c r="BE658" s="206"/>
      <c r="BF658" s="206"/>
      <c r="BG658" s="330"/>
      <c r="BH658" s="330"/>
      <c r="BI658" s="330"/>
      <c r="BJ658" s="330"/>
      <c r="BK658" s="330"/>
      <c r="BL658" s="330"/>
      <c r="BM658" s="330"/>
      <c r="BN658" s="330"/>
      <c r="BO658" s="330"/>
      <c r="BP658" s="330"/>
      <c r="BQ658" s="330"/>
      <c r="BR658" s="330"/>
      <c r="BS658" s="330"/>
      <c r="BT658" s="330"/>
      <c r="BU658" s="330"/>
      <c r="BV658" s="330"/>
      <c r="BW658" s="330"/>
      <c r="BX658" s="330"/>
      <c r="BY658" s="330"/>
      <c r="BZ658" s="330"/>
    </row>
    <row r="659" spans="1:78" x14ac:dyDescent="0.25">
      <c r="A659" s="331"/>
      <c r="B659" s="328"/>
      <c r="C659" s="328"/>
      <c r="D659" s="329"/>
      <c r="E659" s="330"/>
      <c r="F659" s="330"/>
      <c r="G659" s="330"/>
      <c r="H659" s="330"/>
      <c r="I659" s="330"/>
      <c r="J659" s="330"/>
      <c r="K659" s="330"/>
      <c r="L659" s="329"/>
      <c r="M659" s="329"/>
      <c r="N659" s="330"/>
      <c r="O659" s="330"/>
      <c r="P659" s="330"/>
      <c r="Q659" s="330"/>
      <c r="R659" s="330"/>
      <c r="S659" s="330"/>
      <c r="T659" s="330"/>
      <c r="U659" s="330"/>
      <c r="V659" s="330"/>
      <c r="W659" s="330"/>
      <c r="X659" s="329"/>
      <c r="Y659" s="330"/>
      <c r="Z659" s="330"/>
      <c r="AA659" s="330"/>
      <c r="AB659" s="330"/>
      <c r="AC659" s="330"/>
      <c r="AD659" s="330"/>
      <c r="AE659" s="330"/>
      <c r="AF659" s="330"/>
      <c r="AG659" s="330"/>
      <c r="AH659" s="330"/>
      <c r="AI659" s="330"/>
      <c r="AJ659" s="330"/>
      <c r="AK659" s="330"/>
      <c r="AL659" s="329"/>
      <c r="AM659" s="329"/>
      <c r="AN659" s="330"/>
      <c r="AO659" s="330"/>
      <c r="AP659" s="330"/>
      <c r="AQ659" s="330"/>
      <c r="AR659" s="231"/>
      <c r="AS659" s="333"/>
      <c r="AT659" s="206"/>
      <c r="AU659" s="328"/>
      <c r="AV659" s="206"/>
      <c r="AW659" s="206"/>
      <c r="AX659" s="206"/>
      <c r="AY659" s="206"/>
      <c r="AZ659" s="206"/>
      <c r="BA659" s="206"/>
      <c r="BB659" s="206"/>
      <c r="BC659" s="206"/>
      <c r="BD659" s="206"/>
      <c r="BE659" s="206"/>
      <c r="BF659" s="206"/>
      <c r="BG659" s="330"/>
      <c r="BH659" s="330"/>
      <c r="BI659" s="330"/>
      <c r="BJ659" s="330"/>
      <c r="BK659" s="330"/>
      <c r="BL659" s="330"/>
      <c r="BM659" s="330"/>
      <c r="BN659" s="330"/>
      <c r="BO659" s="330"/>
      <c r="BP659" s="330"/>
      <c r="BQ659" s="330"/>
      <c r="BR659" s="330"/>
      <c r="BS659" s="330"/>
      <c r="BT659" s="330"/>
      <c r="BU659" s="330"/>
      <c r="BV659" s="330"/>
      <c r="BW659" s="330"/>
      <c r="BX659" s="330"/>
      <c r="BY659" s="330"/>
      <c r="BZ659" s="330"/>
    </row>
    <row r="660" spans="1:78" x14ac:dyDescent="0.25">
      <c r="A660" s="331"/>
      <c r="B660" s="328"/>
      <c r="C660" s="328"/>
      <c r="D660" s="329"/>
      <c r="E660" s="330"/>
      <c r="F660" s="330"/>
      <c r="G660" s="330"/>
      <c r="H660" s="330"/>
      <c r="I660" s="330"/>
      <c r="J660" s="330"/>
      <c r="K660" s="330"/>
      <c r="L660" s="329"/>
      <c r="M660" s="329"/>
      <c r="N660" s="330"/>
      <c r="O660" s="330"/>
      <c r="P660" s="330"/>
      <c r="Q660" s="330"/>
      <c r="R660" s="330"/>
      <c r="S660" s="330"/>
      <c r="T660" s="330"/>
      <c r="U660" s="330"/>
      <c r="V660" s="330"/>
      <c r="W660" s="330"/>
      <c r="X660" s="329"/>
      <c r="Y660" s="330"/>
      <c r="Z660" s="330"/>
      <c r="AA660" s="330"/>
      <c r="AB660" s="330"/>
      <c r="AC660" s="330"/>
      <c r="AD660" s="330"/>
      <c r="AE660" s="330"/>
      <c r="AF660" s="330"/>
      <c r="AG660" s="330"/>
      <c r="AH660" s="330"/>
      <c r="AI660" s="330"/>
      <c r="AJ660" s="330"/>
      <c r="AK660" s="330"/>
      <c r="AL660" s="329"/>
      <c r="AM660" s="329"/>
      <c r="AN660" s="330"/>
      <c r="AO660" s="330"/>
      <c r="AP660" s="330"/>
      <c r="AQ660" s="330"/>
      <c r="AR660" s="231"/>
      <c r="AS660" s="333"/>
      <c r="AT660" s="206"/>
      <c r="AU660" s="328"/>
      <c r="AV660" s="206"/>
      <c r="AW660" s="206"/>
      <c r="AX660" s="206"/>
      <c r="AY660" s="206"/>
      <c r="AZ660" s="206"/>
      <c r="BA660" s="206"/>
      <c r="BB660" s="206"/>
      <c r="BC660" s="206"/>
      <c r="BD660" s="206"/>
      <c r="BE660" s="206"/>
      <c r="BF660" s="206"/>
      <c r="BG660" s="330"/>
      <c r="BH660" s="330"/>
      <c r="BI660" s="330"/>
      <c r="BJ660" s="330"/>
      <c r="BK660" s="330"/>
      <c r="BL660" s="330"/>
      <c r="BM660" s="330"/>
      <c r="BN660" s="330"/>
      <c r="BO660" s="330"/>
      <c r="BP660" s="330"/>
      <c r="BQ660" s="330"/>
      <c r="BR660" s="330"/>
      <c r="BS660" s="330"/>
      <c r="BT660" s="330"/>
      <c r="BU660" s="330"/>
      <c r="BV660" s="330"/>
      <c r="BW660" s="330"/>
      <c r="BX660" s="330"/>
      <c r="BY660" s="330"/>
      <c r="BZ660" s="330"/>
    </row>
    <row r="661" spans="1:78" x14ac:dyDescent="0.25">
      <c r="A661" s="331"/>
      <c r="B661" s="328"/>
      <c r="C661" s="328"/>
      <c r="D661" s="329"/>
      <c r="E661" s="330"/>
      <c r="F661" s="330"/>
      <c r="G661" s="330"/>
      <c r="H661" s="330"/>
      <c r="I661" s="330"/>
      <c r="J661" s="330"/>
      <c r="K661" s="330"/>
      <c r="L661" s="329"/>
      <c r="M661" s="329"/>
      <c r="N661" s="330"/>
      <c r="O661" s="330"/>
      <c r="P661" s="330"/>
      <c r="Q661" s="330"/>
      <c r="R661" s="330"/>
      <c r="S661" s="330"/>
      <c r="T661" s="330"/>
      <c r="U661" s="330"/>
      <c r="V661" s="330"/>
      <c r="W661" s="330"/>
      <c r="X661" s="329"/>
      <c r="Y661" s="330"/>
      <c r="Z661" s="330"/>
      <c r="AA661" s="330"/>
      <c r="AB661" s="330"/>
      <c r="AC661" s="330"/>
      <c r="AD661" s="330"/>
      <c r="AE661" s="330"/>
      <c r="AF661" s="330"/>
      <c r="AG661" s="330"/>
      <c r="AH661" s="330"/>
      <c r="AI661" s="330"/>
      <c r="AJ661" s="330"/>
      <c r="AK661" s="330"/>
      <c r="AL661" s="329"/>
      <c r="AM661" s="329"/>
      <c r="AN661" s="330"/>
      <c r="AO661" s="330"/>
      <c r="AP661" s="330"/>
      <c r="AQ661" s="330"/>
      <c r="AR661" s="231"/>
      <c r="AS661" s="333"/>
      <c r="AT661" s="206"/>
      <c r="AU661" s="328"/>
      <c r="AV661" s="206"/>
      <c r="AW661" s="206"/>
      <c r="AX661" s="206"/>
      <c r="AY661" s="206"/>
      <c r="AZ661" s="206"/>
      <c r="BA661" s="206"/>
      <c r="BB661" s="206"/>
      <c r="BC661" s="206"/>
      <c r="BD661" s="206"/>
      <c r="BE661" s="206"/>
      <c r="BF661" s="206"/>
      <c r="BG661" s="330"/>
      <c r="BH661" s="330"/>
      <c r="BI661" s="330"/>
      <c r="BJ661" s="330"/>
      <c r="BK661" s="330"/>
      <c r="BL661" s="330"/>
      <c r="BM661" s="330"/>
      <c r="BN661" s="330"/>
      <c r="BO661" s="330"/>
      <c r="BP661" s="330"/>
      <c r="BQ661" s="330"/>
      <c r="BR661" s="330"/>
      <c r="BS661" s="330"/>
      <c r="BT661" s="330"/>
      <c r="BU661" s="330"/>
      <c r="BV661" s="330"/>
      <c r="BW661" s="330"/>
      <c r="BX661" s="330"/>
      <c r="BY661" s="330"/>
      <c r="BZ661" s="330"/>
    </row>
    <row r="662" spans="1:78" x14ac:dyDescent="0.25">
      <c r="A662" s="331"/>
      <c r="B662" s="328"/>
      <c r="C662" s="328"/>
      <c r="D662" s="329"/>
      <c r="E662" s="330"/>
      <c r="F662" s="330"/>
      <c r="G662" s="330"/>
      <c r="H662" s="330"/>
      <c r="I662" s="330"/>
      <c r="J662" s="330"/>
      <c r="K662" s="330"/>
      <c r="L662" s="329"/>
      <c r="M662" s="329"/>
      <c r="N662" s="330"/>
      <c r="O662" s="330"/>
      <c r="P662" s="330"/>
      <c r="Q662" s="330"/>
      <c r="R662" s="330"/>
      <c r="S662" s="330"/>
      <c r="T662" s="330"/>
      <c r="U662" s="330"/>
      <c r="V662" s="330"/>
      <c r="W662" s="330"/>
      <c r="X662" s="329"/>
      <c r="Y662" s="330"/>
      <c r="Z662" s="330"/>
      <c r="AA662" s="330"/>
      <c r="AB662" s="330"/>
      <c r="AC662" s="330"/>
      <c r="AD662" s="330"/>
      <c r="AE662" s="330"/>
      <c r="AF662" s="330"/>
      <c r="AG662" s="330"/>
      <c r="AH662" s="330"/>
      <c r="AI662" s="330"/>
      <c r="AJ662" s="330"/>
      <c r="AK662" s="330"/>
      <c r="AL662" s="329"/>
      <c r="AM662" s="329"/>
      <c r="AN662" s="330"/>
      <c r="AO662" s="330"/>
      <c r="AP662" s="330"/>
      <c r="AQ662" s="330"/>
      <c r="AR662" s="231"/>
      <c r="AS662" s="333"/>
      <c r="AT662" s="206"/>
      <c r="AU662" s="328"/>
      <c r="AV662" s="206"/>
      <c r="AW662" s="206"/>
      <c r="AX662" s="206"/>
      <c r="AY662" s="206"/>
      <c r="AZ662" s="206"/>
      <c r="BA662" s="206"/>
      <c r="BB662" s="206"/>
      <c r="BC662" s="206"/>
      <c r="BD662" s="206"/>
      <c r="BE662" s="206"/>
      <c r="BF662" s="206"/>
      <c r="BG662" s="330"/>
      <c r="BH662" s="330"/>
      <c r="BI662" s="330"/>
      <c r="BJ662" s="330"/>
      <c r="BK662" s="330"/>
      <c r="BL662" s="330"/>
      <c r="BM662" s="330"/>
      <c r="BN662" s="330"/>
      <c r="BO662" s="330"/>
      <c r="BP662" s="330"/>
      <c r="BQ662" s="330"/>
      <c r="BR662" s="330"/>
      <c r="BS662" s="330"/>
      <c r="BT662" s="330"/>
      <c r="BU662" s="330"/>
      <c r="BV662" s="330"/>
      <c r="BW662" s="330"/>
      <c r="BX662" s="330"/>
      <c r="BY662" s="330"/>
      <c r="BZ662" s="330"/>
    </row>
    <row r="663" spans="1:78" x14ac:dyDescent="0.25">
      <c r="A663" s="331"/>
      <c r="B663" s="328"/>
      <c r="C663" s="328"/>
      <c r="D663" s="329"/>
      <c r="E663" s="330"/>
      <c r="F663" s="330"/>
      <c r="G663" s="330"/>
      <c r="H663" s="330"/>
      <c r="I663" s="330"/>
      <c r="J663" s="330"/>
      <c r="K663" s="330"/>
      <c r="L663" s="329"/>
      <c r="M663" s="329"/>
      <c r="N663" s="330"/>
      <c r="O663" s="330"/>
      <c r="P663" s="330"/>
      <c r="Q663" s="330"/>
      <c r="R663" s="330"/>
      <c r="S663" s="330"/>
      <c r="T663" s="330"/>
      <c r="U663" s="330"/>
      <c r="V663" s="330"/>
      <c r="W663" s="330"/>
      <c r="X663" s="329"/>
      <c r="Y663" s="330"/>
      <c r="Z663" s="330"/>
      <c r="AA663" s="330"/>
      <c r="AB663" s="330"/>
      <c r="AC663" s="330"/>
      <c r="AD663" s="330"/>
      <c r="AE663" s="330"/>
      <c r="AF663" s="330"/>
      <c r="AG663" s="330"/>
      <c r="AH663" s="330"/>
      <c r="AI663" s="330"/>
      <c r="AJ663" s="330"/>
      <c r="AK663" s="330"/>
      <c r="AL663" s="329"/>
      <c r="AM663" s="329"/>
      <c r="AN663" s="330"/>
      <c r="AO663" s="330"/>
      <c r="AP663" s="330"/>
      <c r="AQ663" s="330"/>
      <c r="AR663" s="231"/>
      <c r="AS663" s="333"/>
      <c r="AT663" s="206"/>
      <c r="AU663" s="328"/>
      <c r="AV663" s="206"/>
      <c r="AW663" s="206"/>
      <c r="AX663" s="206"/>
      <c r="AY663" s="206"/>
      <c r="AZ663" s="206"/>
      <c r="BA663" s="206"/>
      <c r="BB663" s="206"/>
      <c r="BC663" s="206"/>
      <c r="BD663" s="206"/>
      <c r="BE663" s="206"/>
      <c r="BF663" s="206"/>
      <c r="BG663" s="330"/>
      <c r="BH663" s="330"/>
      <c r="BI663" s="330"/>
      <c r="BJ663" s="330"/>
      <c r="BK663" s="330"/>
      <c r="BL663" s="330"/>
      <c r="BM663" s="330"/>
      <c r="BN663" s="330"/>
      <c r="BO663" s="330"/>
      <c r="BP663" s="330"/>
      <c r="BQ663" s="330"/>
      <c r="BR663" s="330"/>
      <c r="BS663" s="330"/>
      <c r="BT663" s="330"/>
      <c r="BU663" s="330"/>
      <c r="BV663" s="330"/>
      <c r="BW663" s="330"/>
      <c r="BX663" s="330"/>
      <c r="BY663" s="330"/>
      <c r="BZ663" s="330"/>
    </row>
    <row r="664" spans="1:78" x14ac:dyDescent="0.25">
      <c r="A664" s="331"/>
      <c r="B664" s="328"/>
      <c r="C664" s="328"/>
      <c r="D664" s="329"/>
      <c r="E664" s="330"/>
      <c r="F664" s="330"/>
      <c r="G664" s="330"/>
      <c r="H664" s="330"/>
      <c r="I664" s="330"/>
      <c r="J664" s="330"/>
      <c r="K664" s="330"/>
      <c r="L664" s="329"/>
      <c r="M664" s="329"/>
      <c r="N664" s="330"/>
      <c r="O664" s="330"/>
      <c r="P664" s="330"/>
      <c r="Q664" s="330"/>
      <c r="R664" s="330"/>
      <c r="S664" s="330"/>
      <c r="T664" s="330"/>
      <c r="U664" s="330"/>
      <c r="V664" s="330"/>
      <c r="W664" s="330"/>
      <c r="X664" s="329"/>
      <c r="Y664" s="330"/>
      <c r="Z664" s="330"/>
      <c r="AA664" s="330"/>
      <c r="AB664" s="330"/>
      <c r="AC664" s="330"/>
      <c r="AD664" s="330"/>
      <c r="AE664" s="330"/>
      <c r="AF664" s="330"/>
      <c r="AG664" s="330"/>
      <c r="AH664" s="330"/>
      <c r="AI664" s="330"/>
      <c r="AJ664" s="330"/>
      <c r="AK664" s="330"/>
      <c r="AL664" s="329"/>
      <c r="AM664" s="329"/>
      <c r="AN664" s="330"/>
      <c r="AO664" s="330"/>
      <c r="AP664" s="330"/>
      <c r="AQ664" s="330"/>
      <c r="AR664" s="231"/>
      <c r="AS664" s="333"/>
      <c r="AT664" s="206"/>
      <c r="AU664" s="328"/>
      <c r="AV664" s="206"/>
      <c r="AW664" s="206"/>
      <c r="AX664" s="206"/>
      <c r="AY664" s="206"/>
      <c r="AZ664" s="206"/>
      <c r="BA664" s="206"/>
      <c r="BB664" s="206"/>
      <c r="BC664" s="206"/>
      <c r="BD664" s="206"/>
      <c r="BE664" s="206"/>
      <c r="BF664" s="206"/>
      <c r="BG664" s="330"/>
      <c r="BH664" s="330"/>
      <c r="BI664" s="330"/>
      <c r="BJ664" s="330"/>
      <c r="BK664" s="330"/>
      <c r="BL664" s="330"/>
      <c r="BM664" s="330"/>
      <c r="BN664" s="330"/>
      <c r="BO664" s="330"/>
      <c r="BP664" s="330"/>
      <c r="BQ664" s="330"/>
      <c r="BR664" s="330"/>
      <c r="BS664" s="330"/>
      <c r="BT664" s="330"/>
      <c r="BU664" s="330"/>
      <c r="BV664" s="330"/>
      <c r="BW664" s="330"/>
      <c r="BX664" s="330"/>
      <c r="BY664" s="330"/>
      <c r="BZ664" s="330"/>
    </row>
    <row r="665" spans="1:78" x14ac:dyDescent="0.25">
      <c r="A665" s="331"/>
      <c r="B665" s="328"/>
      <c r="C665" s="328"/>
      <c r="D665" s="329"/>
      <c r="E665" s="330"/>
      <c r="F665" s="330"/>
      <c r="G665" s="330"/>
      <c r="H665" s="330"/>
      <c r="I665" s="330"/>
      <c r="J665" s="330"/>
      <c r="K665" s="330"/>
      <c r="L665" s="329"/>
      <c r="M665" s="329"/>
      <c r="N665" s="330"/>
      <c r="O665" s="330"/>
      <c r="P665" s="330"/>
      <c r="Q665" s="330"/>
      <c r="R665" s="330"/>
      <c r="S665" s="330"/>
      <c r="T665" s="330"/>
      <c r="U665" s="330"/>
      <c r="V665" s="330"/>
      <c r="W665" s="330"/>
      <c r="X665" s="329"/>
      <c r="Y665" s="330"/>
      <c r="Z665" s="330"/>
      <c r="AA665" s="330"/>
      <c r="AB665" s="330"/>
      <c r="AC665" s="330"/>
      <c r="AD665" s="330"/>
      <c r="AE665" s="330"/>
      <c r="AF665" s="330"/>
      <c r="AG665" s="330"/>
      <c r="AH665" s="330"/>
      <c r="AI665" s="330"/>
      <c r="AJ665" s="330"/>
      <c r="AK665" s="330"/>
      <c r="AL665" s="329"/>
      <c r="AM665" s="329"/>
      <c r="AN665" s="330"/>
      <c r="AO665" s="330"/>
      <c r="AP665" s="330"/>
      <c r="AQ665" s="330"/>
      <c r="AR665" s="231"/>
      <c r="AS665" s="333"/>
      <c r="AT665" s="206"/>
      <c r="AU665" s="328"/>
      <c r="AV665" s="206"/>
      <c r="AW665" s="206"/>
      <c r="AX665" s="206"/>
      <c r="AY665" s="206"/>
      <c r="AZ665" s="206"/>
      <c r="BA665" s="206"/>
      <c r="BB665" s="206"/>
      <c r="BC665" s="206"/>
      <c r="BD665" s="206"/>
      <c r="BE665" s="206"/>
      <c r="BF665" s="206"/>
      <c r="BG665" s="330"/>
      <c r="BH665" s="330"/>
      <c r="BI665" s="330"/>
      <c r="BJ665" s="330"/>
      <c r="BK665" s="330"/>
      <c r="BL665" s="330"/>
      <c r="BM665" s="330"/>
      <c r="BN665" s="330"/>
      <c r="BO665" s="330"/>
      <c r="BP665" s="330"/>
      <c r="BQ665" s="330"/>
      <c r="BR665" s="330"/>
      <c r="BS665" s="330"/>
      <c r="BT665" s="330"/>
      <c r="BU665" s="330"/>
      <c r="BV665" s="330"/>
      <c r="BW665" s="330"/>
      <c r="BX665" s="330"/>
      <c r="BY665" s="330"/>
      <c r="BZ665" s="330"/>
    </row>
    <row r="666" spans="1:78" x14ac:dyDescent="0.25">
      <c r="A666" s="331"/>
      <c r="B666" s="328"/>
      <c r="C666" s="328"/>
      <c r="D666" s="329"/>
      <c r="E666" s="330"/>
      <c r="F666" s="330"/>
      <c r="G666" s="330"/>
      <c r="H666" s="330"/>
      <c r="I666" s="330"/>
      <c r="J666" s="330"/>
      <c r="K666" s="330"/>
      <c r="L666" s="329"/>
      <c r="M666" s="329"/>
      <c r="N666" s="330"/>
      <c r="O666" s="330"/>
      <c r="P666" s="330"/>
      <c r="Q666" s="330"/>
      <c r="R666" s="330"/>
      <c r="S666" s="330"/>
      <c r="T666" s="330"/>
      <c r="U666" s="330"/>
      <c r="V666" s="330"/>
      <c r="W666" s="330"/>
      <c r="X666" s="329"/>
      <c r="Y666" s="330"/>
      <c r="Z666" s="330"/>
      <c r="AA666" s="330"/>
      <c r="AB666" s="330"/>
      <c r="AC666" s="330"/>
      <c r="AD666" s="330"/>
      <c r="AE666" s="330"/>
      <c r="AF666" s="330"/>
      <c r="AG666" s="330"/>
      <c r="AH666" s="330"/>
      <c r="AI666" s="330"/>
      <c r="AJ666" s="330"/>
      <c r="AK666" s="330"/>
      <c r="AL666" s="329"/>
      <c r="AM666" s="329"/>
      <c r="AN666" s="330"/>
      <c r="AO666" s="330"/>
      <c r="AP666" s="330"/>
      <c r="AQ666" s="330"/>
      <c r="AR666" s="231"/>
      <c r="AS666" s="333"/>
      <c r="AT666" s="206"/>
      <c r="AU666" s="328"/>
      <c r="AV666" s="206"/>
      <c r="AW666" s="206"/>
      <c r="AX666" s="206"/>
      <c r="AY666" s="206"/>
      <c r="AZ666" s="206"/>
      <c r="BA666" s="206"/>
      <c r="BB666" s="206"/>
      <c r="BC666" s="206"/>
      <c r="BD666" s="206"/>
      <c r="BE666" s="206"/>
      <c r="BF666" s="206"/>
      <c r="BG666" s="330"/>
      <c r="BH666" s="330"/>
      <c r="BI666" s="330"/>
      <c r="BJ666" s="330"/>
      <c r="BK666" s="330"/>
      <c r="BL666" s="330"/>
      <c r="BM666" s="330"/>
      <c r="BN666" s="330"/>
      <c r="BO666" s="330"/>
      <c r="BP666" s="330"/>
      <c r="BQ666" s="330"/>
      <c r="BR666" s="330"/>
      <c r="BS666" s="330"/>
      <c r="BT666" s="330"/>
      <c r="BU666" s="330"/>
      <c r="BV666" s="330"/>
      <c r="BW666" s="330"/>
      <c r="BX666" s="330"/>
      <c r="BY666" s="330"/>
      <c r="BZ666" s="330"/>
    </row>
    <row r="667" spans="1:78" x14ac:dyDescent="0.25">
      <c r="A667" s="331"/>
      <c r="B667" s="328"/>
      <c r="C667" s="328"/>
      <c r="D667" s="329"/>
      <c r="E667" s="330"/>
      <c r="F667" s="330"/>
      <c r="G667" s="330"/>
      <c r="H667" s="330"/>
      <c r="I667" s="330"/>
      <c r="J667" s="330"/>
      <c r="K667" s="330"/>
      <c r="L667" s="329"/>
      <c r="M667" s="329"/>
      <c r="N667" s="330"/>
      <c r="O667" s="330"/>
      <c r="P667" s="330"/>
      <c r="Q667" s="330"/>
      <c r="R667" s="330"/>
      <c r="S667" s="330"/>
      <c r="T667" s="330"/>
      <c r="U667" s="330"/>
      <c r="V667" s="330"/>
      <c r="W667" s="330"/>
      <c r="X667" s="329"/>
      <c r="Y667" s="330"/>
      <c r="Z667" s="330"/>
      <c r="AA667" s="330"/>
      <c r="AB667" s="330"/>
      <c r="AC667" s="330"/>
      <c r="AD667" s="330"/>
      <c r="AE667" s="330"/>
      <c r="AF667" s="330"/>
      <c r="AG667" s="330"/>
      <c r="AH667" s="330"/>
      <c r="AI667" s="330"/>
      <c r="AJ667" s="330"/>
      <c r="AK667" s="330"/>
      <c r="AL667" s="329"/>
      <c r="AM667" s="329"/>
      <c r="AN667" s="330"/>
      <c r="AO667" s="330"/>
      <c r="AP667" s="330"/>
      <c r="AQ667" s="330"/>
      <c r="AR667" s="231"/>
      <c r="AS667" s="333"/>
      <c r="AT667" s="206"/>
      <c r="AU667" s="328"/>
      <c r="AV667" s="206"/>
      <c r="AW667" s="206"/>
      <c r="AX667" s="206"/>
      <c r="AY667" s="206"/>
      <c r="AZ667" s="206"/>
      <c r="BA667" s="206"/>
      <c r="BB667" s="206"/>
      <c r="BC667" s="206"/>
      <c r="BD667" s="206"/>
      <c r="BE667" s="206"/>
      <c r="BF667" s="206"/>
      <c r="BG667" s="330"/>
      <c r="BH667" s="330"/>
      <c r="BI667" s="330"/>
      <c r="BJ667" s="330"/>
      <c r="BK667" s="330"/>
      <c r="BL667" s="330"/>
      <c r="BM667" s="330"/>
      <c r="BN667" s="330"/>
      <c r="BO667" s="330"/>
      <c r="BP667" s="330"/>
      <c r="BQ667" s="330"/>
      <c r="BR667" s="330"/>
      <c r="BS667" s="330"/>
      <c r="BT667" s="330"/>
      <c r="BU667" s="330"/>
      <c r="BV667" s="330"/>
      <c r="BW667" s="330"/>
      <c r="BX667" s="330"/>
      <c r="BY667" s="330"/>
      <c r="BZ667" s="330"/>
    </row>
    <row r="668" spans="1:78" x14ac:dyDescent="0.25">
      <c r="A668" s="331"/>
      <c r="B668" s="328"/>
      <c r="C668" s="328"/>
      <c r="D668" s="329"/>
      <c r="E668" s="330"/>
      <c r="F668" s="330"/>
      <c r="G668" s="330"/>
      <c r="H668" s="330"/>
      <c r="I668" s="330"/>
      <c r="J668" s="330"/>
      <c r="K668" s="330"/>
      <c r="L668" s="329"/>
      <c r="M668" s="329"/>
      <c r="N668" s="330"/>
      <c r="O668" s="330"/>
      <c r="P668" s="330"/>
      <c r="Q668" s="330"/>
      <c r="R668" s="330"/>
      <c r="S668" s="330"/>
      <c r="T668" s="330"/>
      <c r="U668" s="330"/>
      <c r="V668" s="330"/>
      <c r="W668" s="330"/>
      <c r="X668" s="329"/>
      <c r="Y668" s="330"/>
      <c r="Z668" s="330"/>
      <c r="AA668" s="330"/>
      <c r="AB668" s="330"/>
      <c r="AC668" s="330"/>
      <c r="AD668" s="330"/>
      <c r="AE668" s="330"/>
      <c r="AF668" s="330"/>
      <c r="AG668" s="330"/>
      <c r="AH668" s="330"/>
      <c r="AI668" s="330"/>
      <c r="AJ668" s="330"/>
      <c r="AK668" s="330"/>
      <c r="AL668" s="329"/>
      <c r="AM668" s="329"/>
      <c r="AN668" s="330"/>
      <c r="AO668" s="330"/>
      <c r="AP668" s="330"/>
      <c r="AQ668" s="330"/>
      <c r="AR668" s="231"/>
      <c r="AS668" s="333"/>
      <c r="AT668" s="206"/>
      <c r="AU668" s="328"/>
      <c r="AV668" s="206"/>
      <c r="AW668" s="206"/>
      <c r="AX668" s="206"/>
      <c r="AY668" s="206"/>
      <c r="AZ668" s="206"/>
      <c r="BA668" s="206"/>
      <c r="BB668" s="206"/>
      <c r="BC668" s="206"/>
      <c r="BD668" s="206"/>
      <c r="BE668" s="206"/>
      <c r="BF668" s="206"/>
      <c r="BG668" s="330"/>
      <c r="BH668" s="330"/>
      <c r="BI668" s="330"/>
      <c r="BJ668" s="330"/>
      <c r="BK668" s="330"/>
      <c r="BL668" s="330"/>
      <c r="BM668" s="330"/>
      <c r="BN668" s="330"/>
      <c r="BO668" s="330"/>
      <c r="BP668" s="330"/>
      <c r="BQ668" s="330"/>
      <c r="BR668" s="330"/>
      <c r="BS668" s="330"/>
      <c r="BT668" s="330"/>
      <c r="BU668" s="330"/>
      <c r="BV668" s="330"/>
      <c r="BW668" s="330"/>
      <c r="BX668" s="330"/>
      <c r="BY668" s="330"/>
      <c r="BZ668" s="330"/>
    </row>
    <row r="669" spans="1:78" x14ac:dyDescent="0.25">
      <c r="A669" s="331"/>
      <c r="B669" s="328"/>
      <c r="C669" s="328"/>
      <c r="D669" s="329"/>
      <c r="E669" s="330"/>
      <c r="F669" s="330"/>
      <c r="G669" s="330"/>
      <c r="H669" s="330"/>
      <c r="I669" s="330"/>
      <c r="J669" s="330"/>
      <c r="K669" s="330"/>
      <c r="L669" s="329"/>
      <c r="M669" s="329"/>
      <c r="N669" s="330"/>
      <c r="O669" s="330"/>
      <c r="P669" s="330"/>
      <c r="Q669" s="330"/>
      <c r="R669" s="330"/>
      <c r="S669" s="330"/>
      <c r="T669" s="330"/>
      <c r="U669" s="330"/>
      <c r="V669" s="330"/>
      <c r="W669" s="330"/>
      <c r="X669" s="329"/>
      <c r="Y669" s="330"/>
      <c r="Z669" s="330"/>
      <c r="AA669" s="330"/>
      <c r="AB669" s="330"/>
      <c r="AC669" s="330"/>
      <c r="AD669" s="330"/>
      <c r="AE669" s="330"/>
      <c r="AF669" s="330"/>
      <c r="AG669" s="330"/>
      <c r="AH669" s="330"/>
      <c r="AI669" s="330"/>
      <c r="AJ669" s="330"/>
      <c r="AK669" s="330"/>
      <c r="AL669" s="329"/>
      <c r="AM669" s="329"/>
      <c r="AN669" s="330"/>
      <c r="AO669" s="330"/>
      <c r="AP669" s="330"/>
      <c r="AQ669" s="330"/>
      <c r="AR669" s="231"/>
      <c r="AS669" s="333"/>
      <c r="AT669" s="206"/>
      <c r="AU669" s="328"/>
      <c r="AV669" s="206"/>
      <c r="AW669" s="206"/>
      <c r="AX669" s="206"/>
      <c r="AY669" s="206"/>
      <c r="AZ669" s="206"/>
      <c r="BA669" s="206"/>
      <c r="BB669" s="206"/>
      <c r="BC669" s="206"/>
      <c r="BD669" s="206"/>
      <c r="BE669" s="206"/>
      <c r="BF669" s="206"/>
      <c r="BG669" s="330"/>
      <c r="BH669" s="330"/>
      <c r="BI669" s="330"/>
      <c r="BJ669" s="330"/>
      <c r="BK669" s="330"/>
      <c r="BL669" s="330"/>
      <c r="BM669" s="330"/>
      <c r="BN669" s="330"/>
      <c r="BO669" s="330"/>
      <c r="BP669" s="330"/>
      <c r="BQ669" s="330"/>
      <c r="BR669" s="330"/>
      <c r="BS669" s="330"/>
      <c r="BT669" s="330"/>
      <c r="BU669" s="330"/>
      <c r="BV669" s="330"/>
      <c r="BW669" s="330"/>
      <c r="BX669" s="330"/>
      <c r="BY669" s="330"/>
      <c r="BZ669" s="330"/>
    </row>
    <row r="670" spans="1:78" x14ac:dyDescent="0.25">
      <c r="A670" s="331"/>
      <c r="B670" s="328"/>
      <c r="C670" s="328"/>
      <c r="D670" s="329"/>
      <c r="E670" s="330"/>
      <c r="F670" s="330"/>
      <c r="G670" s="330"/>
      <c r="H670" s="330"/>
      <c r="I670" s="330"/>
      <c r="J670" s="330"/>
      <c r="K670" s="330"/>
      <c r="L670" s="329"/>
      <c r="M670" s="329"/>
      <c r="N670" s="330"/>
      <c r="O670" s="330"/>
      <c r="P670" s="330"/>
      <c r="Q670" s="330"/>
      <c r="R670" s="330"/>
      <c r="S670" s="330"/>
      <c r="T670" s="330"/>
      <c r="U670" s="330"/>
      <c r="V670" s="330"/>
      <c r="W670" s="330"/>
      <c r="X670" s="329"/>
      <c r="Y670" s="330"/>
      <c r="Z670" s="330"/>
      <c r="AA670" s="330"/>
      <c r="AB670" s="330"/>
      <c r="AC670" s="330"/>
      <c r="AD670" s="330"/>
      <c r="AE670" s="330"/>
      <c r="AF670" s="330"/>
      <c r="AG670" s="330"/>
      <c r="AH670" s="330"/>
      <c r="AI670" s="330"/>
      <c r="AJ670" s="330"/>
      <c r="AK670" s="330"/>
      <c r="AL670" s="329"/>
      <c r="AM670" s="329"/>
      <c r="AN670" s="330"/>
      <c r="AO670" s="330"/>
      <c r="AP670" s="330"/>
      <c r="AQ670" s="330"/>
      <c r="AR670" s="231"/>
      <c r="AS670" s="333"/>
      <c r="AT670" s="206"/>
      <c r="AU670" s="328"/>
      <c r="AV670" s="206"/>
      <c r="AW670" s="206"/>
      <c r="AX670" s="206"/>
      <c r="AY670" s="206"/>
      <c r="AZ670" s="206"/>
      <c r="BA670" s="206"/>
      <c r="BB670" s="206"/>
      <c r="BC670" s="206"/>
      <c r="BD670" s="206"/>
      <c r="BE670" s="206"/>
      <c r="BF670" s="206"/>
      <c r="BG670" s="330"/>
      <c r="BH670" s="330"/>
      <c r="BI670" s="330"/>
      <c r="BJ670" s="330"/>
      <c r="BK670" s="330"/>
      <c r="BL670" s="330"/>
      <c r="BM670" s="330"/>
      <c r="BN670" s="330"/>
      <c r="BO670" s="330"/>
      <c r="BP670" s="330"/>
      <c r="BQ670" s="330"/>
      <c r="BR670" s="330"/>
      <c r="BS670" s="330"/>
      <c r="BT670" s="330"/>
      <c r="BU670" s="330"/>
      <c r="BV670" s="330"/>
      <c r="BW670" s="330"/>
      <c r="BX670" s="330"/>
      <c r="BY670" s="330"/>
      <c r="BZ670" s="330"/>
    </row>
    <row r="671" spans="1:78" x14ac:dyDescent="0.25">
      <c r="A671" s="331"/>
      <c r="B671" s="328"/>
      <c r="C671" s="328"/>
      <c r="D671" s="329"/>
      <c r="E671" s="330"/>
      <c r="F671" s="330"/>
      <c r="G671" s="330"/>
      <c r="H671" s="330"/>
      <c r="I671" s="330"/>
      <c r="J671" s="330"/>
      <c r="K671" s="330"/>
      <c r="L671" s="329"/>
      <c r="M671" s="329"/>
      <c r="N671" s="330"/>
      <c r="O671" s="330"/>
      <c r="P671" s="330"/>
      <c r="Q671" s="330"/>
      <c r="R671" s="330"/>
      <c r="S671" s="330"/>
      <c r="T671" s="330"/>
      <c r="U671" s="330"/>
      <c r="V671" s="330"/>
      <c r="W671" s="330"/>
      <c r="X671" s="329"/>
      <c r="Y671" s="330"/>
      <c r="Z671" s="330"/>
      <c r="AA671" s="330"/>
      <c r="AB671" s="330"/>
      <c r="AC671" s="330"/>
      <c r="AD671" s="330"/>
      <c r="AE671" s="330"/>
      <c r="AF671" s="330"/>
      <c r="AG671" s="330"/>
      <c r="AH671" s="330"/>
      <c r="AI671" s="330"/>
      <c r="AJ671" s="330"/>
      <c r="AK671" s="330"/>
      <c r="AL671" s="329"/>
      <c r="AM671" s="329"/>
      <c r="AN671" s="330"/>
      <c r="AO671" s="330"/>
      <c r="AP671" s="330"/>
      <c r="AQ671" s="330"/>
      <c r="AR671" s="231"/>
      <c r="AS671" s="333"/>
      <c r="AT671" s="206"/>
      <c r="AU671" s="328"/>
      <c r="AV671" s="206"/>
      <c r="AW671" s="206"/>
      <c r="AX671" s="206"/>
      <c r="AY671" s="206"/>
      <c r="AZ671" s="206"/>
      <c r="BA671" s="206"/>
      <c r="BB671" s="206"/>
      <c r="BC671" s="206"/>
      <c r="BD671" s="206"/>
      <c r="BE671" s="206"/>
      <c r="BF671" s="206"/>
      <c r="BG671" s="330"/>
      <c r="BH671" s="330"/>
      <c r="BI671" s="330"/>
      <c r="BJ671" s="330"/>
      <c r="BK671" s="330"/>
      <c r="BL671" s="330"/>
      <c r="BM671" s="330"/>
      <c r="BN671" s="330"/>
      <c r="BO671" s="330"/>
      <c r="BP671" s="330"/>
      <c r="BQ671" s="330"/>
      <c r="BR671" s="330"/>
      <c r="BS671" s="330"/>
      <c r="BT671" s="330"/>
      <c r="BU671" s="330"/>
      <c r="BV671" s="330"/>
      <c r="BW671" s="330"/>
      <c r="BX671" s="330"/>
      <c r="BY671" s="330"/>
      <c r="BZ671" s="330"/>
    </row>
    <row r="672" spans="1:78" x14ac:dyDescent="0.25">
      <c r="A672" s="331"/>
      <c r="B672" s="328"/>
      <c r="C672" s="328"/>
      <c r="D672" s="329"/>
      <c r="E672" s="330"/>
      <c r="F672" s="330"/>
      <c r="G672" s="330"/>
      <c r="H672" s="330"/>
      <c r="I672" s="330"/>
      <c r="J672" s="330"/>
      <c r="K672" s="330"/>
      <c r="L672" s="329"/>
      <c r="M672" s="329"/>
      <c r="N672" s="330"/>
      <c r="O672" s="330"/>
      <c r="P672" s="330"/>
      <c r="Q672" s="330"/>
      <c r="R672" s="330"/>
      <c r="S672" s="330"/>
      <c r="T672" s="330"/>
      <c r="U672" s="330"/>
      <c r="V672" s="330"/>
      <c r="W672" s="330"/>
      <c r="X672" s="329"/>
      <c r="Y672" s="330"/>
      <c r="Z672" s="330"/>
      <c r="AA672" s="330"/>
      <c r="AB672" s="330"/>
      <c r="AC672" s="330"/>
      <c r="AD672" s="330"/>
      <c r="AE672" s="330"/>
      <c r="AF672" s="330"/>
      <c r="AG672" s="330"/>
      <c r="AH672" s="330"/>
      <c r="AI672" s="330"/>
      <c r="AJ672" s="330"/>
      <c r="AK672" s="330"/>
      <c r="AL672" s="329"/>
      <c r="AM672" s="329"/>
      <c r="AN672" s="330"/>
      <c r="AO672" s="330"/>
      <c r="AP672" s="330"/>
      <c r="AQ672" s="330"/>
      <c r="AR672" s="231"/>
      <c r="AS672" s="333"/>
      <c r="AT672" s="206"/>
      <c r="AU672" s="328"/>
      <c r="AV672" s="206"/>
      <c r="AW672" s="206"/>
      <c r="AX672" s="206"/>
      <c r="AY672" s="206"/>
      <c r="AZ672" s="206"/>
      <c r="BA672" s="206"/>
      <c r="BB672" s="206"/>
      <c r="BC672" s="206"/>
      <c r="BD672" s="206"/>
      <c r="BE672" s="206"/>
      <c r="BF672" s="206"/>
      <c r="BG672" s="330"/>
      <c r="BH672" s="330"/>
      <c r="BI672" s="330"/>
      <c r="BJ672" s="330"/>
      <c r="BK672" s="330"/>
      <c r="BL672" s="330"/>
      <c r="BM672" s="330"/>
      <c r="BN672" s="330"/>
      <c r="BO672" s="330"/>
      <c r="BP672" s="330"/>
      <c r="BQ672" s="330"/>
      <c r="BR672" s="330"/>
      <c r="BS672" s="330"/>
      <c r="BT672" s="330"/>
      <c r="BU672" s="330"/>
      <c r="BV672" s="330"/>
      <c r="BW672" s="330"/>
      <c r="BX672" s="330"/>
      <c r="BY672" s="330"/>
      <c r="BZ672" s="330"/>
    </row>
    <row r="673" spans="1:78" x14ac:dyDescent="0.25">
      <c r="A673" s="331"/>
      <c r="B673" s="328"/>
      <c r="C673" s="328"/>
      <c r="D673" s="329"/>
      <c r="E673" s="330"/>
      <c r="F673" s="330"/>
      <c r="G673" s="330"/>
      <c r="H673" s="330"/>
      <c r="I673" s="330"/>
      <c r="J673" s="330"/>
      <c r="K673" s="330"/>
      <c r="L673" s="329"/>
      <c r="M673" s="329"/>
      <c r="N673" s="330"/>
      <c r="O673" s="330"/>
      <c r="P673" s="330"/>
      <c r="Q673" s="330"/>
      <c r="R673" s="330"/>
      <c r="S673" s="330"/>
      <c r="T673" s="330"/>
      <c r="U673" s="330"/>
      <c r="V673" s="330"/>
      <c r="W673" s="330"/>
      <c r="X673" s="329"/>
      <c r="Y673" s="330"/>
      <c r="Z673" s="330"/>
      <c r="AA673" s="330"/>
      <c r="AB673" s="330"/>
      <c r="AC673" s="330"/>
      <c r="AD673" s="330"/>
      <c r="AE673" s="330"/>
      <c r="AF673" s="330"/>
      <c r="AG673" s="330"/>
      <c r="AH673" s="330"/>
      <c r="AI673" s="330"/>
      <c r="AJ673" s="330"/>
      <c r="AK673" s="330"/>
      <c r="AL673" s="329"/>
      <c r="AM673" s="329"/>
      <c r="AN673" s="330"/>
      <c r="AO673" s="330"/>
      <c r="AP673" s="330"/>
      <c r="AQ673" s="330"/>
      <c r="AR673" s="231"/>
      <c r="AS673" s="333"/>
      <c r="AT673" s="206"/>
      <c r="AU673" s="328"/>
      <c r="AV673" s="206"/>
      <c r="AW673" s="206"/>
      <c r="AX673" s="206"/>
      <c r="AY673" s="206"/>
      <c r="AZ673" s="206"/>
      <c r="BA673" s="206"/>
      <c r="BB673" s="206"/>
      <c r="BC673" s="206"/>
      <c r="BD673" s="206"/>
      <c r="BE673" s="206"/>
      <c r="BF673" s="206"/>
      <c r="BG673" s="330"/>
      <c r="BH673" s="330"/>
      <c r="BI673" s="330"/>
      <c r="BJ673" s="330"/>
      <c r="BK673" s="330"/>
      <c r="BL673" s="330"/>
      <c r="BM673" s="330"/>
      <c r="BN673" s="330"/>
      <c r="BO673" s="330"/>
      <c r="BP673" s="330"/>
      <c r="BQ673" s="330"/>
      <c r="BR673" s="330"/>
      <c r="BS673" s="330"/>
      <c r="BT673" s="330"/>
      <c r="BU673" s="330"/>
      <c r="BV673" s="330"/>
      <c r="BW673" s="330"/>
      <c r="BX673" s="330"/>
      <c r="BY673" s="330"/>
      <c r="BZ673" s="330"/>
    </row>
    <row r="674" spans="1:78" x14ac:dyDescent="0.25">
      <c r="A674" s="331"/>
      <c r="B674" s="328"/>
      <c r="C674" s="328"/>
      <c r="D674" s="329"/>
      <c r="E674" s="330"/>
      <c r="F674" s="330"/>
      <c r="G674" s="330"/>
      <c r="H674" s="330"/>
      <c r="I674" s="330"/>
      <c r="J674" s="330"/>
      <c r="K674" s="330"/>
      <c r="L674" s="329"/>
      <c r="M674" s="329"/>
      <c r="N674" s="330"/>
      <c r="O674" s="330"/>
      <c r="P674" s="330"/>
      <c r="Q674" s="330"/>
      <c r="R674" s="330"/>
      <c r="S674" s="330"/>
      <c r="T674" s="330"/>
      <c r="U674" s="330"/>
      <c r="V674" s="330"/>
      <c r="W674" s="330"/>
      <c r="X674" s="329"/>
      <c r="Y674" s="330"/>
      <c r="Z674" s="330"/>
      <c r="AA674" s="330"/>
      <c r="AB674" s="330"/>
      <c r="AC674" s="330"/>
      <c r="AD674" s="330"/>
      <c r="AE674" s="330"/>
      <c r="AF674" s="330"/>
      <c r="AG674" s="330"/>
      <c r="AH674" s="330"/>
      <c r="AI674" s="330"/>
      <c r="AJ674" s="330"/>
      <c r="AK674" s="330"/>
      <c r="AL674" s="329"/>
      <c r="AM674" s="329"/>
      <c r="AN674" s="330"/>
      <c r="AO674" s="330"/>
      <c r="AP674" s="330"/>
      <c r="AQ674" s="330"/>
      <c r="AR674" s="231"/>
      <c r="AS674" s="333"/>
      <c r="AT674" s="206"/>
      <c r="AU674" s="328"/>
      <c r="AV674" s="206"/>
      <c r="AW674" s="206"/>
      <c r="AX674" s="206"/>
      <c r="AY674" s="206"/>
      <c r="AZ674" s="206"/>
      <c r="BA674" s="206"/>
      <c r="BB674" s="206"/>
      <c r="BC674" s="206"/>
      <c r="BD674" s="206"/>
      <c r="BE674" s="206"/>
      <c r="BF674" s="206"/>
      <c r="BG674" s="330"/>
      <c r="BH674" s="330"/>
      <c r="BI674" s="330"/>
      <c r="BJ674" s="330"/>
      <c r="BK674" s="330"/>
      <c r="BL674" s="330"/>
      <c r="BM674" s="330"/>
      <c r="BN674" s="330"/>
      <c r="BO674" s="330"/>
      <c r="BP674" s="330"/>
      <c r="BQ674" s="330"/>
      <c r="BR674" s="330"/>
      <c r="BS674" s="330"/>
      <c r="BT674" s="330"/>
      <c r="BU674" s="330"/>
      <c r="BV674" s="330"/>
      <c r="BW674" s="330"/>
      <c r="BX674" s="330"/>
      <c r="BY674" s="330"/>
      <c r="BZ674" s="330"/>
    </row>
    <row r="675" spans="1:78" x14ac:dyDescent="0.25">
      <c r="A675" s="331"/>
      <c r="B675" s="328"/>
      <c r="C675" s="328"/>
      <c r="D675" s="329"/>
      <c r="E675" s="330"/>
      <c r="F675" s="330"/>
      <c r="G675" s="330"/>
      <c r="H675" s="330"/>
      <c r="I675" s="330"/>
      <c r="J675" s="330"/>
      <c r="K675" s="330"/>
      <c r="L675" s="329"/>
      <c r="M675" s="329"/>
      <c r="N675" s="330"/>
      <c r="O675" s="330"/>
      <c r="P675" s="330"/>
      <c r="Q675" s="330"/>
      <c r="R675" s="330"/>
      <c r="S675" s="330"/>
      <c r="T675" s="330"/>
      <c r="U675" s="330"/>
      <c r="V675" s="330"/>
      <c r="W675" s="330"/>
      <c r="X675" s="329"/>
      <c r="Y675" s="330"/>
      <c r="Z675" s="330"/>
      <c r="AA675" s="330"/>
      <c r="AB675" s="330"/>
      <c r="AC675" s="330"/>
      <c r="AD675" s="330"/>
      <c r="AE675" s="330"/>
      <c r="AF675" s="330"/>
      <c r="AG675" s="330"/>
      <c r="AH675" s="330"/>
      <c r="AI675" s="330"/>
      <c r="AJ675" s="330"/>
      <c r="AK675" s="330"/>
      <c r="AL675" s="329"/>
      <c r="AM675" s="329"/>
      <c r="AN675" s="330"/>
      <c r="AO675" s="330"/>
      <c r="AP675" s="330"/>
      <c r="AQ675" s="330"/>
      <c r="AR675" s="231"/>
      <c r="AS675" s="333"/>
      <c r="AT675" s="206"/>
      <c r="AU675" s="328"/>
      <c r="AV675" s="206"/>
      <c r="AW675" s="206"/>
      <c r="AX675" s="206"/>
      <c r="AY675" s="206"/>
      <c r="AZ675" s="206"/>
      <c r="BA675" s="206"/>
      <c r="BB675" s="206"/>
      <c r="BC675" s="206"/>
      <c r="BD675" s="206"/>
      <c r="BE675" s="206"/>
      <c r="BF675" s="206"/>
      <c r="BG675" s="330"/>
      <c r="BH675" s="330"/>
      <c r="BI675" s="330"/>
      <c r="BJ675" s="330"/>
      <c r="BK675" s="330"/>
      <c r="BL675" s="330"/>
      <c r="BM675" s="330"/>
      <c r="BN675" s="330"/>
      <c r="BO675" s="330"/>
      <c r="BP675" s="330"/>
      <c r="BQ675" s="330"/>
      <c r="BR675" s="330"/>
      <c r="BS675" s="330"/>
      <c r="BT675" s="330"/>
      <c r="BU675" s="330"/>
      <c r="BV675" s="330"/>
      <c r="BW675" s="330"/>
      <c r="BX675" s="330"/>
      <c r="BY675" s="330"/>
      <c r="BZ675" s="330"/>
    </row>
    <row r="676" spans="1:78" x14ac:dyDescent="0.25">
      <c r="A676" s="331"/>
      <c r="B676" s="328"/>
      <c r="C676" s="328"/>
      <c r="D676" s="329"/>
      <c r="E676" s="330"/>
      <c r="F676" s="330"/>
      <c r="G676" s="330"/>
      <c r="H676" s="330"/>
      <c r="I676" s="330"/>
      <c r="J676" s="330"/>
      <c r="K676" s="330"/>
      <c r="L676" s="329"/>
      <c r="M676" s="329"/>
      <c r="N676" s="330"/>
      <c r="O676" s="330"/>
      <c r="P676" s="330"/>
      <c r="Q676" s="330"/>
      <c r="R676" s="330"/>
      <c r="S676" s="330"/>
      <c r="T676" s="330"/>
      <c r="U676" s="330"/>
      <c r="V676" s="330"/>
      <c r="W676" s="330"/>
      <c r="X676" s="329"/>
      <c r="Y676" s="330"/>
      <c r="Z676" s="330"/>
      <c r="AA676" s="330"/>
      <c r="AB676" s="330"/>
      <c r="AC676" s="330"/>
      <c r="AD676" s="330"/>
      <c r="AE676" s="330"/>
      <c r="AF676" s="330"/>
      <c r="AG676" s="330"/>
      <c r="AH676" s="330"/>
      <c r="AI676" s="330"/>
      <c r="AJ676" s="330"/>
      <c r="AK676" s="330"/>
      <c r="AL676" s="329"/>
      <c r="AM676" s="329"/>
      <c r="AN676" s="330"/>
      <c r="AO676" s="330"/>
      <c r="AP676" s="330"/>
      <c r="AQ676" s="330"/>
      <c r="AR676" s="231"/>
      <c r="AS676" s="333"/>
      <c r="AT676" s="206"/>
      <c r="AU676" s="328"/>
      <c r="AV676" s="206"/>
      <c r="AW676" s="206"/>
      <c r="AX676" s="206"/>
      <c r="AY676" s="206"/>
      <c r="AZ676" s="206"/>
      <c r="BA676" s="206"/>
      <c r="BB676" s="206"/>
      <c r="BC676" s="206"/>
      <c r="BD676" s="206"/>
      <c r="BE676" s="206"/>
      <c r="BF676" s="206"/>
      <c r="BG676" s="330"/>
      <c r="BH676" s="330"/>
      <c r="BI676" s="330"/>
      <c r="BJ676" s="330"/>
      <c r="BK676" s="330"/>
      <c r="BL676" s="330"/>
      <c r="BM676" s="330"/>
      <c r="BN676" s="330"/>
      <c r="BO676" s="330"/>
      <c r="BP676" s="330"/>
      <c r="BQ676" s="330"/>
      <c r="BR676" s="330"/>
      <c r="BS676" s="330"/>
      <c r="BT676" s="330"/>
      <c r="BU676" s="330"/>
      <c r="BV676" s="330"/>
      <c r="BW676" s="330"/>
      <c r="BX676" s="330"/>
      <c r="BY676" s="330"/>
      <c r="BZ676" s="330"/>
    </row>
    <row r="677" spans="1:78" x14ac:dyDescent="0.25">
      <c r="A677" s="331"/>
      <c r="B677" s="328"/>
      <c r="C677" s="328"/>
      <c r="D677" s="329"/>
      <c r="E677" s="330"/>
      <c r="F677" s="330"/>
      <c r="G677" s="330"/>
      <c r="H677" s="330"/>
      <c r="I677" s="330"/>
      <c r="J677" s="330"/>
      <c r="K677" s="330"/>
      <c r="L677" s="329"/>
      <c r="M677" s="329"/>
      <c r="N677" s="330"/>
      <c r="O677" s="330"/>
      <c r="P677" s="330"/>
      <c r="Q677" s="330"/>
      <c r="R677" s="330"/>
      <c r="S677" s="330"/>
      <c r="T677" s="330"/>
      <c r="U677" s="330"/>
      <c r="V677" s="330"/>
      <c r="W677" s="330"/>
      <c r="X677" s="329"/>
      <c r="Y677" s="330"/>
      <c r="Z677" s="330"/>
      <c r="AA677" s="330"/>
      <c r="AB677" s="330"/>
      <c r="AC677" s="330"/>
      <c r="AD677" s="330"/>
      <c r="AE677" s="330"/>
      <c r="AF677" s="330"/>
      <c r="AG677" s="330"/>
      <c r="AH677" s="330"/>
      <c r="AI677" s="330"/>
      <c r="AJ677" s="330"/>
      <c r="AK677" s="330"/>
      <c r="AL677" s="329"/>
      <c r="AM677" s="329"/>
      <c r="AN677" s="330"/>
      <c r="AO677" s="330"/>
      <c r="AP677" s="330"/>
      <c r="AQ677" s="330"/>
      <c r="AR677" s="231"/>
      <c r="AS677" s="333"/>
      <c r="AT677" s="206"/>
      <c r="AU677" s="328"/>
      <c r="AV677" s="206"/>
      <c r="AW677" s="206"/>
      <c r="AX677" s="206"/>
      <c r="AY677" s="206"/>
      <c r="AZ677" s="206"/>
      <c r="BA677" s="206"/>
      <c r="BB677" s="206"/>
      <c r="BC677" s="206"/>
      <c r="BD677" s="206"/>
      <c r="BE677" s="206"/>
      <c r="BF677" s="206"/>
      <c r="BG677" s="330"/>
      <c r="BH677" s="330"/>
      <c r="BI677" s="330"/>
      <c r="BJ677" s="330"/>
      <c r="BK677" s="330"/>
      <c r="BL677" s="330"/>
      <c r="BM677" s="330"/>
      <c r="BN677" s="330"/>
      <c r="BO677" s="330"/>
      <c r="BP677" s="330"/>
      <c r="BQ677" s="330"/>
      <c r="BR677" s="330"/>
      <c r="BS677" s="330"/>
      <c r="BT677" s="330"/>
      <c r="BU677" s="330"/>
      <c r="BV677" s="330"/>
      <c r="BW677" s="330"/>
      <c r="BX677" s="330"/>
      <c r="BY677" s="330"/>
      <c r="BZ677" s="330"/>
    </row>
    <row r="678" spans="1:78" x14ac:dyDescent="0.25">
      <c r="A678" s="331"/>
      <c r="B678" s="328"/>
      <c r="C678" s="328"/>
      <c r="D678" s="329"/>
      <c r="E678" s="330"/>
      <c r="F678" s="330"/>
      <c r="G678" s="330"/>
      <c r="H678" s="330"/>
      <c r="I678" s="330"/>
      <c r="J678" s="330"/>
      <c r="K678" s="330"/>
      <c r="L678" s="329"/>
      <c r="M678" s="329"/>
      <c r="N678" s="330"/>
      <c r="O678" s="330"/>
      <c r="P678" s="330"/>
      <c r="Q678" s="330"/>
      <c r="R678" s="330"/>
      <c r="S678" s="330"/>
      <c r="T678" s="330"/>
      <c r="U678" s="330"/>
      <c r="V678" s="330"/>
      <c r="W678" s="330"/>
      <c r="X678" s="329"/>
      <c r="Y678" s="330"/>
      <c r="Z678" s="330"/>
      <c r="AA678" s="330"/>
      <c r="AB678" s="330"/>
      <c r="AC678" s="330"/>
      <c r="AD678" s="330"/>
      <c r="AE678" s="330"/>
      <c r="AF678" s="330"/>
      <c r="AG678" s="330"/>
      <c r="AH678" s="330"/>
      <c r="AI678" s="330"/>
      <c r="AJ678" s="330"/>
      <c r="AK678" s="330"/>
      <c r="AL678" s="329"/>
      <c r="AM678" s="329"/>
      <c r="AN678" s="330"/>
      <c r="AO678" s="330"/>
      <c r="AP678" s="330"/>
      <c r="AQ678" s="330"/>
      <c r="AR678" s="231"/>
      <c r="AS678" s="333"/>
      <c r="AT678" s="206"/>
      <c r="AU678" s="328"/>
      <c r="AV678" s="206"/>
      <c r="AW678" s="206"/>
      <c r="AX678" s="206"/>
      <c r="AY678" s="206"/>
      <c r="AZ678" s="206"/>
      <c r="BA678" s="206"/>
      <c r="BB678" s="206"/>
      <c r="BC678" s="206"/>
      <c r="BD678" s="206"/>
      <c r="BE678" s="206"/>
      <c r="BF678" s="206"/>
      <c r="BG678" s="330"/>
      <c r="BH678" s="330"/>
      <c r="BI678" s="330"/>
      <c r="BJ678" s="330"/>
      <c r="BK678" s="330"/>
      <c r="BL678" s="330"/>
      <c r="BM678" s="330"/>
      <c r="BN678" s="330"/>
      <c r="BO678" s="330"/>
      <c r="BP678" s="330"/>
      <c r="BQ678" s="330"/>
      <c r="BR678" s="330"/>
      <c r="BS678" s="330"/>
      <c r="BT678" s="330"/>
      <c r="BU678" s="330"/>
      <c r="BV678" s="330"/>
      <c r="BW678" s="330"/>
      <c r="BX678" s="330"/>
      <c r="BY678" s="330"/>
      <c r="BZ678" s="330"/>
    </row>
    <row r="679" spans="1:78" x14ac:dyDescent="0.25">
      <c r="A679" s="331"/>
      <c r="B679" s="328"/>
      <c r="C679" s="328"/>
      <c r="D679" s="329"/>
      <c r="E679" s="330"/>
      <c r="F679" s="330"/>
      <c r="G679" s="330"/>
      <c r="H679" s="330"/>
      <c r="I679" s="330"/>
      <c r="J679" s="330"/>
      <c r="K679" s="330"/>
      <c r="L679" s="329"/>
      <c r="M679" s="329"/>
      <c r="N679" s="330"/>
      <c r="O679" s="330"/>
      <c r="P679" s="330"/>
      <c r="Q679" s="330"/>
      <c r="R679" s="330"/>
      <c r="S679" s="330"/>
      <c r="T679" s="330"/>
      <c r="U679" s="330"/>
      <c r="V679" s="330"/>
      <c r="W679" s="330"/>
      <c r="X679" s="329"/>
      <c r="Y679" s="330"/>
      <c r="Z679" s="330"/>
      <c r="AA679" s="330"/>
      <c r="AB679" s="330"/>
      <c r="AC679" s="330"/>
      <c r="AD679" s="330"/>
      <c r="AE679" s="330"/>
      <c r="AF679" s="330"/>
      <c r="AG679" s="330"/>
      <c r="AH679" s="330"/>
      <c r="AI679" s="330"/>
      <c r="AJ679" s="330"/>
      <c r="AK679" s="330"/>
      <c r="AL679" s="329"/>
      <c r="AM679" s="329"/>
      <c r="AN679" s="330"/>
      <c r="AO679" s="330"/>
      <c r="AP679" s="330"/>
      <c r="AQ679" s="330"/>
      <c r="AR679" s="231"/>
      <c r="AS679" s="333"/>
      <c r="AT679" s="206"/>
      <c r="AU679" s="328"/>
      <c r="AV679" s="206"/>
      <c r="AW679" s="206"/>
      <c r="AX679" s="206"/>
      <c r="AY679" s="206"/>
      <c r="AZ679" s="206"/>
      <c r="BA679" s="206"/>
      <c r="BB679" s="206"/>
      <c r="BC679" s="206"/>
      <c r="BD679" s="206"/>
      <c r="BE679" s="206"/>
      <c r="BF679" s="206"/>
      <c r="BG679" s="330"/>
      <c r="BH679" s="330"/>
      <c r="BI679" s="330"/>
      <c r="BJ679" s="330"/>
      <c r="BK679" s="330"/>
      <c r="BL679" s="330"/>
      <c r="BM679" s="330"/>
      <c r="BN679" s="330"/>
      <c r="BO679" s="330"/>
      <c r="BP679" s="330"/>
      <c r="BQ679" s="330"/>
      <c r="BR679" s="330"/>
      <c r="BS679" s="330"/>
      <c r="BT679" s="330"/>
      <c r="BU679" s="330"/>
      <c r="BV679" s="330"/>
      <c r="BW679" s="330"/>
      <c r="BX679" s="330"/>
      <c r="BY679" s="330"/>
      <c r="BZ679" s="330"/>
    </row>
    <row r="680" spans="1:78" x14ac:dyDescent="0.25">
      <c r="A680" s="331"/>
      <c r="B680" s="328"/>
      <c r="C680" s="328"/>
      <c r="D680" s="329"/>
      <c r="E680" s="330"/>
      <c r="F680" s="330"/>
      <c r="G680" s="330"/>
      <c r="H680" s="330"/>
      <c r="I680" s="330"/>
      <c r="J680" s="330"/>
      <c r="K680" s="330"/>
      <c r="L680" s="329"/>
      <c r="M680" s="329"/>
      <c r="N680" s="330"/>
      <c r="O680" s="330"/>
      <c r="P680" s="330"/>
      <c r="Q680" s="330"/>
      <c r="R680" s="330"/>
      <c r="S680" s="330"/>
      <c r="T680" s="330"/>
      <c r="U680" s="330"/>
      <c r="V680" s="330"/>
      <c r="W680" s="330"/>
      <c r="X680" s="329"/>
      <c r="Y680" s="330"/>
      <c r="Z680" s="330"/>
      <c r="AA680" s="330"/>
      <c r="AB680" s="330"/>
      <c r="AC680" s="330"/>
      <c r="AD680" s="330"/>
      <c r="AE680" s="330"/>
      <c r="AF680" s="330"/>
      <c r="AG680" s="330"/>
      <c r="AH680" s="330"/>
      <c r="AI680" s="330"/>
      <c r="AJ680" s="330"/>
      <c r="AK680" s="330"/>
      <c r="AL680" s="329"/>
      <c r="AM680" s="329"/>
      <c r="AN680" s="330"/>
      <c r="AO680" s="330"/>
      <c r="AP680" s="330"/>
      <c r="AQ680" s="330"/>
      <c r="AR680" s="231"/>
      <c r="AS680" s="333"/>
      <c r="AT680" s="206"/>
      <c r="AU680" s="328"/>
      <c r="AV680" s="206"/>
      <c r="AW680" s="206"/>
      <c r="AX680" s="206"/>
      <c r="AY680" s="206"/>
      <c r="AZ680" s="206"/>
      <c r="BA680" s="206"/>
      <c r="BB680" s="206"/>
      <c r="BC680" s="206"/>
      <c r="BD680" s="206"/>
      <c r="BE680" s="206"/>
      <c r="BF680" s="206"/>
      <c r="BG680" s="330"/>
      <c r="BH680" s="330"/>
      <c r="BI680" s="330"/>
      <c r="BJ680" s="330"/>
      <c r="BK680" s="330"/>
      <c r="BL680" s="330"/>
      <c r="BM680" s="330"/>
      <c r="BN680" s="330"/>
      <c r="BO680" s="330"/>
      <c r="BP680" s="330"/>
      <c r="BQ680" s="330"/>
      <c r="BR680" s="330"/>
      <c r="BS680" s="330"/>
      <c r="BT680" s="330"/>
      <c r="BU680" s="330"/>
      <c r="BV680" s="330"/>
      <c r="BW680" s="330"/>
      <c r="BX680" s="330"/>
      <c r="BY680" s="330"/>
      <c r="BZ680" s="330"/>
    </row>
    <row r="681" spans="1:78" x14ac:dyDescent="0.25">
      <c r="A681" s="331"/>
      <c r="B681" s="328"/>
      <c r="C681" s="328"/>
      <c r="D681" s="329"/>
      <c r="E681" s="330"/>
      <c r="F681" s="330"/>
      <c r="G681" s="330"/>
      <c r="H681" s="330"/>
      <c r="I681" s="330"/>
      <c r="J681" s="330"/>
      <c r="K681" s="330"/>
      <c r="L681" s="329"/>
      <c r="M681" s="329"/>
      <c r="N681" s="330"/>
      <c r="O681" s="330"/>
      <c r="P681" s="330"/>
      <c r="Q681" s="330"/>
      <c r="R681" s="330"/>
      <c r="S681" s="330"/>
      <c r="T681" s="330"/>
      <c r="U681" s="330"/>
      <c r="V681" s="330"/>
      <c r="W681" s="330"/>
      <c r="X681" s="329"/>
      <c r="Y681" s="330"/>
      <c r="Z681" s="330"/>
      <c r="AA681" s="330"/>
      <c r="AB681" s="330"/>
      <c r="AC681" s="330"/>
      <c r="AD681" s="330"/>
      <c r="AE681" s="330"/>
      <c r="AF681" s="330"/>
      <c r="AG681" s="330"/>
      <c r="AH681" s="330"/>
      <c r="AI681" s="330"/>
      <c r="AJ681" s="330"/>
      <c r="AK681" s="330"/>
      <c r="AL681" s="329"/>
      <c r="AM681" s="329"/>
      <c r="AN681" s="330"/>
      <c r="AO681" s="330"/>
      <c r="AP681" s="330"/>
      <c r="AQ681" s="330"/>
      <c r="AR681" s="231"/>
      <c r="AS681" s="333"/>
      <c r="AT681" s="206"/>
      <c r="AU681" s="328"/>
      <c r="AV681" s="206"/>
      <c r="AW681" s="206"/>
      <c r="AX681" s="206"/>
      <c r="AY681" s="206"/>
      <c r="AZ681" s="206"/>
      <c r="BA681" s="206"/>
      <c r="BB681" s="206"/>
      <c r="BC681" s="206"/>
      <c r="BD681" s="206"/>
      <c r="BE681" s="206"/>
      <c r="BF681" s="206"/>
      <c r="BG681" s="330"/>
      <c r="BH681" s="330"/>
      <c r="BI681" s="330"/>
      <c r="BJ681" s="330"/>
      <c r="BK681" s="330"/>
      <c r="BL681" s="330"/>
      <c r="BM681" s="330"/>
      <c r="BN681" s="330"/>
      <c r="BO681" s="330"/>
      <c r="BP681" s="330"/>
      <c r="BQ681" s="330"/>
      <c r="BR681" s="330"/>
      <c r="BS681" s="330"/>
      <c r="BT681" s="330"/>
      <c r="BU681" s="330"/>
      <c r="BV681" s="330"/>
      <c r="BW681" s="330"/>
      <c r="BX681" s="330"/>
      <c r="BY681" s="330"/>
      <c r="BZ681" s="330"/>
    </row>
    <row r="682" spans="1:78" x14ac:dyDescent="0.25">
      <c r="A682" s="331"/>
      <c r="B682" s="328"/>
      <c r="C682" s="328"/>
      <c r="D682" s="329"/>
      <c r="E682" s="330"/>
      <c r="F682" s="330"/>
      <c r="G682" s="330"/>
      <c r="H682" s="330"/>
      <c r="I682" s="330"/>
      <c r="J682" s="330"/>
      <c r="K682" s="330"/>
      <c r="L682" s="329"/>
      <c r="M682" s="329"/>
      <c r="N682" s="330"/>
      <c r="O682" s="330"/>
      <c r="P682" s="330"/>
      <c r="Q682" s="330"/>
      <c r="R682" s="330"/>
      <c r="S682" s="330"/>
      <c r="T682" s="330"/>
      <c r="U682" s="330"/>
      <c r="V682" s="330"/>
      <c r="W682" s="330"/>
      <c r="X682" s="329"/>
      <c r="Y682" s="330"/>
      <c r="Z682" s="330"/>
      <c r="AA682" s="330"/>
      <c r="AB682" s="330"/>
      <c r="AC682" s="330"/>
      <c r="AD682" s="330"/>
      <c r="AE682" s="330"/>
      <c r="AF682" s="330"/>
      <c r="AG682" s="330"/>
      <c r="AH682" s="330"/>
      <c r="AI682" s="330"/>
      <c r="AJ682" s="330"/>
      <c r="AK682" s="330"/>
      <c r="AL682" s="329"/>
      <c r="AM682" s="329"/>
      <c r="AN682" s="330"/>
      <c r="AO682" s="330"/>
      <c r="AP682" s="330"/>
      <c r="AQ682" s="330"/>
      <c r="AR682" s="231"/>
      <c r="AS682" s="333"/>
      <c r="AT682" s="206"/>
      <c r="AU682" s="328"/>
      <c r="AV682" s="206"/>
      <c r="AW682" s="206"/>
      <c r="AX682" s="206"/>
      <c r="AY682" s="206"/>
      <c r="AZ682" s="206"/>
      <c r="BA682" s="206"/>
      <c r="BB682" s="206"/>
      <c r="BC682" s="206"/>
      <c r="BD682" s="206"/>
      <c r="BE682" s="206"/>
      <c r="BF682" s="206"/>
      <c r="BG682" s="330"/>
      <c r="BH682" s="330"/>
      <c r="BI682" s="330"/>
      <c r="BJ682" s="330"/>
      <c r="BK682" s="330"/>
      <c r="BL682" s="330"/>
      <c r="BM682" s="330"/>
      <c r="BN682" s="330"/>
      <c r="BO682" s="330"/>
      <c r="BP682" s="330"/>
      <c r="BQ682" s="330"/>
      <c r="BR682" s="330"/>
      <c r="BS682" s="330"/>
      <c r="BT682" s="330"/>
      <c r="BU682" s="330"/>
      <c r="BV682" s="330"/>
      <c r="BW682" s="330"/>
      <c r="BX682" s="330"/>
      <c r="BY682" s="330"/>
      <c r="BZ682" s="330"/>
    </row>
    <row r="683" spans="1:78" x14ac:dyDescent="0.25">
      <c r="A683" s="331"/>
      <c r="B683" s="328"/>
      <c r="C683" s="328"/>
      <c r="D683" s="329"/>
      <c r="E683" s="330"/>
      <c r="F683" s="330"/>
      <c r="G683" s="330"/>
      <c r="H683" s="330"/>
      <c r="I683" s="330"/>
      <c r="J683" s="330"/>
      <c r="K683" s="330"/>
      <c r="L683" s="329"/>
      <c r="M683" s="329"/>
      <c r="N683" s="330"/>
      <c r="O683" s="330"/>
      <c r="P683" s="330"/>
      <c r="Q683" s="330"/>
      <c r="R683" s="330"/>
      <c r="S683" s="330"/>
      <c r="T683" s="330"/>
      <c r="U683" s="330"/>
      <c r="V683" s="330"/>
      <c r="W683" s="330"/>
      <c r="X683" s="329"/>
      <c r="Y683" s="330"/>
      <c r="Z683" s="330"/>
      <c r="AA683" s="330"/>
      <c r="AB683" s="330"/>
      <c r="AC683" s="330"/>
      <c r="AD683" s="330"/>
      <c r="AE683" s="330"/>
      <c r="AF683" s="330"/>
      <c r="AG683" s="330"/>
      <c r="AH683" s="330"/>
      <c r="AI683" s="330"/>
      <c r="AJ683" s="330"/>
      <c r="AK683" s="330"/>
      <c r="AL683" s="329"/>
      <c r="AM683" s="329"/>
      <c r="AN683" s="330"/>
      <c r="AO683" s="330"/>
      <c r="AP683" s="330"/>
      <c r="AQ683" s="330"/>
      <c r="AR683" s="231"/>
      <c r="AS683" s="333"/>
      <c r="AT683" s="206"/>
      <c r="AU683" s="328"/>
      <c r="AV683" s="206"/>
      <c r="AW683" s="206"/>
      <c r="AX683" s="206"/>
      <c r="AY683" s="206"/>
      <c r="AZ683" s="206"/>
      <c r="BA683" s="206"/>
      <c r="BB683" s="206"/>
      <c r="BC683" s="206"/>
      <c r="BD683" s="206"/>
      <c r="BE683" s="206"/>
      <c r="BF683" s="206"/>
      <c r="BG683" s="330"/>
      <c r="BH683" s="330"/>
      <c r="BI683" s="330"/>
      <c r="BJ683" s="330"/>
      <c r="BK683" s="330"/>
      <c r="BL683" s="330"/>
      <c r="BM683" s="330"/>
      <c r="BN683" s="330"/>
      <c r="BO683" s="330"/>
      <c r="BP683" s="330"/>
      <c r="BQ683" s="330"/>
      <c r="BR683" s="330"/>
      <c r="BS683" s="330"/>
      <c r="BT683" s="330"/>
      <c r="BU683" s="330"/>
      <c r="BV683" s="330"/>
      <c r="BW683" s="330"/>
      <c r="BX683" s="330"/>
      <c r="BY683" s="330"/>
      <c r="BZ683" s="330"/>
    </row>
    <row r="684" spans="1:78" x14ac:dyDescent="0.25">
      <c r="A684" s="331"/>
      <c r="B684" s="328"/>
      <c r="C684" s="328"/>
      <c r="D684" s="329"/>
      <c r="E684" s="330"/>
      <c r="F684" s="330"/>
      <c r="G684" s="330"/>
      <c r="H684" s="330"/>
      <c r="I684" s="330"/>
      <c r="J684" s="330"/>
      <c r="K684" s="330"/>
      <c r="L684" s="329"/>
      <c r="M684" s="329"/>
      <c r="N684" s="330"/>
      <c r="O684" s="330"/>
      <c r="P684" s="330"/>
      <c r="Q684" s="330"/>
      <c r="R684" s="330"/>
      <c r="S684" s="330"/>
      <c r="T684" s="330"/>
      <c r="U684" s="330"/>
      <c r="V684" s="330"/>
      <c r="W684" s="330"/>
      <c r="X684" s="329"/>
      <c r="Y684" s="330"/>
      <c r="Z684" s="330"/>
      <c r="AA684" s="330"/>
      <c r="AB684" s="330"/>
      <c r="AC684" s="330"/>
      <c r="AD684" s="330"/>
      <c r="AE684" s="330"/>
      <c r="AF684" s="330"/>
      <c r="AG684" s="330"/>
      <c r="AH684" s="330"/>
      <c r="AI684" s="330"/>
      <c r="AJ684" s="330"/>
      <c r="AK684" s="330"/>
      <c r="AL684" s="329"/>
      <c r="AM684" s="329"/>
      <c r="AN684" s="330"/>
      <c r="AO684" s="330"/>
      <c r="AP684" s="330"/>
      <c r="AQ684" s="330"/>
      <c r="AR684" s="231"/>
      <c r="AS684" s="333"/>
      <c r="AT684" s="206"/>
      <c r="AU684" s="328"/>
      <c r="AV684" s="206"/>
      <c r="AW684" s="206"/>
      <c r="AX684" s="206"/>
      <c r="AY684" s="206"/>
      <c r="AZ684" s="206"/>
      <c r="BA684" s="206"/>
      <c r="BB684" s="206"/>
      <c r="BC684" s="206"/>
      <c r="BD684" s="206"/>
      <c r="BE684" s="206"/>
      <c r="BF684" s="206"/>
      <c r="BG684" s="330"/>
      <c r="BH684" s="330"/>
      <c r="BI684" s="330"/>
      <c r="BJ684" s="330"/>
      <c r="BK684" s="330"/>
      <c r="BL684" s="330"/>
      <c r="BM684" s="330"/>
      <c r="BN684" s="330"/>
      <c r="BO684" s="330"/>
      <c r="BP684" s="330"/>
      <c r="BQ684" s="330"/>
      <c r="BR684" s="330"/>
      <c r="BS684" s="330"/>
      <c r="BT684" s="330"/>
      <c r="BU684" s="330"/>
      <c r="BV684" s="330"/>
      <c r="BW684" s="330"/>
      <c r="BX684" s="330"/>
      <c r="BY684" s="330"/>
      <c r="BZ684" s="330"/>
    </row>
    <row r="685" spans="1:78" x14ac:dyDescent="0.25">
      <c r="A685" s="331"/>
      <c r="B685" s="328"/>
      <c r="C685" s="328"/>
      <c r="D685" s="329"/>
      <c r="E685" s="330"/>
      <c r="F685" s="330"/>
      <c r="G685" s="330"/>
      <c r="H685" s="330"/>
      <c r="I685" s="330"/>
      <c r="J685" s="330"/>
      <c r="K685" s="330"/>
      <c r="L685" s="329"/>
      <c r="M685" s="329"/>
      <c r="N685" s="330"/>
      <c r="O685" s="330"/>
      <c r="P685" s="330"/>
      <c r="Q685" s="330"/>
      <c r="R685" s="330"/>
      <c r="S685" s="330"/>
      <c r="T685" s="330"/>
      <c r="U685" s="330"/>
      <c r="V685" s="330"/>
      <c r="W685" s="330"/>
      <c r="X685" s="329"/>
      <c r="Y685" s="330"/>
      <c r="Z685" s="330"/>
      <c r="AA685" s="330"/>
      <c r="AB685" s="330"/>
      <c r="AC685" s="330"/>
      <c r="AD685" s="330"/>
      <c r="AE685" s="330"/>
      <c r="AF685" s="330"/>
      <c r="AG685" s="330"/>
      <c r="AH685" s="330"/>
      <c r="AI685" s="330"/>
      <c r="AJ685" s="330"/>
      <c r="AK685" s="330"/>
      <c r="AL685" s="329"/>
      <c r="AM685" s="329"/>
      <c r="AN685" s="330"/>
      <c r="AO685" s="330"/>
      <c r="AP685" s="330"/>
      <c r="AQ685" s="330"/>
      <c r="AR685" s="231"/>
      <c r="AS685" s="333"/>
      <c r="AT685" s="206"/>
      <c r="AU685" s="328"/>
      <c r="AV685" s="206"/>
      <c r="AW685" s="206"/>
      <c r="AX685" s="206"/>
      <c r="AY685" s="206"/>
      <c r="AZ685" s="206"/>
      <c r="BA685" s="206"/>
      <c r="BB685" s="206"/>
      <c r="BC685" s="206"/>
      <c r="BD685" s="206"/>
      <c r="BE685" s="206"/>
      <c r="BF685" s="206"/>
      <c r="BG685" s="330"/>
      <c r="BH685" s="330"/>
      <c r="BI685" s="330"/>
      <c r="BJ685" s="330"/>
      <c r="BK685" s="330"/>
      <c r="BL685" s="330"/>
      <c r="BM685" s="330"/>
      <c r="BN685" s="330"/>
      <c r="BO685" s="330"/>
      <c r="BP685" s="330"/>
      <c r="BQ685" s="330"/>
      <c r="BR685" s="330"/>
      <c r="BS685" s="330"/>
      <c r="BT685" s="330"/>
      <c r="BU685" s="330"/>
      <c r="BV685" s="330"/>
      <c r="BW685" s="330"/>
      <c r="BX685" s="330"/>
      <c r="BY685" s="330"/>
      <c r="BZ685" s="330"/>
    </row>
    <row r="686" spans="1:78" x14ac:dyDescent="0.25">
      <c r="A686" s="331"/>
      <c r="B686" s="328"/>
      <c r="C686" s="328"/>
      <c r="D686" s="329"/>
      <c r="E686" s="330"/>
      <c r="F686" s="330"/>
      <c r="G686" s="330"/>
      <c r="H686" s="330"/>
      <c r="I686" s="330"/>
      <c r="J686" s="330"/>
      <c r="K686" s="330"/>
      <c r="L686" s="329"/>
      <c r="M686" s="329"/>
      <c r="N686" s="330"/>
      <c r="O686" s="330"/>
      <c r="P686" s="330"/>
      <c r="Q686" s="330"/>
      <c r="R686" s="330"/>
      <c r="S686" s="330"/>
      <c r="T686" s="330"/>
      <c r="U686" s="330"/>
      <c r="V686" s="330"/>
      <c r="W686" s="330"/>
      <c r="X686" s="329"/>
      <c r="Y686" s="330"/>
      <c r="Z686" s="330"/>
      <c r="AA686" s="330"/>
      <c r="AB686" s="330"/>
      <c r="AC686" s="330"/>
      <c r="AD686" s="330"/>
      <c r="AE686" s="330"/>
      <c r="AF686" s="330"/>
      <c r="AG686" s="330"/>
      <c r="AH686" s="330"/>
      <c r="AI686" s="330"/>
      <c r="AJ686" s="330"/>
      <c r="AK686" s="330"/>
      <c r="AL686" s="329"/>
      <c r="AM686" s="329"/>
      <c r="AN686" s="330"/>
      <c r="AO686" s="330"/>
      <c r="AP686" s="330"/>
      <c r="AQ686" s="330"/>
      <c r="AR686" s="231"/>
      <c r="AS686" s="333"/>
      <c r="AT686" s="206"/>
      <c r="AU686" s="328"/>
      <c r="AV686" s="206"/>
      <c r="AW686" s="206"/>
      <c r="AX686" s="206"/>
      <c r="AY686" s="206"/>
      <c r="AZ686" s="206"/>
      <c r="BA686" s="206"/>
      <c r="BB686" s="206"/>
      <c r="BC686" s="206"/>
      <c r="BD686" s="206"/>
      <c r="BE686" s="206"/>
      <c r="BF686" s="206"/>
      <c r="BG686" s="330"/>
      <c r="BH686" s="330"/>
      <c r="BI686" s="330"/>
      <c r="BJ686" s="330"/>
      <c r="BK686" s="330"/>
      <c r="BL686" s="330"/>
      <c r="BM686" s="330"/>
      <c r="BN686" s="330"/>
      <c r="BO686" s="330"/>
      <c r="BP686" s="330"/>
      <c r="BQ686" s="330"/>
      <c r="BR686" s="330"/>
      <c r="BS686" s="330"/>
      <c r="BT686" s="330"/>
      <c r="BU686" s="330"/>
      <c r="BV686" s="330"/>
      <c r="BW686" s="330"/>
      <c r="BX686" s="330"/>
      <c r="BY686" s="330"/>
      <c r="BZ686" s="330"/>
    </row>
    <row r="687" spans="1:78" x14ac:dyDescent="0.25">
      <c r="A687" s="331"/>
      <c r="B687" s="328"/>
      <c r="C687" s="328"/>
      <c r="D687" s="329"/>
      <c r="E687" s="330"/>
      <c r="F687" s="330"/>
      <c r="G687" s="330"/>
      <c r="H687" s="330"/>
      <c r="I687" s="330"/>
      <c r="J687" s="330"/>
      <c r="K687" s="330"/>
      <c r="L687" s="329"/>
      <c r="M687" s="329"/>
      <c r="N687" s="330"/>
      <c r="O687" s="330"/>
      <c r="P687" s="330"/>
      <c r="Q687" s="330"/>
      <c r="R687" s="330"/>
      <c r="S687" s="330"/>
      <c r="T687" s="330"/>
      <c r="U687" s="330"/>
      <c r="V687" s="330"/>
      <c r="W687" s="330"/>
      <c r="X687" s="329"/>
      <c r="Y687" s="330"/>
      <c r="Z687" s="330"/>
      <c r="AA687" s="330"/>
      <c r="AB687" s="330"/>
      <c r="AC687" s="330"/>
      <c r="AD687" s="330"/>
      <c r="AE687" s="330"/>
      <c r="AF687" s="330"/>
      <c r="AG687" s="330"/>
      <c r="AH687" s="330"/>
      <c r="AI687" s="330"/>
      <c r="AJ687" s="330"/>
      <c r="AK687" s="330"/>
      <c r="AL687" s="329"/>
      <c r="AM687" s="329"/>
      <c r="AN687" s="330"/>
      <c r="AO687" s="330"/>
      <c r="AP687" s="330"/>
      <c r="AQ687" s="330"/>
      <c r="AR687" s="231"/>
      <c r="AS687" s="333"/>
      <c r="AT687" s="206"/>
      <c r="AU687" s="328"/>
      <c r="AV687" s="206"/>
      <c r="AW687" s="206"/>
      <c r="AX687" s="206"/>
      <c r="AY687" s="206"/>
      <c r="AZ687" s="206"/>
      <c r="BA687" s="206"/>
      <c r="BB687" s="206"/>
      <c r="BC687" s="206"/>
      <c r="BD687" s="206"/>
      <c r="BE687" s="206"/>
      <c r="BF687" s="206"/>
      <c r="BG687" s="330"/>
      <c r="BH687" s="330"/>
      <c r="BI687" s="330"/>
      <c r="BJ687" s="330"/>
      <c r="BK687" s="330"/>
      <c r="BL687" s="330"/>
      <c r="BM687" s="330"/>
      <c r="BN687" s="330"/>
      <c r="BO687" s="330"/>
      <c r="BP687" s="330"/>
      <c r="BQ687" s="330"/>
      <c r="BR687" s="330"/>
      <c r="BS687" s="330"/>
      <c r="BT687" s="330"/>
      <c r="BU687" s="330"/>
      <c r="BV687" s="330"/>
      <c r="BW687" s="330"/>
      <c r="BX687" s="330"/>
      <c r="BY687" s="330"/>
      <c r="BZ687" s="330"/>
    </row>
    <row r="688" spans="1:78" x14ac:dyDescent="0.25">
      <c r="A688" s="331"/>
      <c r="B688" s="328"/>
      <c r="C688" s="328"/>
      <c r="D688" s="329"/>
      <c r="E688" s="330"/>
      <c r="F688" s="330"/>
      <c r="G688" s="330"/>
      <c r="H688" s="330"/>
      <c r="I688" s="330"/>
      <c r="J688" s="330"/>
      <c r="K688" s="330"/>
      <c r="L688" s="329"/>
      <c r="M688" s="329"/>
      <c r="N688" s="330"/>
      <c r="O688" s="330"/>
      <c r="P688" s="330"/>
      <c r="Q688" s="330"/>
      <c r="R688" s="330"/>
      <c r="S688" s="330"/>
      <c r="T688" s="330"/>
      <c r="U688" s="330"/>
      <c r="V688" s="330"/>
      <c r="W688" s="330"/>
      <c r="X688" s="329"/>
      <c r="Y688" s="330"/>
      <c r="Z688" s="330"/>
      <c r="AA688" s="330"/>
      <c r="AB688" s="330"/>
      <c r="AC688" s="330"/>
      <c r="AD688" s="330"/>
      <c r="AE688" s="330"/>
      <c r="AF688" s="330"/>
      <c r="AG688" s="330"/>
      <c r="AH688" s="330"/>
      <c r="AI688" s="330"/>
      <c r="AJ688" s="330"/>
      <c r="AK688" s="330"/>
      <c r="AL688" s="329"/>
      <c r="AM688" s="329"/>
      <c r="AN688" s="330"/>
      <c r="AO688" s="330"/>
      <c r="AP688" s="330"/>
      <c r="AQ688" s="330"/>
      <c r="AR688" s="231"/>
      <c r="AS688" s="333"/>
      <c r="AT688" s="206"/>
      <c r="AU688" s="328"/>
      <c r="AV688" s="206"/>
      <c r="AW688" s="206"/>
      <c r="AX688" s="206"/>
      <c r="AY688" s="206"/>
      <c r="AZ688" s="206"/>
      <c r="BA688" s="206"/>
      <c r="BB688" s="206"/>
      <c r="BC688" s="206"/>
      <c r="BD688" s="206"/>
      <c r="BE688" s="206"/>
      <c r="BF688" s="206"/>
      <c r="BG688" s="330"/>
      <c r="BH688" s="330"/>
      <c r="BI688" s="330"/>
      <c r="BJ688" s="330"/>
      <c r="BK688" s="330"/>
      <c r="BL688" s="330"/>
      <c r="BM688" s="330"/>
      <c r="BN688" s="330"/>
      <c r="BO688" s="330"/>
      <c r="BP688" s="330"/>
      <c r="BQ688" s="330"/>
      <c r="BR688" s="330"/>
      <c r="BS688" s="330"/>
      <c r="BT688" s="330"/>
      <c r="BU688" s="330"/>
      <c r="BV688" s="330"/>
      <c r="BW688" s="330"/>
      <c r="BX688" s="330"/>
      <c r="BY688" s="330"/>
      <c r="BZ688" s="330"/>
    </row>
    <row r="689" spans="1:78" x14ac:dyDescent="0.25">
      <c r="A689" s="331"/>
      <c r="B689" s="328"/>
      <c r="C689" s="328"/>
      <c r="D689" s="329"/>
      <c r="E689" s="330"/>
      <c r="F689" s="330"/>
      <c r="G689" s="330"/>
      <c r="H689" s="330"/>
      <c r="I689" s="330"/>
      <c r="J689" s="330"/>
      <c r="K689" s="330"/>
      <c r="L689" s="329"/>
      <c r="M689" s="329"/>
      <c r="N689" s="330"/>
      <c r="O689" s="330"/>
      <c r="P689" s="330"/>
      <c r="Q689" s="330"/>
      <c r="R689" s="330"/>
      <c r="S689" s="330"/>
      <c r="T689" s="330"/>
      <c r="U689" s="330"/>
      <c r="V689" s="330"/>
      <c r="W689" s="330"/>
      <c r="X689" s="329"/>
      <c r="Y689" s="330"/>
      <c r="Z689" s="330"/>
      <c r="AA689" s="330"/>
      <c r="AB689" s="330"/>
      <c r="AC689" s="330"/>
      <c r="AD689" s="330"/>
      <c r="AE689" s="330"/>
      <c r="AF689" s="330"/>
      <c r="AG689" s="330"/>
      <c r="AH689" s="330"/>
      <c r="AI689" s="330"/>
      <c r="AJ689" s="330"/>
      <c r="AK689" s="330"/>
      <c r="AL689" s="329"/>
      <c r="AM689" s="329"/>
      <c r="AN689" s="330"/>
      <c r="AO689" s="330"/>
      <c r="AP689" s="330"/>
      <c r="AQ689" s="330"/>
      <c r="AR689" s="231"/>
      <c r="AS689" s="333"/>
      <c r="AT689" s="206"/>
      <c r="AU689" s="328"/>
      <c r="AV689" s="206"/>
      <c r="AW689" s="206"/>
      <c r="AX689" s="206"/>
      <c r="AY689" s="206"/>
      <c r="AZ689" s="206"/>
      <c r="BA689" s="206"/>
      <c r="BB689" s="206"/>
      <c r="BC689" s="206"/>
      <c r="BD689" s="206"/>
      <c r="BE689" s="206"/>
      <c r="BF689" s="206"/>
      <c r="BG689" s="330"/>
      <c r="BH689" s="330"/>
      <c r="BI689" s="330"/>
      <c r="BJ689" s="330"/>
      <c r="BK689" s="330"/>
      <c r="BL689" s="330"/>
      <c r="BM689" s="330"/>
      <c r="BN689" s="330"/>
      <c r="BO689" s="330"/>
      <c r="BP689" s="330"/>
      <c r="BQ689" s="330"/>
      <c r="BR689" s="330"/>
      <c r="BS689" s="330"/>
      <c r="BT689" s="330"/>
      <c r="BU689" s="330"/>
      <c r="BV689" s="330"/>
      <c r="BW689" s="330"/>
      <c r="BX689" s="330"/>
      <c r="BY689" s="330"/>
      <c r="BZ689" s="330"/>
    </row>
    <row r="690" spans="1:78" x14ac:dyDescent="0.25">
      <c r="A690" s="331"/>
      <c r="B690" s="328"/>
      <c r="C690" s="328"/>
      <c r="D690" s="329"/>
      <c r="E690" s="330"/>
      <c r="F690" s="330"/>
      <c r="G690" s="330"/>
      <c r="H690" s="330"/>
      <c r="I690" s="330"/>
      <c r="J690" s="330"/>
      <c r="K690" s="330"/>
      <c r="L690" s="329"/>
      <c r="M690" s="329"/>
      <c r="N690" s="330"/>
      <c r="O690" s="330"/>
      <c r="P690" s="330"/>
      <c r="Q690" s="330"/>
      <c r="R690" s="330"/>
      <c r="S690" s="330"/>
      <c r="T690" s="330"/>
      <c r="U690" s="330"/>
      <c r="V690" s="330"/>
      <c r="W690" s="330"/>
      <c r="X690" s="329"/>
      <c r="Y690" s="330"/>
      <c r="Z690" s="330"/>
      <c r="AA690" s="330"/>
      <c r="AB690" s="330"/>
      <c r="AC690" s="330"/>
      <c r="AD690" s="330"/>
      <c r="AE690" s="330"/>
      <c r="AF690" s="330"/>
      <c r="AG690" s="330"/>
      <c r="AH690" s="330"/>
      <c r="AI690" s="330"/>
      <c r="AJ690" s="330"/>
      <c r="AK690" s="330"/>
      <c r="AL690" s="329"/>
      <c r="AM690" s="329"/>
      <c r="AN690" s="330"/>
      <c r="AO690" s="330"/>
      <c r="AP690" s="330"/>
      <c r="AQ690" s="330"/>
      <c r="AR690" s="231"/>
      <c r="AS690" s="333"/>
      <c r="AT690" s="206"/>
      <c r="AU690" s="328"/>
      <c r="AV690" s="206"/>
      <c r="AW690" s="206"/>
      <c r="AX690" s="206"/>
      <c r="AY690" s="206"/>
      <c r="AZ690" s="206"/>
      <c r="BA690" s="206"/>
      <c r="BB690" s="206"/>
      <c r="BC690" s="206"/>
      <c r="BD690" s="206"/>
      <c r="BE690" s="206"/>
      <c r="BF690" s="206"/>
      <c r="BG690" s="330"/>
      <c r="BH690" s="330"/>
      <c r="BI690" s="330"/>
      <c r="BJ690" s="330"/>
      <c r="BK690" s="330"/>
      <c r="BL690" s="330"/>
      <c r="BM690" s="330"/>
      <c r="BN690" s="330"/>
      <c r="BO690" s="330"/>
      <c r="BP690" s="330"/>
      <c r="BQ690" s="330"/>
      <c r="BR690" s="330"/>
      <c r="BS690" s="330"/>
      <c r="BT690" s="330"/>
      <c r="BU690" s="330"/>
      <c r="BV690" s="330"/>
      <c r="BW690" s="330"/>
      <c r="BX690" s="330"/>
      <c r="BY690" s="330"/>
      <c r="BZ690" s="330"/>
    </row>
    <row r="691" spans="1:78" x14ac:dyDescent="0.25">
      <c r="A691" s="331"/>
      <c r="B691" s="328"/>
      <c r="C691" s="328"/>
      <c r="D691" s="329"/>
      <c r="E691" s="330"/>
      <c r="F691" s="330"/>
      <c r="G691" s="330"/>
      <c r="H691" s="330"/>
      <c r="I691" s="330"/>
      <c r="J691" s="330"/>
      <c r="K691" s="330"/>
      <c r="L691" s="329"/>
      <c r="M691" s="329"/>
      <c r="N691" s="330"/>
      <c r="O691" s="330"/>
      <c r="P691" s="330"/>
      <c r="Q691" s="330"/>
      <c r="R691" s="330"/>
      <c r="S691" s="330"/>
      <c r="T691" s="330"/>
      <c r="U691" s="330"/>
      <c r="V691" s="330"/>
      <c r="W691" s="330"/>
      <c r="X691" s="329"/>
      <c r="Y691" s="330"/>
      <c r="Z691" s="330"/>
      <c r="AA691" s="330"/>
      <c r="AB691" s="330"/>
      <c r="AC691" s="330"/>
      <c r="AD691" s="330"/>
      <c r="AE691" s="330"/>
      <c r="AF691" s="330"/>
      <c r="AG691" s="330"/>
      <c r="AH691" s="330"/>
      <c r="AI691" s="330"/>
      <c r="AJ691" s="330"/>
      <c r="AK691" s="330"/>
      <c r="AL691" s="329"/>
      <c r="AM691" s="329"/>
      <c r="AN691" s="330"/>
      <c r="AO691" s="330"/>
      <c r="AP691" s="330"/>
      <c r="AQ691" s="330"/>
      <c r="AR691" s="231"/>
      <c r="AS691" s="333"/>
      <c r="AT691" s="206"/>
      <c r="AU691" s="328"/>
      <c r="AV691" s="206"/>
      <c r="AW691" s="206"/>
      <c r="AX691" s="206"/>
      <c r="AY691" s="206"/>
      <c r="AZ691" s="206"/>
      <c r="BA691" s="206"/>
      <c r="BB691" s="206"/>
      <c r="BC691" s="206"/>
      <c r="BD691" s="206"/>
      <c r="BE691" s="206"/>
      <c r="BF691" s="206"/>
      <c r="BG691" s="330"/>
      <c r="BH691" s="330"/>
      <c r="BI691" s="330"/>
      <c r="BJ691" s="330"/>
      <c r="BK691" s="330"/>
      <c r="BL691" s="330"/>
      <c r="BM691" s="330"/>
      <c r="BN691" s="330"/>
      <c r="BO691" s="330"/>
      <c r="BP691" s="330"/>
      <c r="BQ691" s="330"/>
      <c r="BR691" s="330"/>
      <c r="BS691" s="330"/>
      <c r="BT691" s="330"/>
      <c r="BU691" s="330"/>
      <c r="BV691" s="330"/>
      <c r="BW691" s="330"/>
      <c r="BX691" s="330"/>
      <c r="BY691" s="330"/>
      <c r="BZ691" s="330"/>
    </row>
    <row r="692" spans="1:78" x14ac:dyDescent="0.25">
      <c r="A692" s="331"/>
      <c r="B692" s="328"/>
      <c r="C692" s="328"/>
      <c r="D692" s="329"/>
      <c r="E692" s="330"/>
      <c r="F692" s="330"/>
      <c r="G692" s="330"/>
      <c r="H692" s="330"/>
      <c r="I692" s="330"/>
      <c r="J692" s="330"/>
      <c r="K692" s="330"/>
      <c r="L692" s="329"/>
      <c r="M692" s="329"/>
      <c r="N692" s="330"/>
      <c r="O692" s="330"/>
      <c r="P692" s="330"/>
      <c r="Q692" s="330"/>
      <c r="R692" s="330"/>
      <c r="S692" s="330"/>
      <c r="T692" s="330"/>
      <c r="U692" s="330"/>
      <c r="V692" s="330"/>
      <c r="W692" s="330"/>
      <c r="X692" s="329"/>
      <c r="Y692" s="330"/>
      <c r="Z692" s="330"/>
      <c r="AA692" s="330"/>
      <c r="AB692" s="330"/>
      <c r="AC692" s="330"/>
      <c r="AD692" s="330"/>
      <c r="AE692" s="330"/>
      <c r="AF692" s="330"/>
      <c r="AG692" s="330"/>
      <c r="AH692" s="330"/>
      <c r="AI692" s="330"/>
      <c r="AJ692" s="330"/>
      <c r="AK692" s="330"/>
      <c r="AL692" s="329"/>
      <c r="AM692" s="329"/>
      <c r="AN692" s="330"/>
      <c r="AO692" s="330"/>
      <c r="AP692" s="330"/>
      <c r="AQ692" s="330"/>
      <c r="AR692" s="231"/>
      <c r="AS692" s="333"/>
      <c r="AT692" s="206"/>
      <c r="AU692" s="328"/>
      <c r="AV692" s="206"/>
      <c r="AW692" s="206"/>
      <c r="AX692" s="206"/>
      <c r="AY692" s="206"/>
      <c r="AZ692" s="206"/>
      <c r="BA692" s="206"/>
      <c r="BB692" s="206"/>
      <c r="BC692" s="206"/>
      <c r="BD692" s="206"/>
      <c r="BE692" s="206"/>
      <c r="BF692" s="206"/>
      <c r="BG692" s="330"/>
      <c r="BH692" s="330"/>
      <c r="BI692" s="330"/>
      <c r="BJ692" s="330"/>
      <c r="BK692" s="330"/>
      <c r="BL692" s="330"/>
      <c r="BM692" s="330"/>
      <c r="BN692" s="330"/>
      <c r="BO692" s="330"/>
      <c r="BP692" s="330"/>
      <c r="BQ692" s="330"/>
      <c r="BR692" s="330"/>
      <c r="BS692" s="330"/>
      <c r="BT692" s="330"/>
      <c r="BU692" s="330"/>
      <c r="BV692" s="330"/>
      <c r="BW692" s="330"/>
      <c r="BX692" s="330"/>
      <c r="BY692" s="330"/>
      <c r="BZ692" s="330"/>
    </row>
    <row r="693" spans="1:78" x14ac:dyDescent="0.25">
      <c r="A693" s="331"/>
      <c r="B693" s="328"/>
      <c r="C693" s="328"/>
      <c r="D693" s="329"/>
      <c r="E693" s="330"/>
      <c r="F693" s="330"/>
      <c r="G693" s="330"/>
      <c r="H693" s="330"/>
      <c r="I693" s="330"/>
      <c r="J693" s="330"/>
      <c r="K693" s="330"/>
      <c r="L693" s="329"/>
      <c r="M693" s="329"/>
      <c r="N693" s="330"/>
      <c r="O693" s="330"/>
      <c r="P693" s="330"/>
      <c r="Q693" s="330"/>
      <c r="R693" s="330"/>
      <c r="S693" s="330"/>
      <c r="T693" s="330"/>
      <c r="U693" s="330"/>
      <c r="V693" s="330"/>
      <c r="W693" s="330"/>
      <c r="X693" s="329"/>
      <c r="Y693" s="330"/>
      <c r="Z693" s="330"/>
      <c r="AA693" s="330"/>
      <c r="AB693" s="330"/>
      <c r="AC693" s="330"/>
      <c r="AD693" s="330"/>
      <c r="AE693" s="330"/>
      <c r="AF693" s="330"/>
      <c r="AG693" s="330"/>
      <c r="AH693" s="330"/>
      <c r="AI693" s="330"/>
      <c r="AJ693" s="330"/>
      <c r="AK693" s="330"/>
      <c r="AL693" s="329"/>
      <c r="AM693" s="329"/>
      <c r="AN693" s="330"/>
      <c r="AO693" s="330"/>
      <c r="AP693" s="330"/>
      <c r="AQ693" s="330"/>
      <c r="AR693" s="231"/>
      <c r="AS693" s="333"/>
      <c r="AT693" s="206"/>
      <c r="AU693" s="328"/>
      <c r="AV693" s="206"/>
      <c r="AW693" s="206"/>
      <c r="AX693" s="206"/>
      <c r="AY693" s="206"/>
      <c r="AZ693" s="206"/>
      <c r="BA693" s="206"/>
      <c r="BB693" s="206"/>
      <c r="BC693" s="206"/>
      <c r="BD693" s="206"/>
      <c r="BE693" s="206"/>
      <c r="BF693" s="206"/>
      <c r="BG693" s="330"/>
      <c r="BH693" s="330"/>
      <c r="BI693" s="330"/>
      <c r="BJ693" s="330"/>
      <c r="BK693" s="330"/>
      <c r="BL693" s="330"/>
      <c r="BM693" s="330"/>
      <c r="BN693" s="330"/>
      <c r="BO693" s="330"/>
      <c r="BP693" s="330"/>
      <c r="BQ693" s="330"/>
      <c r="BR693" s="330"/>
      <c r="BS693" s="330"/>
      <c r="BT693" s="330"/>
      <c r="BU693" s="330"/>
      <c r="BV693" s="330"/>
      <c r="BW693" s="330"/>
      <c r="BX693" s="330"/>
      <c r="BY693" s="330"/>
      <c r="BZ693" s="330"/>
    </row>
    <row r="694" spans="1:78" x14ac:dyDescent="0.25">
      <c r="A694" s="331"/>
      <c r="B694" s="328"/>
      <c r="C694" s="328"/>
      <c r="D694" s="329"/>
      <c r="E694" s="330"/>
      <c r="F694" s="330"/>
      <c r="G694" s="330"/>
      <c r="H694" s="330"/>
      <c r="I694" s="330"/>
      <c r="J694" s="330"/>
      <c r="K694" s="330"/>
      <c r="L694" s="329"/>
      <c r="M694" s="329"/>
      <c r="N694" s="330"/>
      <c r="O694" s="330"/>
      <c r="P694" s="330"/>
      <c r="Q694" s="330"/>
      <c r="R694" s="330"/>
      <c r="S694" s="330"/>
      <c r="T694" s="330"/>
      <c r="U694" s="330"/>
      <c r="V694" s="330"/>
      <c r="W694" s="330"/>
      <c r="X694" s="329"/>
      <c r="Y694" s="330"/>
      <c r="Z694" s="330"/>
      <c r="AA694" s="330"/>
      <c r="AB694" s="330"/>
      <c r="AC694" s="330"/>
      <c r="AD694" s="330"/>
      <c r="AE694" s="330"/>
      <c r="AF694" s="330"/>
      <c r="AG694" s="330"/>
      <c r="AH694" s="330"/>
      <c r="AI694" s="330"/>
      <c r="AJ694" s="330"/>
      <c r="AK694" s="330"/>
      <c r="AL694" s="329"/>
      <c r="AM694" s="329"/>
      <c r="AN694" s="330"/>
      <c r="AO694" s="330"/>
      <c r="AP694" s="330"/>
      <c r="AQ694" s="330"/>
      <c r="AR694" s="231"/>
      <c r="AS694" s="333"/>
      <c r="AT694" s="206"/>
      <c r="AU694" s="328"/>
      <c r="AV694" s="206"/>
      <c r="AW694" s="206"/>
      <c r="AX694" s="206"/>
      <c r="AY694" s="206"/>
      <c r="AZ694" s="206"/>
      <c r="BA694" s="206"/>
      <c r="BB694" s="206"/>
      <c r="BC694" s="206"/>
      <c r="BD694" s="206"/>
      <c r="BE694" s="206"/>
      <c r="BF694" s="206"/>
      <c r="BG694" s="330"/>
      <c r="BH694" s="330"/>
      <c r="BI694" s="330"/>
      <c r="BJ694" s="330"/>
      <c r="BK694" s="330"/>
      <c r="BL694" s="330"/>
      <c r="BM694" s="330"/>
      <c r="BN694" s="330"/>
      <c r="BO694" s="330"/>
      <c r="BP694" s="330"/>
      <c r="BQ694" s="330"/>
      <c r="BR694" s="330"/>
      <c r="BS694" s="330"/>
      <c r="BT694" s="330"/>
      <c r="BU694" s="330"/>
      <c r="BV694" s="330"/>
      <c r="BW694" s="330"/>
      <c r="BX694" s="330"/>
      <c r="BY694" s="330"/>
      <c r="BZ694" s="330"/>
    </row>
    <row r="695" spans="1:78" x14ac:dyDescent="0.25">
      <c r="A695" s="331"/>
      <c r="B695" s="328"/>
      <c r="C695" s="328"/>
      <c r="D695" s="329"/>
      <c r="E695" s="330"/>
      <c r="F695" s="330"/>
      <c r="G695" s="330"/>
      <c r="H695" s="330"/>
      <c r="I695" s="330"/>
      <c r="J695" s="330"/>
      <c r="K695" s="330"/>
      <c r="L695" s="329"/>
      <c r="M695" s="329"/>
      <c r="N695" s="330"/>
      <c r="O695" s="330"/>
      <c r="P695" s="330"/>
      <c r="Q695" s="330"/>
      <c r="R695" s="330"/>
      <c r="S695" s="330"/>
      <c r="T695" s="330"/>
      <c r="U695" s="330"/>
      <c r="V695" s="330"/>
      <c r="W695" s="330"/>
      <c r="X695" s="329"/>
      <c r="Y695" s="330"/>
      <c r="Z695" s="330"/>
      <c r="AA695" s="330"/>
      <c r="AB695" s="330"/>
      <c r="AC695" s="330"/>
      <c r="AD695" s="330"/>
      <c r="AE695" s="330"/>
      <c r="AF695" s="330"/>
      <c r="AG695" s="330"/>
      <c r="AH695" s="330"/>
      <c r="AI695" s="330"/>
      <c r="AJ695" s="330"/>
      <c r="AK695" s="330"/>
      <c r="AL695" s="329"/>
      <c r="AM695" s="329"/>
      <c r="AN695" s="330"/>
      <c r="AO695" s="330"/>
      <c r="AP695" s="330"/>
      <c r="AQ695" s="330"/>
      <c r="AR695" s="231"/>
      <c r="AS695" s="333"/>
      <c r="AT695" s="206"/>
      <c r="AU695" s="328"/>
      <c r="AV695" s="206"/>
      <c r="AW695" s="206"/>
      <c r="AX695" s="206"/>
      <c r="AY695" s="206"/>
      <c r="AZ695" s="206"/>
      <c r="BA695" s="206"/>
      <c r="BB695" s="206"/>
      <c r="BC695" s="206"/>
      <c r="BD695" s="206"/>
      <c r="BE695" s="206"/>
      <c r="BF695" s="206"/>
      <c r="BG695" s="330"/>
      <c r="BH695" s="330"/>
      <c r="BI695" s="330"/>
      <c r="BJ695" s="330"/>
      <c r="BK695" s="330"/>
      <c r="BL695" s="330"/>
      <c r="BM695" s="330"/>
      <c r="BN695" s="330"/>
      <c r="BO695" s="330"/>
      <c r="BP695" s="330"/>
      <c r="BQ695" s="330"/>
      <c r="BR695" s="330"/>
      <c r="BS695" s="330"/>
      <c r="BT695" s="330"/>
      <c r="BU695" s="330"/>
      <c r="BV695" s="330"/>
      <c r="BW695" s="330"/>
      <c r="BX695" s="330"/>
      <c r="BY695" s="330"/>
      <c r="BZ695" s="330"/>
    </row>
    <row r="696" spans="1:78" x14ac:dyDescent="0.25">
      <c r="A696" s="331"/>
      <c r="B696" s="328"/>
      <c r="C696" s="328"/>
      <c r="D696" s="329"/>
      <c r="E696" s="330"/>
      <c r="F696" s="330"/>
      <c r="G696" s="330"/>
      <c r="H696" s="330"/>
      <c r="I696" s="330"/>
      <c r="J696" s="330"/>
      <c r="K696" s="330"/>
      <c r="L696" s="329"/>
      <c r="M696" s="329"/>
      <c r="N696" s="330"/>
      <c r="O696" s="330"/>
      <c r="P696" s="330"/>
      <c r="Q696" s="330"/>
      <c r="R696" s="330"/>
      <c r="S696" s="330"/>
      <c r="T696" s="330"/>
      <c r="U696" s="330"/>
      <c r="V696" s="330"/>
      <c r="W696" s="330"/>
      <c r="X696" s="329"/>
      <c r="Y696" s="330"/>
      <c r="Z696" s="330"/>
      <c r="AA696" s="330"/>
      <c r="AB696" s="330"/>
      <c r="AC696" s="330"/>
      <c r="AD696" s="330"/>
      <c r="AE696" s="330"/>
      <c r="AF696" s="330"/>
      <c r="AG696" s="330"/>
      <c r="AH696" s="330"/>
      <c r="AI696" s="330"/>
      <c r="AJ696" s="330"/>
      <c r="AK696" s="330"/>
      <c r="AL696" s="329"/>
      <c r="AM696" s="329"/>
      <c r="AN696" s="330"/>
      <c r="AO696" s="330"/>
      <c r="AP696" s="330"/>
      <c r="AQ696" s="330"/>
      <c r="AR696" s="231"/>
      <c r="AS696" s="333"/>
      <c r="AT696" s="206"/>
      <c r="AU696" s="328"/>
      <c r="AV696" s="206"/>
      <c r="AW696" s="206"/>
      <c r="AX696" s="206"/>
      <c r="AY696" s="206"/>
      <c r="AZ696" s="206"/>
      <c r="BA696" s="206"/>
      <c r="BB696" s="206"/>
      <c r="BC696" s="206"/>
      <c r="BD696" s="206"/>
      <c r="BE696" s="206"/>
      <c r="BF696" s="206"/>
      <c r="BG696" s="330"/>
      <c r="BH696" s="330"/>
      <c r="BI696" s="330"/>
      <c r="BJ696" s="330"/>
      <c r="BK696" s="330"/>
      <c r="BL696" s="330"/>
      <c r="BM696" s="330"/>
      <c r="BN696" s="330"/>
      <c r="BO696" s="330"/>
      <c r="BP696" s="330"/>
      <c r="BQ696" s="330"/>
      <c r="BR696" s="330"/>
      <c r="BS696" s="330"/>
      <c r="BT696" s="330"/>
      <c r="BU696" s="330"/>
      <c r="BV696" s="330"/>
      <c r="BW696" s="330"/>
      <c r="BX696" s="330"/>
      <c r="BY696" s="330"/>
      <c r="BZ696" s="330"/>
    </row>
    <row r="697" spans="1:78" x14ac:dyDescent="0.25">
      <c r="A697" s="331"/>
      <c r="B697" s="328"/>
      <c r="C697" s="328"/>
      <c r="D697" s="329"/>
      <c r="E697" s="330"/>
      <c r="F697" s="330"/>
      <c r="G697" s="330"/>
      <c r="H697" s="330"/>
      <c r="I697" s="330"/>
      <c r="J697" s="330"/>
      <c r="K697" s="330"/>
      <c r="L697" s="329"/>
      <c r="M697" s="329"/>
      <c r="N697" s="330"/>
      <c r="O697" s="330"/>
      <c r="P697" s="330"/>
      <c r="Q697" s="330"/>
      <c r="R697" s="330"/>
      <c r="S697" s="330"/>
      <c r="T697" s="330"/>
      <c r="U697" s="330"/>
      <c r="V697" s="330"/>
      <c r="W697" s="330"/>
      <c r="X697" s="329"/>
      <c r="Y697" s="330"/>
      <c r="Z697" s="330"/>
      <c r="AA697" s="330"/>
      <c r="AB697" s="330"/>
      <c r="AC697" s="330"/>
      <c r="AD697" s="330"/>
      <c r="AE697" s="330"/>
      <c r="AF697" s="330"/>
      <c r="AG697" s="330"/>
      <c r="AH697" s="330"/>
      <c r="AI697" s="330"/>
      <c r="AJ697" s="330"/>
      <c r="AK697" s="330"/>
      <c r="AL697" s="329"/>
      <c r="AM697" s="329"/>
      <c r="AN697" s="330"/>
      <c r="AO697" s="330"/>
      <c r="AP697" s="330"/>
      <c r="AQ697" s="330"/>
      <c r="AR697" s="231"/>
      <c r="AS697" s="333"/>
      <c r="AT697" s="206"/>
      <c r="AU697" s="328"/>
      <c r="AV697" s="206"/>
      <c r="AW697" s="206"/>
      <c r="AX697" s="206"/>
      <c r="AY697" s="206"/>
      <c r="AZ697" s="206"/>
      <c r="BA697" s="206"/>
      <c r="BB697" s="206"/>
      <c r="BC697" s="206"/>
      <c r="BD697" s="206"/>
      <c r="BE697" s="206"/>
      <c r="BF697" s="206"/>
      <c r="BG697" s="330"/>
      <c r="BH697" s="330"/>
      <c r="BI697" s="330"/>
      <c r="BJ697" s="330"/>
      <c r="BK697" s="330"/>
      <c r="BL697" s="330"/>
      <c r="BM697" s="330"/>
      <c r="BN697" s="330"/>
      <c r="BO697" s="330"/>
      <c r="BP697" s="330"/>
      <c r="BQ697" s="330"/>
      <c r="BR697" s="330"/>
      <c r="BS697" s="330"/>
      <c r="BT697" s="330"/>
      <c r="BU697" s="330"/>
      <c r="BV697" s="330"/>
      <c r="BW697" s="330"/>
      <c r="BX697" s="330"/>
      <c r="BY697" s="330"/>
      <c r="BZ697" s="330"/>
    </row>
    <row r="698" spans="1:78" x14ac:dyDescent="0.25">
      <c r="A698" s="331"/>
      <c r="B698" s="328"/>
      <c r="C698" s="328"/>
      <c r="D698" s="329"/>
      <c r="E698" s="330"/>
      <c r="F698" s="330"/>
      <c r="G698" s="330"/>
      <c r="H698" s="330"/>
      <c r="I698" s="330"/>
      <c r="J698" s="330"/>
      <c r="K698" s="330"/>
      <c r="L698" s="329"/>
      <c r="M698" s="329"/>
      <c r="N698" s="330"/>
      <c r="O698" s="330"/>
      <c r="P698" s="330"/>
      <c r="Q698" s="330"/>
      <c r="R698" s="330"/>
      <c r="S698" s="330"/>
      <c r="T698" s="330"/>
      <c r="U698" s="330"/>
      <c r="V698" s="330"/>
      <c r="W698" s="330"/>
      <c r="X698" s="329"/>
      <c r="Y698" s="330"/>
      <c r="Z698" s="330"/>
      <c r="AA698" s="330"/>
      <c r="AB698" s="330"/>
      <c r="AC698" s="330"/>
      <c r="AD698" s="330"/>
      <c r="AE698" s="330"/>
      <c r="AF698" s="330"/>
      <c r="AG698" s="330"/>
      <c r="AH698" s="330"/>
      <c r="AI698" s="330"/>
      <c r="AJ698" s="330"/>
      <c r="AK698" s="330"/>
      <c r="AL698" s="329"/>
      <c r="AM698" s="329"/>
      <c r="AN698" s="330"/>
      <c r="AO698" s="330"/>
      <c r="AP698" s="330"/>
      <c r="AQ698" s="330"/>
      <c r="AR698" s="231"/>
      <c r="AS698" s="333"/>
      <c r="AT698" s="206"/>
      <c r="AU698" s="328"/>
      <c r="AV698" s="206"/>
      <c r="AW698" s="206"/>
      <c r="AX698" s="206"/>
      <c r="AY698" s="206"/>
      <c r="AZ698" s="206"/>
      <c r="BA698" s="206"/>
      <c r="BB698" s="206"/>
      <c r="BC698" s="206"/>
      <c r="BD698" s="206"/>
      <c r="BE698" s="206"/>
      <c r="BF698" s="206"/>
      <c r="BG698" s="330"/>
      <c r="BH698" s="330"/>
      <c r="BI698" s="330"/>
      <c r="BJ698" s="330"/>
      <c r="BK698" s="330"/>
      <c r="BL698" s="330"/>
      <c r="BM698" s="330"/>
      <c r="BN698" s="330"/>
      <c r="BO698" s="330"/>
      <c r="BP698" s="330"/>
      <c r="BQ698" s="330"/>
      <c r="BR698" s="330"/>
      <c r="BS698" s="330"/>
      <c r="BT698" s="330"/>
      <c r="BU698" s="330"/>
      <c r="BV698" s="330"/>
      <c r="BW698" s="330"/>
      <c r="BX698" s="330"/>
      <c r="BY698" s="330"/>
      <c r="BZ698" s="330"/>
    </row>
    <row r="699" spans="1:78" x14ac:dyDescent="0.25">
      <c r="A699" s="331"/>
      <c r="B699" s="328"/>
      <c r="C699" s="328"/>
      <c r="D699" s="329"/>
      <c r="E699" s="330"/>
      <c r="F699" s="330"/>
      <c r="G699" s="330"/>
      <c r="H699" s="330"/>
      <c r="I699" s="330"/>
      <c r="J699" s="330"/>
      <c r="K699" s="330"/>
      <c r="L699" s="329"/>
      <c r="M699" s="329"/>
      <c r="N699" s="330"/>
      <c r="O699" s="330"/>
      <c r="P699" s="330"/>
      <c r="Q699" s="330"/>
      <c r="R699" s="330"/>
      <c r="S699" s="330"/>
      <c r="T699" s="330"/>
      <c r="U699" s="330"/>
      <c r="V699" s="330"/>
      <c r="W699" s="330"/>
      <c r="X699" s="329"/>
      <c r="Y699" s="330"/>
      <c r="Z699" s="330"/>
      <c r="AA699" s="330"/>
      <c r="AB699" s="330"/>
      <c r="AC699" s="330"/>
      <c r="AD699" s="330"/>
      <c r="AE699" s="330"/>
      <c r="AF699" s="330"/>
      <c r="AG699" s="330"/>
      <c r="AH699" s="330"/>
      <c r="AI699" s="330"/>
      <c r="AJ699" s="330"/>
      <c r="AK699" s="330"/>
      <c r="AL699" s="329"/>
      <c r="AM699" s="329"/>
      <c r="AN699" s="330"/>
      <c r="AO699" s="330"/>
      <c r="AP699" s="330"/>
      <c r="AQ699" s="330"/>
      <c r="AR699" s="231"/>
      <c r="AS699" s="333"/>
      <c r="AT699" s="206"/>
      <c r="AU699" s="328"/>
      <c r="AV699" s="206"/>
      <c r="AW699" s="206"/>
      <c r="AX699" s="206"/>
      <c r="AY699" s="206"/>
      <c r="AZ699" s="206"/>
      <c r="BA699" s="206"/>
      <c r="BB699" s="206"/>
      <c r="BC699" s="206"/>
      <c r="BD699" s="206"/>
      <c r="BE699" s="206"/>
      <c r="BF699" s="206"/>
      <c r="BG699" s="330"/>
      <c r="BH699" s="330"/>
      <c r="BI699" s="330"/>
      <c r="BJ699" s="330"/>
      <c r="BK699" s="330"/>
      <c r="BL699" s="330"/>
      <c r="BM699" s="330"/>
      <c r="BN699" s="330"/>
      <c r="BO699" s="330"/>
      <c r="BP699" s="330"/>
      <c r="BQ699" s="330"/>
      <c r="BR699" s="330"/>
      <c r="BS699" s="330"/>
      <c r="BT699" s="330"/>
      <c r="BU699" s="330"/>
      <c r="BV699" s="330"/>
      <c r="BW699" s="330"/>
      <c r="BX699" s="330"/>
      <c r="BY699" s="330"/>
      <c r="BZ699" s="330"/>
    </row>
    <row r="700" spans="1:78" x14ac:dyDescent="0.25">
      <c r="A700" s="331"/>
      <c r="B700" s="328"/>
      <c r="C700" s="328"/>
      <c r="D700" s="329"/>
      <c r="E700" s="330"/>
      <c r="F700" s="330"/>
      <c r="G700" s="330"/>
      <c r="H700" s="330"/>
      <c r="I700" s="330"/>
      <c r="J700" s="330"/>
      <c r="K700" s="330"/>
      <c r="L700" s="329"/>
      <c r="M700" s="329"/>
      <c r="N700" s="330"/>
      <c r="O700" s="330"/>
      <c r="P700" s="330"/>
      <c r="Q700" s="330"/>
      <c r="R700" s="330"/>
      <c r="S700" s="330"/>
      <c r="T700" s="330"/>
      <c r="U700" s="330"/>
      <c r="V700" s="330"/>
      <c r="W700" s="330"/>
      <c r="X700" s="329"/>
      <c r="Y700" s="330"/>
      <c r="Z700" s="330"/>
      <c r="AA700" s="330"/>
      <c r="AB700" s="330"/>
      <c r="AC700" s="330"/>
      <c r="AD700" s="330"/>
      <c r="AE700" s="330"/>
      <c r="AF700" s="330"/>
      <c r="AG700" s="330"/>
      <c r="AH700" s="330"/>
      <c r="AI700" s="330"/>
      <c r="AJ700" s="330"/>
      <c r="AK700" s="330"/>
      <c r="AL700" s="329"/>
      <c r="AM700" s="329"/>
      <c r="AN700" s="330"/>
      <c r="AO700" s="330"/>
      <c r="AP700" s="330"/>
      <c r="AQ700" s="330"/>
      <c r="AR700" s="231"/>
      <c r="AS700" s="333"/>
      <c r="AT700" s="206"/>
      <c r="AU700" s="328"/>
      <c r="AV700" s="206"/>
      <c r="AW700" s="206"/>
      <c r="AX700" s="206"/>
      <c r="AY700" s="206"/>
      <c r="AZ700" s="206"/>
      <c r="BA700" s="206"/>
      <c r="BB700" s="206"/>
      <c r="BC700" s="206"/>
      <c r="BD700" s="206"/>
      <c r="BE700" s="206"/>
      <c r="BF700" s="206"/>
      <c r="BG700" s="330"/>
      <c r="BH700" s="330"/>
      <c r="BI700" s="330"/>
      <c r="BJ700" s="330"/>
      <c r="BK700" s="330"/>
      <c r="BL700" s="330"/>
      <c r="BM700" s="330"/>
      <c r="BN700" s="330"/>
      <c r="BO700" s="330"/>
      <c r="BP700" s="330"/>
      <c r="BQ700" s="330"/>
      <c r="BR700" s="330"/>
      <c r="BS700" s="330"/>
      <c r="BT700" s="330"/>
      <c r="BU700" s="330"/>
      <c r="BV700" s="330"/>
      <c r="BW700" s="330"/>
      <c r="BX700" s="330"/>
      <c r="BY700" s="330"/>
      <c r="BZ700" s="330"/>
    </row>
    <row r="701" spans="1:78" x14ac:dyDescent="0.25">
      <c r="A701" s="331"/>
      <c r="B701" s="328"/>
      <c r="C701" s="328"/>
      <c r="D701" s="329"/>
      <c r="E701" s="330"/>
      <c r="F701" s="330"/>
      <c r="G701" s="330"/>
      <c r="H701" s="330"/>
      <c r="I701" s="330"/>
      <c r="J701" s="330"/>
      <c r="K701" s="330"/>
      <c r="L701" s="329"/>
      <c r="M701" s="329"/>
      <c r="N701" s="330"/>
      <c r="O701" s="330"/>
      <c r="P701" s="330"/>
      <c r="Q701" s="330"/>
      <c r="R701" s="330"/>
      <c r="S701" s="330"/>
      <c r="T701" s="330"/>
      <c r="U701" s="330"/>
      <c r="V701" s="330"/>
      <c r="W701" s="330"/>
      <c r="X701" s="329"/>
      <c r="Y701" s="330"/>
      <c r="Z701" s="330"/>
      <c r="AA701" s="330"/>
      <c r="AB701" s="330"/>
      <c r="AC701" s="330"/>
      <c r="AD701" s="330"/>
      <c r="AE701" s="330"/>
      <c r="AF701" s="330"/>
      <c r="AG701" s="330"/>
      <c r="AH701" s="330"/>
      <c r="AI701" s="330"/>
      <c r="AJ701" s="330"/>
      <c r="AK701" s="330"/>
      <c r="AL701" s="329"/>
      <c r="AM701" s="329"/>
      <c r="AN701" s="330"/>
      <c r="AO701" s="330"/>
      <c r="AP701" s="330"/>
      <c r="AQ701" s="330"/>
      <c r="AR701" s="231"/>
      <c r="AS701" s="333"/>
      <c r="AT701" s="206"/>
      <c r="AU701" s="328"/>
      <c r="AV701" s="206"/>
      <c r="AW701" s="206"/>
      <c r="AX701" s="206"/>
      <c r="AY701" s="206"/>
      <c r="AZ701" s="206"/>
      <c r="BA701" s="206"/>
      <c r="BB701" s="206"/>
      <c r="BC701" s="206"/>
      <c r="BD701" s="206"/>
      <c r="BE701" s="206"/>
      <c r="BF701" s="206"/>
      <c r="BG701" s="330"/>
      <c r="BH701" s="330"/>
      <c r="BI701" s="330"/>
      <c r="BJ701" s="330"/>
      <c r="BK701" s="330"/>
      <c r="BL701" s="330"/>
      <c r="BM701" s="330"/>
      <c r="BN701" s="330"/>
      <c r="BO701" s="330"/>
      <c r="BP701" s="330"/>
      <c r="BQ701" s="330"/>
      <c r="BR701" s="330"/>
      <c r="BS701" s="330"/>
      <c r="BT701" s="330"/>
      <c r="BU701" s="330"/>
      <c r="BV701" s="330"/>
      <c r="BW701" s="330"/>
      <c r="BX701" s="330"/>
      <c r="BY701" s="330"/>
      <c r="BZ701" s="330"/>
    </row>
    <row r="702" spans="1:78" x14ac:dyDescent="0.25">
      <c r="A702" s="331"/>
      <c r="B702" s="328"/>
      <c r="C702" s="328"/>
      <c r="D702" s="329"/>
      <c r="E702" s="330"/>
      <c r="F702" s="330"/>
      <c r="G702" s="330"/>
      <c r="H702" s="330"/>
      <c r="I702" s="330"/>
      <c r="J702" s="330"/>
      <c r="K702" s="330"/>
      <c r="L702" s="329"/>
      <c r="M702" s="329"/>
      <c r="N702" s="330"/>
      <c r="O702" s="330"/>
      <c r="P702" s="330"/>
      <c r="Q702" s="330"/>
      <c r="R702" s="330"/>
      <c r="S702" s="330"/>
      <c r="T702" s="330"/>
      <c r="U702" s="330"/>
      <c r="V702" s="330"/>
      <c r="W702" s="330"/>
      <c r="X702" s="329"/>
      <c r="Y702" s="330"/>
      <c r="Z702" s="330"/>
      <c r="AA702" s="330"/>
      <c r="AB702" s="330"/>
      <c r="AC702" s="330"/>
      <c r="AD702" s="330"/>
      <c r="AE702" s="330"/>
      <c r="AF702" s="330"/>
      <c r="AG702" s="330"/>
      <c r="AH702" s="330"/>
      <c r="AI702" s="330"/>
      <c r="AJ702" s="330"/>
      <c r="AK702" s="330"/>
      <c r="AL702" s="329"/>
      <c r="AM702" s="329"/>
      <c r="AN702" s="330"/>
      <c r="AO702" s="330"/>
      <c r="AP702" s="330"/>
      <c r="AQ702" s="330"/>
      <c r="AR702" s="231"/>
      <c r="AS702" s="333"/>
      <c r="AT702" s="206"/>
      <c r="AU702" s="328"/>
      <c r="AV702" s="206"/>
      <c r="AW702" s="206"/>
      <c r="AX702" s="206"/>
      <c r="AY702" s="206"/>
      <c r="AZ702" s="206"/>
      <c r="BA702" s="206"/>
      <c r="BB702" s="206"/>
      <c r="BC702" s="206"/>
      <c r="BD702" s="206"/>
      <c r="BE702" s="206"/>
      <c r="BF702" s="206"/>
      <c r="BG702" s="330"/>
      <c r="BH702" s="330"/>
      <c r="BI702" s="330"/>
      <c r="BJ702" s="330"/>
      <c r="BK702" s="330"/>
      <c r="BL702" s="330"/>
      <c r="BM702" s="330"/>
      <c r="BN702" s="330"/>
      <c r="BO702" s="330"/>
      <c r="BP702" s="330"/>
      <c r="BQ702" s="330"/>
      <c r="BR702" s="330"/>
      <c r="BS702" s="330"/>
      <c r="BT702" s="330"/>
      <c r="BU702" s="330"/>
      <c r="BV702" s="330"/>
      <c r="BW702" s="330"/>
      <c r="BX702" s="330"/>
      <c r="BY702" s="330"/>
      <c r="BZ702" s="330"/>
    </row>
    <row r="703" spans="1:78" x14ac:dyDescent="0.25">
      <c r="A703" s="331"/>
      <c r="B703" s="328"/>
      <c r="C703" s="328"/>
      <c r="D703" s="329"/>
      <c r="E703" s="330"/>
      <c r="F703" s="330"/>
      <c r="G703" s="330"/>
      <c r="H703" s="330"/>
      <c r="I703" s="330"/>
      <c r="J703" s="330"/>
      <c r="K703" s="330"/>
      <c r="L703" s="329"/>
      <c r="M703" s="329"/>
      <c r="N703" s="330"/>
      <c r="O703" s="330"/>
      <c r="P703" s="330"/>
      <c r="Q703" s="330"/>
      <c r="R703" s="330"/>
      <c r="S703" s="330"/>
      <c r="T703" s="330"/>
      <c r="U703" s="330"/>
      <c r="V703" s="330"/>
      <c r="W703" s="330"/>
      <c r="X703" s="329"/>
      <c r="Y703" s="330"/>
      <c r="Z703" s="330"/>
      <c r="AA703" s="330"/>
      <c r="AB703" s="330"/>
      <c r="AC703" s="330"/>
      <c r="AD703" s="330"/>
      <c r="AE703" s="330"/>
      <c r="AF703" s="330"/>
      <c r="AG703" s="330"/>
      <c r="AH703" s="330"/>
      <c r="AI703" s="330"/>
      <c r="AJ703" s="330"/>
      <c r="AK703" s="330"/>
      <c r="AL703" s="329"/>
      <c r="AM703" s="329"/>
      <c r="AN703" s="330"/>
      <c r="AO703" s="330"/>
      <c r="AP703" s="330"/>
      <c r="AQ703" s="330"/>
      <c r="AR703" s="231"/>
      <c r="AS703" s="333"/>
      <c r="AT703" s="206"/>
      <c r="AU703" s="328"/>
      <c r="AV703" s="206"/>
      <c r="AW703" s="206"/>
      <c r="AX703" s="206"/>
      <c r="AY703" s="206"/>
      <c r="AZ703" s="206"/>
      <c r="BA703" s="206"/>
      <c r="BB703" s="206"/>
      <c r="BC703" s="206"/>
      <c r="BD703" s="206"/>
      <c r="BE703" s="206"/>
      <c r="BF703" s="206"/>
      <c r="BG703" s="330"/>
      <c r="BH703" s="330"/>
      <c r="BI703" s="330"/>
      <c r="BJ703" s="330"/>
      <c r="BK703" s="330"/>
      <c r="BL703" s="330"/>
      <c r="BM703" s="330"/>
      <c r="BN703" s="330"/>
      <c r="BO703" s="330"/>
      <c r="BP703" s="330"/>
      <c r="BQ703" s="330"/>
      <c r="BR703" s="330"/>
      <c r="BS703" s="330"/>
      <c r="BT703" s="330"/>
      <c r="BU703" s="330"/>
      <c r="BV703" s="330"/>
      <c r="BW703" s="330"/>
      <c r="BX703" s="330"/>
      <c r="BY703" s="330"/>
      <c r="BZ703" s="330"/>
    </row>
    <row r="704" spans="1:78" x14ac:dyDescent="0.25">
      <c r="A704" s="331"/>
      <c r="B704" s="328"/>
      <c r="C704" s="328"/>
      <c r="D704" s="329"/>
      <c r="E704" s="330"/>
      <c r="F704" s="330"/>
      <c r="G704" s="330"/>
      <c r="H704" s="330"/>
      <c r="I704" s="330"/>
      <c r="J704" s="330"/>
      <c r="K704" s="330"/>
      <c r="L704" s="329"/>
      <c r="M704" s="329"/>
      <c r="N704" s="330"/>
      <c r="O704" s="330"/>
      <c r="P704" s="330"/>
      <c r="Q704" s="330"/>
      <c r="R704" s="330"/>
      <c r="S704" s="330"/>
      <c r="T704" s="330"/>
      <c r="U704" s="330"/>
      <c r="V704" s="330"/>
      <c r="W704" s="330"/>
      <c r="X704" s="329"/>
      <c r="Y704" s="330"/>
      <c r="Z704" s="330"/>
      <c r="AA704" s="330"/>
      <c r="AB704" s="330"/>
      <c r="AC704" s="330"/>
      <c r="AD704" s="330"/>
      <c r="AE704" s="330"/>
      <c r="AF704" s="330"/>
      <c r="AG704" s="330"/>
      <c r="AH704" s="330"/>
      <c r="AI704" s="330"/>
      <c r="AJ704" s="330"/>
      <c r="AK704" s="330"/>
      <c r="AL704" s="329"/>
      <c r="AM704" s="329"/>
      <c r="AN704" s="330"/>
      <c r="AO704" s="330"/>
      <c r="AP704" s="330"/>
      <c r="AQ704" s="330"/>
      <c r="AR704" s="231"/>
      <c r="AS704" s="333"/>
      <c r="AT704" s="206"/>
      <c r="AU704" s="328"/>
      <c r="AV704" s="206"/>
      <c r="AW704" s="206"/>
      <c r="AX704" s="206"/>
      <c r="AY704" s="206"/>
      <c r="AZ704" s="206"/>
      <c r="BA704" s="206"/>
      <c r="BB704" s="206"/>
      <c r="BC704" s="206"/>
      <c r="BD704" s="206"/>
      <c r="BE704" s="206"/>
      <c r="BF704" s="206"/>
      <c r="BG704" s="330"/>
      <c r="BH704" s="330"/>
      <c r="BI704" s="330"/>
      <c r="BJ704" s="330"/>
      <c r="BK704" s="330"/>
      <c r="BL704" s="330"/>
      <c r="BM704" s="330"/>
      <c r="BN704" s="330"/>
      <c r="BO704" s="330"/>
      <c r="BP704" s="330"/>
      <c r="BQ704" s="330"/>
      <c r="BR704" s="330"/>
      <c r="BS704" s="330"/>
      <c r="BT704" s="330"/>
      <c r="BU704" s="330"/>
      <c r="BV704" s="330"/>
      <c r="BW704" s="330"/>
      <c r="BX704" s="330"/>
      <c r="BY704" s="330"/>
      <c r="BZ704" s="330"/>
    </row>
    <row r="705" spans="1:78" x14ac:dyDescent="0.25">
      <c r="A705" s="331"/>
      <c r="B705" s="328"/>
      <c r="C705" s="328"/>
      <c r="D705" s="329"/>
      <c r="E705" s="330"/>
      <c r="F705" s="330"/>
      <c r="G705" s="330"/>
      <c r="H705" s="330"/>
      <c r="I705" s="330"/>
      <c r="J705" s="330"/>
      <c r="K705" s="330"/>
      <c r="L705" s="329"/>
      <c r="M705" s="329"/>
      <c r="N705" s="330"/>
      <c r="O705" s="330"/>
      <c r="P705" s="330"/>
      <c r="Q705" s="330"/>
      <c r="R705" s="330"/>
      <c r="S705" s="330"/>
      <c r="T705" s="330"/>
      <c r="U705" s="330"/>
      <c r="V705" s="330"/>
      <c r="W705" s="330"/>
      <c r="X705" s="329"/>
      <c r="Y705" s="330"/>
      <c r="Z705" s="330"/>
      <c r="AA705" s="330"/>
      <c r="AB705" s="330"/>
      <c r="AC705" s="330"/>
      <c r="AD705" s="330"/>
      <c r="AE705" s="330"/>
      <c r="AF705" s="330"/>
      <c r="AG705" s="330"/>
      <c r="AH705" s="330"/>
      <c r="AI705" s="330"/>
      <c r="AJ705" s="330"/>
      <c r="AK705" s="330"/>
      <c r="AL705" s="329"/>
      <c r="AM705" s="329"/>
      <c r="AN705" s="330"/>
      <c r="AO705" s="330"/>
      <c r="AP705" s="330"/>
      <c r="AQ705" s="330"/>
      <c r="AR705" s="231"/>
      <c r="AS705" s="333"/>
      <c r="AT705" s="206"/>
      <c r="AU705" s="328"/>
      <c r="AV705" s="206"/>
      <c r="AW705" s="206"/>
      <c r="AX705" s="206"/>
      <c r="AY705" s="206"/>
      <c r="AZ705" s="206"/>
      <c r="BA705" s="206"/>
      <c r="BB705" s="206"/>
      <c r="BC705" s="206"/>
      <c r="BD705" s="206"/>
      <c r="BE705" s="206"/>
      <c r="BF705" s="206"/>
      <c r="BG705" s="330"/>
      <c r="BH705" s="330"/>
      <c r="BI705" s="330"/>
      <c r="BJ705" s="330"/>
      <c r="BK705" s="330"/>
      <c r="BL705" s="330"/>
      <c r="BM705" s="330"/>
      <c r="BN705" s="330"/>
      <c r="BO705" s="330"/>
      <c r="BP705" s="330"/>
      <c r="BQ705" s="330"/>
      <c r="BR705" s="330"/>
      <c r="BS705" s="330"/>
      <c r="BT705" s="330"/>
      <c r="BU705" s="330"/>
      <c r="BV705" s="330"/>
      <c r="BW705" s="330"/>
      <c r="BX705" s="330"/>
      <c r="BY705" s="330"/>
      <c r="BZ705" s="330"/>
    </row>
    <row r="706" spans="1:78" x14ac:dyDescent="0.25">
      <c r="A706" s="331"/>
      <c r="B706" s="328"/>
      <c r="C706" s="328"/>
      <c r="D706" s="329"/>
      <c r="E706" s="330"/>
      <c r="F706" s="330"/>
      <c r="G706" s="330"/>
      <c r="H706" s="330"/>
      <c r="I706" s="330"/>
      <c r="J706" s="330"/>
      <c r="K706" s="330"/>
      <c r="L706" s="329"/>
      <c r="M706" s="329"/>
      <c r="N706" s="330"/>
      <c r="O706" s="330"/>
      <c r="P706" s="330"/>
      <c r="Q706" s="330"/>
      <c r="R706" s="330"/>
      <c r="S706" s="330"/>
      <c r="T706" s="330"/>
      <c r="U706" s="330"/>
      <c r="V706" s="330"/>
      <c r="W706" s="330"/>
      <c r="X706" s="329"/>
      <c r="Y706" s="330"/>
      <c r="Z706" s="330"/>
      <c r="AA706" s="330"/>
      <c r="AB706" s="330"/>
      <c r="AC706" s="330"/>
      <c r="AD706" s="330"/>
      <c r="AE706" s="330"/>
      <c r="AF706" s="330"/>
      <c r="AG706" s="330"/>
      <c r="AH706" s="330"/>
      <c r="AI706" s="330"/>
      <c r="AJ706" s="330"/>
      <c r="AK706" s="330"/>
      <c r="AL706" s="329"/>
      <c r="AM706" s="329"/>
      <c r="AN706" s="330"/>
      <c r="AO706" s="330"/>
      <c r="AP706" s="330"/>
      <c r="AQ706" s="330"/>
      <c r="AR706" s="231"/>
      <c r="AS706" s="333"/>
      <c r="AT706" s="206"/>
      <c r="AU706" s="328"/>
      <c r="AV706" s="206"/>
      <c r="AW706" s="206"/>
      <c r="AX706" s="206"/>
      <c r="AY706" s="206"/>
      <c r="AZ706" s="206"/>
      <c r="BA706" s="206"/>
      <c r="BB706" s="206"/>
      <c r="BC706" s="206"/>
      <c r="BD706" s="206"/>
      <c r="BE706" s="206"/>
      <c r="BF706" s="206"/>
      <c r="BG706" s="330"/>
      <c r="BH706" s="330"/>
      <c r="BI706" s="330"/>
      <c r="BJ706" s="330"/>
      <c r="BK706" s="330"/>
      <c r="BL706" s="330"/>
      <c r="BM706" s="330"/>
      <c r="BN706" s="330"/>
      <c r="BO706" s="330"/>
      <c r="BP706" s="330"/>
      <c r="BQ706" s="330"/>
      <c r="BR706" s="330"/>
      <c r="BS706" s="330"/>
      <c r="BT706" s="330"/>
      <c r="BU706" s="330"/>
      <c r="BV706" s="330"/>
      <c r="BW706" s="330"/>
      <c r="BX706" s="330"/>
      <c r="BY706" s="330"/>
      <c r="BZ706" s="330"/>
    </row>
    <row r="707" spans="1:78" x14ac:dyDescent="0.25">
      <c r="A707" s="331"/>
      <c r="B707" s="328"/>
      <c r="C707" s="328"/>
      <c r="D707" s="329"/>
      <c r="E707" s="330"/>
      <c r="F707" s="330"/>
      <c r="G707" s="330"/>
      <c r="H707" s="330"/>
      <c r="I707" s="330"/>
      <c r="J707" s="330"/>
      <c r="K707" s="330"/>
      <c r="L707" s="329"/>
      <c r="M707" s="329"/>
      <c r="N707" s="330"/>
      <c r="O707" s="330"/>
      <c r="P707" s="330"/>
      <c r="Q707" s="330"/>
      <c r="R707" s="330"/>
      <c r="S707" s="330"/>
      <c r="T707" s="330"/>
      <c r="U707" s="330"/>
      <c r="V707" s="330"/>
      <c r="W707" s="330"/>
      <c r="X707" s="329"/>
      <c r="Y707" s="330"/>
      <c r="Z707" s="330"/>
      <c r="AA707" s="330"/>
      <c r="AB707" s="330"/>
      <c r="AC707" s="330"/>
      <c r="AD707" s="330"/>
      <c r="AE707" s="330"/>
      <c r="AF707" s="330"/>
      <c r="AG707" s="330"/>
      <c r="AH707" s="330"/>
      <c r="AI707" s="330"/>
      <c r="AJ707" s="330"/>
      <c r="AK707" s="330"/>
      <c r="AL707" s="329"/>
      <c r="AM707" s="329"/>
      <c r="AN707" s="330"/>
      <c r="AO707" s="330"/>
      <c r="AP707" s="330"/>
      <c r="AQ707" s="330"/>
      <c r="AR707" s="231"/>
      <c r="AS707" s="333"/>
      <c r="AT707" s="206"/>
      <c r="AU707" s="328"/>
      <c r="AV707" s="206"/>
      <c r="AW707" s="206"/>
      <c r="AX707" s="206"/>
      <c r="AY707" s="206"/>
      <c r="AZ707" s="206"/>
      <c r="BA707" s="206"/>
      <c r="BB707" s="206"/>
      <c r="BC707" s="206"/>
      <c r="BD707" s="206"/>
      <c r="BE707" s="206"/>
      <c r="BF707" s="206"/>
      <c r="BG707" s="330"/>
      <c r="BH707" s="330"/>
      <c r="BI707" s="330"/>
      <c r="BJ707" s="330"/>
      <c r="BK707" s="330"/>
      <c r="BL707" s="330"/>
      <c r="BM707" s="330"/>
      <c r="BN707" s="330"/>
      <c r="BO707" s="330"/>
      <c r="BP707" s="330"/>
      <c r="BQ707" s="330"/>
      <c r="BR707" s="330"/>
      <c r="BS707" s="330"/>
      <c r="BT707" s="330"/>
      <c r="BU707" s="330"/>
      <c r="BV707" s="330"/>
      <c r="BW707" s="330"/>
      <c r="BX707" s="330"/>
      <c r="BY707" s="330"/>
      <c r="BZ707" s="330"/>
    </row>
    <row r="708" spans="1:78" x14ac:dyDescent="0.25">
      <c r="A708" s="331"/>
      <c r="B708" s="328"/>
      <c r="C708" s="328"/>
      <c r="D708" s="329"/>
      <c r="E708" s="330"/>
      <c r="F708" s="330"/>
      <c r="G708" s="330"/>
      <c r="H708" s="330"/>
      <c r="I708" s="330"/>
      <c r="J708" s="330"/>
      <c r="K708" s="330"/>
      <c r="L708" s="329"/>
      <c r="M708" s="329"/>
      <c r="N708" s="330"/>
      <c r="O708" s="330"/>
      <c r="P708" s="330"/>
      <c r="Q708" s="330"/>
      <c r="R708" s="330"/>
      <c r="S708" s="330"/>
      <c r="T708" s="330"/>
      <c r="U708" s="330"/>
      <c r="V708" s="330"/>
      <c r="W708" s="330"/>
      <c r="X708" s="329"/>
      <c r="Y708" s="330"/>
      <c r="Z708" s="330"/>
      <c r="AA708" s="330"/>
      <c r="AB708" s="330"/>
      <c r="AC708" s="330"/>
      <c r="AD708" s="330"/>
      <c r="AE708" s="330"/>
      <c r="AF708" s="330"/>
      <c r="AG708" s="330"/>
      <c r="AH708" s="330"/>
      <c r="AI708" s="330"/>
      <c r="AJ708" s="330"/>
      <c r="AK708" s="330"/>
      <c r="AL708" s="329"/>
      <c r="AM708" s="329"/>
      <c r="AN708" s="330"/>
      <c r="AO708" s="330"/>
      <c r="AP708" s="330"/>
      <c r="AQ708" s="330"/>
      <c r="AR708" s="231"/>
      <c r="AS708" s="333"/>
      <c r="AT708" s="206"/>
      <c r="AU708" s="328"/>
      <c r="AV708" s="206"/>
      <c r="AW708" s="206"/>
      <c r="AX708" s="206"/>
      <c r="AY708" s="206"/>
      <c r="AZ708" s="206"/>
      <c r="BA708" s="206"/>
      <c r="BB708" s="206"/>
      <c r="BC708" s="206"/>
      <c r="BD708" s="206"/>
      <c r="BE708" s="206"/>
      <c r="BF708" s="206"/>
      <c r="BG708" s="330"/>
      <c r="BH708" s="330"/>
      <c r="BI708" s="330"/>
      <c r="BJ708" s="330"/>
      <c r="BK708" s="330"/>
      <c r="BL708" s="330"/>
      <c r="BM708" s="330"/>
      <c r="BN708" s="330"/>
      <c r="BO708" s="330"/>
      <c r="BP708" s="330"/>
      <c r="BQ708" s="330"/>
      <c r="BR708" s="330"/>
      <c r="BS708" s="330"/>
      <c r="BT708" s="330"/>
      <c r="BU708" s="330"/>
      <c r="BV708" s="330"/>
      <c r="BW708" s="330"/>
      <c r="BX708" s="330"/>
      <c r="BY708" s="330"/>
      <c r="BZ708" s="330"/>
    </row>
    <row r="709" spans="1:78" x14ac:dyDescent="0.25">
      <c r="A709" s="331"/>
      <c r="B709" s="328"/>
      <c r="C709" s="328"/>
      <c r="D709" s="329"/>
      <c r="E709" s="330"/>
      <c r="F709" s="330"/>
      <c r="G709" s="330"/>
      <c r="H709" s="330"/>
      <c r="I709" s="330"/>
      <c r="J709" s="330"/>
      <c r="K709" s="330"/>
      <c r="L709" s="329"/>
      <c r="M709" s="329"/>
      <c r="N709" s="330"/>
      <c r="O709" s="330"/>
      <c r="P709" s="330"/>
      <c r="Q709" s="330"/>
      <c r="R709" s="330"/>
      <c r="S709" s="330"/>
      <c r="T709" s="330"/>
      <c r="U709" s="330"/>
      <c r="V709" s="330"/>
      <c r="W709" s="330"/>
      <c r="X709" s="329"/>
      <c r="Y709" s="330"/>
      <c r="Z709" s="330"/>
      <c r="AA709" s="330"/>
      <c r="AB709" s="330"/>
      <c r="AC709" s="330"/>
      <c r="AD709" s="330"/>
      <c r="AE709" s="330"/>
      <c r="AF709" s="330"/>
      <c r="AG709" s="330"/>
      <c r="AH709" s="330"/>
      <c r="AI709" s="330"/>
      <c r="AJ709" s="330"/>
      <c r="AK709" s="330"/>
      <c r="AL709" s="329"/>
      <c r="AM709" s="329"/>
      <c r="AN709" s="330"/>
      <c r="AO709" s="330"/>
      <c r="AP709" s="330"/>
      <c r="AQ709" s="330"/>
      <c r="AR709" s="231"/>
      <c r="AS709" s="333"/>
      <c r="AT709" s="206"/>
      <c r="AU709" s="328"/>
      <c r="AV709" s="206"/>
      <c r="AW709" s="206"/>
      <c r="AX709" s="206"/>
      <c r="AY709" s="206"/>
      <c r="AZ709" s="206"/>
      <c r="BA709" s="206"/>
      <c r="BB709" s="206"/>
      <c r="BC709" s="206"/>
      <c r="BD709" s="206"/>
      <c r="BE709" s="206"/>
      <c r="BF709" s="206"/>
      <c r="BG709" s="330"/>
      <c r="BH709" s="330"/>
      <c r="BI709" s="330"/>
      <c r="BJ709" s="330"/>
      <c r="BK709" s="330"/>
      <c r="BL709" s="330"/>
      <c r="BM709" s="330"/>
      <c r="BN709" s="330"/>
      <c r="BO709" s="330"/>
      <c r="BP709" s="330"/>
      <c r="BQ709" s="330"/>
      <c r="BR709" s="330"/>
      <c r="BS709" s="330"/>
      <c r="BT709" s="330"/>
      <c r="BU709" s="330"/>
      <c r="BV709" s="330"/>
      <c r="BW709" s="330"/>
      <c r="BX709" s="330"/>
      <c r="BY709" s="330"/>
      <c r="BZ709" s="330"/>
    </row>
    <row r="710" spans="1:78" x14ac:dyDescent="0.25">
      <c r="A710" s="331"/>
      <c r="B710" s="328"/>
      <c r="C710" s="328"/>
      <c r="D710" s="329"/>
      <c r="E710" s="330"/>
      <c r="F710" s="330"/>
      <c r="G710" s="330"/>
      <c r="H710" s="330"/>
      <c r="I710" s="330"/>
      <c r="J710" s="330"/>
      <c r="K710" s="330"/>
      <c r="L710" s="329"/>
      <c r="M710" s="329"/>
      <c r="N710" s="330"/>
      <c r="O710" s="330"/>
      <c r="P710" s="330"/>
      <c r="Q710" s="330"/>
      <c r="R710" s="330"/>
      <c r="S710" s="330"/>
      <c r="T710" s="330"/>
      <c r="U710" s="330"/>
      <c r="V710" s="330"/>
      <c r="W710" s="330"/>
      <c r="X710" s="329"/>
      <c r="Y710" s="330"/>
      <c r="Z710" s="330"/>
      <c r="AA710" s="330"/>
      <c r="AB710" s="330"/>
      <c r="AC710" s="330"/>
      <c r="AD710" s="330"/>
      <c r="AE710" s="330"/>
      <c r="AF710" s="330"/>
      <c r="AG710" s="330"/>
      <c r="AH710" s="330"/>
      <c r="AI710" s="330"/>
      <c r="AJ710" s="330"/>
      <c r="AK710" s="330"/>
      <c r="AL710" s="329"/>
      <c r="AM710" s="329"/>
      <c r="AN710" s="330"/>
      <c r="AO710" s="330"/>
      <c r="AP710" s="330"/>
      <c r="AQ710" s="330"/>
      <c r="AR710" s="231"/>
      <c r="AS710" s="333"/>
      <c r="AT710" s="206"/>
      <c r="AU710" s="328"/>
      <c r="AV710" s="206"/>
      <c r="AW710" s="206"/>
      <c r="AX710" s="206"/>
      <c r="AY710" s="206"/>
      <c r="AZ710" s="206"/>
      <c r="BA710" s="206"/>
      <c r="BB710" s="206"/>
      <c r="BC710" s="206"/>
      <c r="BD710" s="206"/>
      <c r="BE710" s="206"/>
      <c r="BF710" s="206"/>
      <c r="BG710" s="330"/>
      <c r="BH710" s="330"/>
      <c r="BI710" s="330"/>
      <c r="BJ710" s="330"/>
      <c r="BK710" s="330"/>
      <c r="BL710" s="330"/>
      <c r="BM710" s="330"/>
      <c r="BN710" s="330"/>
      <c r="BO710" s="330"/>
      <c r="BP710" s="330"/>
      <c r="BQ710" s="330"/>
      <c r="BR710" s="330"/>
      <c r="BS710" s="330"/>
      <c r="BT710" s="330"/>
      <c r="BU710" s="330"/>
      <c r="BV710" s="330"/>
      <c r="BW710" s="330"/>
      <c r="BX710" s="330"/>
      <c r="BY710" s="330"/>
      <c r="BZ710" s="330"/>
    </row>
    <row r="711" spans="1:78" x14ac:dyDescent="0.25">
      <c r="A711" s="331"/>
      <c r="B711" s="328"/>
      <c r="C711" s="328"/>
      <c r="D711" s="329"/>
      <c r="E711" s="330"/>
      <c r="F711" s="330"/>
      <c r="G711" s="330"/>
      <c r="H711" s="330"/>
      <c r="I711" s="330"/>
      <c r="J711" s="330"/>
      <c r="K711" s="330"/>
      <c r="L711" s="329"/>
      <c r="M711" s="329"/>
      <c r="N711" s="330"/>
      <c r="O711" s="330"/>
      <c r="P711" s="330"/>
      <c r="Q711" s="330"/>
      <c r="R711" s="330"/>
      <c r="S711" s="330"/>
      <c r="T711" s="330"/>
      <c r="U711" s="330"/>
      <c r="V711" s="330"/>
      <c r="W711" s="330"/>
      <c r="X711" s="329"/>
      <c r="Y711" s="330"/>
      <c r="Z711" s="330"/>
      <c r="AA711" s="330"/>
      <c r="AB711" s="330"/>
      <c r="AC711" s="330"/>
      <c r="AD711" s="330"/>
      <c r="AE711" s="330"/>
      <c r="AF711" s="330"/>
      <c r="AG711" s="330"/>
      <c r="AH711" s="330"/>
      <c r="AI711" s="330"/>
      <c r="AJ711" s="330"/>
      <c r="AK711" s="330"/>
      <c r="AL711" s="329"/>
      <c r="AM711" s="329"/>
      <c r="AN711" s="330"/>
      <c r="AO711" s="330"/>
      <c r="AP711" s="330"/>
      <c r="AQ711" s="330"/>
      <c r="AR711" s="231"/>
      <c r="AS711" s="333"/>
      <c r="AT711" s="206"/>
      <c r="AU711" s="328"/>
      <c r="AV711" s="206"/>
      <c r="AW711" s="206"/>
      <c r="AX711" s="206"/>
      <c r="AY711" s="206"/>
      <c r="AZ711" s="206"/>
      <c r="BA711" s="206"/>
      <c r="BB711" s="206"/>
      <c r="BC711" s="206"/>
      <c r="BD711" s="206"/>
      <c r="BE711" s="206"/>
      <c r="BF711" s="206"/>
      <c r="BG711" s="330"/>
      <c r="BH711" s="330"/>
      <c r="BI711" s="330"/>
      <c r="BJ711" s="330"/>
      <c r="BK711" s="330"/>
      <c r="BL711" s="330"/>
      <c r="BM711" s="330"/>
      <c r="BN711" s="330"/>
      <c r="BO711" s="330"/>
      <c r="BP711" s="330"/>
      <c r="BQ711" s="330"/>
      <c r="BR711" s="330"/>
      <c r="BS711" s="330"/>
      <c r="BT711" s="330"/>
      <c r="BU711" s="330"/>
      <c r="BV711" s="330"/>
      <c r="BW711" s="330"/>
      <c r="BX711" s="330"/>
      <c r="BY711" s="330"/>
      <c r="BZ711" s="330"/>
    </row>
    <row r="712" spans="1:78" x14ac:dyDescent="0.25">
      <c r="A712" s="331"/>
      <c r="B712" s="328"/>
      <c r="C712" s="328"/>
      <c r="D712" s="329"/>
      <c r="E712" s="330"/>
      <c r="F712" s="330"/>
      <c r="G712" s="330"/>
      <c r="H712" s="330"/>
      <c r="I712" s="330"/>
      <c r="J712" s="330"/>
      <c r="K712" s="330"/>
      <c r="L712" s="329"/>
      <c r="M712" s="329"/>
      <c r="N712" s="330"/>
      <c r="O712" s="330"/>
      <c r="P712" s="330"/>
      <c r="Q712" s="330"/>
      <c r="R712" s="330"/>
      <c r="S712" s="330"/>
      <c r="T712" s="330"/>
      <c r="U712" s="330"/>
      <c r="V712" s="330"/>
      <c r="W712" s="330"/>
      <c r="X712" s="329"/>
      <c r="Y712" s="330"/>
      <c r="Z712" s="330"/>
      <c r="AA712" s="330"/>
      <c r="AB712" s="330"/>
      <c r="AC712" s="330"/>
      <c r="AD712" s="330"/>
      <c r="AE712" s="330"/>
      <c r="AF712" s="330"/>
      <c r="AG712" s="330"/>
      <c r="AH712" s="330"/>
      <c r="AI712" s="330"/>
      <c r="AJ712" s="330"/>
      <c r="AK712" s="330"/>
      <c r="AL712" s="329"/>
      <c r="AM712" s="329"/>
      <c r="AN712" s="330"/>
      <c r="AO712" s="330"/>
      <c r="AP712" s="330"/>
      <c r="AQ712" s="330"/>
      <c r="AR712" s="231"/>
      <c r="AS712" s="333"/>
      <c r="AT712" s="206"/>
      <c r="AU712" s="328"/>
      <c r="AV712" s="206"/>
      <c r="AW712" s="206"/>
      <c r="AX712" s="206"/>
      <c r="AY712" s="206"/>
      <c r="AZ712" s="206"/>
      <c r="BA712" s="206"/>
      <c r="BB712" s="206"/>
      <c r="BC712" s="206"/>
      <c r="BD712" s="206"/>
      <c r="BE712" s="206"/>
      <c r="BF712" s="206"/>
      <c r="BG712" s="330"/>
      <c r="BH712" s="330"/>
      <c r="BI712" s="330"/>
      <c r="BJ712" s="330"/>
      <c r="BK712" s="330"/>
      <c r="BL712" s="330"/>
      <c r="BM712" s="330"/>
      <c r="BN712" s="330"/>
      <c r="BO712" s="330"/>
      <c r="BP712" s="330"/>
      <c r="BQ712" s="330"/>
      <c r="BR712" s="330"/>
      <c r="BS712" s="330"/>
      <c r="BT712" s="330"/>
      <c r="BU712" s="330"/>
      <c r="BV712" s="330"/>
      <c r="BW712" s="330"/>
      <c r="BX712" s="330"/>
      <c r="BY712" s="330"/>
      <c r="BZ712" s="330"/>
    </row>
    <row r="713" spans="1:78" x14ac:dyDescent="0.25">
      <c r="A713" s="331"/>
      <c r="B713" s="328"/>
      <c r="C713" s="328"/>
      <c r="D713" s="329"/>
      <c r="E713" s="330"/>
      <c r="F713" s="330"/>
      <c r="G713" s="330"/>
      <c r="H713" s="330"/>
      <c r="I713" s="330"/>
      <c r="J713" s="330"/>
      <c r="K713" s="330"/>
      <c r="L713" s="329"/>
      <c r="M713" s="329"/>
      <c r="N713" s="330"/>
      <c r="O713" s="330"/>
      <c r="P713" s="330"/>
      <c r="Q713" s="330"/>
      <c r="R713" s="330"/>
      <c r="S713" s="330"/>
      <c r="T713" s="330"/>
      <c r="U713" s="330"/>
      <c r="V713" s="330"/>
      <c r="W713" s="330"/>
      <c r="X713" s="329"/>
      <c r="Y713" s="330"/>
      <c r="Z713" s="330"/>
      <c r="AA713" s="330"/>
      <c r="AB713" s="330"/>
      <c r="AC713" s="330"/>
      <c r="AD713" s="330"/>
      <c r="AE713" s="330"/>
      <c r="AF713" s="330"/>
      <c r="AG713" s="330"/>
      <c r="AH713" s="330"/>
      <c r="AI713" s="330"/>
      <c r="AJ713" s="330"/>
      <c r="AK713" s="330"/>
      <c r="AL713" s="329"/>
      <c r="AM713" s="329"/>
      <c r="AN713" s="330"/>
      <c r="AO713" s="330"/>
      <c r="AP713" s="330"/>
      <c r="AQ713" s="330"/>
      <c r="AR713" s="231"/>
      <c r="AS713" s="333"/>
      <c r="AT713" s="206"/>
      <c r="AU713" s="328"/>
      <c r="AV713" s="206"/>
      <c r="AW713" s="206"/>
      <c r="AX713" s="206"/>
      <c r="AY713" s="206"/>
      <c r="AZ713" s="206"/>
      <c r="BA713" s="206"/>
      <c r="BB713" s="206"/>
      <c r="BC713" s="206"/>
      <c r="BD713" s="206"/>
      <c r="BE713" s="206"/>
      <c r="BF713" s="206"/>
      <c r="BG713" s="330"/>
      <c r="BH713" s="330"/>
      <c r="BI713" s="330"/>
      <c r="BJ713" s="330"/>
      <c r="BK713" s="330"/>
      <c r="BL713" s="330"/>
      <c r="BM713" s="330"/>
      <c r="BN713" s="330"/>
      <c r="BO713" s="330"/>
      <c r="BP713" s="330"/>
      <c r="BQ713" s="330"/>
      <c r="BR713" s="330"/>
      <c r="BS713" s="330"/>
      <c r="BT713" s="330"/>
      <c r="BU713" s="330"/>
      <c r="BV713" s="330"/>
      <c r="BW713" s="330"/>
      <c r="BX713" s="330"/>
      <c r="BY713" s="330"/>
      <c r="BZ713" s="330"/>
    </row>
    <row r="714" spans="1:78" x14ac:dyDescent="0.25">
      <c r="A714" s="331"/>
      <c r="B714" s="328"/>
      <c r="C714" s="328"/>
      <c r="D714" s="329"/>
      <c r="E714" s="330"/>
      <c r="F714" s="330"/>
      <c r="G714" s="330"/>
      <c r="H714" s="330"/>
      <c r="I714" s="330"/>
      <c r="J714" s="330"/>
      <c r="K714" s="330"/>
      <c r="L714" s="329"/>
      <c r="M714" s="329"/>
      <c r="N714" s="330"/>
      <c r="O714" s="330"/>
      <c r="P714" s="330"/>
      <c r="Q714" s="330"/>
      <c r="R714" s="330"/>
      <c r="S714" s="330"/>
      <c r="T714" s="330"/>
      <c r="U714" s="330"/>
      <c r="V714" s="330"/>
      <c r="W714" s="330"/>
      <c r="X714" s="329"/>
      <c r="Y714" s="330"/>
      <c r="Z714" s="330"/>
      <c r="AA714" s="330"/>
      <c r="AB714" s="330"/>
      <c r="AC714" s="330"/>
      <c r="AD714" s="330"/>
      <c r="AE714" s="330"/>
      <c r="AF714" s="330"/>
      <c r="AG714" s="330"/>
      <c r="AH714" s="330"/>
      <c r="AI714" s="330"/>
      <c r="AJ714" s="330"/>
      <c r="AK714" s="330"/>
      <c r="AL714" s="329"/>
      <c r="AM714" s="329"/>
      <c r="AN714" s="330"/>
      <c r="AO714" s="330"/>
      <c r="AP714" s="330"/>
      <c r="AQ714" s="330"/>
      <c r="AR714" s="231"/>
      <c r="AS714" s="333"/>
      <c r="AT714" s="206"/>
      <c r="AU714" s="328"/>
      <c r="AV714" s="206"/>
      <c r="AW714" s="206"/>
      <c r="AX714" s="206"/>
      <c r="AY714" s="206"/>
      <c r="AZ714" s="206"/>
      <c r="BA714" s="206"/>
      <c r="BB714" s="206"/>
      <c r="BC714" s="206"/>
      <c r="BD714" s="206"/>
      <c r="BE714" s="206"/>
      <c r="BF714" s="206"/>
      <c r="BG714" s="330"/>
      <c r="BH714" s="330"/>
      <c r="BI714" s="330"/>
      <c r="BJ714" s="330"/>
      <c r="BK714" s="330"/>
      <c r="BL714" s="330"/>
      <c r="BM714" s="330"/>
      <c r="BN714" s="330"/>
      <c r="BO714" s="330"/>
      <c r="BP714" s="330"/>
      <c r="BQ714" s="330"/>
      <c r="BR714" s="330"/>
      <c r="BS714" s="330"/>
      <c r="BT714" s="330"/>
      <c r="BU714" s="330"/>
      <c r="BV714" s="330"/>
      <c r="BW714" s="330"/>
      <c r="BX714" s="330"/>
      <c r="BY714" s="330"/>
      <c r="BZ714" s="330"/>
    </row>
    <row r="715" spans="1:78" x14ac:dyDescent="0.25">
      <c r="A715" s="331"/>
      <c r="B715" s="328"/>
      <c r="C715" s="328"/>
      <c r="D715" s="329"/>
      <c r="E715" s="330"/>
      <c r="F715" s="330"/>
      <c r="G715" s="330"/>
      <c r="H715" s="330"/>
      <c r="I715" s="330"/>
      <c r="J715" s="330"/>
      <c r="K715" s="330"/>
      <c r="L715" s="329"/>
      <c r="M715" s="329"/>
      <c r="N715" s="330"/>
      <c r="O715" s="330"/>
      <c r="P715" s="330"/>
      <c r="Q715" s="330"/>
      <c r="R715" s="330"/>
      <c r="S715" s="330"/>
      <c r="T715" s="330"/>
      <c r="U715" s="330"/>
      <c r="V715" s="330"/>
      <c r="W715" s="330"/>
      <c r="X715" s="329"/>
      <c r="Y715" s="330"/>
      <c r="Z715" s="330"/>
      <c r="AA715" s="330"/>
      <c r="AB715" s="330"/>
      <c r="AC715" s="330"/>
      <c r="AD715" s="330"/>
      <c r="AE715" s="330"/>
      <c r="AF715" s="330"/>
      <c r="AG715" s="330"/>
      <c r="AH715" s="330"/>
      <c r="AI715" s="330"/>
      <c r="AJ715" s="330"/>
      <c r="AK715" s="330"/>
      <c r="AL715" s="329"/>
      <c r="AM715" s="329"/>
      <c r="AN715" s="330"/>
      <c r="AO715" s="330"/>
      <c r="AP715" s="330"/>
      <c r="AQ715" s="330"/>
      <c r="AR715" s="231"/>
      <c r="AS715" s="333"/>
      <c r="AT715" s="206"/>
      <c r="AU715" s="328"/>
      <c r="AV715" s="206"/>
      <c r="AW715" s="206"/>
      <c r="AX715" s="206"/>
      <c r="AY715" s="206"/>
      <c r="AZ715" s="206"/>
      <c r="BA715" s="206"/>
      <c r="BB715" s="206"/>
      <c r="BC715" s="206"/>
      <c r="BD715" s="206"/>
      <c r="BE715" s="206"/>
      <c r="BF715" s="206"/>
      <c r="BG715" s="330"/>
      <c r="BH715" s="330"/>
      <c r="BI715" s="330"/>
      <c r="BJ715" s="330"/>
      <c r="BK715" s="330"/>
      <c r="BL715" s="330"/>
      <c r="BM715" s="330"/>
      <c r="BN715" s="330"/>
      <c r="BO715" s="330"/>
      <c r="BP715" s="330"/>
      <c r="BQ715" s="330"/>
      <c r="BR715" s="330"/>
      <c r="BS715" s="330"/>
      <c r="BT715" s="330"/>
      <c r="BU715" s="330"/>
      <c r="BV715" s="330"/>
      <c r="BW715" s="330"/>
      <c r="BX715" s="330"/>
      <c r="BY715" s="330"/>
      <c r="BZ715" s="330"/>
    </row>
    <row r="716" spans="1:78" x14ac:dyDescent="0.25">
      <c r="A716" s="331"/>
      <c r="B716" s="328"/>
      <c r="C716" s="328"/>
      <c r="D716" s="329"/>
      <c r="E716" s="330"/>
      <c r="F716" s="330"/>
      <c r="G716" s="330"/>
      <c r="H716" s="330"/>
      <c r="I716" s="330"/>
      <c r="J716" s="330"/>
      <c r="K716" s="330"/>
      <c r="L716" s="329"/>
      <c r="M716" s="329"/>
      <c r="N716" s="330"/>
      <c r="O716" s="330"/>
      <c r="P716" s="330"/>
      <c r="Q716" s="330"/>
      <c r="R716" s="330"/>
      <c r="S716" s="330"/>
      <c r="T716" s="330"/>
      <c r="U716" s="330"/>
      <c r="V716" s="330"/>
      <c r="W716" s="330"/>
      <c r="X716" s="329"/>
      <c r="Y716" s="330"/>
      <c r="Z716" s="330"/>
      <c r="AA716" s="330"/>
      <c r="AB716" s="330"/>
      <c r="AC716" s="330"/>
      <c r="AD716" s="330"/>
      <c r="AE716" s="330"/>
      <c r="AF716" s="330"/>
      <c r="AG716" s="330"/>
      <c r="AH716" s="330"/>
      <c r="AI716" s="330"/>
      <c r="AJ716" s="330"/>
      <c r="AK716" s="330"/>
      <c r="AL716" s="329"/>
      <c r="AM716" s="329"/>
      <c r="AN716" s="330"/>
      <c r="AO716" s="330"/>
      <c r="AP716" s="330"/>
      <c r="AQ716" s="330"/>
      <c r="AR716" s="231"/>
      <c r="AS716" s="333"/>
      <c r="AT716" s="206"/>
      <c r="AU716" s="328"/>
      <c r="AV716" s="206"/>
      <c r="AW716" s="206"/>
      <c r="AX716" s="206"/>
      <c r="AY716" s="206"/>
      <c r="AZ716" s="206"/>
      <c r="BA716" s="206"/>
      <c r="BB716" s="206"/>
      <c r="BC716" s="206"/>
      <c r="BD716" s="206"/>
      <c r="BE716" s="206"/>
      <c r="BF716" s="206"/>
      <c r="BG716" s="330"/>
      <c r="BH716" s="330"/>
      <c r="BI716" s="330"/>
      <c r="BJ716" s="330"/>
      <c r="BK716" s="330"/>
      <c r="BL716" s="330"/>
      <c r="BM716" s="330"/>
      <c r="BN716" s="330"/>
      <c r="BO716" s="330"/>
      <c r="BP716" s="330"/>
      <c r="BQ716" s="330"/>
      <c r="BR716" s="330"/>
      <c r="BS716" s="330"/>
      <c r="BT716" s="330"/>
      <c r="BU716" s="330"/>
      <c r="BV716" s="330"/>
      <c r="BW716" s="330"/>
      <c r="BX716" s="330"/>
      <c r="BY716" s="330"/>
      <c r="BZ716" s="330"/>
    </row>
    <row r="717" spans="1:78" x14ac:dyDescent="0.25">
      <c r="A717" s="331"/>
      <c r="B717" s="328"/>
      <c r="C717" s="328"/>
      <c r="D717" s="329"/>
      <c r="E717" s="330"/>
      <c r="F717" s="330"/>
      <c r="G717" s="330"/>
      <c r="H717" s="330"/>
      <c r="I717" s="330"/>
      <c r="J717" s="330"/>
      <c r="K717" s="330"/>
      <c r="L717" s="329"/>
      <c r="M717" s="329"/>
      <c r="N717" s="330"/>
      <c r="O717" s="330"/>
      <c r="P717" s="330"/>
      <c r="Q717" s="330"/>
      <c r="R717" s="330"/>
      <c r="S717" s="330"/>
      <c r="T717" s="330"/>
      <c r="U717" s="330"/>
      <c r="V717" s="330"/>
      <c r="W717" s="330"/>
      <c r="X717" s="329"/>
      <c r="Y717" s="330"/>
      <c r="Z717" s="330"/>
      <c r="AA717" s="330"/>
      <c r="AB717" s="330"/>
      <c r="AC717" s="330"/>
      <c r="AD717" s="330"/>
      <c r="AE717" s="330"/>
      <c r="AF717" s="330"/>
      <c r="AG717" s="330"/>
      <c r="AH717" s="330"/>
      <c r="AI717" s="330"/>
      <c r="AJ717" s="330"/>
      <c r="AK717" s="330"/>
      <c r="AL717" s="329"/>
      <c r="AM717" s="329"/>
      <c r="AN717" s="330"/>
      <c r="AO717" s="330"/>
      <c r="AP717" s="330"/>
      <c r="AQ717" s="330"/>
      <c r="AR717" s="231"/>
      <c r="AS717" s="333"/>
      <c r="AT717" s="206"/>
      <c r="AU717" s="328"/>
      <c r="AV717" s="206"/>
      <c r="AW717" s="206"/>
      <c r="AX717" s="206"/>
      <c r="AY717" s="206"/>
      <c r="AZ717" s="206"/>
      <c r="BA717" s="206"/>
      <c r="BB717" s="206"/>
      <c r="BC717" s="206"/>
      <c r="BD717" s="206"/>
      <c r="BE717" s="206"/>
      <c r="BF717" s="206"/>
      <c r="BG717" s="330"/>
      <c r="BH717" s="330"/>
      <c r="BI717" s="330"/>
      <c r="BJ717" s="330"/>
      <c r="BK717" s="330"/>
      <c r="BL717" s="330"/>
      <c r="BM717" s="330"/>
      <c r="BN717" s="330"/>
      <c r="BO717" s="330"/>
      <c r="BP717" s="330"/>
      <c r="BQ717" s="330"/>
      <c r="BR717" s="330"/>
      <c r="BS717" s="330"/>
      <c r="BT717" s="330"/>
      <c r="BU717" s="330"/>
      <c r="BV717" s="330"/>
      <c r="BW717" s="330"/>
      <c r="BX717" s="330"/>
      <c r="BY717" s="330"/>
      <c r="BZ717" s="330"/>
    </row>
    <row r="718" spans="1:78" x14ac:dyDescent="0.25">
      <c r="A718" s="331"/>
      <c r="B718" s="328"/>
      <c r="C718" s="328"/>
      <c r="D718" s="329"/>
      <c r="E718" s="330"/>
      <c r="F718" s="330"/>
      <c r="G718" s="330"/>
      <c r="H718" s="330"/>
      <c r="I718" s="330"/>
      <c r="J718" s="330"/>
      <c r="K718" s="330"/>
      <c r="L718" s="329"/>
      <c r="M718" s="329"/>
      <c r="N718" s="330"/>
      <c r="O718" s="330"/>
      <c r="P718" s="330"/>
      <c r="Q718" s="330"/>
      <c r="R718" s="330"/>
      <c r="S718" s="330"/>
      <c r="T718" s="330"/>
      <c r="U718" s="330"/>
      <c r="V718" s="330"/>
      <c r="W718" s="330"/>
      <c r="X718" s="329"/>
      <c r="Y718" s="330"/>
      <c r="Z718" s="330"/>
      <c r="AA718" s="330"/>
      <c r="AB718" s="330"/>
      <c r="AC718" s="330"/>
      <c r="AD718" s="330"/>
      <c r="AE718" s="330"/>
      <c r="AF718" s="330"/>
      <c r="AG718" s="330"/>
      <c r="AH718" s="330"/>
      <c r="AI718" s="330"/>
      <c r="AJ718" s="330"/>
      <c r="AK718" s="330"/>
      <c r="AL718" s="329"/>
      <c r="AM718" s="329"/>
      <c r="AN718" s="330"/>
      <c r="AO718" s="330"/>
      <c r="AP718" s="330"/>
      <c r="AQ718" s="330"/>
      <c r="AR718" s="231"/>
      <c r="AS718" s="333"/>
      <c r="AT718" s="206"/>
      <c r="AU718" s="328"/>
      <c r="AV718" s="206"/>
      <c r="AW718" s="206"/>
      <c r="AX718" s="206"/>
      <c r="AY718" s="206"/>
      <c r="AZ718" s="206"/>
      <c r="BA718" s="206"/>
      <c r="BB718" s="206"/>
      <c r="BC718" s="206"/>
      <c r="BD718" s="206"/>
      <c r="BE718" s="206"/>
      <c r="BF718" s="206"/>
      <c r="BG718" s="330"/>
      <c r="BH718" s="330"/>
      <c r="BI718" s="330"/>
      <c r="BJ718" s="330"/>
      <c r="BK718" s="330"/>
      <c r="BL718" s="330"/>
      <c r="BM718" s="330"/>
      <c r="BN718" s="330"/>
      <c r="BO718" s="330"/>
      <c r="BP718" s="330"/>
      <c r="BQ718" s="330"/>
      <c r="BR718" s="330"/>
      <c r="BS718" s="330"/>
      <c r="BT718" s="330"/>
      <c r="BU718" s="330"/>
      <c r="BV718" s="330"/>
      <c r="BW718" s="330"/>
      <c r="BX718" s="330"/>
      <c r="BY718" s="330"/>
      <c r="BZ718" s="330"/>
    </row>
    <row r="719" spans="1:78" x14ac:dyDescent="0.25">
      <c r="A719" s="331"/>
      <c r="B719" s="328"/>
      <c r="C719" s="328"/>
      <c r="D719" s="329"/>
      <c r="E719" s="330"/>
      <c r="F719" s="330"/>
      <c r="G719" s="330"/>
      <c r="H719" s="330"/>
      <c r="I719" s="330"/>
      <c r="J719" s="330"/>
      <c r="K719" s="330"/>
      <c r="L719" s="329"/>
      <c r="M719" s="329"/>
      <c r="N719" s="330"/>
      <c r="O719" s="330"/>
      <c r="P719" s="330"/>
      <c r="Q719" s="330"/>
      <c r="R719" s="330"/>
      <c r="S719" s="330"/>
      <c r="T719" s="330"/>
      <c r="U719" s="330"/>
      <c r="V719" s="330"/>
      <c r="W719" s="330"/>
      <c r="X719" s="329"/>
      <c r="Y719" s="330"/>
      <c r="Z719" s="330"/>
      <c r="AA719" s="330"/>
      <c r="AB719" s="330"/>
      <c r="AC719" s="330"/>
      <c r="AD719" s="330"/>
      <c r="AE719" s="330"/>
      <c r="AF719" s="330"/>
      <c r="AG719" s="330"/>
      <c r="AH719" s="330"/>
      <c r="AI719" s="330"/>
      <c r="AJ719" s="330"/>
      <c r="AK719" s="330"/>
      <c r="AL719" s="329"/>
      <c r="AM719" s="329"/>
      <c r="AN719" s="330"/>
      <c r="AO719" s="330"/>
      <c r="AP719" s="330"/>
      <c r="AQ719" s="330"/>
      <c r="AR719" s="231"/>
      <c r="AS719" s="333"/>
      <c r="AT719" s="206"/>
      <c r="AU719" s="328"/>
      <c r="AV719" s="206"/>
      <c r="AW719" s="206"/>
      <c r="AX719" s="206"/>
      <c r="AY719" s="206"/>
      <c r="AZ719" s="206"/>
      <c r="BA719" s="206"/>
      <c r="BB719" s="206"/>
      <c r="BC719" s="206"/>
      <c r="BD719" s="206"/>
      <c r="BE719" s="206"/>
      <c r="BF719" s="206"/>
      <c r="BG719" s="330"/>
      <c r="BH719" s="330"/>
      <c r="BI719" s="330"/>
      <c r="BJ719" s="330"/>
      <c r="BK719" s="330"/>
      <c r="BL719" s="330"/>
      <c r="BM719" s="330"/>
      <c r="BN719" s="330"/>
      <c r="BO719" s="330"/>
      <c r="BP719" s="330"/>
      <c r="BQ719" s="330"/>
      <c r="BR719" s="330"/>
      <c r="BS719" s="330"/>
      <c r="BT719" s="330"/>
      <c r="BU719" s="330"/>
      <c r="BV719" s="330"/>
      <c r="BW719" s="330"/>
      <c r="BX719" s="330"/>
      <c r="BY719" s="330"/>
      <c r="BZ719" s="330"/>
    </row>
    <row r="720" spans="1:78" x14ac:dyDescent="0.25">
      <c r="A720" s="331"/>
      <c r="B720" s="328"/>
      <c r="C720" s="328"/>
      <c r="D720" s="329"/>
      <c r="E720" s="330"/>
      <c r="F720" s="330"/>
      <c r="G720" s="330"/>
      <c r="H720" s="330"/>
      <c r="I720" s="330"/>
      <c r="J720" s="330"/>
      <c r="K720" s="330"/>
      <c r="L720" s="329"/>
      <c r="M720" s="329"/>
      <c r="N720" s="330"/>
      <c r="O720" s="330"/>
      <c r="P720" s="330"/>
      <c r="Q720" s="330"/>
      <c r="R720" s="330"/>
      <c r="S720" s="330"/>
      <c r="T720" s="330"/>
      <c r="U720" s="330"/>
      <c r="V720" s="330"/>
      <c r="W720" s="330"/>
      <c r="X720" s="329"/>
      <c r="Y720" s="330"/>
      <c r="Z720" s="330"/>
      <c r="AA720" s="330"/>
      <c r="AB720" s="330"/>
      <c r="AC720" s="330"/>
      <c r="AD720" s="330"/>
      <c r="AE720" s="330"/>
      <c r="AF720" s="330"/>
      <c r="AG720" s="330"/>
      <c r="AH720" s="330"/>
      <c r="AI720" s="330"/>
      <c r="AJ720" s="330"/>
      <c r="AK720" s="330"/>
      <c r="AL720" s="329"/>
      <c r="AM720" s="329"/>
      <c r="AN720" s="330"/>
      <c r="AO720" s="330"/>
      <c r="AP720" s="330"/>
      <c r="AQ720" s="330"/>
      <c r="AR720" s="231"/>
      <c r="AS720" s="333"/>
      <c r="AT720" s="206"/>
      <c r="AU720" s="328"/>
      <c r="AV720" s="206"/>
      <c r="AW720" s="206"/>
      <c r="AX720" s="206"/>
      <c r="AY720" s="206"/>
      <c r="AZ720" s="206"/>
      <c r="BA720" s="206"/>
      <c r="BB720" s="206"/>
      <c r="BC720" s="206"/>
      <c r="BD720" s="206"/>
      <c r="BE720" s="206"/>
      <c r="BF720" s="206"/>
      <c r="BG720" s="330"/>
      <c r="BH720" s="330"/>
      <c r="BI720" s="330"/>
      <c r="BJ720" s="330"/>
      <c r="BK720" s="330"/>
      <c r="BL720" s="330"/>
      <c r="BM720" s="330"/>
      <c r="BN720" s="330"/>
      <c r="BO720" s="330"/>
      <c r="BP720" s="330"/>
      <c r="BQ720" s="330"/>
      <c r="BR720" s="330"/>
      <c r="BS720" s="330"/>
      <c r="BT720" s="330"/>
      <c r="BU720" s="330"/>
      <c r="BV720" s="330"/>
      <c r="BW720" s="330"/>
      <c r="BX720" s="330"/>
      <c r="BY720" s="330"/>
      <c r="BZ720" s="330"/>
    </row>
    <row r="721" spans="1:78" x14ac:dyDescent="0.25">
      <c r="A721" s="331"/>
      <c r="B721" s="328"/>
      <c r="C721" s="328"/>
      <c r="D721" s="329"/>
      <c r="E721" s="330"/>
      <c r="F721" s="330"/>
      <c r="G721" s="330"/>
      <c r="H721" s="330"/>
      <c r="I721" s="330"/>
      <c r="J721" s="330"/>
      <c r="K721" s="330"/>
      <c r="L721" s="329"/>
      <c r="M721" s="329"/>
      <c r="N721" s="330"/>
      <c r="O721" s="330"/>
      <c r="P721" s="330"/>
      <c r="Q721" s="330"/>
      <c r="R721" s="330"/>
      <c r="S721" s="330"/>
      <c r="T721" s="330"/>
      <c r="U721" s="330"/>
      <c r="V721" s="330"/>
      <c r="W721" s="330"/>
      <c r="X721" s="329"/>
      <c r="Y721" s="330"/>
      <c r="Z721" s="330"/>
      <c r="AA721" s="330"/>
      <c r="AB721" s="330"/>
      <c r="AC721" s="330"/>
      <c r="AD721" s="330"/>
      <c r="AE721" s="330"/>
      <c r="AF721" s="330"/>
      <c r="AG721" s="330"/>
      <c r="AH721" s="330"/>
      <c r="AI721" s="330"/>
      <c r="AJ721" s="330"/>
      <c r="AK721" s="330"/>
      <c r="AL721" s="329"/>
      <c r="AM721" s="329"/>
      <c r="AN721" s="330"/>
      <c r="AO721" s="330"/>
      <c r="AP721" s="330"/>
      <c r="AQ721" s="330"/>
      <c r="AR721" s="231"/>
      <c r="AS721" s="333"/>
      <c r="AT721" s="206"/>
      <c r="AU721" s="328"/>
      <c r="AV721" s="206"/>
      <c r="AW721" s="206"/>
      <c r="AX721" s="206"/>
      <c r="AY721" s="206"/>
      <c r="AZ721" s="206"/>
      <c r="BA721" s="206"/>
      <c r="BB721" s="206"/>
      <c r="BC721" s="206"/>
      <c r="BD721" s="206"/>
      <c r="BE721" s="206"/>
      <c r="BF721" s="206"/>
      <c r="BG721" s="330"/>
      <c r="BH721" s="330"/>
      <c r="BI721" s="330"/>
      <c r="BJ721" s="330"/>
      <c r="BK721" s="330"/>
      <c r="BL721" s="330"/>
      <c r="BM721" s="330"/>
      <c r="BN721" s="330"/>
      <c r="BO721" s="330"/>
      <c r="BP721" s="330"/>
      <c r="BQ721" s="330"/>
      <c r="BR721" s="330"/>
      <c r="BS721" s="330"/>
      <c r="BT721" s="330"/>
      <c r="BU721" s="330"/>
      <c r="BV721" s="330"/>
      <c r="BW721" s="330"/>
      <c r="BX721" s="330"/>
      <c r="BY721" s="330"/>
      <c r="BZ721" s="330"/>
    </row>
    <row r="722" spans="1:78" x14ac:dyDescent="0.25">
      <c r="A722" s="331"/>
      <c r="B722" s="328"/>
      <c r="C722" s="328"/>
      <c r="D722" s="329"/>
      <c r="E722" s="330"/>
      <c r="F722" s="330"/>
      <c r="G722" s="330"/>
      <c r="H722" s="330"/>
      <c r="I722" s="330"/>
      <c r="J722" s="330"/>
      <c r="K722" s="330"/>
      <c r="L722" s="329"/>
      <c r="M722" s="329"/>
      <c r="N722" s="330"/>
      <c r="O722" s="330"/>
      <c r="P722" s="330"/>
      <c r="Q722" s="330"/>
      <c r="R722" s="330"/>
      <c r="S722" s="330"/>
      <c r="T722" s="330"/>
      <c r="U722" s="330"/>
      <c r="V722" s="330"/>
      <c r="W722" s="330"/>
      <c r="X722" s="329"/>
      <c r="Y722" s="330"/>
      <c r="Z722" s="330"/>
      <c r="AA722" s="330"/>
      <c r="AB722" s="330"/>
      <c r="AC722" s="330"/>
      <c r="AD722" s="330"/>
      <c r="AE722" s="330"/>
      <c r="AF722" s="330"/>
      <c r="AG722" s="330"/>
      <c r="AH722" s="330"/>
      <c r="AI722" s="330"/>
      <c r="AJ722" s="330"/>
      <c r="AK722" s="330"/>
      <c r="AL722" s="329"/>
      <c r="AM722" s="329"/>
      <c r="AN722" s="330"/>
      <c r="AO722" s="330"/>
      <c r="AP722" s="330"/>
      <c r="AQ722" s="330"/>
      <c r="AR722" s="231"/>
      <c r="AS722" s="333"/>
      <c r="AT722" s="206"/>
      <c r="AU722" s="328"/>
      <c r="AV722" s="206"/>
      <c r="AW722" s="206"/>
      <c r="AX722" s="206"/>
      <c r="AY722" s="206"/>
      <c r="AZ722" s="206"/>
      <c r="BA722" s="206"/>
      <c r="BB722" s="206"/>
      <c r="BC722" s="206"/>
      <c r="BD722" s="206"/>
      <c r="BE722" s="206"/>
      <c r="BF722" s="206"/>
      <c r="BG722" s="330"/>
      <c r="BH722" s="330"/>
      <c r="BI722" s="330"/>
      <c r="BJ722" s="330"/>
      <c r="BK722" s="330"/>
      <c r="BL722" s="330"/>
      <c r="BM722" s="330"/>
      <c r="BN722" s="330"/>
      <c r="BO722" s="330"/>
      <c r="BP722" s="330"/>
      <c r="BQ722" s="330"/>
      <c r="BR722" s="330"/>
      <c r="BS722" s="330"/>
      <c r="BT722" s="330"/>
      <c r="BU722" s="330"/>
      <c r="BV722" s="330"/>
      <c r="BW722" s="330"/>
      <c r="BX722" s="330"/>
      <c r="BY722" s="330"/>
      <c r="BZ722" s="330"/>
    </row>
    <row r="723" spans="1:78" x14ac:dyDescent="0.25">
      <c r="A723" s="331"/>
      <c r="B723" s="328"/>
      <c r="C723" s="328"/>
      <c r="D723" s="329"/>
      <c r="E723" s="330"/>
      <c r="F723" s="330"/>
      <c r="G723" s="330"/>
      <c r="H723" s="330"/>
      <c r="I723" s="330"/>
      <c r="J723" s="330"/>
      <c r="K723" s="330"/>
      <c r="L723" s="329"/>
      <c r="M723" s="329"/>
      <c r="N723" s="330"/>
      <c r="O723" s="330"/>
      <c r="P723" s="330"/>
      <c r="Q723" s="330"/>
      <c r="R723" s="330"/>
      <c r="S723" s="330"/>
      <c r="T723" s="330"/>
      <c r="U723" s="330"/>
      <c r="V723" s="330"/>
      <c r="W723" s="330"/>
      <c r="X723" s="329"/>
      <c r="Y723" s="330"/>
      <c r="Z723" s="330"/>
      <c r="AA723" s="330"/>
      <c r="AB723" s="330"/>
      <c r="AC723" s="330"/>
      <c r="AD723" s="330"/>
      <c r="AE723" s="330"/>
      <c r="AF723" s="330"/>
      <c r="AG723" s="330"/>
      <c r="AH723" s="330"/>
      <c r="AI723" s="330"/>
      <c r="AJ723" s="330"/>
      <c r="AK723" s="330"/>
      <c r="AL723" s="329"/>
      <c r="AM723" s="329"/>
      <c r="AN723" s="330"/>
      <c r="AO723" s="330"/>
      <c r="AP723" s="330"/>
      <c r="AQ723" s="330"/>
      <c r="AR723" s="231"/>
      <c r="AS723" s="333"/>
      <c r="AT723" s="206"/>
      <c r="AU723" s="328"/>
      <c r="AV723" s="206"/>
      <c r="AW723" s="206"/>
      <c r="AX723" s="206"/>
      <c r="AY723" s="206"/>
      <c r="AZ723" s="206"/>
      <c r="BA723" s="206"/>
      <c r="BB723" s="206"/>
      <c r="BC723" s="206"/>
      <c r="BD723" s="206"/>
      <c r="BE723" s="206"/>
      <c r="BF723" s="206"/>
      <c r="BG723" s="330"/>
      <c r="BH723" s="330"/>
      <c r="BI723" s="330"/>
      <c r="BJ723" s="330"/>
      <c r="BK723" s="330"/>
      <c r="BL723" s="330"/>
      <c r="BM723" s="330"/>
      <c r="BN723" s="330"/>
      <c r="BO723" s="330"/>
      <c r="BP723" s="330"/>
      <c r="BQ723" s="330"/>
      <c r="BR723" s="330"/>
      <c r="BS723" s="330"/>
      <c r="BT723" s="330"/>
      <c r="BU723" s="330"/>
      <c r="BV723" s="330"/>
      <c r="BW723" s="330"/>
      <c r="BX723" s="330"/>
      <c r="BY723" s="330"/>
      <c r="BZ723" s="330"/>
    </row>
    <row r="724" spans="1:78" x14ac:dyDescent="0.25">
      <c r="A724" s="331"/>
      <c r="B724" s="328"/>
      <c r="C724" s="328"/>
      <c r="D724" s="329"/>
      <c r="E724" s="330"/>
      <c r="F724" s="330"/>
      <c r="G724" s="330"/>
      <c r="H724" s="330"/>
      <c r="I724" s="330"/>
      <c r="J724" s="330"/>
      <c r="K724" s="330"/>
      <c r="L724" s="329"/>
      <c r="M724" s="329"/>
      <c r="N724" s="330"/>
      <c r="O724" s="330"/>
      <c r="P724" s="330"/>
      <c r="Q724" s="330"/>
      <c r="R724" s="330"/>
      <c r="S724" s="330"/>
      <c r="T724" s="330"/>
      <c r="U724" s="330"/>
      <c r="V724" s="330"/>
      <c r="W724" s="330"/>
      <c r="X724" s="329"/>
      <c r="Y724" s="330"/>
      <c r="Z724" s="330"/>
      <c r="AA724" s="330"/>
      <c r="AB724" s="330"/>
      <c r="AC724" s="330"/>
      <c r="AD724" s="330"/>
      <c r="AE724" s="330"/>
      <c r="AF724" s="330"/>
      <c r="AG724" s="330"/>
      <c r="AH724" s="330"/>
      <c r="AI724" s="330"/>
      <c r="AJ724" s="330"/>
      <c r="AK724" s="330"/>
      <c r="AL724" s="329"/>
      <c r="AM724" s="329"/>
      <c r="AN724" s="330"/>
      <c r="AO724" s="330"/>
      <c r="AP724" s="330"/>
      <c r="AQ724" s="330"/>
      <c r="AR724" s="231"/>
      <c r="AS724" s="333"/>
      <c r="AT724" s="206"/>
      <c r="AU724" s="328"/>
      <c r="AV724" s="206"/>
      <c r="AW724" s="206"/>
      <c r="AX724" s="206"/>
      <c r="AY724" s="206"/>
      <c r="AZ724" s="206"/>
      <c r="BA724" s="206"/>
      <c r="BB724" s="206"/>
      <c r="BC724" s="206"/>
      <c r="BD724" s="206"/>
      <c r="BE724" s="206"/>
      <c r="BF724" s="206"/>
      <c r="BG724" s="330"/>
      <c r="BH724" s="330"/>
      <c r="BI724" s="330"/>
      <c r="BJ724" s="330"/>
      <c r="BK724" s="330"/>
      <c r="BL724" s="330"/>
      <c r="BM724" s="330"/>
      <c r="BN724" s="330"/>
      <c r="BO724" s="330"/>
      <c r="BP724" s="330"/>
      <c r="BQ724" s="330"/>
      <c r="BR724" s="330"/>
      <c r="BS724" s="330"/>
      <c r="BT724" s="330"/>
      <c r="BU724" s="330"/>
      <c r="BV724" s="330"/>
      <c r="BW724" s="330"/>
      <c r="BX724" s="330"/>
      <c r="BY724" s="330"/>
      <c r="BZ724" s="330"/>
    </row>
    <row r="725" spans="1:78" x14ac:dyDescent="0.25">
      <c r="A725" s="331"/>
      <c r="B725" s="328"/>
      <c r="C725" s="328"/>
      <c r="D725" s="329"/>
      <c r="E725" s="330"/>
      <c r="F725" s="330"/>
      <c r="G725" s="330"/>
      <c r="H725" s="330"/>
      <c r="I725" s="330"/>
      <c r="J725" s="330"/>
      <c r="K725" s="330"/>
      <c r="L725" s="329"/>
      <c r="M725" s="329"/>
      <c r="N725" s="330"/>
      <c r="O725" s="330"/>
      <c r="P725" s="330"/>
      <c r="Q725" s="330"/>
      <c r="R725" s="330"/>
      <c r="S725" s="330"/>
      <c r="T725" s="330"/>
      <c r="U725" s="330"/>
      <c r="V725" s="330"/>
      <c r="W725" s="330"/>
      <c r="X725" s="329"/>
      <c r="Y725" s="330"/>
      <c r="Z725" s="330"/>
      <c r="AA725" s="330"/>
      <c r="AB725" s="330"/>
      <c r="AC725" s="330"/>
      <c r="AD725" s="330"/>
      <c r="AE725" s="330"/>
      <c r="AF725" s="330"/>
      <c r="AG725" s="330"/>
      <c r="AH725" s="330"/>
      <c r="AI725" s="330"/>
      <c r="AJ725" s="330"/>
      <c r="AK725" s="330"/>
      <c r="AL725" s="329"/>
      <c r="AM725" s="329"/>
      <c r="AN725" s="330"/>
      <c r="AO725" s="330"/>
      <c r="AP725" s="330"/>
      <c r="AQ725" s="330"/>
      <c r="AR725" s="231"/>
      <c r="AS725" s="333"/>
      <c r="AT725" s="206"/>
      <c r="AU725" s="328"/>
      <c r="AV725" s="206"/>
      <c r="AW725" s="206"/>
      <c r="AX725" s="206"/>
      <c r="AY725" s="206"/>
      <c r="AZ725" s="206"/>
      <c r="BA725" s="206"/>
      <c r="BB725" s="206"/>
      <c r="BC725" s="206"/>
      <c r="BD725" s="206"/>
      <c r="BE725" s="206"/>
      <c r="BF725" s="206"/>
      <c r="BG725" s="330"/>
      <c r="BH725" s="330"/>
      <c r="BI725" s="330"/>
      <c r="BJ725" s="330"/>
      <c r="BK725" s="330"/>
      <c r="BL725" s="330"/>
      <c r="BM725" s="330"/>
      <c r="BN725" s="330"/>
      <c r="BO725" s="330"/>
      <c r="BP725" s="330"/>
      <c r="BQ725" s="330"/>
      <c r="BR725" s="330"/>
      <c r="BS725" s="330"/>
      <c r="BT725" s="330"/>
      <c r="BU725" s="330"/>
      <c r="BV725" s="330"/>
      <c r="BW725" s="330"/>
      <c r="BX725" s="330"/>
      <c r="BY725" s="330"/>
      <c r="BZ725" s="330"/>
    </row>
    <row r="726" spans="1:78" x14ac:dyDescent="0.25">
      <c r="A726" s="331"/>
      <c r="B726" s="328"/>
      <c r="C726" s="328"/>
      <c r="D726" s="329"/>
      <c r="E726" s="330"/>
      <c r="F726" s="330"/>
      <c r="G726" s="330"/>
      <c r="H726" s="330"/>
      <c r="I726" s="330"/>
      <c r="J726" s="330"/>
      <c r="K726" s="330"/>
      <c r="L726" s="329"/>
      <c r="M726" s="329"/>
      <c r="N726" s="330"/>
      <c r="O726" s="330"/>
      <c r="P726" s="330"/>
      <c r="Q726" s="330"/>
      <c r="R726" s="330"/>
      <c r="S726" s="330"/>
      <c r="T726" s="330"/>
      <c r="U726" s="330"/>
      <c r="V726" s="330"/>
      <c r="W726" s="330"/>
      <c r="X726" s="329"/>
      <c r="Y726" s="330"/>
      <c r="Z726" s="330"/>
      <c r="AA726" s="330"/>
      <c r="AB726" s="330"/>
      <c r="AC726" s="330"/>
      <c r="AD726" s="330"/>
      <c r="AE726" s="330"/>
      <c r="AF726" s="330"/>
      <c r="AG726" s="330"/>
      <c r="AH726" s="330"/>
      <c r="AI726" s="330"/>
      <c r="AJ726" s="330"/>
      <c r="AK726" s="330"/>
      <c r="AL726" s="329"/>
      <c r="AM726" s="329"/>
      <c r="AN726" s="330"/>
      <c r="AO726" s="330"/>
      <c r="AP726" s="330"/>
      <c r="AQ726" s="330"/>
      <c r="AR726" s="231"/>
      <c r="AS726" s="333"/>
      <c r="AT726" s="206"/>
      <c r="AU726" s="328"/>
      <c r="AV726" s="206"/>
      <c r="AW726" s="206"/>
      <c r="AX726" s="206"/>
      <c r="AY726" s="206"/>
      <c r="AZ726" s="206"/>
      <c r="BA726" s="206"/>
      <c r="BB726" s="206"/>
      <c r="BC726" s="206"/>
      <c r="BD726" s="206"/>
      <c r="BE726" s="206"/>
      <c r="BF726" s="206"/>
      <c r="BG726" s="330"/>
      <c r="BH726" s="330"/>
      <c r="BI726" s="330"/>
      <c r="BJ726" s="330"/>
      <c r="BK726" s="330"/>
      <c r="BL726" s="330"/>
      <c r="BM726" s="330"/>
      <c r="BN726" s="330"/>
      <c r="BO726" s="330"/>
      <c r="BP726" s="330"/>
      <c r="BQ726" s="330"/>
      <c r="BR726" s="330"/>
      <c r="BS726" s="330"/>
      <c r="BT726" s="330"/>
      <c r="BU726" s="330"/>
      <c r="BV726" s="330"/>
      <c r="BW726" s="330"/>
      <c r="BX726" s="330"/>
      <c r="BY726" s="330"/>
      <c r="BZ726" s="330"/>
    </row>
    <row r="727" spans="1:78" x14ac:dyDescent="0.25">
      <c r="A727" s="331"/>
      <c r="B727" s="328"/>
      <c r="C727" s="328"/>
      <c r="D727" s="329"/>
      <c r="E727" s="330"/>
      <c r="F727" s="330"/>
      <c r="G727" s="330"/>
      <c r="H727" s="330"/>
      <c r="I727" s="330"/>
      <c r="J727" s="330"/>
      <c r="K727" s="330"/>
      <c r="L727" s="329"/>
      <c r="M727" s="329"/>
      <c r="N727" s="330"/>
      <c r="O727" s="330"/>
      <c r="P727" s="330"/>
      <c r="Q727" s="330"/>
      <c r="R727" s="330"/>
      <c r="S727" s="330"/>
      <c r="T727" s="330"/>
      <c r="U727" s="330"/>
      <c r="V727" s="330"/>
      <c r="W727" s="330"/>
      <c r="X727" s="329"/>
      <c r="Y727" s="330"/>
      <c r="Z727" s="330"/>
      <c r="AA727" s="330"/>
      <c r="AB727" s="330"/>
      <c r="AC727" s="330"/>
      <c r="AD727" s="330"/>
      <c r="AE727" s="330"/>
      <c r="AF727" s="330"/>
      <c r="AG727" s="330"/>
      <c r="AH727" s="330"/>
      <c r="AI727" s="330"/>
      <c r="AJ727" s="330"/>
      <c r="AK727" s="330"/>
      <c r="AL727" s="329"/>
      <c r="AM727" s="329"/>
      <c r="AN727" s="330"/>
      <c r="AO727" s="330"/>
      <c r="AP727" s="330"/>
      <c r="AQ727" s="330"/>
      <c r="AR727" s="231"/>
      <c r="AS727" s="333"/>
      <c r="AT727" s="206"/>
      <c r="AU727" s="328"/>
      <c r="AV727" s="206"/>
      <c r="AW727" s="206"/>
      <c r="AX727" s="206"/>
      <c r="AY727" s="206"/>
      <c r="AZ727" s="206"/>
      <c r="BA727" s="206"/>
      <c r="BB727" s="206"/>
      <c r="BC727" s="206"/>
      <c r="BD727" s="206"/>
      <c r="BE727" s="206"/>
      <c r="BF727" s="206"/>
      <c r="BG727" s="330"/>
      <c r="BH727" s="330"/>
      <c r="BI727" s="330"/>
      <c r="BJ727" s="330"/>
      <c r="BK727" s="330"/>
      <c r="BL727" s="330"/>
      <c r="BM727" s="330"/>
      <c r="BN727" s="330"/>
      <c r="BO727" s="330"/>
      <c r="BP727" s="330"/>
      <c r="BQ727" s="330"/>
      <c r="BR727" s="330"/>
      <c r="BS727" s="330"/>
      <c r="BT727" s="330"/>
      <c r="BU727" s="330"/>
      <c r="BV727" s="330"/>
      <c r="BW727" s="330"/>
      <c r="BX727" s="330"/>
      <c r="BY727" s="330"/>
      <c r="BZ727" s="330"/>
    </row>
    <row r="728" spans="1:78" x14ac:dyDescent="0.25">
      <c r="A728" s="331"/>
      <c r="B728" s="328"/>
      <c r="C728" s="328"/>
      <c r="D728" s="329"/>
      <c r="E728" s="330"/>
      <c r="F728" s="330"/>
      <c r="G728" s="330"/>
      <c r="H728" s="330"/>
      <c r="I728" s="330"/>
      <c r="J728" s="330"/>
      <c r="K728" s="330"/>
      <c r="L728" s="329"/>
      <c r="M728" s="329"/>
      <c r="N728" s="330"/>
      <c r="O728" s="330"/>
      <c r="P728" s="330"/>
      <c r="Q728" s="330"/>
      <c r="R728" s="330"/>
      <c r="S728" s="330"/>
      <c r="T728" s="330"/>
      <c r="U728" s="330"/>
      <c r="V728" s="330"/>
      <c r="W728" s="330"/>
      <c r="X728" s="329"/>
      <c r="Y728" s="330"/>
      <c r="Z728" s="330"/>
      <c r="AA728" s="330"/>
      <c r="AB728" s="330"/>
      <c r="AC728" s="330"/>
      <c r="AD728" s="330"/>
      <c r="AE728" s="330"/>
      <c r="AF728" s="330"/>
      <c r="AG728" s="330"/>
      <c r="AH728" s="330"/>
      <c r="AI728" s="330"/>
      <c r="AJ728" s="330"/>
      <c r="AK728" s="330"/>
      <c r="AL728" s="329"/>
      <c r="AM728" s="329"/>
      <c r="AN728" s="330"/>
      <c r="AO728" s="330"/>
      <c r="AP728" s="330"/>
      <c r="AQ728" s="330"/>
      <c r="AR728" s="231"/>
      <c r="AS728" s="333"/>
      <c r="AT728" s="206"/>
      <c r="AU728" s="328"/>
      <c r="AV728" s="206"/>
      <c r="AW728" s="206"/>
      <c r="AX728" s="206"/>
      <c r="AY728" s="206"/>
      <c r="AZ728" s="206"/>
      <c r="BA728" s="206"/>
      <c r="BB728" s="206"/>
      <c r="BC728" s="206"/>
      <c r="BD728" s="206"/>
      <c r="BE728" s="206"/>
      <c r="BF728" s="206"/>
      <c r="BG728" s="330"/>
      <c r="BH728" s="330"/>
      <c r="BI728" s="330"/>
      <c r="BJ728" s="330"/>
      <c r="BK728" s="330"/>
      <c r="BL728" s="330"/>
      <c r="BM728" s="330"/>
      <c r="BN728" s="330"/>
      <c r="BO728" s="330"/>
      <c r="BP728" s="330"/>
      <c r="BQ728" s="330"/>
      <c r="BR728" s="330"/>
      <c r="BS728" s="330"/>
      <c r="BT728" s="330"/>
      <c r="BU728" s="330"/>
      <c r="BV728" s="330"/>
      <c r="BW728" s="330"/>
      <c r="BX728" s="330"/>
      <c r="BY728" s="330"/>
      <c r="BZ728" s="330"/>
    </row>
    <row r="729" spans="1:78" x14ac:dyDescent="0.25">
      <c r="A729" s="331"/>
      <c r="B729" s="328"/>
      <c r="C729" s="328"/>
      <c r="D729" s="329"/>
      <c r="E729" s="330"/>
      <c r="F729" s="330"/>
      <c r="G729" s="330"/>
      <c r="H729" s="330"/>
      <c r="I729" s="330"/>
      <c r="J729" s="330"/>
      <c r="K729" s="330"/>
      <c r="L729" s="329"/>
      <c r="M729" s="329"/>
      <c r="N729" s="330"/>
      <c r="O729" s="330"/>
      <c r="P729" s="330"/>
      <c r="Q729" s="330"/>
      <c r="R729" s="330"/>
      <c r="S729" s="330"/>
      <c r="T729" s="330"/>
      <c r="U729" s="330"/>
      <c r="V729" s="330"/>
      <c r="W729" s="330"/>
      <c r="X729" s="329"/>
      <c r="Y729" s="330"/>
      <c r="Z729" s="330"/>
      <c r="AA729" s="330"/>
      <c r="AB729" s="330"/>
      <c r="AC729" s="330"/>
      <c r="AD729" s="330"/>
      <c r="AE729" s="330"/>
      <c r="AF729" s="330"/>
      <c r="AG729" s="330"/>
      <c r="AH729" s="330"/>
      <c r="AI729" s="330"/>
      <c r="AJ729" s="330"/>
      <c r="AK729" s="330"/>
      <c r="AL729" s="329"/>
      <c r="AM729" s="329"/>
      <c r="AN729" s="330"/>
      <c r="AO729" s="330"/>
      <c r="AP729" s="330"/>
      <c r="AQ729" s="330"/>
      <c r="AR729" s="231"/>
      <c r="AS729" s="333"/>
      <c r="AT729" s="206"/>
      <c r="AU729" s="328"/>
      <c r="AV729" s="206"/>
      <c r="AW729" s="206"/>
      <c r="AX729" s="206"/>
      <c r="AY729" s="206"/>
      <c r="AZ729" s="206"/>
      <c r="BA729" s="206"/>
      <c r="BB729" s="206"/>
      <c r="BC729" s="206"/>
      <c r="BD729" s="206"/>
      <c r="BE729" s="206"/>
      <c r="BF729" s="206"/>
      <c r="BG729" s="330"/>
      <c r="BH729" s="330"/>
      <c r="BI729" s="330"/>
      <c r="BJ729" s="330"/>
      <c r="BK729" s="330"/>
      <c r="BL729" s="330"/>
      <c r="BM729" s="330"/>
      <c r="BN729" s="330"/>
      <c r="BO729" s="330"/>
      <c r="BP729" s="330"/>
      <c r="BQ729" s="330"/>
      <c r="BR729" s="330"/>
      <c r="BS729" s="330"/>
      <c r="BT729" s="330"/>
      <c r="BU729" s="330"/>
      <c r="BV729" s="330"/>
      <c r="BW729" s="330"/>
      <c r="BX729" s="330"/>
      <c r="BY729" s="330"/>
      <c r="BZ729" s="330"/>
    </row>
    <row r="730" spans="1:78" x14ac:dyDescent="0.25">
      <c r="A730" s="331"/>
      <c r="B730" s="328"/>
      <c r="C730" s="328"/>
      <c r="D730" s="329"/>
      <c r="E730" s="330"/>
      <c r="F730" s="330"/>
      <c r="G730" s="330"/>
      <c r="H730" s="330"/>
      <c r="I730" s="330"/>
      <c r="J730" s="330"/>
      <c r="K730" s="330"/>
      <c r="L730" s="329"/>
      <c r="M730" s="329"/>
      <c r="N730" s="330"/>
      <c r="O730" s="330"/>
      <c r="P730" s="330"/>
      <c r="Q730" s="330"/>
      <c r="R730" s="330"/>
      <c r="S730" s="330"/>
      <c r="T730" s="330"/>
      <c r="U730" s="330"/>
      <c r="V730" s="330"/>
      <c r="W730" s="330"/>
      <c r="X730" s="329"/>
      <c r="Y730" s="330"/>
      <c r="Z730" s="330"/>
      <c r="AA730" s="330"/>
      <c r="AB730" s="330"/>
      <c r="AC730" s="330"/>
      <c r="AD730" s="330"/>
      <c r="AE730" s="330"/>
      <c r="AF730" s="330"/>
      <c r="AG730" s="330"/>
      <c r="AH730" s="330"/>
      <c r="AI730" s="330"/>
      <c r="AJ730" s="330"/>
      <c r="AK730" s="330"/>
      <c r="AL730" s="329"/>
      <c r="AM730" s="329"/>
      <c r="AN730" s="330"/>
      <c r="AO730" s="330"/>
      <c r="AP730" s="330"/>
      <c r="AQ730" s="330"/>
      <c r="AR730" s="231"/>
      <c r="AS730" s="333"/>
      <c r="AT730" s="206"/>
      <c r="AU730" s="328"/>
      <c r="AV730" s="206"/>
      <c r="AW730" s="206"/>
      <c r="AX730" s="206"/>
      <c r="AY730" s="206"/>
      <c r="AZ730" s="206"/>
      <c r="BA730" s="206"/>
      <c r="BB730" s="206"/>
      <c r="BC730" s="206"/>
      <c r="BD730" s="206"/>
      <c r="BE730" s="206"/>
      <c r="BF730" s="206"/>
      <c r="BG730" s="330"/>
      <c r="BH730" s="330"/>
      <c r="BI730" s="330"/>
      <c r="BJ730" s="330"/>
      <c r="BK730" s="330"/>
      <c r="BL730" s="330"/>
      <c r="BM730" s="330"/>
      <c r="BN730" s="330"/>
      <c r="BO730" s="330"/>
      <c r="BP730" s="330"/>
      <c r="BQ730" s="330"/>
      <c r="BR730" s="330"/>
      <c r="BS730" s="330"/>
      <c r="BT730" s="330"/>
      <c r="BU730" s="330"/>
      <c r="BV730" s="330"/>
      <c r="BW730" s="330"/>
      <c r="BX730" s="330"/>
      <c r="BY730" s="330"/>
      <c r="BZ730" s="330"/>
    </row>
    <row r="731" spans="1:78" x14ac:dyDescent="0.25">
      <c r="A731" s="331"/>
      <c r="B731" s="328"/>
      <c r="C731" s="328"/>
      <c r="D731" s="329"/>
      <c r="E731" s="330"/>
      <c r="F731" s="330"/>
      <c r="G731" s="330"/>
      <c r="H731" s="330"/>
      <c r="I731" s="330"/>
      <c r="J731" s="330"/>
      <c r="K731" s="330"/>
      <c r="L731" s="329"/>
      <c r="M731" s="329"/>
      <c r="N731" s="330"/>
      <c r="O731" s="330"/>
      <c r="P731" s="330"/>
      <c r="Q731" s="330"/>
      <c r="R731" s="330"/>
      <c r="S731" s="330"/>
      <c r="T731" s="330"/>
      <c r="U731" s="330"/>
      <c r="V731" s="330"/>
      <c r="W731" s="330"/>
      <c r="X731" s="329"/>
      <c r="Y731" s="330"/>
      <c r="Z731" s="330"/>
      <c r="AA731" s="330"/>
      <c r="AB731" s="330"/>
      <c r="AC731" s="330"/>
      <c r="AD731" s="330"/>
      <c r="AE731" s="330"/>
      <c r="AF731" s="330"/>
      <c r="AG731" s="330"/>
      <c r="AH731" s="330"/>
      <c r="AI731" s="330"/>
      <c r="AJ731" s="330"/>
      <c r="AK731" s="330"/>
      <c r="AL731" s="329"/>
      <c r="AM731" s="329"/>
      <c r="AN731" s="330"/>
      <c r="AO731" s="330"/>
      <c r="AP731" s="330"/>
      <c r="AQ731" s="330"/>
      <c r="AR731" s="231"/>
      <c r="AS731" s="333"/>
      <c r="AT731" s="206"/>
      <c r="AU731" s="328"/>
      <c r="AV731" s="206"/>
      <c r="AW731" s="206"/>
      <c r="AX731" s="206"/>
      <c r="AY731" s="206"/>
      <c r="AZ731" s="206"/>
      <c r="BA731" s="206"/>
      <c r="BB731" s="206"/>
      <c r="BC731" s="206"/>
      <c r="BD731" s="206"/>
      <c r="BE731" s="206"/>
      <c r="BF731" s="206"/>
      <c r="BG731" s="330"/>
      <c r="BH731" s="330"/>
      <c r="BI731" s="330"/>
      <c r="BJ731" s="330"/>
      <c r="BK731" s="330"/>
      <c r="BL731" s="330"/>
      <c r="BM731" s="330"/>
      <c r="BN731" s="330"/>
      <c r="BO731" s="330"/>
      <c r="BP731" s="330"/>
      <c r="BQ731" s="330"/>
      <c r="BR731" s="330"/>
      <c r="BS731" s="330"/>
      <c r="BT731" s="330"/>
      <c r="BU731" s="330"/>
      <c r="BV731" s="330"/>
      <c r="BW731" s="330"/>
      <c r="BX731" s="330"/>
      <c r="BY731" s="330"/>
      <c r="BZ731" s="330"/>
    </row>
    <row r="732" spans="1:78" x14ac:dyDescent="0.25">
      <c r="A732" s="331"/>
      <c r="B732" s="328"/>
      <c r="C732" s="328"/>
      <c r="D732" s="329"/>
      <c r="E732" s="330"/>
      <c r="F732" s="330"/>
      <c r="G732" s="330"/>
      <c r="H732" s="330"/>
      <c r="I732" s="330"/>
      <c r="J732" s="330"/>
      <c r="K732" s="330"/>
      <c r="L732" s="329"/>
      <c r="M732" s="329"/>
      <c r="N732" s="330"/>
      <c r="O732" s="330"/>
      <c r="P732" s="330"/>
      <c r="Q732" s="330"/>
      <c r="R732" s="330"/>
      <c r="S732" s="330"/>
      <c r="T732" s="330"/>
      <c r="U732" s="330"/>
      <c r="V732" s="330"/>
      <c r="W732" s="330"/>
      <c r="X732" s="329"/>
      <c r="Y732" s="330"/>
      <c r="Z732" s="330"/>
      <c r="AA732" s="330"/>
      <c r="AB732" s="330"/>
      <c r="AC732" s="330"/>
      <c r="AD732" s="330"/>
      <c r="AE732" s="330"/>
      <c r="AF732" s="330"/>
      <c r="AG732" s="330"/>
      <c r="AH732" s="330"/>
      <c r="AI732" s="330"/>
      <c r="AJ732" s="330"/>
      <c r="AK732" s="330"/>
      <c r="AL732" s="329"/>
      <c r="AM732" s="329"/>
      <c r="AN732" s="330"/>
      <c r="AO732" s="330"/>
      <c r="AP732" s="330"/>
      <c r="AQ732" s="330"/>
      <c r="AR732" s="231"/>
      <c r="AS732" s="333"/>
      <c r="AT732" s="206"/>
      <c r="AU732" s="328"/>
      <c r="AV732" s="206"/>
      <c r="AW732" s="206"/>
      <c r="AX732" s="206"/>
      <c r="AY732" s="206"/>
      <c r="AZ732" s="206"/>
      <c r="BA732" s="206"/>
      <c r="BB732" s="206"/>
      <c r="BC732" s="206"/>
      <c r="BD732" s="206"/>
      <c r="BE732" s="206"/>
      <c r="BF732" s="206"/>
      <c r="BG732" s="330"/>
      <c r="BH732" s="330"/>
      <c r="BI732" s="330"/>
      <c r="BJ732" s="330"/>
      <c r="BK732" s="330"/>
      <c r="BL732" s="330"/>
      <c r="BM732" s="330"/>
      <c r="BN732" s="330"/>
      <c r="BO732" s="330"/>
      <c r="BP732" s="330"/>
      <c r="BQ732" s="330"/>
      <c r="BR732" s="330"/>
      <c r="BS732" s="330"/>
      <c r="BT732" s="330"/>
      <c r="BU732" s="330"/>
      <c r="BV732" s="330"/>
      <c r="BW732" s="330"/>
      <c r="BX732" s="330"/>
      <c r="BY732" s="330"/>
      <c r="BZ732" s="330"/>
    </row>
    <row r="733" spans="1:78" x14ac:dyDescent="0.25">
      <c r="A733" s="331"/>
      <c r="B733" s="328"/>
      <c r="C733" s="328"/>
      <c r="D733" s="329"/>
      <c r="E733" s="330"/>
      <c r="F733" s="330"/>
      <c r="G733" s="330"/>
      <c r="H733" s="330"/>
      <c r="I733" s="330"/>
      <c r="J733" s="330"/>
      <c r="K733" s="330"/>
      <c r="L733" s="329"/>
      <c r="M733" s="329"/>
      <c r="N733" s="330"/>
      <c r="O733" s="330"/>
      <c r="P733" s="330"/>
      <c r="Q733" s="330"/>
      <c r="R733" s="330"/>
      <c r="S733" s="330"/>
      <c r="T733" s="330"/>
      <c r="U733" s="330"/>
      <c r="V733" s="330"/>
      <c r="W733" s="330"/>
      <c r="X733" s="329"/>
      <c r="Y733" s="330"/>
      <c r="Z733" s="330"/>
      <c r="AA733" s="330"/>
      <c r="AB733" s="330"/>
      <c r="AC733" s="330"/>
      <c r="AD733" s="330"/>
      <c r="AE733" s="330"/>
      <c r="AF733" s="330"/>
      <c r="AG733" s="330"/>
      <c r="AH733" s="330"/>
      <c r="AI733" s="330"/>
      <c r="AJ733" s="330"/>
      <c r="AK733" s="330"/>
      <c r="AL733" s="329"/>
      <c r="AM733" s="329"/>
      <c r="AN733" s="330"/>
      <c r="AO733" s="330"/>
      <c r="AP733" s="330"/>
      <c r="AQ733" s="330"/>
      <c r="AR733" s="231"/>
      <c r="AS733" s="333"/>
      <c r="AT733" s="206"/>
      <c r="AU733" s="328"/>
      <c r="AV733" s="206"/>
      <c r="AW733" s="206"/>
      <c r="AX733" s="206"/>
      <c r="AY733" s="206"/>
      <c r="AZ733" s="206"/>
      <c r="BA733" s="206"/>
      <c r="BB733" s="206"/>
      <c r="BC733" s="206"/>
      <c r="BD733" s="206"/>
      <c r="BE733" s="206"/>
      <c r="BF733" s="206"/>
      <c r="BG733" s="330"/>
      <c r="BH733" s="330"/>
      <c r="BI733" s="330"/>
      <c r="BJ733" s="330"/>
      <c r="BK733" s="330"/>
      <c r="BL733" s="330"/>
      <c r="BM733" s="330"/>
      <c r="BN733" s="330"/>
      <c r="BO733" s="330"/>
      <c r="BP733" s="330"/>
      <c r="BQ733" s="330"/>
      <c r="BR733" s="330"/>
      <c r="BS733" s="330"/>
      <c r="BT733" s="330"/>
      <c r="BU733" s="330"/>
      <c r="BV733" s="330"/>
      <c r="BW733" s="330"/>
      <c r="BX733" s="330"/>
      <c r="BY733" s="330"/>
      <c r="BZ733" s="330"/>
    </row>
    <row r="734" spans="1:78" x14ac:dyDescent="0.25">
      <c r="A734" s="331"/>
      <c r="B734" s="328"/>
      <c r="C734" s="328"/>
      <c r="D734" s="329"/>
      <c r="E734" s="330"/>
      <c r="F734" s="330"/>
      <c r="G734" s="330"/>
      <c r="H734" s="330"/>
      <c r="I734" s="330"/>
      <c r="J734" s="330"/>
      <c r="K734" s="330"/>
      <c r="L734" s="329"/>
      <c r="M734" s="329"/>
      <c r="N734" s="330"/>
      <c r="O734" s="330"/>
      <c r="P734" s="330"/>
      <c r="Q734" s="330"/>
      <c r="R734" s="330"/>
      <c r="S734" s="330"/>
      <c r="T734" s="330"/>
      <c r="U734" s="330"/>
      <c r="V734" s="330"/>
      <c r="W734" s="330"/>
      <c r="X734" s="329"/>
      <c r="Y734" s="330"/>
      <c r="Z734" s="330"/>
      <c r="AA734" s="330"/>
      <c r="AB734" s="330"/>
      <c r="AC734" s="330"/>
      <c r="AD734" s="330"/>
      <c r="AE734" s="330"/>
      <c r="AF734" s="330"/>
      <c r="AG734" s="330"/>
      <c r="AH734" s="330"/>
      <c r="AI734" s="330"/>
      <c r="AJ734" s="330"/>
      <c r="AK734" s="330"/>
      <c r="AL734" s="329"/>
      <c r="AM734" s="329"/>
      <c r="AN734" s="330"/>
      <c r="AO734" s="330"/>
      <c r="AP734" s="330"/>
      <c r="AQ734" s="330"/>
      <c r="AR734" s="231"/>
      <c r="AS734" s="333"/>
      <c r="AT734" s="206"/>
      <c r="AU734" s="328"/>
      <c r="AV734" s="206"/>
      <c r="AW734" s="206"/>
      <c r="AX734" s="206"/>
      <c r="AY734" s="206"/>
      <c r="AZ734" s="206"/>
      <c r="BA734" s="206"/>
      <c r="BB734" s="206"/>
      <c r="BC734" s="206"/>
      <c r="BD734" s="206"/>
      <c r="BE734" s="206"/>
      <c r="BF734" s="206"/>
      <c r="BG734" s="330"/>
      <c r="BH734" s="330"/>
      <c r="BI734" s="330"/>
      <c r="BJ734" s="330"/>
      <c r="BK734" s="330"/>
      <c r="BL734" s="330"/>
      <c r="BM734" s="330"/>
      <c r="BN734" s="330"/>
      <c r="BO734" s="330"/>
      <c r="BP734" s="330"/>
      <c r="BQ734" s="330"/>
      <c r="BR734" s="330"/>
      <c r="BS734" s="330"/>
      <c r="BT734" s="330"/>
      <c r="BU734" s="330"/>
      <c r="BV734" s="330"/>
      <c r="BW734" s="330"/>
      <c r="BX734" s="330"/>
      <c r="BY734" s="330"/>
      <c r="BZ734" s="330"/>
    </row>
    <row r="735" spans="1:78" x14ac:dyDescent="0.25">
      <c r="A735" s="331"/>
      <c r="B735" s="328"/>
      <c r="C735" s="328"/>
      <c r="D735" s="329"/>
      <c r="E735" s="330"/>
      <c r="F735" s="330"/>
      <c r="G735" s="330"/>
      <c r="H735" s="330"/>
      <c r="I735" s="330"/>
      <c r="J735" s="330"/>
      <c r="K735" s="330"/>
      <c r="L735" s="329"/>
      <c r="M735" s="329"/>
      <c r="N735" s="330"/>
      <c r="O735" s="330"/>
      <c r="P735" s="330"/>
      <c r="Q735" s="330"/>
      <c r="R735" s="330"/>
      <c r="S735" s="330"/>
      <c r="T735" s="330"/>
      <c r="U735" s="330"/>
      <c r="V735" s="330"/>
      <c r="W735" s="330"/>
      <c r="X735" s="329"/>
      <c r="Y735" s="330"/>
      <c r="Z735" s="330"/>
      <c r="AA735" s="330"/>
      <c r="AB735" s="330"/>
      <c r="AC735" s="330"/>
      <c r="AD735" s="330"/>
      <c r="AE735" s="330"/>
      <c r="AF735" s="330"/>
      <c r="AG735" s="330"/>
      <c r="AH735" s="330"/>
      <c r="AI735" s="330"/>
      <c r="AJ735" s="330"/>
      <c r="AK735" s="330"/>
      <c r="AL735" s="329"/>
      <c r="AM735" s="329"/>
      <c r="AN735" s="330"/>
      <c r="AO735" s="330"/>
      <c r="AP735" s="330"/>
      <c r="AQ735" s="330"/>
      <c r="AR735" s="231"/>
      <c r="AS735" s="333"/>
      <c r="AT735" s="206"/>
      <c r="AU735" s="328"/>
      <c r="AV735" s="206"/>
      <c r="AW735" s="206"/>
      <c r="AX735" s="206"/>
      <c r="AY735" s="206"/>
      <c r="AZ735" s="206"/>
      <c r="BA735" s="206"/>
      <c r="BB735" s="206"/>
      <c r="BC735" s="206"/>
      <c r="BD735" s="206"/>
      <c r="BE735" s="206"/>
      <c r="BF735" s="206"/>
      <c r="BG735" s="330"/>
      <c r="BH735" s="330"/>
      <c r="BI735" s="330"/>
      <c r="BJ735" s="330"/>
      <c r="BK735" s="330"/>
      <c r="BL735" s="330"/>
      <c r="BM735" s="330"/>
      <c r="BN735" s="330"/>
      <c r="BO735" s="330"/>
      <c r="BP735" s="330"/>
      <c r="BQ735" s="330"/>
      <c r="BR735" s="330"/>
      <c r="BS735" s="330"/>
      <c r="BT735" s="330"/>
      <c r="BU735" s="330"/>
      <c r="BV735" s="330"/>
      <c r="BW735" s="330"/>
      <c r="BX735" s="330"/>
      <c r="BY735" s="330"/>
      <c r="BZ735" s="330"/>
    </row>
    <row r="736" spans="1:78" x14ac:dyDescent="0.25">
      <c r="A736" s="331"/>
      <c r="B736" s="328"/>
      <c r="C736" s="328"/>
      <c r="D736" s="329"/>
      <c r="E736" s="330"/>
      <c r="F736" s="330"/>
      <c r="G736" s="330"/>
      <c r="H736" s="330"/>
      <c r="I736" s="330"/>
      <c r="J736" s="330"/>
      <c r="K736" s="330"/>
      <c r="L736" s="329"/>
      <c r="M736" s="329"/>
      <c r="N736" s="330"/>
      <c r="O736" s="330"/>
      <c r="P736" s="330"/>
      <c r="Q736" s="330"/>
      <c r="R736" s="330"/>
      <c r="S736" s="330"/>
      <c r="T736" s="330"/>
      <c r="U736" s="330"/>
      <c r="V736" s="330"/>
      <c r="W736" s="330"/>
      <c r="X736" s="329"/>
      <c r="Y736" s="330"/>
      <c r="Z736" s="330"/>
      <c r="AA736" s="330"/>
      <c r="AB736" s="330"/>
      <c r="AC736" s="330"/>
      <c r="AD736" s="330"/>
      <c r="AE736" s="330"/>
      <c r="AF736" s="330"/>
      <c r="AG736" s="330"/>
      <c r="AH736" s="330"/>
      <c r="AI736" s="330"/>
      <c r="AJ736" s="330"/>
      <c r="AK736" s="330"/>
      <c r="AL736" s="329"/>
      <c r="AM736" s="329"/>
      <c r="AN736" s="330"/>
      <c r="AO736" s="330"/>
      <c r="AP736" s="330"/>
      <c r="AQ736" s="330"/>
      <c r="AR736" s="231"/>
      <c r="AS736" s="333"/>
      <c r="AT736" s="206"/>
      <c r="AU736" s="328"/>
      <c r="AV736" s="206"/>
      <c r="AW736" s="206"/>
      <c r="AX736" s="206"/>
      <c r="AY736" s="206"/>
      <c r="AZ736" s="206"/>
      <c r="BA736" s="206"/>
      <c r="BB736" s="206"/>
      <c r="BC736" s="206"/>
      <c r="BD736" s="206"/>
      <c r="BE736" s="206"/>
      <c r="BF736" s="206"/>
      <c r="BG736" s="330"/>
      <c r="BH736" s="330"/>
      <c r="BI736" s="330"/>
      <c r="BJ736" s="330"/>
      <c r="BK736" s="330"/>
      <c r="BL736" s="330"/>
      <c r="BM736" s="330"/>
      <c r="BN736" s="330"/>
      <c r="BO736" s="330"/>
      <c r="BP736" s="330"/>
      <c r="BQ736" s="330"/>
      <c r="BR736" s="330"/>
      <c r="BS736" s="330"/>
      <c r="BT736" s="330"/>
      <c r="BU736" s="330"/>
      <c r="BV736" s="330"/>
      <c r="BW736" s="330"/>
      <c r="BX736" s="330"/>
      <c r="BY736" s="330"/>
      <c r="BZ736" s="330"/>
    </row>
    <row r="737" spans="1:78" x14ac:dyDescent="0.25">
      <c r="A737" s="331"/>
      <c r="B737" s="328"/>
      <c r="C737" s="328"/>
      <c r="D737" s="329"/>
      <c r="E737" s="330"/>
      <c r="F737" s="330"/>
      <c r="G737" s="330"/>
      <c r="H737" s="330"/>
      <c r="I737" s="330"/>
      <c r="J737" s="330"/>
      <c r="K737" s="330"/>
      <c r="L737" s="329"/>
      <c r="M737" s="329"/>
      <c r="N737" s="330"/>
      <c r="O737" s="330"/>
      <c r="P737" s="330"/>
      <c r="Q737" s="330"/>
      <c r="R737" s="330"/>
      <c r="S737" s="330"/>
      <c r="T737" s="330"/>
      <c r="U737" s="330"/>
      <c r="V737" s="330"/>
      <c r="W737" s="330"/>
      <c r="X737" s="329"/>
      <c r="Y737" s="330"/>
      <c r="Z737" s="330"/>
      <c r="AA737" s="330"/>
      <c r="AB737" s="330"/>
      <c r="AC737" s="330"/>
      <c r="AD737" s="330"/>
      <c r="AE737" s="330"/>
      <c r="AF737" s="330"/>
      <c r="AG737" s="330"/>
      <c r="AH737" s="330"/>
      <c r="AI737" s="330"/>
      <c r="AJ737" s="330"/>
      <c r="AK737" s="330"/>
      <c r="AL737" s="329"/>
      <c r="AM737" s="329"/>
      <c r="AN737" s="330"/>
      <c r="AO737" s="330"/>
      <c r="AP737" s="330"/>
      <c r="AQ737" s="330"/>
      <c r="AR737" s="231"/>
      <c r="AS737" s="333"/>
      <c r="AT737" s="206"/>
      <c r="AU737" s="328"/>
      <c r="AV737" s="206"/>
      <c r="AW737" s="206"/>
      <c r="AX737" s="206"/>
      <c r="AY737" s="206"/>
      <c r="AZ737" s="206"/>
      <c r="BA737" s="206"/>
      <c r="BB737" s="206"/>
      <c r="BC737" s="206"/>
      <c r="BD737" s="206"/>
      <c r="BE737" s="206"/>
      <c r="BF737" s="206"/>
      <c r="BG737" s="330"/>
      <c r="BH737" s="330"/>
      <c r="BI737" s="330"/>
      <c r="BJ737" s="330"/>
      <c r="BK737" s="330"/>
      <c r="BL737" s="330"/>
      <c r="BM737" s="330"/>
      <c r="BN737" s="330"/>
      <c r="BO737" s="330"/>
      <c r="BP737" s="330"/>
      <c r="BQ737" s="330"/>
      <c r="BR737" s="330"/>
      <c r="BS737" s="330"/>
      <c r="BT737" s="330"/>
      <c r="BU737" s="330"/>
      <c r="BV737" s="330"/>
      <c r="BW737" s="330"/>
      <c r="BX737" s="330"/>
      <c r="BY737" s="330"/>
      <c r="BZ737" s="330"/>
    </row>
    <row r="738" spans="1:78" x14ac:dyDescent="0.25">
      <c r="A738" s="331"/>
      <c r="B738" s="328"/>
      <c r="C738" s="328"/>
      <c r="D738" s="329"/>
      <c r="E738" s="330"/>
      <c r="F738" s="330"/>
      <c r="G738" s="330"/>
      <c r="H738" s="330"/>
      <c r="I738" s="330"/>
      <c r="J738" s="330"/>
      <c r="K738" s="330"/>
      <c r="L738" s="329"/>
      <c r="M738" s="329"/>
      <c r="N738" s="330"/>
      <c r="O738" s="330"/>
      <c r="P738" s="330"/>
      <c r="Q738" s="330"/>
      <c r="R738" s="330"/>
      <c r="S738" s="330"/>
      <c r="T738" s="330"/>
      <c r="U738" s="330"/>
      <c r="V738" s="330"/>
      <c r="W738" s="330"/>
      <c r="X738" s="329"/>
      <c r="Y738" s="330"/>
      <c r="Z738" s="330"/>
      <c r="AA738" s="330"/>
      <c r="AB738" s="330"/>
      <c r="AC738" s="330"/>
      <c r="AD738" s="330"/>
      <c r="AE738" s="330"/>
      <c r="AF738" s="330"/>
      <c r="AG738" s="330"/>
      <c r="AH738" s="330"/>
      <c r="AI738" s="330"/>
      <c r="AJ738" s="330"/>
      <c r="AK738" s="330"/>
      <c r="AL738" s="329"/>
      <c r="AM738" s="329"/>
      <c r="AN738" s="330"/>
      <c r="AO738" s="330"/>
      <c r="AP738" s="330"/>
      <c r="AQ738" s="330"/>
      <c r="AR738" s="231"/>
      <c r="AS738" s="333"/>
      <c r="AT738" s="206"/>
      <c r="AU738" s="328"/>
      <c r="AV738" s="206"/>
      <c r="AW738" s="206"/>
      <c r="AX738" s="206"/>
      <c r="AY738" s="206"/>
      <c r="AZ738" s="206"/>
      <c r="BA738" s="206"/>
      <c r="BB738" s="206"/>
      <c r="BC738" s="206"/>
      <c r="BD738" s="206"/>
      <c r="BE738" s="206"/>
      <c r="BF738" s="206"/>
      <c r="BG738" s="330"/>
      <c r="BH738" s="330"/>
      <c r="BI738" s="330"/>
      <c r="BJ738" s="330"/>
      <c r="BK738" s="330"/>
      <c r="BL738" s="330"/>
      <c r="BM738" s="330"/>
      <c r="BN738" s="330"/>
      <c r="BO738" s="330"/>
      <c r="BP738" s="330"/>
      <c r="BQ738" s="330"/>
      <c r="BR738" s="330"/>
      <c r="BS738" s="330"/>
      <c r="BT738" s="330"/>
      <c r="BU738" s="330"/>
      <c r="BV738" s="330"/>
      <c r="BW738" s="330"/>
      <c r="BX738" s="330"/>
      <c r="BY738" s="330"/>
      <c r="BZ738" s="330"/>
    </row>
    <row r="739" spans="1:78" x14ac:dyDescent="0.25">
      <c r="A739" s="331"/>
      <c r="B739" s="328"/>
      <c r="C739" s="328"/>
      <c r="D739" s="329"/>
      <c r="E739" s="330"/>
      <c r="F739" s="330"/>
      <c r="G739" s="330"/>
      <c r="H739" s="330"/>
      <c r="I739" s="330"/>
      <c r="J739" s="330"/>
      <c r="K739" s="330"/>
      <c r="L739" s="329"/>
      <c r="M739" s="329"/>
      <c r="N739" s="330"/>
      <c r="O739" s="330"/>
      <c r="P739" s="330"/>
      <c r="Q739" s="330"/>
      <c r="R739" s="330"/>
      <c r="S739" s="330"/>
      <c r="T739" s="330"/>
      <c r="U739" s="330"/>
      <c r="V739" s="330"/>
      <c r="W739" s="330"/>
      <c r="X739" s="329"/>
      <c r="Y739" s="330"/>
      <c r="Z739" s="330"/>
      <c r="AA739" s="330"/>
      <c r="AB739" s="330"/>
      <c r="AC739" s="330"/>
      <c r="AD739" s="330"/>
      <c r="AE739" s="330"/>
      <c r="AF739" s="330"/>
      <c r="AG739" s="330"/>
      <c r="AH739" s="330"/>
      <c r="AI739" s="330"/>
      <c r="AJ739" s="330"/>
      <c r="AK739" s="330"/>
      <c r="AL739" s="329"/>
      <c r="AM739" s="329"/>
      <c r="AN739" s="330"/>
      <c r="AO739" s="330"/>
      <c r="AP739" s="330"/>
      <c r="AQ739" s="330"/>
      <c r="AR739" s="231"/>
      <c r="AS739" s="333"/>
      <c r="AT739" s="206"/>
      <c r="AU739" s="328"/>
      <c r="AV739" s="206"/>
      <c r="AW739" s="206"/>
      <c r="AX739" s="206"/>
      <c r="AY739" s="206"/>
      <c r="AZ739" s="206"/>
      <c r="BA739" s="206"/>
      <c r="BB739" s="206"/>
      <c r="BC739" s="206"/>
      <c r="BD739" s="206"/>
      <c r="BE739" s="206"/>
      <c r="BF739" s="206"/>
      <c r="BG739" s="330"/>
      <c r="BH739" s="330"/>
      <c r="BI739" s="330"/>
      <c r="BJ739" s="330"/>
      <c r="BK739" s="330"/>
      <c r="BL739" s="330"/>
      <c r="BM739" s="330"/>
      <c r="BN739" s="330"/>
      <c r="BO739" s="330"/>
      <c r="BP739" s="330"/>
      <c r="BQ739" s="330"/>
      <c r="BR739" s="330"/>
      <c r="BS739" s="330"/>
      <c r="BT739" s="330"/>
      <c r="BU739" s="330"/>
      <c r="BV739" s="330"/>
      <c r="BW739" s="330"/>
      <c r="BX739" s="330"/>
      <c r="BY739" s="330"/>
      <c r="BZ739" s="330"/>
    </row>
    <row r="740" spans="1:78" x14ac:dyDescent="0.25">
      <c r="A740" s="331"/>
      <c r="B740" s="328"/>
      <c r="C740" s="328"/>
      <c r="D740" s="329"/>
      <c r="E740" s="330"/>
      <c r="F740" s="330"/>
      <c r="G740" s="330"/>
      <c r="H740" s="330"/>
      <c r="I740" s="330"/>
      <c r="J740" s="330"/>
      <c r="K740" s="330"/>
      <c r="L740" s="329"/>
      <c r="M740" s="329"/>
      <c r="N740" s="330"/>
      <c r="O740" s="330"/>
      <c r="P740" s="330"/>
      <c r="Q740" s="330"/>
      <c r="R740" s="330"/>
      <c r="S740" s="330"/>
      <c r="T740" s="330"/>
      <c r="U740" s="330"/>
      <c r="V740" s="330"/>
      <c r="W740" s="330"/>
      <c r="X740" s="329"/>
      <c r="Y740" s="330"/>
      <c r="Z740" s="330"/>
      <c r="AA740" s="330"/>
      <c r="AB740" s="330"/>
      <c r="AC740" s="330"/>
      <c r="AD740" s="330"/>
      <c r="AE740" s="330"/>
      <c r="AF740" s="330"/>
      <c r="AG740" s="330"/>
      <c r="AH740" s="330"/>
      <c r="AI740" s="330"/>
      <c r="AJ740" s="330"/>
      <c r="AK740" s="330"/>
      <c r="AL740" s="329"/>
      <c r="AM740" s="329"/>
      <c r="AN740" s="330"/>
      <c r="AO740" s="330"/>
      <c r="AP740" s="330"/>
      <c r="AQ740" s="330"/>
      <c r="AR740" s="231"/>
      <c r="AS740" s="333"/>
      <c r="AT740" s="206"/>
      <c r="AU740" s="328"/>
      <c r="AV740" s="206"/>
      <c r="AW740" s="206"/>
      <c r="AX740" s="206"/>
      <c r="AY740" s="206"/>
      <c r="AZ740" s="206"/>
      <c r="BA740" s="206"/>
      <c r="BB740" s="206"/>
      <c r="BC740" s="206"/>
      <c r="BD740" s="206"/>
      <c r="BE740" s="206"/>
      <c r="BF740" s="206"/>
      <c r="BG740" s="330"/>
      <c r="BH740" s="330"/>
      <c r="BI740" s="330"/>
      <c r="BJ740" s="330"/>
      <c r="BK740" s="330"/>
      <c r="BL740" s="330"/>
      <c r="BM740" s="330"/>
      <c r="BN740" s="330"/>
      <c r="BO740" s="330"/>
      <c r="BP740" s="330"/>
      <c r="BQ740" s="330"/>
      <c r="BR740" s="330"/>
      <c r="BS740" s="330"/>
      <c r="BT740" s="330"/>
      <c r="BU740" s="330"/>
      <c r="BV740" s="330"/>
      <c r="BW740" s="330"/>
      <c r="BX740" s="330"/>
      <c r="BY740" s="330"/>
      <c r="BZ740" s="330"/>
    </row>
    <row r="741" spans="1:78" x14ac:dyDescent="0.25">
      <c r="A741" s="331"/>
      <c r="B741" s="328"/>
      <c r="C741" s="328"/>
      <c r="D741" s="329"/>
      <c r="E741" s="330"/>
      <c r="F741" s="330"/>
      <c r="G741" s="330"/>
      <c r="H741" s="330"/>
      <c r="I741" s="330"/>
      <c r="J741" s="330"/>
      <c r="K741" s="330"/>
      <c r="L741" s="329"/>
      <c r="M741" s="329"/>
      <c r="N741" s="330"/>
      <c r="O741" s="330"/>
      <c r="P741" s="330"/>
      <c r="Q741" s="330"/>
      <c r="R741" s="330"/>
      <c r="S741" s="330"/>
      <c r="T741" s="330"/>
      <c r="U741" s="330"/>
      <c r="V741" s="330"/>
      <c r="W741" s="330"/>
      <c r="X741" s="329"/>
      <c r="Y741" s="330"/>
      <c r="Z741" s="330"/>
      <c r="AA741" s="330"/>
      <c r="AB741" s="330"/>
      <c r="AC741" s="330"/>
      <c r="AD741" s="330"/>
      <c r="AE741" s="330"/>
      <c r="AF741" s="330"/>
      <c r="AG741" s="330"/>
      <c r="AH741" s="330"/>
      <c r="AI741" s="330"/>
      <c r="AJ741" s="330"/>
      <c r="AK741" s="330"/>
      <c r="AL741" s="329"/>
      <c r="AM741" s="329"/>
      <c r="AN741" s="330"/>
      <c r="AO741" s="330"/>
      <c r="AP741" s="330"/>
      <c r="AQ741" s="330"/>
      <c r="AR741" s="231"/>
      <c r="AS741" s="333"/>
      <c r="AT741" s="206"/>
      <c r="AU741" s="328"/>
      <c r="AV741" s="206"/>
      <c r="AW741" s="206"/>
      <c r="AX741" s="206"/>
      <c r="AY741" s="206"/>
      <c r="AZ741" s="206"/>
      <c r="BA741" s="206"/>
      <c r="BB741" s="206"/>
      <c r="BC741" s="206"/>
      <c r="BD741" s="206"/>
      <c r="BE741" s="206"/>
      <c r="BF741" s="206"/>
      <c r="BG741" s="330"/>
      <c r="BH741" s="330"/>
      <c r="BI741" s="330"/>
      <c r="BJ741" s="330"/>
      <c r="BK741" s="330"/>
      <c r="BL741" s="330"/>
      <c r="BM741" s="330"/>
      <c r="BN741" s="330"/>
      <c r="BO741" s="330"/>
      <c r="BP741" s="330"/>
      <c r="BQ741" s="330"/>
      <c r="BR741" s="330"/>
      <c r="BS741" s="330"/>
      <c r="BT741" s="330"/>
      <c r="BU741" s="330"/>
      <c r="BV741" s="330"/>
      <c r="BW741" s="330"/>
      <c r="BX741" s="330"/>
      <c r="BY741" s="330"/>
      <c r="BZ741" s="330"/>
    </row>
    <row r="742" spans="1:78" x14ac:dyDescent="0.25">
      <c r="A742" s="331"/>
      <c r="B742" s="328"/>
      <c r="C742" s="328"/>
      <c r="D742" s="329"/>
      <c r="E742" s="330"/>
      <c r="F742" s="330"/>
      <c r="G742" s="330"/>
      <c r="H742" s="330"/>
      <c r="I742" s="330"/>
      <c r="J742" s="330"/>
      <c r="K742" s="330"/>
      <c r="L742" s="329"/>
      <c r="M742" s="329"/>
      <c r="N742" s="330"/>
      <c r="O742" s="330"/>
      <c r="P742" s="330"/>
      <c r="Q742" s="330"/>
      <c r="R742" s="330"/>
      <c r="S742" s="330"/>
      <c r="T742" s="330"/>
      <c r="U742" s="330"/>
      <c r="V742" s="330"/>
      <c r="W742" s="330"/>
      <c r="X742" s="329"/>
      <c r="Y742" s="330"/>
      <c r="Z742" s="330"/>
      <c r="AA742" s="330"/>
      <c r="AB742" s="330"/>
      <c r="AC742" s="330"/>
      <c r="AD742" s="330"/>
      <c r="AE742" s="330"/>
      <c r="AF742" s="330"/>
      <c r="AG742" s="330"/>
      <c r="AH742" s="330"/>
      <c r="AI742" s="330"/>
      <c r="AJ742" s="330"/>
      <c r="AK742" s="330"/>
      <c r="AL742" s="329"/>
      <c r="AM742" s="329"/>
      <c r="AN742" s="330"/>
      <c r="AO742" s="330"/>
      <c r="AP742" s="330"/>
      <c r="AQ742" s="330"/>
      <c r="AR742" s="231"/>
      <c r="AS742" s="333"/>
      <c r="AT742" s="206"/>
      <c r="AU742" s="328"/>
      <c r="AV742" s="206"/>
      <c r="AW742" s="206"/>
      <c r="AX742" s="206"/>
      <c r="AY742" s="206"/>
      <c r="AZ742" s="206"/>
      <c r="BA742" s="206"/>
      <c r="BB742" s="206"/>
      <c r="BC742" s="206"/>
      <c r="BD742" s="206"/>
      <c r="BE742" s="206"/>
      <c r="BF742" s="206"/>
      <c r="BG742" s="330"/>
      <c r="BH742" s="330"/>
      <c r="BI742" s="330"/>
      <c r="BJ742" s="330"/>
      <c r="BK742" s="330"/>
      <c r="BL742" s="330"/>
      <c r="BM742" s="330"/>
      <c r="BN742" s="330"/>
      <c r="BO742" s="330"/>
      <c r="BP742" s="330"/>
      <c r="BQ742" s="330"/>
      <c r="BR742" s="330"/>
      <c r="BS742" s="330"/>
      <c r="BT742" s="330"/>
      <c r="BU742" s="330"/>
      <c r="BV742" s="330"/>
      <c r="BW742" s="330"/>
      <c r="BX742" s="330"/>
      <c r="BY742" s="330"/>
      <c r="BZ742" s="330"/>
    </row>
    <row r="743" spans="1:78" x14ac:dyDescent="0.25">
      <c r="A743" s="331"/>
      <c r="B743" s="328"/>
      <c r="C743" s="328"/>
      <c r="D743" s="329"/>
      <c r="E743" s="330"/>
      <c r="F743" s="330"/>
      <c r="G743" s="330"/>
      <c r="H743" s="330"/>
      <c r="I743" s="330"/>
      <c r="J743" s="330"/>
      <c r="K743" s="330"/>
      <c r="L743" s="329"/>
      <c r="M743" s="329"/>
      <c r="N743" s="330"/>
      <c r="O743" s="330"/>
      <c r="P743" s="330"/>
      <c r="Q743" s="330"/>
      <c r="R743" s="330"/>
      <c r="S743" s="330"/>
      <c r="T743" s="330"/>
      <c r="U743" s="330"/>
      <c r="V743" s="330"/>
      <c r="W743" s="330"/>
      <c r="X743" s="329"/>
      <c r="Y743" s="330"/>
      <c r="Z743" s="330"/>
      <c r="AA743" s="330"/>
      <c r="AB743" s="330"/>
      <c r="AC743" s="330"/>
      <c r="AD743" s="330"/>
      <c r="AE743" s="330"/>
      <c r="AF743" s="330"/>
      <c r="AG743" s="330"/>
      <c r="AH743" s="330"/>
      <c r="AI743" s="330"/>
      <c r="AJ743" s="330"/>
      <c r="AK743" s="330"/>
      <c r="AL743" s="329"/>
      <c r="AM743" s="329"/>
      <c r="AN743" s="330"/>
      <c r="AO743" s="330"/>
      <c r="AP743" s="330"/>
      <c r="AQ743" s="330"/>
      <c r="AR743" s="231"/>
      <c r="AS743" s="333"/>
      <c r="AT743" s="206"/>
      <c r="AU743" s="328"/>
      <c r="AV743" s="206"/>
      <c r="AW743" s="206"/>
      <c r="AX743" s="206"/>
      <c r="AY743" s="206"/>
      <c r="AZ743" s="206"/>
      <c r="BA743" s="206"/>
      <c r="BB743" s="206"/>
      <c r="BC743" s="206"/>
      <c r="BD743" s="206"/>
      <c r="BE743" s="206"/>
      <c r="BF743" s="206"/>
      <c r="BG743" s="330"/>
      <c r="BH743" s="330"/>
      <c r="BI743" s="330"/>
      <c r="BJ743" s="330"/>
      <c r="BK743" s="330"/>
      <c r="BL743" s="330"/>
      <c r="BM743" s="330"/>
      <c r="BN743" s="330"/>
      <c r="BO743" s="330"/>
      <c r="BP743" s="330"/>
      <c r="BQ743" s="330"/>
      <c r="BR743" s="330"/>
      <c r="BS743" s="330"/>
      <c r="BT743" s="330"/>
      <c r="BU743" s="330"/>
      <c r="BV743" s="330"/>
      <c r="BW743" s="330"/>
      <c r="BX743" s="330"/>
      <c r="BY743" s="330"/>
      <c r="BZ743" s="330"/>
    </row>
    <row r="744" spans="1:78" x14ac:dyDescent="0.25">
      <c r="A744" s="331"/>
      <c r="B744" s="328"/>
      <c r="C744" s="328"/>
      <c r="D744" s="329"/>
      <c r="E744" s="330"/>
      <c r="F744" s="330"/>
      <c r="G744" s="330"/>
      <c r="H744" s="330"/>
      <c r="I744" s="330"/>
      <c r="J744" s="330"/>
      <c r="K744" s="330"/>
      <c r="L744" s="329"/>
      <c r="M744" s="329"/>
      <c r="N744" s="330"/>
      <c r="O744" s="330"/>
      <c r="P744" s="330"/>
      <c r="Q744" s="330"/>
      <c r="R744" s="330"/>
      <c r="S744" s="330"/>
      <c r="T744" s="330"/>
      <c r="U744" s="330"/>
      <c r="V744" s="330"/>
      <c r="W744" s="330"/>
      <c r="X744" s="329"/>
      <c r="Y744" s="330"/>
      <c r="Z744" s="330"/>
      <c r="AA744" s="330"/>
      <c r="AB744" s="330"/>
      <c r="AC744" s="330"/>
      <c r="AD744" s="330"/>
      <c r="AE744" s="330"/>
      <c r="AF744" s="330"/>
      <c r="AG744" s="330"/>
      <c r="AH744" s="330"/>
      <c r="AI744" s="330"/>
      <c r="AJ744" s="330"/>
      <c r="AK744" s="330"/>
      <c r="AL744" s="329"/>
      <c r="AM744" s="329"/>
      <c r="AN744" s="330"/>
      <c r="AO744" s="330"/>
      <c r="AP744" s="330"/>
      <c r="AQ744" s="330"/>
      <c r="AR744" s="231"/>
      <c r="AS744" s="333"/>
      <c r="AT744" s="206"/>
      <c r="AU744" s="328"/>
      <c r="AV744" s="206"/>
      <c r="AW744" s="206"/>
      <c r="AX744" s="206"/>
      <c r="AY744" s="206"/>
      <c r="AZ744" s="206"/>
      <c r="BA744" s="206"/>
      <c r="BB744" s="206"/>
      <c r="BC744" s="206"/>
      <c r="BD744" s="206"/>
      <c r="BE744" s="206"/>
      <c r="BF744" s="206"/>
      <c r="BG744" s="330"/>
      <c r="BH744" s="330"/>
      <c r="BI744" s="330"/>
      <c r="BJ744" s="330"/>
      <c r="BK744" s="330"/>
      <c r="BL744" s="330"/>
      <c r="BM744" s="330"/>
      <c r="BN744" s="330"/>
      <c r="BO744" s="330"/>
      <c r="BP744" s="330"/>
      <c r="BQ744" s="330"/>
      <c r="BR744" s="330"/>
      <c r="BS744" s="330"/>
      <c r="BT744" s="330"/>
      <c r="BU744" s="330"/>
      <c r="BV744" s="330"/>
      <c r="BW744" s="330"/>
      <c r="BX744" s="330"/>
      <c r="BY744" s="330"/>
      <c r="BZ744" s="330"/>
    </row>
    <row r="745" spans="1:78" x14ac:dyDescent="0.25">
      <c r="A745" s="331"/>
      <c r="B745" s="328"/>
      <c r="C745" s="328"/>
      <c r="D745" s="329"/>
      <c r="E745" s="330"/>
      <c r="F745" s="330"/>
      <c r="G745" s="330"/>
      <c r="H745" s="330"/>
      <c r="I745" s="330"/>
      <c r="J745" s="330"/>
      <c r="K745" s="330"/>
      <c r="L745" s="329"/>
      <c r="M745" s="329"/>
      <c r="N745" s="330"/>
      <c r="O745" s="330"/>
      <c r="P745" s="330"/>
      <c r="Q745" s="330"/>
      <c r="R745" s="330"/>
      <c r="S745" s="330"/>
      <c r="T745" s="330"/>
      <c r="U745" s="330"/>
      <c r="V745" s="330"/>
      <c r="W745" s="330"/>
      <c r="X745" s="329"/>
      <c r="Y745" s="330"/>
      <c r="Z745" s="330"/>
      <c r="AA745" s="330"/>
      <c r="AB745" s="330"/>
      <c r="AC745" s="330"/>
      <c r="AD745" s="330"/>
      <c r="AE745" s="330"/>
      <c r="AF745" s="330"/>
      <c r="AG745" s="330"/>
      <c r="AH745" s="330"/>
      <c r="AI745" s="330"/>
      <c r="AJ745" s="330"/>
      <c r="AK745" s="330"/>
      <c r="AL745" s="329"/>
      <c r="AM745" s="329"/>
      <c r="AN745" s="330"/>
      <c r="AO745" s="330"/>
      <c r="AP745" s="330"/>
      <c r="AQ745" s="330"/>
      <c r="AR745" s="231"/>
      <c r="AS745" s="333"/>
      <c r="AT745" s="206"/>
      <c r="AU745" s="328"/>
      <c r="AV745" s="206"/>
      <c r="AW745" s="206"/>
      <c r="AX745" s="206"/>
      <c r="AY745" s="206"/>
      <c r="AZ745" s="206"/>
      <c r="BA745" s="206"/>
      <c r="BB745" s="206"/>
      <c r="BC745" s="206"/>
      <c r="BD745" s="206"/>
      <c r="BE745" s="206"/>
      <c r="BF745" s="206"/>
      <c r="BG745" s="330"/>
      <c r="BH745" s="330"/>
      <c r="BI745" s="330"/>
      <c r="BJ745" s="330"/>
      <c r="BK745" s="330"/>
      <c r="BL745" s="330"/>
      <c r="BM745" s="330"/>
      <c r="BN745" s="330"/>
      <c r="BO745" s="330"/>
      <c r="BP745" s="330"/>
      <c r="BQ745" s="330"/>
      <c r="BR745" s="330"/>
      <c r="BS745" s="330"/>
      <c r="BT745" s="330"/>
      <c r="BU745" s="330"/>
      <c r="BV745" s="330"/>
      <c r="BW745" s="330"/>
      <c r="BX745" s="330"/>
      <c r="BY745" s="330"/>
      <c r="BZ745" s="330"/>
    </row>
    <row r="746" spans="1:78" x14ac:dyDescent="0.25">
      <c r="A746" s="331"/>
      <c r="B746" s="328"/>
      <c r="C746" s="328"/>
      <c r="D746" s="329"/>
      <c r="E746" s="330"/>
      <c r="F746" s="330"/>
      <c r="G746" s="330"/>
      <c r="H746" s="330"/>
      <c r="I746" s="330"/>
      <c r="J746" s="330"/>
      <c r="K746" s="330"/>
      <c r="L746" s="329"/>
      <c r="M746" s="329"/>
      <c r="N746" s="330"/>
      <c r="O746" s="330"/>
      <c r="P746" s="330"/>
      <c r="Q746" s="330"/>
      <c r="R746" s="330"/>
      <c r="S746" s="330"/>
      <c r="T746" s="330"/>
      <c r="U746" s="330"/>
      <c r="V746" s="330"/>
      <c r="W746" s="330"/>
      <c r="X746" s="329"/>
      <c r="Y746" s="330"/>
      <c r="Z746" s="330"/>
      <c r="AA746" s="330"/>
      <c r="AB746" s="330"/>
      <c r="AC746" s="330"/>
      <c r="AD746" s="330"/>
      <c r="AE746" s="330"/>
      <c r="AF746" s="330"/>
      <c r="AG746" s="330"/>
      <c r="AH746" s="330"/>
      <c r="AI746" s="330"/>
      <c r="AJ746" s="330"/>
      <c r="AK746" s="330"/>
      <c r="AL746" s="329"/>
      <c r="AM746" s="329"/>
      <c r="AN746" s="330"/>
      <c r="AO746" s="330"/>
      <c r="AP746" s="330"/>
      <c r="AQ746" s="330"/>
      <c r="AR746" s="231"/>
      <c r="AS746" s="333"/>
      <c r="AT746" s="206"/>
      <c r="AU746" s="328"/>
      <c r="AV746" s="206"/>
      <c r="AW746" s="206"/>
      <c r="AX746" s="206"/>
      <c r="AY746" s="206"/>
      <c r="AZ746" s="206"/>
      <c r="BA746" s="206"/>
      <c r="BB746" s="206"/>
      <c r="BC746" s="206"/>
      <c r="BD746" s="206"/>
      <c r="BE746" s="206"/>
      <c r="BF746" s="206"/>
      <c r="BG746" s="330"/>
      <c r="BH746" s="330"/>
      <c r="BI746" s="330"/>
      <c r="BJ746" s="330"/>
      <c r="BK746" s="330"/>
      <c r="BL746" s="330"/>
      <c r="BM746" s="330"/>
      <c r="BN746" s="330"/>
      <c r="BO746" s="330"/>
      <c r="BP746" s="330"/>
      <c r="BQ746" s="330"/>
      <c r="BR746" s="330"/>
      <c r="BS746" s="330"/>
      <c r="BT746" s="330"/>
      <c r="BU746" s="330"/>
      <c r="BV746" s="330"/>
      <c r="BW746" s="330"/>
      <c r="BX746" s="330"/>
      <c r="BY746" s="330"/>
      <c r="BZ746" s="330"/>
    </row>
    <row r="747" spans="1:78" x14ac:dyDescent="0.25">
      <c r="A747" s="331"/>
      <c r="B747" s="328"/>
      <c r="C747" s="328"/>
      <c r="D747" s="329"/>
      <c r="E747" s="330"/>
      <c r="F747" s="330"/>
      <c r="G747" s="330"/>
      <c r="H747" s="330"/>
      <c r="I747" s="330"/>
      <c r="J747" s="330"/>
      <c r="K747" s="330"/>
      <c r="L747" s="329"/>
      <c r="M747" s="329"/>
      <c r="N747" s="330"/>
      <c r="O747" s="330"/>
      <c r="P747" s="330"/>
      <c r="Q747" s="330"/>
      <c r="R747" s="330"/>
      <c r="S747" s="330"/>
      <c r="T747" s="330"/>
      <c r="U747" s="330"/>
      <c r="V747" s="330"/>
      <c r="W747" s="330"/>
      <c r="X747" s="329"/>
      <c r="Y747" s="330"/>
      <c r="Z747" s="330"/>
      <c r="AA747" s="330"/>
      <c r="AB747" s="330"/>
      <c r="AC747" s="330"/>
      <c r="AD747" s="330"/>
      <c r="AE747" s="330"/>
      <c r="AF747" s="330"/>
      <c r="AG747" s="330"/>
      <c r="AH747" s="330"/>
      <c r="AI747" s="330"/>
      <c r="AJ747" s="330"/>
      <c r="AK747" s="330"/>
      <c r="AL747" s="329"/>
      <c r="AM747" s="329"/>
      <c r="AN747" s="330"/>
      <c r="AO747" s="330"/>
      <c r="AP747" s="330"/>
      <c r="AQ747" s="330"/>
      <c r="AR747" s="231"/>
      <c r="AS747" s="333"/>
      <c r="AT747" s="206"/>
      <c r="AU747" s="328"/>
      <c r="AV747" s="206"/>
      <c r="AW747" s="206"/>
      <c r="AX747" s="206"/>
      <c r="AY747" s="206"/>
      <c r="AZ747" s="206"/>
      <c r="BA747" s="206"/>
      <c r="BB747" s="206"/>
      <c r="BC747" s="206"/>
      <c r="BD747" s="206"/>
      <c r="BE747" s="206"/>
      <c r="BF747" s="206"/>
      <c r="BG747" s="330"/>
      <c r="BH747" s="330"/>
      <c r="BI747" s="330"/>
      <c r="BJ747" s="330"/>
      <c r="BK747" s="330"/>
      <c r="BL747" s="330"/>
      <c r="BM747" s="330"/>
      <c r="BN747" s="330"/>
      <c r="BO747" s="330"/>
      <c r="BP747" s="330"/>
      <c r="BQ747" s="330"/>
      <c r="BR747" s="330"/>
      <c r="BS747" s="330"/>
      <c r="BT747" s="330"/>
      <c r="BU747" s="330"/>
      <c r="BV747" s="330"/>
      <c r="BW747" s="330"/>
      <c r="BX747" s="330"/>
      <c r="BY747" s="330"/>
      <c r="BZ747" s="330"/>
    </row>
    <row r="748" spans="1:78" x14ac:dyDescent="0.25">
      <c r="A748" s="331"/>
      <c r="B748" s="328"/>
      <c r="C748" s="328"/>
      <c r="D748" s="329"/>
      <c r="E748" s="330"/>
      <c r="F748" s="330"/>
      <c r="G748" s="330"/>
      <c r="H748" s="330"/>
      <c r="I748" s="330"/>
      <c r="J748" s="330"/>
      <c r="K748" s="330"/>
      <c r="L748" s="329"/>
      <c r="M748" s="329"/>
      <c r="N748" s="330"/>
      <c r="O748" s="330"/>
      <c r="P748" s="330"/>
      <c r="Q748" s="330"/>
      <c r="R748" s="330"/>
      <c r="S748" s="330"/>
      <c r="T748" s="330"/>
      <c r="U748" s="330"/>
      <c r="V748" s="330"/>
      <c r="W748" s="330"/>
      <c r="X748" s="329"/>
      <c r="Y748" s="330"/>
      <c r="Z748" s="330"/>
      <c r="AA748" s="330"/>
      <c r="AB748" s="330"/>
      <c r="AC748" s="330"/>
      <c r="AD748" s="330"/>
      <c r="AE748" s="330"/>
      <c r="AF748" s="330"/>
      <c r="AG748" s="330"/>
      <c r="AH748" s="330"/>
      <c r="AI748" s="330"/>
      <c r="AJ748" s="330"/>
      <c r="AK748" s="330"/>
      <c r="AL748" s="329"/>
      <c r="AM748" s="329"/>
      <c r="AN748" s="330"/>
      <c r="AO748" s="330"/>
      <c r="AP748" s="330"/>
      <c r="AQ748" s="330"/>
      <c r="AR748" s="231"/>
      <c r="AS748" s="333"/>
      <c r="AT748" s="206"/>
      <c r="AU748" s="328"/>
      <c r="AV748" s="206"/>
      <c r="AW748" s="206"/>
      <c r="AX748" s="206"/>
      <c r="AY748" s="206"/>
      <c r="AZ748" s="206"/>
      <c r="BA748" s="206"/>
      <c r="BB748" s="206"/>
      <c r="BC748" s="206"/>
      <c r="BD748" s="206"/>
      <c r="BE748" s="206"/>
      <c r="BF748" s="206"/>
      <c r="BG748" s="330"/>
      <c r="BH748" s="330"/>
      <c r="BI748" s="330"/>
      <c r="BJ748" s="330"/>
      <c r="BK748" s="330"/>
      <c r="BL748" s="330"/>
      <c r="BM748" s="330"/>
      <c r="BN748" s="330"/>
      <c r="BO748" s="330"/>
      <c r="BP748" s="330"/>
      <c r="BQ748" s="330"/>
      <c r="BR748" s="330"/>
      <c r="BS748" s="330"/>
      <c r="BT748" s="330"/>
      <c r="BU748" s="330"/>
      <c r="BV748" s="330"/>
      <c r="BW748" s="330"/>
      <c r="BX748" s="330"/>
      <c r="BY748" s="330"/>
      <c r="BZ748" s="330"/>
    </row>
    <row r="749" spans="1:78" x14ac:dyDescent="0.25">
      <c r="A749" s="331"/>
      <c r="B749" s="328"/>
      <c r="C749" s="328"/>
      <c r="D749" s="329"/>
      <c r="E749" s="330"/>
      <c r="F749" s="330"/>
      <c r="G749" s="330"/>
      <c r="H749" s="330"/>
      <c r="I749" s="330"/>
      <c r="J749" s="330"/>
      <c r="K749" s="330"/>
      <c r="L749" s="329"/>
      <c r="M749" s="329"/>
      <c r="N749" s="330"/>
      <c r="O749" s="330"/>
      <c r="P749" s="330"/>
      <c r="Q749" s="330"/>
      <c r="R749" s="330"/>
      <c r="S749" s="330"/>
      <c r="T749" s="330"/>
      <c r="U749" s="330"/>
      <c r="V749" s="330"/>
      <c r="W749" s="330"/>
      <c r="X749" s="329"/>
      <c r="Y749" s="330"/>
      <c r="Z749" s="330"/>
      <c r="AA749" s="330"/>
      <c r="AB749" s="330"/>
      <c r="AC749" s="330"/>
      <c r="AD749" s="330"/>
      <c r="AE749" s="330"/>
      <c r="AF749" s="330"/>
      <c r="AG749" s="330"/>
      <c r="AH749" s="330"/>
      <c r="AI749" s="330"/>
      <c r="AJ749" s="330"/>
      <c r="AK749" s="330"/>
      <c r="AL749" s="329"/>
      <c r="AM749" s="329"/>
      <c r="AN749" s="330"/>
      <c r="AO749" s="330"/>
      <c r="AP749" s="330"/>
      <c r="AQ749" s="330"/>
      <c r="AR749" s="231"/>
      <c r="AS749" s="333"/>
      <c r="AT749" s="206"/>
      <c r="AU749" s="328"/>
      <c r="AV749" s="206"/>
      <c r="AW749" s="206"/>
      <c r="AX749" s="206"/>
      <c r="AY749" s="206"/>
      <c r="AZ749" s="206"/>
      <c r="BA749" s="206"/>
      <c r="BB749" s="206"/>
      <c r="BC749" s="206"/>
      <c r="BD749" s="206"/>
      <c r="BE749" s="206"/>
      <c r="BF749" s="206"/>
      <c r="BG749" s="330"/>
      <c r="BH749" s="330"/>
      <c r="BI749" s="330"/>
      <c r="BJ749" s="330"/>
      <c r="BK749" s="330"/>
      <c r="BL749" s="330"/>
      <c r="BM749" s="330"/>
      <c r="BN749" s="330"/>
      <c r="BO749" s="330"/>
      <c r="BP749" s="330"/>
      <c r="BQ749" s="330"/>
      <c r="BR749" s="330"/>
      <c r="BS749" s="330"/>
      <c r="BT749" s="330"/>
      <c r="BU749" s="330"/>
      <c r="BV749" s="330"/>
      <c r="BW749" s="330"/>
      <c r="BX749" s="330"/>
      <c r="BY749" s="330"/>
      <c r="BZ749" s="330"/>
    </row>
    <row r="750" spans="1:78" x14ac:dyDescent="0.25">
      <c r="A750" s="331"/>
      <c r="B750" s="328"/>
      <c r="C750" s="328"/>
      <c r="D750" s="329"/>
      <c r="E750" s="330"/>
      <c r="F750" s="330"/>
      <c r="G750" s="330"/>
      <c r="H750" s="330"/>
      <c r="I750" s="330"/>
      <c r="J750" s="330"/>
      <c r="K750" s="330"/>
      <c r="L750" s="329"/>
      <c r="M750" s="329"/>
      <c r="N750" s="330"/>
      <c r="O750" s="330"/>
      <c r="P750" s="330"/>
      <c r="Q750" s="330"/>
      <c r="R750" s="330"/>
      <c r="S750" s="330"/>
      <c r="T750" s="330"/>
      <c r="U750" s="330"/>
      <c r="V750" s="330"/>
      <c r="W750" s="330"/>
      <c r="X750" s="329"/>
      <c r="Y750" s="330"/>
      <c r="Z750" s="330"/>
      <c r="AA750" s="330"/>
      <c r="AB750" s="330"/>
      <c r="AC750" s="330"/>
      <c r="AD750" s="330"/>
      <c r="AE750" s="330"/>
      <c r="AF750" s="330"/>
      <c r="AG750" s="330"/>
      <c r="AH750" s="330"/>
      <c r="AI750" s="330"/>
      <c r="AJ750" s="330"/>
      <c r="AK750" s="330"/>
      <c r="AL750" s="329"/>
      <c r="AM750" s="329"/>
      <c r="AN750" s="330"/>
      <c r="AO750" s="330"/>
      <c r="AP750" s="330"/>
      <c r="AQ750" s="330"/>
      <c r="AR750" s="231"/>
      <c r="AS750" s="333"/>
      <c r="AT750" s="206"/>
      <c r="AU750" s="328"/>
      <c r="AV750" s="206"/>
      <c r="AW750" s="206"/>
      <c r="AX750" s="206"/>
      <c r="AY750" s="206"/>
      <c r="AZ750" s="206"/>
      <c r="BA750" s="206"/>
      <c r="BB750" s="206"/>
      <c r="BC750" s="206"/>
      <c r="BD750" s="206"/>
      <c r="BE750" s="206"/>
      <c r="BF750" s="206"/>
      <c r="BG750" s="330"/>
      <c r="BH750" s="330"/>
      <c r="BI750" s="330"/>
      <c r="BJ750" s="330"/>
      <c r="BK750" s="330"/>
      <c r="BL750" s="330"/>
      <c r="BM750" s="330"/>
      <c r="BN750" s="330"/>
      <c r="BO750" s="330"/>
      <c r="BP750" s="330"/>
      <c r="BQ750" s="330"/>
      <c r="BR750" s="330"/>
      <c r="BS750" s="330"/>
      <c r="BT750" s="330"/>
      <c r="BU750" s="330"/>
      <c r="BV750" s="330"/>
      <c r="BW750" s="330"/>
      <c r="BX750" s="330"/>
      <c r="BY750" s="330"/>
      <c r="BZ750" s="330"/>
    </row>
    <row r="751" spans="1:78" x14ac:dyDescent="0.25">
      <c r="A751" s="331"/>
      <c r="B751" s="328"/>
      <c r="C751" s="328"/>
      <c r="D751" s="329"/>
      <c r="E751" s="330"/>
      <c r="F751" s="330"/>
      <c r="G751" s="330"/>
      <c r="H751" s="330"/>
      <c r="I751" s="330"/>
      <c r="J751" s="330"/>
      <c r="K751" s="330"/>
      <c r="L751" s="329"/>
      <c r="M751" s="329"/>
      <c r="N751" s="330"/>
      <c r="O751" s="330"/>
      <c r="P751" s="330"/>
      <c r="Q751" s="330"/>
      <c r="R751" s="330"/>
      <c r="S751" s="330"/>
      <c r="T751" s="330"/>
      <c r="U751" s="330"/>
      <c r="V751" s="330"/>
      <c r="W751" s="330"/>
      <c r="X751" s="329"/>
      <c r="Y751" s="330"/>
      <c r="Z751" s="330"/>
      <c r="AA751" s="330"/>
      <c r="AB751" s="330"/>
      <c r="AC751" s="330"/>
      <c r="AD751" s="330"/>
      <c r="AE751" s="330"/>
      <c r="AF751" s="330"/>
      <c r="AG751" s="330"/>
      <c r="AH751" s="330"/>
      <c r="AI751" s="330"/>
      <c r="AJ751" s="330"/>
      <c r="AK751" s="330"/>
      <c r="AL751" s="329"/>
      <c r="AM751" s="329"/>
      <c r="AN751" s="330"/>
      <c r="AO751" s="330"/>
      <c r="AP751" s="330"/>
      <c r="AQ751" s="330"/>
      <c r="AR751" s="231"/>
      <c r="AS751" s="333"/>
      <c r="AT751" s="206"/>
      <c r="AU751" s="328"/>
      <c r="AV751" s="206"/>
      <c r="AW751" s="206"/>
      <c r="AX751" s="206"/>
      <c r="AY751" s="206"/>
      <c r="AZ751" s="206"/>
      <c r="BA751" s="206"/>
      <c r="BB751" s="206"/>
      <c r="BC751" s="206"/>
      <c r="BD751" s="206"/>
      <c r="BE751" s="206"/>
      <c r="BF751" s="206"/>
      <c r="BG751" s="330"/>
      <c r="BH751" s="330"/>
      <c r="BI751" s="330"/>
      <c r="BJ751" s="330"/>
      <c r="BK751" s="330"/>
      <c r="BL751" s="330"/>
      <c r="BM751" s="330"/>
      <c r="BN751" s="330"/>
      <c r="BO751" s="330"/>
      <c r="BP751" s="330"/>
      <c r="BQ751" s="330"/>
      <c r="BR751" s="330"/>
      <c r="BS751" s="330"/>
      <c r="BT751" s="330"/>
      <c r="BU751" s="330"/>
      <c r="BV751" s="330"/>
      <c r="BW751" s="330"/>
      <c r="BX751" s="330"/>
      <c r="BY751" s="330"/>
      <c r="BZ751" s="330"/>
    </row>
    <row r="752" spans="1:78" x14ac:dyDescent="0.25">
      <c r="A752" s="331"/>
      <c r="B752" s="328"/>
      <c r="C752" s="328"/>
      <c r="D752" s="329"/>
      <c r="E752" s="330"/>
      <c r="F752" s="330"/>
      <c r="G752" s="330"/>
      <c r="H752" s="330"/>
      <c r="I752" s="330"/>
      <c r="J752" s="330"/>
      <c r="K752" s="330"/>
      <c r="L752" s="329"/>
      <c r="M752" s="329"/>
      <c r="N752" s="330"/>
      <c r="O752" s="330"/>
      <c r="P752" s="330"/>
      <c r="Q752" s="330"/>
      <c r="R752" s="330"/>
      <c r="S752" s="330"/>
      <c r="T752" s="330"/>
      <c r="U752" s="330"/>
      <c r="V752" s="330"/>
      <c r="W752" s="330"/>
      <c r="X752" s="329"/>
      <c r="Y752" s="330"/>
      <c r="Z752" s="330"/>
      <c r="AA752" s="330"/>
      <c r="AB752" s="330"/>
      <c r="AC752" s="330"/>
      <c r="AD752" s="330"/>
      <c r="AE752" s="330"/>
      <c r="AF752" s="330"/>
      <c r="AG752" s="330"/>
      <c r="AH752" s="330"/>
      <c r="AI752" s="330"/>
      <c r="AJ752" s="330"/>
      <c r="AK752" s="330"/>
      <c r="AL752" s="329"/>
      <c r="AM752" s="329"/>
      <c r="AN752" s="330"/>
      <c r="AO752" s="330"/>
      <c r="AP752" s="330"/>
      <c r="AQ752" s="330"/>
      <c r="AR752" s="231"/>
      <c r="AS752" s="333"/>
      <c r="AT752" s="206"/>
      <c r="AU752" s="328"/>
      <c r="AV752" s="206"/>
      <c r="AW752" s="206"/>
      <c r="AX752" s="206"/>
      <c r="AY752" s="206"/>
      <c r="AZ752" s="206"/>
      <c r="BA752" s="206"/>
      <c r="BB752" s="206"/>
      <c r="BC752" s="206"/>
      <c r="BD752" s="206"/>
      <c r="BE752" s="206"/>
      <c r="BF752" s="206"/>
      <c r="BG752" s="330"/>
      <c r="BH752" s="330"/>
      <c r="BI752" s="330"/>
      <c r="BJ752" s="330"/>
      <c r="BK752" s="330"/>
      <c r="BL752" s="330"/>
      <c r="BM752" s="330"/>
      <c r="BN752" s="330"/>
      <c r="BO752" s="330"/>
      <c r="BP752" s="330"/>
      <c r="BQ752" s="330"/>
      <c r="BR752" s="330"/>
      <c r="BS752" s="330"/>
      <c r="BT752" s="330"/>
      <c r="BU752" s="330"/>
      <c r="BV752" s="330"/>
      <c r="BW752" s="330"/>
      <c r="BX752" s="330"/>
      <c r="BY752" s="330"/>
      <c r="BZ752" s="330"/>
    </row>
    <row r="753" spans="1:78" x14ac:dyDescent="0.25">
      <c r="A753" s="331"/>
      <c r="B753" s="328"/>
      <c r="C753" s="328"/>
      <c r="D753" s="329"/>
      <c r="E753" s="330"/>
      <c r="F753" s="330"/>
      <c r="G753" s="330"/>
      <c r="H753" s="330"/>
      <c r="I753" s="330"/>
      <c r="J753" s="330"/>
      <c r="K753" s="330"/>
      <c r="L753" s="329"/>
      <c r="M753" s="329"/>
      <c r="N753" s="330"/>
      <c r="O753" s="330"/>
      <c r="P753" s="330"/>
      <c r="Q753" s="330"/>
      <c r="R753" s="330"/>
      <c r="S753" s="330"/>
      <c r="T753" s="330"/>
      <c r="U753" s="330"/>
      <c r="V753" s="330"/>
      <c r="W753" s="330"/>
      <c r="X753" s="329"/>
      <c r="Y753" s="330"/>
      <c r="Z753" s="330"/>
      <c r="AA753" s="330"/>
      <c r="AB753" s="330"/>
      <c r="AC753" s="330"/>
      <c r="AD753" s="330"/>
      <c r="AE753" s="330"/>
      <c r="AF753" s="330"/>
      <c r="AG753" s="330"/>
      <c r="AH753" s="330"/>
      <c r="AI753" s="330"/>
      <c r="AJ753" s="330"/>
      <c r="AK753" s="330"/>
      <c r="AL753" s="329"/>
      <c r="AM753" s="329"/>
      <c r="AN753" s="330"/>
      <c r="AO753" s="330"/>
      <c r="AP753" s="330"/>
      <c r="AQ753" s="330"/>
      <c r="AR753" s="231"/>
      <c r="AS753" s="333"/>
      <c r="AT753" s="206"/>
      <c r="AU753" s="328"/>
      <c r="AV753" s="206"/>
      <c r="AW753" s="206"/>
      <c r="AX753" s="206"/>
      <c r="AY753" s="206"/>
      <c r="AZ753" s="206"/>
      <c r="BA753" s="206"/>
      <c r="BB753" s="206"/>
      <c r="BC753" s="206"/>
      <c r="BD753" s="206"/>
      <c r="BE753" s="206"/>
      <c r="BF753" s="206"/>
      <c r="BG753" s="330"/>
      <c r="BH753" s="330"/>
      <c r="BI753" s="330"/>
      <c r="BJ753" s="330"/>
      <c r="BK753" s="330"/>
      <c r="BL753" s="330"/>
      <c r="BM753" s="330"/>
      <c r="BN753" s="330"/>
      <c r="BO753" s="330"/>
      <c r="BP753" s="330"/>
      <c r="BQ753" s="330"/>
      <c r="BR753" s="330"/>
      <c r="BS753" s="330"/>
      <c r="BT753" s="330"/>
      <c r="BU753" s="330"/>
      <c r="BV753" s="330"/>
      <c r="BW753" s="330"/>
      <c r="BX753" s="330"/>
      <c r="BY753" s="330"/>
      <c r="BZ753" s="330"/>
    </row>
    <row r="754" spans="1:78" x14ac:dyDescent="0.25">
      <c r="A754" s="331"/>
      <c r="B754" s="328"/>
      <c r="C754" s="328"/>
      <c r="D754" s="329"/>
      <c r="E754" s="330"/>
      <c r="F754" s="330"/>
      <c r="G754" s="330"/>
      <c r="H754" s="330"/>
      <c r="I754" s="330"/>
      <c r="J754" s="330"/>
      <c r="K754" s="330"/>
      <c r="L754" s="329"/>
      <c r="M754" s="329"/>
      <c r="N754" s="330"/>
      <c r="O754" s="330"/>
      <c r="P754" s="330"/>
      <c r="Q754" s="330"/>
      <c r="R754" s="330"/>
      <c r="S754" s="330"/>
      <c r="T754" s="330"/>
      <c r="U754" s="330"/>
      <c r="V754" s="330"/>
      <c r="W754" s="330"/>
      <c r="X754" s="329"/>
      <c r="Y754" s="330"/>
      <c r="Z754" s="330"/>
      <c r="AA754" s="330"/>
      <c r="AB754" s="330"/>
      <c r="AC754" s="330"/>
      <c r="AD754" s="330"/>
      <c r="AE754" s="330"/>
      <c r="AF754" s="330"/>
      <c r="AG754" s="330"/>
      <c r="AH754" s="330"/>
      <c r="AI754" s="330"/>
      <c r="AJ754" s="330"/>
      <c r="AK754" s="330"/>
      <c r="AL754" s="329"/>
      <c r="AM754" s="329"/>
      <c r="AN754" s="330"/>
      <c r="AO754" s="330"/>
      <c r="AP754" s="330"/>
      <c r="AQ754" s="330"/>
      <c r="AR754" s="231"/>
      <c r="AS754" s="333"/>
      <c r="AT754" s="206"/>
      <c r="AU754" s="328"/>
      <c r="AV754" s="206"/>
      <c r="AW754" s="206"/>
      <c r="AX754" s="206"/>
      <c r="AY754" s="206"/>
      <c r="AZ754" s="206"/>
      <c r="BA754" s="206"/>
      <c r="BB754" s="206"/>
      <c r="BC754" s="206"/>
      <c r="BD754" s="206"/>
      <c r="BE754" s="206"/>
      <c r="BF754" s="206"/>
      <c r="BG754" s="330"/>
      <c r="BH754" s="330"/>
      <c r="BI754" s="330"/>
      <c r="BJ754" s="330"/>
      <c r="BK754" s="330"/>
      <c r="BL754" s="330"/>
      <c r="BM754" s="330"/>
      <c r="BN754" s="330"/>
      <c r="BO754" s="330"/>
      <c r="BP754" s="330"/>
      <c r="BQ754" s="330"/>
      <c r="BR754" s="330"/>
      <c r="BS754" s="330"/>
      <c r="BT754" s="330"/>
      <c r="BU754" s="330"/>
      <c r="BV754" s="330"/>
      <c r="BW754" s="330"/>
      <c r="BX754" s="330"/>
      <c r="BY754" s="330"/>
      <c r="BZ754" s="330"/>
    </row>
    <row r="755" spans="1:78" x14ac:dyDescent="0.25">
      <c r="A755" s="331"/>
      <c r="B755" s="328"/>
      <c r="C755" s="328"/>
      <c r="D755" s="329"/>
      <c r="E755" s="330"/>
      <c r="F755" s="330"/>
      <c r="G755" s="330"/>
      <c r="H755" s="330"/>
      <c r="I755" s="330"/>
      <c r="J755" s="330"/>
      <c r="K755" s="330"/>
      <c r="L755" s="329"/>
      <c r="M755" s="329"/>
      <c r="N755" s="330"/>
      <c r="O755" s="330"/>
      <c r="P755" s="330"/>
      <c r="Q755" s="330"/>
      <c r="R755" s="330"/>
      <c r="S755" s="330"/>
      <c r="T755" s="330"/>
      <c r="U755" s="330"/>
      <c r="V755" s="330"/>
      <c r="W755" s="330"/>
      <c r="X755" s="329"/>
      <c r="Y755" s="330"/>
      <c r="Z755" s="330"/>
      <c r="AA755" s="330"/>
      <c r="AB755" s="330"/>
      <c r="AC755" s="330"/>
      <c r="AD755" s="330"/>
      <c r="AE755" s="330"/>
      <c r="AF755" s="330"/>
      <c r="AG755" s="330"/>
      <c r="AH755" s="330"/>
      <c r="AI755" s="330"/>
      <c r="AJ755" s="330"/>
      <c r="AK755" s="330"/>
      <c r="AL755" s="329"/>
      <c r="AM755" s="329"/>
      <c r="AN755" s="330"/>
      <c r="AO755" s="330"/>
      <c r="AP755" s="330"/>
      <c r="AQ755" s="330"/>
      <c r="AR755" s="231"/>
      <c r="AS755" s="333"/>
      <c r="AT755" s="206"/>
      <c r="AU755" s="328"/>
      <c r="AV755" s="206"/>
      <c r="AW755" s="206"/>
      <c r="AX755" s="206"/>
      <c r="AY755" s="206"/>
      <c r="AZ755" s="206"/>
      <c r="BA755" s="206"/>
      <c r="BB755" s="206"/>
      <c r="BC755" s="206"/>
      <c r="BD755" s="206"/>
      <c r="BE755" s="206"/>
      <c r="BF755" s="206"/>
      <c r="BG755" s="330"/>
      <c r="BH755" s="330"/>
      <c r="BI755" s="330"/>
      <c r="BJ755" s="330"/>
      <c r="BK755" s="330"/>
      <c r="BL755" s="330"/>
      <c r="BM755" s="330"/>
      <c r="BN755" s="330"/>
      <c r="BO755" s="330"/>
      <c r="BP755" s="330"/>
      <c r="BQ755" s="330"/>
      <c r="BR755" s="330"/>
      <c r="BS755" s="330"/>
      <c r="BT755" s="330"/>
      <c r="BU755" s="330"/>
      <c r="BV755" s="330"/>
      <c r="BW755" s="330"/>
      <c r="BX755" s="330"/>
      <c r="BY755" s="330"/>
      <c r="BZ755" s="330"/>
    </row>
  </sheetData>
  <sortState ref="A2:WXE289">
    <sortCondition ref="L2:L289"/>
  </sortState>
  <conditionalFormatting sqref="H1:I223 H227:I227 H233:I244 H259:I268 H270:I276 H280:I280 H287:I1048576">
    <cfRule type="containsText" dxfId="927" priority="91" operator="containsText" text="CHWAPI">
      <formula>NOT(ISERROR(SEARCH("CHWAPI",H1)))</formula>
    </cfRule>
    <cfRule type="containsText" dxfId="926" priority="92" operator="containsText" text="ERASME">
      <formula>NOT(ISERROR(SEARCH("ERASME",H1)))</formula>
    </cfRule>
    <cfRule type="containsText" dxfId="925" priority="93" operator="containsText" text="CHR">
      <formula>NOT(ISERROR(SEARCH("CHR",H1)))</formula>
    </cfRule>
    <cfRule type="containsText" dxfId="924" priority="94" operator="containsText" text="ERASME">
      <formula>NOT(ISERROR(SEARCH("ERASME",H1)))</formula>
    </cfRule>
    <cfRule type="containsText" dxfId="923" priority="95" operator="containsText" text="CHIREC">
      <formula>NOT(ISERROR(SEARCH("CHIREC",H1)))</formula>
    </cfRule>
  </conditionalFormatting>
  <conditionalFormatting sqref="H224:I224">
    <cfRule type="containsText" dxfId="922" priority="86" operator="containsText" text="CHWAPI">
      <formula>NOT(ISERROR(SEARCH("CHWAPI",H224)))</formula>
    </cfRule>
    <cfRule type="containsText" dxfId="921" priority="87" operator="containsText" text="ERASME">
      <formula>NOT(ISERROR(SEARCH("ERASME",H224)))</formula>
    </cfRule>
    <cfRule type="containsText" dxfId="920" priority="88" operator="containsText" text="CHR">
      <formula>NOT(ISERROR(SEARCH("CHR",H224)))</formula>
    </cfRule>
    <cfRule type="containsText" dxfId="919" priority="89" operator="containsText" text="ERASME">
      <formula>NOT(ISERROR(SEARCH("ERASME",H224)))</formula>
    </cfRule>
    <cfRule type="containsText" dxfId="918" priority="90" operator="containsText" text="CHIREC">
      <formula>NOT(ISERROR(SEARCH("CHIREC",H224)))</formula>
    </cfRule>
  </conditionalFormatting>
  <conditionalFormatting sqref="H225:I225">
    <cfRule type="containsText" dxfId="917" priority="81" operator="containsText" text="CHWAPI">
      <formula>NOT(ISERROR(SEARCH("CHWAPI",H225)))</formula>
    </cfRule>
    <cfRule type="containsText" dxfId="916" priority="82" operator="containsText" text="ERASME">
      <formula>NOT(ISERROR(SEARCH("ERASME",H225)))</formula>
    </cfRule>
    <cfRule type="containsText" dxfId="915" priority="83" operator="containsText" text="CHR">
      <formula>NOT(ISERROR(SEARCH("CHR",H225)))</formula>
    </cfRule>
    <cfRule type="containsText" dxfId="914" priority="84" operator="containsText" text="ERASME">
      <formula>NOT(ISERROR(SEARCH("ERASME",H225)))</formula>
    </cfRule>
    <cfRule type="containsText" dxfId="913" priority="85" operator="containsText" text="CHIREC">
      <formula>NOT(ISERROR(SEARCH("CHIREC",H225)))</formula>
    </cfRule>
  </conditionalFormatting>
  <conditionalFormatting sqref="H226:I226">
    <cfRule type="containsText" dxfId="912" priority="76" operator="containsText" text="CHWAPI">
      <formula>NOT(ISERROR(SEARCH("CHWAPI",H226)))</formula>
    </cfRule>
    <cfRule type="containsText" dxfId="911" priority="77" operator="containsText" text="ERASME">
      <formula>NOT(ISERROR(SEARCH("ERASME",H226)))</formula>
    </cfRule>
    <cfRule type="containsText" dxfId="910" priority="78" operator="containsText" text="CHR">
      <formula>NOT(ISERROR(SEARCH("CHR",H226)))</formula>
    </cfRule>
    <cfRule type="containsText" dxfId="909" priority="79" operator="containsText" text="ERASME">
      <formula>NOT(ISERROR(SEARCH("ERASME",H226)))</formula>
    </cfRule>
    <cfRule type="containsText" dxfId="908" priority="80" operator="containsText" text="CHIREC">
      <formula>NOT(ISERROR(SEARCH("CHIREC",H226)))</formula>
    </cfRule>
  </conditionalFormatting>
  <conditionalFormatting sqref="H228:I228">
    <cfRule type="containsText" dxfId="907" priority="71" operator="containsText" text="CHWAPI">
      <formula>NOT(ISERROR(SEARCH("CHWAPI",H228)))</formula>
    </cfRule>
    <cfRule type="containsText" dxfId="906" priority="72" operator="containsText" text="ERASME">
      <formula>NOT(ISERROR(SEARCH("ERASME",H228)))</formula>
    </cfRule>
    <cfRule type="containsText" dxfId="905" priority="73" operator="containsText" text="CHR">
      <formula>NOT(ISERROR(SEARCH("CHR",H228)))</formula>
    </cfRule>
    <cfRule type="containsText" dxfId="904" priority="74" operator="containsText" text="ERASME">
      <formula>NOT(ISERROR(SEARCH("ERASME",H228)))</formula>
    </cfRule>
    <cfRule type="containsText" dxfId="903" priority="75" operator="containsText" text="CHIREC">
      <formula>NOT(ISERROR(SEARCH("CHIREC",H228)))</formula>
    </cfRule>
  </conditionalFormatting>
  <conditionalFormatting sqref="H229:I229">
    <cfRule type="containsText" dxfId="902" priority="66" operator="containsText" text="CHWAPI">
      <formula>NOT(ISERROR(SEARCH("CHWAPI",H229)))</formula>
    </cfRule>
    <cfRule type="containsText" dxfId="901" priority="67" operator="containsText" text="ERASME">
      <formula>NOT(ISERROR(SEARCH("ERASME",H229)))</formula>
    </cfRule>
    <cfRule type="containsText" dxfId="900" priority="68" operator="containsText" text="CHR">
      <formula>NOT(ISERROR(SEARCH("CHR",H229)))</formula>
    </cfRule>
    <cfRule type="containsText" dxfId="899" priority="69" operator="containsText" text="ERASME">
      <formula>NOT(ISERROR(SEARCH("ERASME",H229)))</formula>
    </cfRule>
    <cfRule type="containsText" dxfId="898" priority="70" operator="containsText" text="CHIREC">
      <formula>NOT(ISERROR(SEARCH("CHIREC",H229)))</formula>
    </cfRule>
  </conditionalFormatting>
  <conditionalFormatting sqref="H230:I232">
    <cfRule type="containsText" dxfId="897" priority="61" operator="containsText" text="CHWAPI">
      <formula>NOT(ISERROR(SEARCH("CHWAPI",H230)))</formula>
    </cfRule>
    <cfRule type="containsText" dxfId="896" priority="62" operator="containsText" text="ERASME">
      <formula>NOT(ISERROR(SEARCH("ERASME",H230)))</formula>
    </cfRule>
    <cfRule type="containsText" dxfId="895" priority="63" operator="containsText" text="CHR">
      <formula>NOT(ISERROR(SEARCH("CHR",H230)))</formula>
    </cfRule>
    <cfRule type="containsText" dxfId="894" priority="64" operator="containsText" text="ERASME">
      <formula>NOT(ISERROR(SEARCH("ERASME",H230)))</formula>
    </cfRule>
    <cfRule type="containsText" dxfId="893" priority="65" operator="containsText" text="CHIREC">
      <formula>NOT(ISERROR(SEARCH("CHIREC",H230)))</formula>
    </cfRule>
  </conditionalFormatting>
  <conditionalFormatting sqref="H251:I258">
    <cfRule type="containsText" dxfId="892" priority="56" operator="containsText" text="CHWAPI">
      <formula>NOT(ISERROR(SEARCH("CHWAPI",H251)))</formula>
    </cfRule>
    <cfRule type="containsText" dxfId="891" priority="57" operator="containsText" text="ERASME">
      <formula>NOT(ISERROR(SEARCH("ERASME",H251)))</formula>
    </cfRule>
    <cfRule type="containsText" dxfId="890" priority="58" operator="containsText" text="CHR">
      <formula>NOT(ISERROR(SEARCH("CHR",H251)))</formula>
    </cfRule>
    <cfRule type="containsText" dxfId="889" priority="59" operator="containsText" text="ERASME">
      <formula>NOT(ISERROR(SEARCH("ERASME",H251)))</formula>
    </cfRule>
    <cfRule type="containsText" dxfId="888" priority="60" operator="containsText" text="CHIREC">
      <formula>NOT(ISERROR(SEARCH("CHIREC",H251)))</formula>
    </cfRule>
  </conditionalFormatting>
  <conditionalFormatting sqref="H250:I250">
    <cfRule type="containsText" dxfId="887" priority="51" operator="containsText" text="CHWAPI">
      <formula>NOT(ISERROR(SEARCH("CHWAPI",H250)))</formula>
    </cfRule>
    <cfRule type="containsText" dxfId="886" priority="52" operator="containsText" text="ERASME">
      <formula>NOT(ISERROR(SEARCH("ERASME",H250)))</formula>
    </cfRule>
    <cfRule type="containsText" dxfId="885" priority="53" operator="containsText" text="CHR">
      <formula>NOT(ISERROR(SEARCH("CHR",H250)))</formula>
    </cfRule>
    <cfRule type="containsText" dxfId="884" priority="54" operator="containsText" text="ERASME">
      <formula>NOT(ISERROR(SEARCH("ERASME",H250)))</formula>
    </cfRule>
    <cfRule type="containsText" dxfId="883" priority="55" operator="containsText" text="CHIREC">
      <formula>NOT(ISERROR(SEARCH("CHIREC",H250)))</formula>
    </cfRule>
  </conditionalFormatting>
  <conditionalFormatting sqref="H249:I249">
    <cfRule type="containsText" dxfId="882" priority="46" operator="containsText" text="CHWAPI">
      <formula>NOT(ISERROR(SEARCH("CHWAPI",H249)))</formula>
    </cfRule>
    <cfRule type="containsText" dxfId="881" priority="47" operator="containsText" text="ERASME">
      <formula>NOT(ISERROR(SEARCH("ERASME",H249)))</formula>
    </cfRule>
    <cfRule type="containsText" dxfId="880" priority="48" operator="containsText" text="CHR">
      <formula>NOT(ISERROR(SEARCH("CHR",H249)))</formula>
    </cfRule>
    <cfRule type="containsText" dxfId="879" priority="49" operator="containsText" text="ERASME">
      <formula>NOT(ISERROR(SEARCH("ERASME",H249)))</formula>
    </cfRule>
    <cfRule type="containsText" dxfId="878" priority="50" operator="containsText" text="CHIREC">
      <formula>NOT(ISERROR(SEARCH("CHIREC",H249)))</formula>
    </cfRule>
  </conditionalFormatting>
  <conditionalFormatting sqref="H248:I248">
    <cfRule type="containsText" dxfId="877" priority="41" operator="containsText" text="CHWAPI">
      <formula>NOT(ISERROR(SEARCH("CHWAPI",H248)))</formula>
    </cfRule>
    <cfRule type="containsText" dxfId="876" priority="42" operator="containsText" text="ERASME">
      <formula>NOT(ISERROR(SEARCH("ERASME",H248)))</formula>
    </cfRule>
    <cfRule type="containsText" dxfId="875" priority="43" operator="containsText" text="CHR">
      <formula>NOT(ISERROR(SEARCH("CHR",H248)))</formula>
    </cfRule>
    <cfRule type="containsText" dxfId="874" priority="44" operator="containsText" text="ERASME">
      <formula>NOT(ISERROR(SEARCH("ERASME",H248)))</formula>
    </cfRule>
    <cfRule type="containsText" dxfId="873" priority="45" operator="containsText" text="CHIREC">
      <formula>NOT(ISERROR(SEARCH("CHIREC",H248)))</formula>
    </cfRule>
  </conditionalFormatting>
  <conditionalFormatting sqref="H247:I247">
    <cfRule type="containsText" dxfId="872" priority="36" operator="containsText" text="CHWAPI">
      <formula>NOT(ISERROR(SEARCH("CHWAPI",H247)))</formula>
    </cfRule>
    <cfRule type="containsText" dxfId="871" priority="37" operator="containsText" text="ERASME">
      <formula>NOT(ISERROR(SEARCH("ERASME",H247)))</formula>
    </cfRule>
    <cfRule type="containsText" dxfId="870" priority="38" operator="containsText" text="CHR">
      <formula>NOT(ISERROR(SEARCH("CHR",H247)))</formula>
    </cfRule>
    <cfRule type="containsText" dxfId="869" priority="39" operator="containsText" text="ERASME">
      <formula>NOT(ISERROR(SEARCH("ERASME",H247)))</formula>
    </cfRule>
    <cfRule type="containsText" dxfId="868" priority="40" operator="containsText" text="CHIREC">
      <formula>NOT(ISERROR(SEARCH("CHIREC",H247)))</formula>
    </cfRule>
  </conditionalFormatting>
  <conditionalFormatting sqref="H246:I246">
    <cfRule type="containsText" dxfId="867" priority="31" operator="containsText" text="CHWAPI">
      <formula>NOT(ISERROR(SEARCH("CHWAPI",H246)))</formula>
    </cfRule>
    <cfRule type="containsText" dxfId="866" priority="32" operator="containsText" text="ERASME">
      <formula>NOT(ISERROR(SEARCH("ERASME",H246)))</formula>
    </cfRule>
    <cfRule type="containsText" dxfId="865" priority="33" operator="containsText" text="CHR">
      <formula>NOT(ISERROR(SEARCH("CHR",H246)))</formula>
    </cfRule>
    <cfRule type="containsText" dxfId="864" priority="34" operator="containsText" text="ERASME">
      <formula>NOT(ISERROR(SEARCH("ERASME",H246)))</formula>
    </cfRule>
    <cfRule type="containsText" dxfId="863" priority="35" operator="containsText" text="CHIREC">
      <formula>NOT(ISERROR(SEARCH("CHIREC",H246)))</formula>
    </cfRule>
  </conditionalFormatting>
  <conditionalFormatting sqref="H245:I245">
    <cfRule type="containsText" dxfId="862" priority="26" operator="containsText" text="CHWAPI">
      <formula>NOT(ISERROR(SEARCH("CHWAPI",H245)))</formula>
    </cfRule>
    <cfRule type="containsText" dxfId="861" priority="27" operator="containsText" text="ERASME">
      <formula>NOT(ISERROR(SEARCH("ERASME",H245)))</formula>
    </cfRule>
    <cfRule type="containsText" dxfId="860" priority="28" operator="containsText" text="CHR">
      <formula>NOT(ISERROR(SEARCH("CHR",H245)))</formula>
    </cfRule>
    <cfRule type="containsText" dxfId="859" priority="29" operator="containsText" text="ERASME">
      <formula>NOT(ISERROR(SEARCH("ERASME",H245)))</formula>
    </cfRule>
    <cfRule type="containsText" dxfId="858" priority="30" operator="containsText" text="CHIREC">
      <formula>NOT(ISERROR(SEARCH("CHIREC",H245)))</formula>
    </cfRule>
  </conditionalFormatting>
  <conditionalFormatting sqref="H269:I269">
    <cfRule type="containsText" dxfId="857" priority="21" operator="containsText" text="CHWAPI">
      <formula>NOT(ISERROR(SEARCH("CHWAPI",H269)))</formula>
    </cfRule>
    <cfRule type="containsText" dxfId="856" priority="22" operator="containsText" text="ERASME">
      <formula>NOT(ISERROR(SEARCH("ERASME",H269)))</formula>
    </cfRule>
    <cfRule type="containsText" dxfId="855" priority="23" operator="containsText" text="CHR">
      <formula>NOT(ISERROR(SEARCH("CHR",H269)))</formula>
    </cfRule>
    <cfRule type="containsText" dxfId="854" priority="24" operator="containsText" text="ERASME">
      <formula>NOT(ISERROR(SEARCH("ERASME",H269)))</formula>
    </cfRule>
    <cfRule type="containsText" dxfId="853" priority="25" operator="containsText" text="CHIREC">
      <formula>NOT(ISERROR(SEARCH("CHIREC",H269)))</formula>
    </cfRule>
  </conditionalFormatting>
  <conditionalFormatting sqref="H277:I279">
    <cfRule type="containsText" dxfId="852" priority="16" operator="containsText" text="CHWAPI">
      <formula>NOT(ISERROR(SEARCH("CHWAPI",H277)))</formula>
    </cfRule>
    <cfRule type="containsText" dxfId="851" priority="17" operator="containsText" text="ERASME">
      <formula>NOT(ISERROR(SEARCH("ERASME",H277)))</formula>
    </cfRule>
    <cfRule type="containsText" dxfId="850" priority="18" operator="containsText" text="CHR">
      <formula>NOT(ISERROR(SEARCH("CHR",H277)))</formula>
    </cfRule>
    <cfRule type="containsText" dxfId="849" priority="19" operator="containsText" text="ERASME">
      <formula>NOT(ISERROR(SEARCH("ERASME",H277)))</formula>
    </cfRule>
    <cfRule type="containsText" dxfId="848" priority="20" operator="containsText" text="CHIREC">
      <formula>NOT(ISERROR(SEARCH("CHIREC",H277)))</formula>
    </cfRule>
  </conditionalFormatting>
  <conditionalFormatting sqref="H285:I286">
    <cfRule type="containsText" dxfId="847" priority="11" operator="containsText" text="CHWAPI">
      <formula>NOT(ISERROR(SEARCH("CHWAPI",H285)))</formula>
    </cfRule>
    <cfRule type="containsText" dxfId="846" priority="12" operator="containsText" text="ERASME">
      <formula>NOT(ISERROR(SEARCH("ERASME",H285)))</formula>
    </cfRule>
    <cfRule type="containsText" dxfId="845" priority="13" operator="containsText" text="CHR">
      <formula>NOT(ISERROR(SEARCH("CHR",H285)))</formula>
    </cfRule>
    <cfRule type="containsText" dxfId="844" priority="14" operator="containsText" text="ERASME">
      <formula>NOT(ISERROR(SEARCH("ERASME",H285)))</formula>
    </cfRule>
    <cfRule type="containsText" dxfId="843" priority="15" operator="containsText" text="CHIREC">
      <formula>NOT(ISERROR(SEARCH("CHIREC",H285)))</formula>
    </cfRule>
  </conditionalFormatting>
  <conditionalFormatting sqref="H283:I284">
    <cfRule type="containsText" dxfId="842" priority="6" operator="containsText" text="CHWAPI">
      <formula>NOT(ISERROR(SEARCH("CHWAPI",H283)))</formula>
    </cfRule>
    <cfRule type="containsText" dxfId="841" priority="7" operator="containsText" text="ERASME">
      <formula>NOT(ISERROR(SEARCH("ERASME",H283)))</formula>
    </cfRule>
    <cfRule type="containsText" dxfId="840" priority="8" operator="containsText" text="CHR">
      <formula>NOT(ISERROR(SEARCH("CHR",H283)))</formula>
    </cfRule>
    <cfRule type="containsText" dxfId="839" priority="9" operator="containsText" text="ERASME">
      <formula>NOT(ISERROR(SEARCH("ERASME",H283)))</formula>
    </cfRule>
    <cfRule type="containsText" dxfId="838" priority="10" operator="containsText" text="CHIREC">
      <formula>NOT(ISERROR(SEARCH("CHIREC",H283)))</formula>
    </cfRule>
  </conditionalFormatting>
  <conditionalFormatting sqref="H281:I282">
    <cfRule type="containsText" dxfId="837" priority="1" operator="containsText" text="CHWAPI">
      <formula>NOT(ISERROR(SEARCH("CHWAPI",H281)))</formula>
    </cfRule>
    <cfRule type="containsText" dxfId="836" priority="2" operator="containsText" text="ERASME">
      <formula>NOT(ISERROR(SEARCH("ERASME",H281)))</formula>
    </cfRule>
    <cfRule type="containsText" dxfId="835" priority="3" operator="containsText" text="CHR">
      <formula>NOT(ISERROR(SEARCH("CHR",H281)))</formula>
    </cfRule>
    <cfRule type="containsText" dxfId="834" priority="4" operator="containsText" text="ERASME">
      <formula>NOT(ISERROR(SEARCH("ERASME",H281)))</formula>
    </cfRule>
    <cfRule type="containsText" dxfId="833" priority="5" operator="containsText" text="CHIREC">
      <formula>NOT(ISERROR(SEARCH("CHIREC",H281)))</formula>
    </cfRule>
  </conditionalFormatting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A2" sqref="A2"/>
    </sheetView>
  </sheetViews>
  <sheetFormatPr baseColWidth="10" defaultColWidth="11.42578125" defaultRowHeight="12.75" x14ac:dyDescent="0.2"/>
  <cols>
    <col min="1" max="1" width="26.85546875" style="2" bestFit="1" customWidth="1"/>
    <col min="2" max="2" width="13.42578125" style="2" customWidth="1"/>
    <col min="3" max="3" width="11" style="8" bestFit="1" customWidth="1"/>
    <col min="4" max="4" width="21.5703125" style="1" bestFit="1" customWidth="1"/>
    <col min="5" max="256" width="11.42578125" style="1"/>
    <col min="257" max="257" width="26.85546875" style="1" bestFit="1" customWidth="1"/>
    <col min="258" max="258" width="13.42578125" style="1" customWidth="1"/>
    <col min="259" max="259" width="11" style="1" bestFit="1" customWidth="1"/>
    <col min="260" max="260" width="21.5703125" style="1" bestFit="1" customWidth="1"/>
    <col min="261" max="512" width="11.42578125" style="1"/>
    <col min="513" max="513" width="26.85546875" style="1" bestFit="1" customWidth="1"/>
    <col min="514" max="514" width="13.42578125" style="1" customWidth="1"/>
    <col min="515" max="515" width="11" style="1" bestFit="1" customWidth="1"/>
    <col min="516" max="516" width="21.5703125" style="1" bestFit="1" customWidth="1"/>
    <col min="517" max="768" width="11.42578125" style="1"/>
    <col min="769" max="769" width="26.85546875" style="1" bestFit="1" customWidth="1"/>
    <col min="770" max="770" width="13.42578125" style="1" customWidth="1"/>
    <col min="771" max="771" width="11" style="1" bestFit="1" customWidth="1"/>
    <col min="772" max="772" width="21.5703125" style="1" bestFit="1" customWidth="1"/>
    <col min="773" max="1024" width="11.42578125" style="1"/>
    <col min="1025" max="1025" width="26.85546875" style="1" bestFit="1" customWidth="1"/>
    <col min="1026" max="1026" width="13.42578125" style="1" customWidth="1"/>
    <col min="1027" max="1027" width="11" style="1" bestFit="1" customWidth="1"/>
    <col min="1028" max="1028" width="21.5703125" style="1" bestFit="1" customWidth="1"/>
    <col min="1029" max="1280" width="11.42578125" style="1"/>
    <col min="1281" max="1281" width="26.85546875" style="1" bestFit="1" customWidth="1"/>
    <col min="1282" max="1282" width="13.42578125" style="1" customWidth="1"/>
    <col min="1283" max="1283" width="11" style="1" bestFit="1" customWidth="1"/>
    <col min="1284" max="1284" width="21.5703125" style="1" bestFit="1" customWidth="1"/>
    <col min="1285" max="1536" width="11.42578125" style="1"/>
    <col min="1537" max="1537" width="26.85546875" style="1" bestFit="1" customWidth="1"/>
    <col min="1538" max="1538" width="13.42578125" style="1" customWidth="1"/>
    <col min="1539" max="1539" width="11" style="1" bestFit="1" customWidth="1"/>
    <col min="1540" max="1540" width="21.5703125" style="1" bestFit="1" customWidth="1"/>
    <col min="1541" max="1792" width="11.42578125" style="1"/>
    <col min="1793" max="1793" width="26.85546875" style="1" bestFit="1" customWidth="1"/>
    <col min="1794" max="1794" width="13.42578125" style="1" customWidth="1"/>
    <col min="1795" max="1795" width="11" style="1" bestFit="1" customWidth="1"/>
    <col min="1796" max="1796" width="21.5703125" style="1" bestFit="1" customWidth="1"/>
    <col min="1797" max="2048" width="11.42578125" style="1"/>
    <col min="2049" max="2049" width="26.85546875" style="1" bestFit="1" customWidth="1"/>
    <col min="2050" max="2050" width="13.42578125" style="1" customWidth="1"/>
    <col min="2051" max="2051" width="11" style="1" bestFit="1" customWidth="1"/>
    <col min="2052" max="2052" width="21.5703125" style="1" bestFit="1" customWidth="1"/>
    <col min="2053" max="2304" width="11.42578125" style="1"/>
    <col min="2305" max="2305" width="26.85546875" style="1" bestFit="1" customWidth="1"/>
    <col min="2306" max="2306" width="13.42578125" style="1" customWidth="1"/>
    <col min="2307" max="2307" width="11" style="1" bestFit="1" customWidth="1"/>
    <col min="2308" max="2308" width="21.5703125" style="1" bestFit="1" customWidth="1"/>
    <col min="2309" max="2560" width="11.42578125" style="1"/>
    <col min="2561" max="2561" width="26.85546875" style="1" bestFit="1" customWidth="1"/>
    <col min="2562" max="2562" width="13.42578125" style="1" customWidth="1"/>
    <col min="2563" max="2563" width="11" style="1" bestFit="1" customWidth="1"/>
    <col min="2564" max="2564" width="21.5703125" style="1" bestFit="1" customWidth="1"/>
    <col min="2565" max="2816" width="11.42578125" style="1"/>
    <col min="2817" max="2817" width="26.85546875" style="1" bestFit="1" customWidth="1"/>
    <col min="2818" max="2818" width="13.42578125" style="1" customWidth="1"/>
    <col min="2819" max="2819" width="11" style="1" bestFit="1" customWidth="1"/>
    <col min="2820" max="2820" width="21.5703125" style="1" bestFit="1" customWidth="1"/>
    <col min="2821" max="3072" width="11.42578125" style="1"/>
    <col min="3073" max="3073" width="26.85546875" style="1" bestFit="1" customWidth="1"/>
    <col min="3074" max="3074" width="13.42578125" style="1" customWidth="1"/>
    <col min="3075" max="3075" width="11" style="1" bestFit="1" customWidth="1"/>
    <col min="3076" max="3076" width="21.5703125" style="1" bestFit="1" customWidth="1"/>
    <col min="3077" max="3328" width="11.42578125" style="1"/>
    <col min="3329" max="3329" width="26.85546875" style="1" bestFit="1" customWidth="1"/>
    <col min="3330" max="3330" width="13.42578125" style="1" customWidth="1"/>
    <col min="3331" max="3331" width="11" style="1" bestFit="1" customWidth="1"/>
    <col min="3332" max="3332" width="21.5703125" style="1" bestFit="1" customWidth="1"/>
    <col min="3333" max="3584" width="11.42578125" style="1"/>
    <col min="3585" max="3585" width="26.85546875" style="1" bestFit="1" customWidth="1"/>
    <col min="3586" max="3586" width="13.42578125" style="1" customWidth="1"/>
    <col min="3587" max="3587" width="11" style="1" bestFit="1" customWidth="1"/>
    <col min="3588" max="3588" width="21.5703125" style="1" bestFit="1" customWidth="1"/>
    <col min="3589" max="3840" width="11.42578125" style="1"/>
    <col min="3841" max="3841" width="26.85546875" style="1" bestFit="1" customWidth="1"/>
    <col min="3842" max="3842" width="13.42578125" style="1" customWidth="1"/>
    <col min="3843" max="3843" width="11" style="1" bestFit="1" customWidth="1"/>
    <col min="3844" max="3844" width="21.5703125" style="1" bestFit="1" customWidth="1"/>
    <col min="3845" max="4096" width="11.42578125" style="1"/>
    <col min="4097" max="4097" width="26.85546875" style="1" bestFit="1" customWidth="1"/>
    <col min="4098" max="4098" width="13.42578125" style="1" customWidth="1"/>
    <col min="4099" max="4099" width="11" style="1" bestFit="1" customWidth="1"/>
    <col min="4100" max="4100" width="21.5703125" style="1" bestFit="1" customWidth="1"/>
    <col min="4101" max="4352" width="11.42578125" style="1"/>
    <col min="4353" max="4353" width="26.85546875" style="1" bestFit="1" customWidth="1"/>
    <col min="4354" max="4354" width="13.42578125" style="1" customWidth="1"/>
    <col min="4355" max="4355" width="11" style="1" bestFit="1" customWidth="1"/>
    <col min="4356" max="4356" width="21.5703125" style="1" bestFit="1" customWidth="1"/>
    <col min="4357" max="4608" width="11.42578125" style="1"/>
    <col min="4609" max="4609" width="26.85546875" style="1" bestFit="1" customWidth="1"/>
    <col min="4610" max="4610" width="13.42578125" style="1" customWidth="1"/>
    <col min="4611" max="4611" width="11" style="1" bestFit="1" customWidth="1"/>
    <col min="4612" max="4612" width="21.5703125" style="1" bestFit="1" customWidth="1"/>
    <col min="4613" max="4864" width="11.42578125" style="1"/>
    <col min="4865" max="4865" width="26.85546875" style="1" bestFit="1" customWidth="1"/>
    <col min="4866" max="4866" width="13.42578125" style="1" customWidth="1"/>
    <col min="4867" max="4867" width="11" style="1" bestFit="1" customWidth="1"/>
    <col min="4868" max="4868" width="21.5703125" style="1" bestFit="1" customWidth="1"/>
    <col min="4869" max="5120" width="11.42578125" style="1"/>
    <col min="5121" max="5121" width="26.85546875" style="1" bestFit="1" customWidth="1"/>
    <col min="5122" max="5122" width="13.42578125" style="1" customWidth="1"/>
    <col min="5123" max="5123" width="11" style="1" bestFit="1" customWidth="1"/>
    <col min="5124" max="5124" width="21.5703125" style="1" bestFit="1" customWidth="1"/>
    <col min="5125" max="5376" width="11.42578125" style="1"/>
    <col min="5377" max="5377" width="26.85546875" style="1" bestFit="1" customWidth="1"/>
    <col min="5378" max="5378" width="13.42578125" style="1" customWidth="1"/>
    <col min="5379" max="5379" width="11" style="1" bestFit="1" customWidth="1"/>
    <col min="5380" max="5380" width="21.5703125" style="1" bestFit="1" customWidth="1"/>
    <col min="5381" max="5632" width="11.42578125" style="1"/>
    <col min="5633" max="5633" width="26.85546875" style="1" bestFit="1" customWidth="1"/>
    <col min="5634" max="5634" width="13.42578125" style="1" customWidth="1"/>
    <col min="5635" max="5635" width="11" style="1" bestFit="1" customWidth="1"/>
    <col min="5636" max="5636" width="21.5703125" style="1" bestFit="1" customWidth="1"/>
    <col min="5637" max="5888" width="11.42578125" style="1"/>
    <col min="5889" max="5889" width="26.85546875" style="1" bestFit="1" customWidth="1"/>
    <col min="5890" max="5890" width="13.42578125" style="1" customWidth="1"/>
    <col min="5891" max="5891" width="11" style="1" bestFit="1" customWidth="1"/>
    <col min="5892" max="5892" width="21.5703125" style="1" bestFit="1" customWidth="1"/>
    <col min="5893" max="6144" width="11.42578125" style="1"/>
    <col min="6145" max="6145" width="26.85546875" style="1" bestFit="1" customWidth="1"/>
    <col min="6146" max="6146" width="13.42578125" style="1" customWidth="1"/>
    <col min="6147" max="6147" width="11" style="1" bestFit="1" customWidth="1"/>
    <col min="6148" max="6148" width="21.5703125" style="1" bestFit="1" customWidth="1"/>
    <col min="6149" max="6400" width="11.42578125" style="1"/>
    <col min="6401" max="6401" width="26.85546875" style="1" bestFit="1" customWidth="1"/>
    <col min="6402" max="6402" width="13.42578125" style="1" customWidth="1"/>
    <col min="6403" max="6403" width="11" style="1" bestFit="1" customWidth="1"/>
    <col min="6404" max="6404" width="21.5703125" style="1" bestFit="1" customWidth="1"/>
    <col min="6405" max="6656" width="11.42578125" style="1"/>
    <col min="6657" max="6657" width="26.85546875" style="1" bestFit="1" customWidth="1"/>
    <col min="6658" max="6658" width="13.42578125" style="1" customWidth="1"/>
    <col min="6659" max="6659" width="11" style="1" bestFit="1" customWidth="1"/>
    <col min="6660" max="6660" width="21.5703125" style="1" bestFit="1" customWidth="1"/>
    <col min="6661" max="6912" width="11.42578125" style="1"/>
    <col min="6913" max="6913" width="26.85546875" style="1" bestFit="1" customWidth="1"/>
    <col min="6914" max="6914" width="13.42578125" style="1" customWidth="1"/>
    <col min="6915" max="6915" width="11" style="1" bestFit="1" customWidth="1"/>
    <col min="6916" max="6916" width="21.5703125" style="1" bestFit="1" customWidth="1"/>
    <col min="6917" max="7168" width="11.42578125" style="1"/>
    <col min="7169" max="7169" width="26.85546875" style="1" bestFit="1" customWidth="1"/>
    <col min="7170" max="7170" width="13.42578125" style="1" customWidth="1"/>
    <col min="7171" max="7171" width="11" style="1" bestFit="1" customWidth="1"/>
    <col min="7172" max="7172" width="21.5703125" style="1" bestFit="1" customWidth="1"/>
    <col min="7173" max="7424" width="11.42578125" style="1"/>
    <col min="7425" max="7425" width="26.85546875" style="1" bestFit="1" customWidth="1"/>
    <col min="7426" max="7426" width="13.42578125" style="1" customWidth="1"/>
    <col min="7427" max="7427" width="11" style="1" bestFit="1" customWidth="1"/>
    <col min="7428" max="7428" width="21.5703125" style="1" bestFit="1" customWidth="1"/>
    <col min="7429" max="7680" width="11.42578125" style="1"/>
    <col min="7681" max="7681" width="26.85546875" style="1" bestFit="1" customWidth="1"/>
    <col min="7682" max="7682" width="13.42578125" style="1" customWidth="1"/>
    <col min="7683" max="7683" width="11" style="1" bestFit="1" customWidth="1"/>
    <col min="7684" max="7684" width="21.5703125" style="1" bestFit="1" customWidth="1"/>
    <col min="7685" max="7936" width="11.42578125" style="1"/>
    <col min="7937" max="7937" width="26.85546875" style="1" bestFit="1" customWidth="1"/>
    <col min="7938" max="7938" width="13.42578125" style="1" customWidth="1"/>
    <col min="7939" max="7939" width="11" style="1" bestFit="1" customWidth="1"/>
    <col min="7940" max="7940" width="21.5703125" style="1" bestFit="1" customWidth="1"/>
    <col min="7941" max="8192" width="11.42578125" style="1"/>
    <col min="8193" max="8193" width="26.85546875" style="1" bestFit="1" customWidth="1"/>
    <col min="8194" max="8194" width="13.42578125" style="1" customWidth="1"/>
    <col min="8195" max="8195" width="11" style="1" bestFit="1" customWidth="1"/>
    <col min="8196" max="8196" width="21.5703125" style="1" bestFit="1" customWidth="1"/>
    <col min="8197" max="8448" width="11.42578125" style="1"/>
    <col min="8449" max="8449" width="26.85546875" style="1" bestFit="1" customWidth="1"/>
    <col min="8450" max="8450" width="13.42578125" style="1" customWidth="1"/>
    <col min="8451" max="8451" width="11" style="1" bestFit="1" customWidth="1"/>
    <col min="8452" max="8452" width="21.5703125" style="1" bestFit="1" customWidth="1"/>
    <col min="8453" max="8704" width="11.42578125" style="1"/>
    <col min="8705" max="8705" width="26.85546875" style="1" bestFit="1" customWidth="1"/>
    <col min="8706" max="8706" width="13.42578125" style="1" customWidth="1"/>
    <col min="8707" max="8707" width="11" style="1" bestFit="1" customWidth="1"/>
    <col min="8708" max="8708" width="21.5703125" style="1" bestFit="1" customWidth="1"/>
    <col min="8709" max="8960" width="11.42578125" style="1"/>
    <col min="8961" max="8961" width="26.85546875" style="1" bestFit="1" customWidth="1"/>
    <col min="8962" max="8962" width="13.42578125" style="1" customWidth="1"/>
    <col min="8963" max="8963" width="11" style="1" bestFit="1" customWidth="1"/>
    <col min="8964" max="8964" width="21.5703125" style="1" bestFit="1" customWidth="1"/>
    <col min="8965" max="9216" width="11.42578125" style="1"/>
    <col min="9217" max="9217" width="26.85546875" style="1" bestFit="1" customWidth="1"/>
    <col min="9218" max="9218" width="13.42578125" style="1" customWidth="1"/>
    <col min="9219" max="9219" width="11" style="1" bestFit="1" customWidth="1"/>
    <col min="9220" max="9220" width="21.5703125" style="1" bestFit="1" customWidth="1"/>
    <col min="9221" max="9472" width="11.42578125" style="1"/>
    <col min="9473" max="9473" width="26.85546875" style="1" bestFit="1" customWidth="1"/>
    <col min="9474" max="9474" width="13.42578125" style="1" customWidth="1"/>
    <col min="9475" max="9475" width="11" style="1" bestFit="1" customWidth="1"/>
    <col min="9476" max="9476" width="21.5703125" style="1" bestFit="1" customWidth="1"/>
    <col min="9477" max="9728" width="11.42578125" style="1"/>
    <col min="9729" max="9729" width="26.85546875" style="1" bestFit="1" customWidth="1"/>
    <col min="9730" max="9730" width="13.42578125" style="1" customWidth="1"/>
    <col min="9731" max="9731" width="11" style="1" bestFit="1" customWidth="1"/>
    <col min="9732" max="9732" width="21.5703125" style="1" bestFit="1" customWidth="1"/>
    <col min="9733" max="9984" width="11.42578125" style="1"/>
    <col min="9985" max="9985" width="26.85546875" style="1" bestFit="1" customWidth="1"/>
    <col min="9986" max="9986" width="13.42578125" style="1" customWidth="1"/>
    <col min="9987" max="9987" width="11" style="1" bestFit="1" customWidth="1"/>
    <col min="9988" max="9988" width="21.5703125" style="1" bestFit="1" customWidth="1"/>
    <col min="9989" max="10240" width="11.42578125" style="1"/>
    <col min="10241" max="10241" width="26.85546875" style="1" bestFit="1" customWidth="1"/>
    <col min="10242" max="10242" width="13.42578125" style="1" customWidth="1"/>
    <col min="10243" max="10243" width="11" style="1" bestFit="1" customWidth="1"/>
    <col min="10244" max="10244" width="21.5703125" style="1" bestFit="1" customWidth="1"/>
    <col min="10245" max="10496" width="11.42578125" style="1"/>
    <col min="10497" max="10497" width="26.85546875" style="1" bestFit="1" customWidth="1"/>
    <col min="10498" max="10498" width="13.42578125" style="1" customWidth="1"/>
    <col min="10499" max="10499" width="11" style="1" bestFit="1" customWidth="1"/>
    <col min="10500" max="10500" width="21.5703125" style="1" bestFit="1" customWidth="1"/>
    <col min="10501" max="10752" width="11.42578125" style="1"/>
    <col min="10753" max="10753" width="26.85546875" style="1" bestFit="1" customWidth="1"/>
    <col min="10754" max="10754" width="13.42578125" style="1" customWidth="1"/>
    <col min="10755" max="10755" width="11" style="1" bestFit="1" customWidth="1"/>
    <col min="10756" max="10756" width="21.5703125" style="1" bestFit="1" customWidth="1"/>
    <col min="10757" max="11008" width="11.42578125" style="1"/>
    <col min="11009" max="11009" width="26.85546875" style="1" bestFit="1" customWidth="1"/>
    <col min="11010" max="11010" width="13.42578125" style="1" customWidth="1"/>
    <col min="11011" max="11011" width="11" style="1" bestFit="1" customWidth="1"/>
    <col min="11012" max="11012" width="21.5703125" style="1" bestFit="1" customWidth="1"/>
    <col min="11013" max="11264" width="11.42578125" style="1"/>
    <col min="11265" max="11265" width="26.85546875" style="1" bestFit="1" customWidth="1"/>
    <col min="11266" max="11266" width="13.42578125" style="1" customWidth="1"/>
    <col min="11267" max="11267" width="11" style="1" bestFit="1" customWidth="1"/>
    <col min="11268" max="11268" width="21.5703125" style="1" bestFit="1" customWidth="1"/>
    <col min="11269" max="11520" width="11.42578125" style="1"/>
    <col min="11521" max="11521" width="26.85546875" style="1" bestFit="1" customWidth="1"/>
    <col min="11522" max="11522" width="13.42578125" style="1" customWidth="1"/>
    <col min="11523" max="11523" width="11" style="1" bestFit="1" customWidth="1"/>
    <col min="11524" max="11524" width="21.5703125" style="1" bestFit="1" customWidth="1"/>
    <col min="11525" max="11776" width="11.42578125" style="1"/>
    <col min="11777" max="11777" width="26.85546875" style="1" bestFit="1" customWidth="1"/>
    <col min="11778" max="11778" width="13.42578125" style="1" customWidth="1"/>
    <col min="11779" max="11779" width="11" style="1" bestFit="1" customWidth="1"/>
    <col min="11780" max="11780" width="21.5703125" style="1" bestFit="1" customWidth="1"/>
    <col min="11781" max="12032" width="11.42578125" style="1"/>
    <col min="12033" max="12033" width="26.85546875" style="1" bestFit="1" customWidth="1"/>
    <col min="12034" max="12034" width="13.42578125" style="1" customWidth="1"/>
    <col min="12035" max="12035" width="11" style="1" bestFit="1" customWidth="1"/>
    <col min="12036" max="12036" width="21.5703125" style="1" bestFit="1" customWidth="1"/>
    <col min="12037" max="12288" width="11.42578125" style="1"/>
    <col min="12289" max="12289" width="26.85546875" style="1" bestFit="1" customWidth="1"/>
    <col min="12290" max="12290" width="13.42578125" style="1" customWidth="1"/>
    <col min="12291" max="12291" width="11" style="1" bestFit="1" customWidth="1"/>
    <col min="12292" max="12292" width="21.5703125" style="1" bestFit="1" customWidth="1"/>
    <col min="12293" max="12544" width="11.42578125" style="1"/>
    <col min="12545" max="12545" width="26.85546875" style="1" bestFit="1" customWidth="1"/>
    <col min="12546" max="12546" width="13.42578125" style="1" customWidth="1"/>
    <col min="12547" max="12547" width="11" style="1" bestFit="1" customWidth="1"/>
    <col min="12548" max="12548" width="21.5703125" style="1" bestFit="1" customWidth="1"/>
    <col min="12549" max="12800" width="11.42578125" style="1"/>
    <col min="12801" max="12801" width="26.85546875" style="1" bestFit="1" customWidth="1"/>
    <col min="12802" max="12802" width="13.42578125" style="1" customWidth="1"/>
    <col min="12803" max="12803" width="11" style="1" bestFit="1" customWidth="1"/>
    <col min="12804" max="12804" width="21.5703125" style="1" bestFit="1" customWidth="1"/>
    <col min="12805" max="13056" width="11.42578125" style="1"/>
    <col min="13057" max="13057" width="26.85546875" style="1" bestFit="1" customWidth="1"/>
    <col min="13058" max="13058" width="13.42578125" style="1" customWidth="1"/>
    <col min="13059" max="13059" width="11" style="1" bestFit="1" customWidth="1"/>
    <col min="13060" max="13060" width="21.5703125" style="1" bestFit="1" customWidth="1"/>
    <col min="13061" max="13312" width="11.42578125" style="1"/>
    <col min="13313" max="13313" width="26.85546875" style="1" bestFit="1" customWidth="1"/>
    <col min="13314" max="13314" width="13.42578125" style="1" customWidth="1"/>
    <col min="13315" max="13315" width="11" style="1" bestFit="1" customWidth="1"/>
    <col min="13316" max="13316" width="21.5703125" style="1" bestFit="1" customWidth="1"/>
    <col min="13317" max="13568" width="11.42578125" style="1"/>
    <col min="13569" max="13569" width="26.85546875" style="1" bestFit="1" customWidth="1"/>
    <col min="13570" max="13570" width="13.42578125" style="1" customWidth="1"/>
    <col min="13571" max="13571" width="11" style="1" bestFit="1" customWidth="1"/>
    <col min="13572" max="13572" width="21.5703125" style="1" bestFit="1" customWidth="1"/>
    <col min="13573" max="13824" width="11.42578125" style="1"/>
    <col min="13825" max="13825" width="26.85546875" style="1" bestFit="1" customWidth="1"/>
    <col min="13826" max="13826" width="13.42578125" style="1" customWidth="1"/>
    <col min="13827" max="13827" width="11" style="1" bestFit="1" customWidth="1"/>
    <col min="13828" max="13828" width="21.5703125" style="1" bestFit="1" customWidth="1"/>
    <col min="13829" max="14080" width="11.42578125" style="1"/>
    <col min="14081" max="14081" width="26.85546875" style="1" bestFit="1" customWidth="1"/>
    <col min="14082" max="14082" width="13.42578125" style="1" customWidth="1"/>
    <col min="14083" max="14083" width="11" style="1" bestFit="1" customWidth="1"/>
    <col min="14084" max="14084" width="21.5703125" style="1" bestFit="1" customWidth="1"/>
    <col min="14085" max="14336" width="11.42578125" style="1"/>
    <col min="14337" max="14337" width="26.85546875" style="1" bestFit="1" customWidth="1"/>
    <col min="14338" max="14338" width="13.42578125" style="1" customWidth="1"/>
    <col min="14339" max="14339" width="11" style="1" bestFit="1" customWidth="1"/>
    <col min="14340" max="14340" width="21.5703125" style="1" bestFit="1" customWidth="1"/>
    <col min="14341" max="14592" width="11.42578125" style="1"/>
    <col min="14593" max="14593" width="26.85546875" style="1" bestFit="1" customWidth="1"/>
    <col min="14594" max="14594" width="13.42578125" style="1" customWidth="1"/>
    <col min="14595" max="14595" width="11" style="1" bestFit="1" customWidth="1"/>
    <col min="14596" max="14596" width="21.5703125" style="1" bestFit="1" customWidth="1"/>
    <col min="14597" max="14848" width="11.42578125" style="1"/>
    <col min="14849" max="14849" width="26.85546875" style="1" bestFit="1" customWidth="1"/>
    <col min="14850" max="14850" width="13.42578125" style="1" customWidth="1"/>
    <col min="14851" max="14851" width="11" style="1" bestFit="1" customWidth="1"/>
    <col min="14852" max="14852" width="21.5703125" style="1" bestFit="1" customWidth="1"/>
    <col min="14853" max="15104" width="11.42578125" style="1"/>
    <col min="15105" max="15105" width="26.85546875" style="1" bestFit="1" customWidth="1"/>
    <col min="15106" max="15106" width="13.42578125" style="1" customWidth="1"/>
    <col min="15107" max="15107" width="11" style="1" bestFit="1" customWidth="1"/>
    <col min="15108" max="15108" width="21.5703125" style="1" bestFit="1" customWidth="1"/>
    <col min="15109" max="15360" width="11.42578125" style="1"/>
    <col min="15361" max="15361" width="26.85546875" style="1" bestFit="1" customWidth="1"/>
    <col min="15362" max="15362" width="13.42578125" style="1" customWidth="1"/>
    <col min="15363" max="15363" width="11" style="1" bestFit="1" customWidth="1"/>
    <col min="15364" max="15364" width="21.5703125" style="1" bestFit="1" customWidth="1"/>
    <col min="15365" max="15616" width="11.42578125" style="1"/>
    <col min="15617" max="15617" width="26.85546875" style="1" bestFit="1" customWidth="1"/>
    <col min="15618" max="15618" width="13.42578125" style="1" customWidth="1"/>
    <col min="15619" max="15619" width="11" style="1" bestFit="1" customWidth="1"/>
    <col min="15620" max="15620" width="21.5703125" style="1" bestFit="1" customWidth="1"/>
    <col min="15621" max="15872" width="11.42578125" style="1"/>
    <col min="15873" max="15873" width="26.85546875" style="1" bestFit="1" customWidth="1"/>
    <col min="15874" max="15874" width="13.42578125" style="1" customWidth="1"/>
    <col min="15875" max="15875" width="11" style="1" bestFit="1" customWidth="1"/>
    <col min="15876" max="15876" width="21.5703125" style="1" bestFit="1" customWidth="1"/>
    <col min="15877" max="16128" width="11.42578125" style="1"/>
    <col min="16129" max="16129" width="26.85546875" style="1" bestFit="1" customWidth="1"/>
    <col min="16130" max="16130" width="13.42578125" style="1" customWidth="1"/>
    <col min="16131" max="16131" width="11" style="1" bestFit="1" customWidth="1"/>
    <col min="16132" max="16132" width="21.5703125" style="1" bestFit="1" customWidth="1"/>
    <col min="16133" max="16384" width="11.42578125" style="1"/>
  </cols>
  <sheetData>
    <row r="1" spans="1:4" x14ac:dyDescent="0.2">
      <c r="A1" s="6" t="s">
        <v>9</v>
      </c>
      <c r="B1" s="6" t="s">
        <v>10</v>
      </c>
      <c r="C1" s="7" t="s">
        <v>17</v>
      </c>
      <c r="D1" s="3" t="s">
        <v>18</v>
      </c>
    </row>
    <row r="2" spans="1:4" x14ac:dyDescent="0.2">
      <c r="A2" s="6"/>
      <c r="B2" s="6"/>
      <c r="C2" s="7"/>
      <c r="D2" s="3"/>
    </row>
    <row r="3" spans="1:4" x14ac:dyDescent="0.2">
      <c r="A3" s="6"/>
      <c r="B3" s="6"/>
      <c r="C3" s="7"/>
      <c r="D3" s="3"/>
    </row>
    <row r="4" spans="1:4" x14ac:dyDescent="0.2">
      <c r="A4" s="6"/>
      <c r="B4" s="6"/>
      <c r="C4" s="7"/>
      <c r="D4" s="3"/>
    </row>
    <row r="5" spans="1:4" x14ac:dyDescent="0.2">
      <c r="A5" s="6"/>
      <c r="B5" s="6"/>
      <c r="C5" s="7"/>
      <c r="D5" s="3"/>
    </row>
    <row r="6" spans="1:4" x14ac:dyDescent="0.2">
      <c r="A6" s="6"/>
      <c r="B6" s="6"/>
      <c r="C6" s="7"/>
      <c r="D6" s="3"/>
    </row>
    <row r="7" spans="1:4" x14ac:dyDescent="0.2">
      <c r="A7" s="6"/>
      <c r="B7" s="6"/>
      <c r="C7" s="7"/>
      <c r="D7" s="3"/>
    </row>
    <row r="8" spans="1:4" x14ac:dyDescent="0.2">
      <c r="A8" s="6"/>
      <c r="B8" s="6"/>
      <c r="C8" s="7"/>
      <c r="D8" s="3"/>
    </row>
    <row r="9" spans="1:4" x14ac:dyDescent="0.2">
      <c r="A9" s="6"/>
      <c r="B9" s="6"/>
      <c r="C9" s="7"/>
      <c r="D9" s="3"/>
    </row>
    <row r="10" spans="1:4" x14ac:dyDescent="0.2">
      <c r="A10" s="6"/>
      <c r="B10" s="6"/>
      <c r="C10" s="7"/>
      <c r="D10" s="3"/>
    </row>
    <row r="11" spans="1:4" x14ac:dyDescent="0.2">
      <c r="A11" s="6"/>
      <c r="B11" s="6"/>
      <c r="C11" s="7"/>
      <c r="D11" s="3"/>
    </row>
    <row r="12" spans="1:4" x14ac:dyDescent="0.2">
      <c r="A12" s="6"/>
      <c r="B12" s="15"/>
      <c r="C12" s="7"/>
      <c r="D12" s="3"/>
    </row>
    <row r="13" spans="1:4" x14ac:dyDescent="0.2">
      <c r="A13" s="6"/>
      <c r="B13" s="6"/>
      <c r="C13" s="7"/>
      <c r="D13" s="3"/>
    </row>
    <row r="14" spans="1:4" x14ac:dyDescent="0.2">
      <c r="A14" s="6"/>
      <c r="B14" s="6"/>
      <c r="C14" s="7"/>
      <c r="D14" s="3"/>
    </row>
    <row r="15" spans="1:4" x14ac:dyDescent="0.2">
      <c r="A15" s="6"/>
      <c r="B15" s="6"/>
      <c r="C15" s="7"/>
      <c r="D15" s="3"/>
    </row>
    <row r="16" spans="1:4" x14ac:dyDescent="0.2">
      <c r="A16" s="6"/>
      <c r="B16" s="6"/>
      <c r="C16" s="7"/>
      <c r="D1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8"/>
  <sheetViews>
    <sheetView topLeftCell="A31" workbookViewId="0">
      <selection activeCell="L39" sqref="L39"/>
    </sheetView>
  </sheetViews>
  <sheetFormatPr baseColWidth="10" defaultColWidth="11.42578125" defaultRowHeight="12.75" x14ac:dyDescent="0.2"/>
  <cols>
    <col min="1" max="1" width="19.85546875" style="12" bestFit="1" customWidth="1"/>
    <col min="2" max="2" width="13.85546875" style="11" customWidth="1"/>
    <col min="3" max="3" width="17" style="11" bestFit="1" customWidth="1"/>
    <col min="4" max="4" width="12.7109375" style="11" customWidth="1"/>
    <col min="5" max="5" width="14.28515625" style="13" customWidth="1"/>
    <col min="6" max="6" width="18.28515625" style="11" customWidth="1"/>
    <col min="7" max="8" width="14" style="11" customWidth="1"/>
    <col min="9" max="258" width="11.42578125" style="12"/>
    <col min="259" max="259" width="11.85546875" style="12" bestFit="1" customWidth="1"/>
    <col min="260" max="260" width="9.28515625" style="12" bestFit="1" customWidth="1"/>
    <col min="261" max="261" width="11.5703125" style="12" bestFit="1" customWidth="1"/>
    <col min="262" max="262" width="25.140625" style="12" customWidth="1"/>
    <col min="263" max="514" width="11.42578125" style="12"/>
    <col min="515" max="515" width="11.85546875" style="12" bestFit="1" customWidth="1"/>
    <col min="516" max="516" width="9.28515625" style="12" bestFit="1" customWidth="1"/>
    <col min="517" max="517" width="11.5703125" style="12" bestFit="1" customWidth="1"/>
    <col min="518" max="518" width="25.140625" style="12" customWidth="1"/>
    <col min="519" max="770" width="11.42578125" style="12"/>
    <col min="771" max="771" width="11.85546875" style="12" bestFit="1" customWidth="1"/>
    <col min="772" max="772" width="9.28515625" style="12" bestFit="1" customWidth="1"/>
    <col min="773" max="773" width="11.5703125" style="12" bestFit="1" customWidth="1"/>
    <col min="774" max="774" width="25.140625" style="12" customWidth="1"/>
    <col min="775" max="1026" width="11.42578125" style="12"/>
    <col min="1027" max="1027" width="11.85546875" style="12" bestFit="1" customWidth="1"/>
    <col min="1028" max="1028" width="9.28515625" style="12" bestFit="1" customWidth="1"/>
    <col min="1029" max="1029" width="11.5703125" style="12" bestFit="1" customWidth="1"/>
    <col min="1030" max="1030" width="25.140625" style="12" customWidth="1"/>
    <col min="1031" max="1282" width="11.42578125" style="12"/>
    <col min="1283" max="1283" width="11.85546875" style="12" bestFit="1" customWidth="1"/>
    <col min="1284" max="1284" width="9.28515625" style="12" bestFit="1" customWidth="1"/>
    <col min="1285" max="1285" width="11.5703125" style="12" bestFit="1" customWidth="1"/>
    <col min="1286" max="1286" width="25.140625" style="12" customWidth="1"/>
    <col min="1287" max="1538" width="11.42578125" style="12"/>
    <col min="1539" max="1539" width="11.85546875" style="12" bestFit="1" customWidth="1"/>
    <col min="1540" max="1540" width="9.28515625" style="12" bestFit="1" customWidth="1"/>
    <col min="1541" max="1541" width="11.5703125" style="12" bestFit="1" customWidth="1"/>
    <col min="1542" max="1542" width="25.140625" style="12" customWidth="1"/>
    <col min="1543" max="1794" width="11.42578125" style="12"/>
    <col min="1795" max="1795" width="11.85546875" style="12" bestFit="1" customWidth="1"/>
    <col min="1796" max="1796" width="9.28515625" style="12" bestFit="1" customWidth="1"/>
    <col min="1797" max="1797" width="11.5703125" style="12" bestFit="1" customWidth="1"/>
    <col min="1798" max="1798" width="25.140625" style="12" customWidth="1"/>
    <col min="1799" max="2050" width="11.42578125" style="12"/>
    <col min="2051" max="2051" width="11.85546875" style="12" bestFit="1" customWidth="1"/>
    <col min="2052" max="2052" width="9.28515625" style="12" bestFit="1" customWidth="1"/>
    <col min="2053" max="2053" width="11.5703125" style="12" bestFit="1" customWidth="1"/>
    <col min="2054" max="2054" width="25.140625" style="12" customWidth="1"/>
    <col min="2055" max="2306" width="11.42578125" style="12"/>
    <col min="2307" max="2307" width="11.85546875" style="12" bestFit="1" customWidth="1"/>
    <col min="2308" max="2308" width="9.28515625" style="12" bestFit="1" customWidth="1"/>
    <col min="2309" max="2309" width="11.5703125" style="12" bestFit="1" customWidth="1"/>
    <col min="2310" max="2310" width="25.140625" style="12" customWidth="1"/>
    <col min="2311" max="2562" width="11.42578125" style="12"/>
    <col min="2563" max="2563" width="11.85546875" style="12" bestFit="1" customWidth="1"/>
    <col min="2564" max="2564" width="9.28515625" style="12" bestFit="1" customWidth="1"/>
    <col min="2565" max="2565" width="11.5703125" style="12" bestFit="1" customWidth="1"/>
    <col min="2566" max="2566" width="25.140625" style="12" customWidth="1"/>
    <col min="2567" max="2818" width="11.42578125" style="12"/>
    <col min="2819" max="2819" width="11.85546875" style="12" bestFit="1" customWidth="1"/>
    <col min="2820" max="2820" width="9.28515625" style="12" bestFit="1" customWidth="1"/>
    <col min="2821" max="2821" width="11.5703125" style="12" bestFit="1" customWidth="1"/>
    <col min="2822" max="2822" width="25.140625" style="12" customWidth="1"/>
    <col min="2823" max="3074" width="11.42578125" style="12"/>
    <col min="3075" max="3075" width="11.85546875" style="12" bestFit="1" customWidth="1"/>
    <col min="3076" max="3076" width="9.28515625" style="12" bestFit="1" customWidth="1"/>
    <col min="3077" max="3077" width="11.5703125" style="12" bestFit="1" customWidth="1"/>
    <col min="3078" max="3078" width="25.140625" style="12" customWidth="1"/>
    <col min="3079" max="3330" width="11.42578125" style="12"/>
    <col min="3331" max="3331" width="11.85546875" style="12" bestFit="1" customWidth="1"/>
    <col min="3332" max="3332" width="9.28515625" style="12" bestFit="1" customWidth="1"/>
    <col min="3333" max="3333" width="11.5703125" style="12" bestFit="1" customWidth="1"/>
    <col min="3334" max="3334" width="25.140625" style="12" customWidth="1"/>
    <col min="3335" max="3586" width="11.42578125" style="12"/>
    <col min="3587" max="3587" width="11.85546875" style="12" bestFit="1" customWidth="1"/>
    <col min="3588" max="3588" width="9.28515625" style="12" bestFit="1" customWidth="1"/>
    <col min="3589" max="3589" width="11.5703125" style="12" bestFit="1" customWidth="1"/>
    <col min="3590" max="3590" width="25.140625" style="12" customWidth="1"/>
    <col min="3591" max="3842" width="11.42578125" style="12"/>
    <col min="3843" max="3843" width="11.85546875" style="12" bestFit="1" customWidth="1"/>
    <col min="3844" max="3844" width="9.28515625" style="12" bestFit="1" customWidth="1"/>
    <col min="3845" max="3845" width="11.5703125" style="12" bestFit="1" customWidth="1"/>
    <col min="3846" max="3846" width="25.140625" style="12" customWidth="1"/>
    <col min="3847" max="4098" width="11.42578125" style="12"/>
    <col min="4099" max="4099" width="11.85546875" style="12" bestFit="1" customWidth="1"/>
    <col min="4100" max="4100" width="9.28515625" style="12" bestFit="1" customWidth="1"/>
    <col min="4101" max="4101" width="11.5703125" style="12" bestFit="1" customWidth="1"/>
    <col min="4102" max="4102" width="25.140625" style="12" customWidth="1"/>
    <col min="4103" max="4354" width="11.42578125" style="12"/>
    <col min="4355" max="4355" width="11.85546875" style="12" bestFit="1" customWidth="1"/>
    <col min="4356" max="4356" width="9.28515625" style="12" bestFit="1" customWidth="1"/>
    <col min="4357" max="4357" width="11.5703125" style="12" bestFit="1" customWidth="1"/>
    <col min="4358" max="4358" width="25.140625" style="12" customWidth="1"/>
    <col min="4359" max="4610" width="11.42578125" style="12"/>
    <col min="4611" max="4611" width="11.85546875" style="12" bestFit="1" customWidth="1"/>
    <col min="4612" max="4612" width="9.28515625" style="12" bestFit="1" customWidth="1"/>
    <col min="4613" max="4613" width="11.5703125" style="12" bestFit="1" customWidth="1"/>
    <col min="4614" max="4614" width="25.140625" style="12" customWidth="1"/>
    <col min="4615" max="4866" width="11.42578125" style="12"/>
    <col min="4867" max="4867" width="11.85546875" style="12" bestFit="1" customWidth="1"/>
    <col min="4868" max="4868" width="9.28515625" style="12" bestFit="1" customWidth="1"/>
    <col min="4869" max="4869" width="11.5703125" style="12" bestFit="1" customWidth="1"/>
    <col min="4870" max="4870" width="25.140625" style="12" customWidth="1"/>
    <col min="4871" max="5122" width="11.42578125" style="12"/>
    <col min="5123" max="5123" width="11.85546875" style="12" bestFit="1" customWidth="1"/>
    <col min="5124" max="5124" width="9.28515625" style="12" bestFit="1" customWidth="1"/>
    <col min="5125" max="5125" width="11.5703125" style="12" bestFit="1" customWidth="1"/>
    <col min="5126" max="5126" width="25.140625" style="12" customWidth="1"/>
    <col min="5127" max="5378" width="11.42578125" style="12"/>
    <col min="5379" max="5379" width="11.85546875" style="12" bestFit="1" customWidth="1"/>
    <col min="5380" max="5380" width="9.28515625" style="12" bestFit="1" customWidth="1"/>
    <col min="5381" max="5381" width="11.5703125" style="12" bestFit="1" customWidth="1"/>
    <col min="5382" max="5382" width="25.140625" style="12" customWidth="1"/>
    <col min="5383" max="5634" width="11.42578125" style="12"/>
    <col min="5635" max="5635" width="11.85546875" style="12" bestFit="1" customWidth="1"/>
    <col min="5636" max="5636" width="9.28515625" style="12" bestFit="1" customWidth="1"/>
    <col min="5637" max="5637" width="11.5703125" style="12" bestFit="1" customWidth="1"/>
    <col min="5638" max="5638" width="25.140625" style="12" customWidth="1"/>
    <col min="5639" max="5890" width="11.42578125" style="12"/>
    <col min="5891" max="5891" width="11.85546875" style="12" bestFit="1" customWidth="1"/>
    <col min="5892" max="5892" width="9.28515625" style="12" bestFit="1" customWidth="1"/>
    <col min="5893" max="5893" width="11.5703125" style="12" bestFit="1" customWidth="1"/>
    <col min="5894" max="5894" width="25.140625" style="12" customWidth="1"/>
    <col min="5895" max="6146" width="11.42578125" style="12"/>
    <col min="6147" max="6147" width="11.85546875" style="12" bestFit="1" customWidth="1"/>
    <col min="6148" max="6148" width="9.28515625" style="12" bestFit="1" customWidth="1"/>
    <col min="6149" max="6149" width="11.5703125" style="12" bestFit="1" customWidth="1"/>
    <col min="6150" max="6150" width="25.140625" style="12" customWidth="1"/>
    <col min="6151" max="6402" width="11.42578125" style="12"/>
    <col min="6403" max="6403" width="11.85546875" style="12" bestFit="1" customWidth="1"/>
    <col min="6404" max="6404" width="9.28515625" style="12" bestFit="1" customWidth="1"/>
    <col min="6405" max="6405" width="11.5703125" style="12" bestFit="1" customWidth="1"/>
    <col min="6406" max="6406" width="25.140625" style="12" customWidth="1"/>
    <col min="6407" max="6658" width="11.42578125" style="12"/>
    <col min="6659" max="6659" width="11.85546875" style="12" bestFit="1" customWidth="1"/>
    <col min="6660" max="6660" width="9.28515625" style="12" bestFit="1" customWidth="1"/>
    <col min="6661" max="6661" width="11.5703125" style="12" bestFit="1" customWidth="1"/>
    <col min="6662" max="6662" width="25.140625" style="12" customWidth="1"/>
    <col min="6663" max="6914" width="11.42578125" style="12"/>
    <col min="6915" max="6915" width="11.85546875" style="12" bestFit="1" customWidth="1"/>
    <col min="6916" max="6916" width="9.28515625" style="12" bestFit="1" customWidth="1"/>
    <col min="6917" max="6917" width="11.5703125" style="12" bestFit="1" customWidth="1"/>
    <col min="6918" max="6918" width="25.140625" style="12" customWidth="1"/>
    <col min="6919" max="7170" width="11.42578125" style="12"/>
    <col min="7171" max="7171" width="11.85546875" style="12" bestFit="1" customWidth="1"/>
    <col min="7172" max="7172" width="9.28515625" style="12" bestFit="1" customWidth="1"/>
    <col min="7173" max="7173" width="11.5703125" style="12" bestFit="1" customWidth="1"/>
    <col min="7174" max="7174" width="25.140625" style="12" customWidth="1"/>
    <col min="7175" max="7426" width="11.42578125" style="12"/>
    <col min="7427" max="7427" width="11.85546875" style="12" bestFit="1" customWidth="1"/>
    <col min="7428" max="7428" width="9.28515625" style="12" bestFit="1" customWidth="1"/>
    <col min="7429" max="7429" width="11.5703125" style="12" bestFit="1" customWidth="1"/>
    <col min="7430" max="7430" width="25.140625" style="12" customWidth="1"/>
    <col min="7431" max="7682" width="11.42578125" style="12"/>
    <col min="7683" max="7683" width="11.85546875" style="12" bestFit="1" customWidth="1"/>
    <col min="7684" max="7684" width="9.28515625" style="12" bestFit="1" customWidth="1"/>
    <col min="7685" max="7685" width="11.5703125" style="12" bestFit="1" customWidth="1"/>
    <col min="7686" max="7686" width="25.140625" style="12" customWidth="1"/>
    <col min="7687" max="7938" width="11.42578125" style="12"/>
    <col min="7939" max="7939" width="11.85546875" style="12" bestFit="1" customWidth="1"/>
    <col min="7940" max="7940" width="9.28515625" style="12" bestFit="1" customWidth="1"/>
    <col min="7941" max="7941" width="11.5703125" style="12" bestFit="1" customWidth="1"/>
    <col min="7942" max="7942" width="25.140625" style="12" customWidth="1"/>
    <col min="7943" max="8194" width="11.42578125" style="12"/>
    <col min="8195" max="8195" width="11.85546875" style="12" bestFit="1" customWidth="1"/>
    <col min="8196" max="8196" width="9.28515625" style="12" bestFit="1" customWidth="1"/>
    <col min="8197" max="8197" width="11.5703125" style="12" bestFit="1" customWidth="1"/>
    <col min="8198" max="8198" width="25.140625" style="12" customWidth="1"/>
    <col min="8199" max="8450" width="11.42578125" style="12"/>
    <col min="8451" max="8451" width="11.85546875" style="12" bestFit="1" customWidth="1"/>
    <col min="8452" max="8452" width="9.28515625" style="12" bestFit="1" customWidth="1"/>
    <col min="8453" max="8453" width="11.5703125" style="12" bestFit="1" customWidth="1"/>
    <col min="8454" max="8454" width="25.140625" style="12" customWidth="1"/>
    <col min="8455" max="8706" width="11.42578125" style="12"/>
    <col min="8707" max="8707" width="11.85546875" style="12" bestFit="1" customWidth="1"/>
    <col min="8708" max="8708" width="9.28515625" style="12" bestFit="1" customWidth="1"/>
    <col min="8709" max="8709" width="11.5703125" style="12" bestFit="1" customWidth="1"/>
    <col min="8710" max="8710" width="25.140625" style="12" customWidth="1"/>
    <col min="8711" max="8962" width="11.42578125" style="12"/>
    <col min="8963" max="8963" width="11.85546875" style="12" bestFit="1" customWidth="1"/>
    <col min="8964" max="8964" width="9.28515625" style="12" bestFit="1" customWidth="1"/>
    <col min="8965" max="8965" width="11.5703125" style="12" bestFit="1" customWidth="1"/>
    <col min="8966" max="8966" width="25.140625" style="12" customWidth="1"/>
    <col min="8967" max="9218" width="11.42578125" style="12"/>
    <col min="9219" max="9219" width="11.85546875" style="12" bestFit="1" customWidth="1"/>
    <col min="9220" max="9220" width="9.28515625" style="12" bestFit="1" customWidth="1"/>
    <col min="9221" max="9221" width="11.5703125" style="12" bestFit="1" customWidth="1"/>
    <col min="9222" max="9222" width="25.140625" style="12" customWidth="1"/>
    <col min="9223" max="9474" width="11.42578125" style="12"/>
    <col min="9475" max="9475" width="11.85546875" style="12" bestFit="1" customWidth="1"/>
    <col min="9476" max="9476" width="9.28515625" style="12" bestFit="1" customWidth="1"/>
    <col min="9477" max="9477" width="11.5703125" style="12" bestFit="1" customWidth="1"/>
    <col min="9478" max="9478" width="25.140625" style="12" customWidth="1"/>
    <col min="9479" max="9730" width="11.42578125" style="12"/>
    <col min="9731" max="9731" width="11.85546875" style="12" bestFit="1" customWidth="1"/>
    <col min="9732" max="9732" width="9.28515625" style="12" bestFit="1" customWidth="1"/>
    <col min="9733" max="9733" width="11.5703125" style="12" bestFit="1" customWidth="1"/>
    <col min="9734" max="9734" width="25.140625" style="12" customWidth="1"/>
    <col min="9735" max="9986" width="11.42578125" style="12"/>
    <col min="9987" max="9987" width="11.85546875" style="12" bestFit="1" customWidth="1"/>
    <col min="9988" max="9988" width="9.28515625" style="12" bestFit="1" customWidth="1"/>
    <col min="9989" max="9989" width="11.5703125" style="12" bestFit="1" customWidth="1"/>
    <col min="9990" max="9990" width="25.140625" style="12" customWidth="1"/>
    <col min="9991" max="10242" width="11.42578125" style="12"/>
    <col min="10243" max="10243" width="11.85546875" style="12" bestFit="1" customWidth="1"/>
    <col min="10244" max="10244" width="9.28515625" style="12" bestFit="1" customWidth="1"/>
    <col min="10245" max="10245" width="11.5703125" style="12" bestFit="1" customWidth="1"/>
    <col min="10246" max="10246" width="25.140625" style="12" customWidth="1"/>
    <col min="10247" max="10498" width="11.42578125" style="12"/>
    <col min="10499" max="10499" width="11.85546875" style="12" bestFit="1" customWidth="1"/>
    <col min="10500" max="10500" width="9.28515625" style="12" bestFit="1" customWidth="1"/>
    <col min="10501" max="10501" width="11.5703125" style="12" bestFit="1" customWidth="1"/>
    <col min="10502" max="10502" width="25.140625" style="12" customWidth="1"/>
    <col min="10503" max="10754" width="11.42578125" style="12"/>
    <col min="10755" max="10755" width="11.85546875" style="12" bestFit="1" customWidth="1"/>
    <col min="10756" max="10756" width="9.28515625" style="12" bestFit="1" customWidth="1"/>
    <col min="10757" max="10757" width="11.5703125" style="12" bestFit="1" customWidth="1"/>
    <col min="10758" max="10758" width="25.140625" style="12" customWidth="1"/>
    <col min="10759" max="11010" width="11.42578125" style="12"/>
    <col min="11011" max="11011" width="11.85546875" style="12" bestFit="1" customWidth="1"/>
    <col min="11012" max="11012" width="9.28515625" style="12" bestFit="1" customWidth="1"/>
    <col min="11013" max="11013" width="11.5703125" style="12" bestFit="1" customWidth="1"/>
    <col min="11014" max="11014" width="25.140625" style="12" customWidth="1"/>
    <col min="11015" max="11266" width="11.42578125" style="12"/>
    <col min="11267" max="11267" width="11.85546875" style="12" bestFit="1" customWidth="1"/>
    <col min="11268" max="11268" width="9.28515625" style="12" bestFit="1" customWidth="1"/>
    <col min="11269" max="11269" width="11.5703125" style="12" bestFit="1" customWidth="1"/>
    <col min="11270" max="11270" width="25.140625" style="12" customWidth="1"/>
    <col min="11271" max="11522" width="11.42578125" style="12"/>
    <col min="11523" max="11523" width="11.85546875" style="12" bestFit="1" customWidth="1"/>
    <col min="11524" max="11524" width="9.28515625" style="12" bestFit="1" customWidth="1"/>
    <col min="11525" max="11525" width="11.5703125" style="12" bestFit="1" customWidth="1"/>
    <col min="11526" max="11526" width="25.140625" style="12" customWidth="1"/>
    <col min="11527" max="11778" width="11.42578125" style="12"/>
    <col min="11779" max="11779" width="11.85546875" style="12" bestFit="1" customWidth="1"/>
    <col min="11780" max="11780" width="9.28515625" style="12" bestFit="1" customWidth="1"/>
    <col min="11781" max="11781" width="11.5703125" style="12" bestFit="1" customWidth="1"/>
    <col min="11782" max="11782" width="25.140625" style="12" customWidth="1"/>
    <col min="11783" max="12034" width="11.42578125" style="12"/>
    <col min="12035" max="12035" width="11.85546875" style="12" bestFit="1" customWidth="1"/>
    <col min="12036" max="12036" width="9.28515625" style="12" bestFit="1" customWidth="1"/>
    <col min="12037" max="12037" width="11.5703125" style="12" bestFit="1" customWidth="1"/>
    <col min="12038" max="12038" width="25.140625" style="12" customWidth="1"/>
    <col min="12039" max="12290" width="11.42578125" style="12"/>
    <col min="12291" max="12291" width="11.85546875" style="12" bestFit="1" customWidth="1"/>
    <col min="12292" max="12292" width="9.28515625" style="12" bestFit="1" customWidth="1"/>
    <col min="12293" max="12293" width="11.5703125" style="12" bestFit="1" customWidth="1"/>
    <col min="12294" max="12294" width="25.140625" style="12" customWidth="1"/>
    <col min="12295" max="12546" width="11.42578125" style="12"/>
    <col min="12547" max="12547" width="11.85546875" style="12" bestFit="1" customWidth="1"/>
    <col min="12548" max="12548" width="9.28515625" style="12" bestFit="1" customWidth="1"/>
    <col min="12549" max="12549" width="11.5703125" style="12" bestFit="1" customWidth="1"/>
    <col min="12550" max="12550" width="25.140625" style="12" customWidth="1"/>
    <col min="12551" max="12802" width="11.42578125" style="12"/>
    <col min="12803" max="12803" width="11.85546875" style="12" bestFit="1" customWidth="1"/>
    <col min="12804" max="12804" width="9.28515625" style="12" bestFit="1" customWidth="1"/>
    <col min="12805" max="12805" width="11.5703125" style="12" bestFit="1" customWidth="1"/>
    <col min="12806" max="12806" width="25.140625" style="12" customWidth="1"/>
    <col min="12807" max="13058" width="11.42578125" style="12"/>
    <col min="13059" max="13059" width="11.85546875" style="12" bestFit="1" customWidth="1"/>
    <col min="13060" max="13060" width="9.28515625" style="12" bestFit="1" customWidth="1"/>
    <col min="13061" max="13061" width="11.5703125" style="12" bestFit="1" customWidth="1"/>
    <col min="13062" max="13062" width="25.140625" style="12" customWidth="1"/>
    <col min="13063" max="13314" width="11.42578125" style="12"/>
    <col min="13315" max="13315" width="11.85546875" style="12" bestFit="1" customWidth="1"/>
    <col min="13316" max="13316" width="9.28515625" style="12" bestFit="1" customWidth="1"/>
    <col min="13317" max="13317" width="11.5703125" style="12" bestFit="1" customWidth="1"/>
    <col min="13318" max="13318" width="25.140625" style="12" customWidth="1"/>
    <col min="13319" max="13570" width="11.42578125" style="12"/>
    <col min="13571" max="13571" width="11.85546875" style="12" bestFit="1" customWidth="1"/>
    <col min="13572" max="13572" width="9.28515625" style="12" bestFit="1" customWidth="1"/>
    <col min="13573" max="13573" width="11.5703125" style="12" bestFit="1" customWidth="1"/>
    <col min="13574" max="13574" width="25.140625" style="12" customWidth="1"/>
    <col min="13575" max="13826" width="11.42578125" style="12"/>
    <col min="13827" max="13827" width="11.85546875" style="12" bestFit="1" customWidth="1"/>
    <col min="13828" max="13828" width="9.28515625" style="12" bestFit="1" customWidth="1"/>
    <col min="13829" max="13829" width="11.5703125" style="12" bestFit="1" customWidth="1"/>
    <col min="13830" max="13830" width="25.140625" style="12" customWidth="1"/>
    <col min="13831" max="14082" width="11.42578125" style="12"/>
    <col min="14083" max="14083" width="11.85546875" style="12" bestFit="1" customWidth="1"/>
    <col min="14084" max="14084" width="9.28515625" style="12" bestFit="1" customWidth="1"/>
    <col min="14085" max="14085" width="11.5703125" style="12" bestFit="1" customWidth="1"/>
    <col min="14086" max="14086" width="25.140625" style="12" customWidth="1"/>
    <col min="14087" max="14338" width="11.42578125" style="12"/>
    <col min="14339" max="14339" width="11.85546875" style="12" bestFit="1" customWidth="1"/>
    <col min="14340" max="14340" width="9.28515625" style="12" bestFit="1" customWidth="1"/>
    <col min="14341" max="14341" width="11.5703125" style="12" bestFit="1" customWidth="1"/>
    <col min="14342" max="14342" width="25.140625" style="12" customWidth="1"/>
    <col min="14343" max="14594" width="11.42578125" style="12"/>
    <col min="14595" max="14595" width="11.85546875" style="12" bestFit="1" customWidth="1"/>
    <col min="14596" max="14596" width="9.28515625" style="12" bestFit="1" customWidth="1"/>
    <col min="14597" max="14597" width="11.5703125" style="12" bestFit="1" customWidth="1"/>
    <col min="14598" max="14598" width="25.140625" style="12" customWidth="1"/>
    <col min="14599" max="14850" width="11.42578125" style="12"/>
    <col min="14851" max="14851" width="11.85546875" style="12" bestFit="1" customWidth="1"/>
    <col min="14852" max="14852" width="9.28515625" style="12" bestFit="1" customWidth="1"/>
    <col min="14853" max="14853" width="11.5703125" style="12" bestFit="1" customWidth="1"/>
    <col min="14854" max="14854" width="25.140625" style="12" customWidth="1"/>
    <col min="14855" max="15106" width="11.42578125" style="12"/>
    <col min="15107" max="15107" width="11.85546875" style="12" bestFit="1" customWidth="1"/>
    <col min="15108" max="15108" width="9.28515625" style="12" bestFit="1" customWidth="1"/>
    <col min="15109" max="15109" width="11.5703125" style="12" bestFit="1" customWidth="1"/>
    <col min="15110" max="15110" width="25.140625" style="12" customWidth="1"/>
    <col min="15111" max="15362" width="11.42578125" style="12"/>
    <col min="15363" max="15363" width="11.85546875" style="12" bestFit="1" customWidth="1"/>
    <col min="15364" max="15364" width="9.28515625" style="12" bestFit="1" customWidth="1"/>
    <col min="15365" max="15365" width="11.5703125" style="12" bestFit="1" customWidth="1"/>
    <col min="15366" max="15366" width="25.140625" style="12" customWidth="1"/>
    <col min="15367" max="15618" width="11.42578125" style="12"/>
    <col min="15619" max="15619" width="11.85546875" style="12" bestFit="1" customWidth="1"/>
    <col min="15620" max="15620" width="9.28515625" style="12" bestFit="1" customWidth="1"/>
    <col min="15621" max="15621" width="11.5703125" style="12" bestFit="1" customWidth="1"/>
    <col min="15622" max="15622" width="25.140625" style="12" customWidth="1"/>
    <col min="15623" max="15874" width="11.42578125" style="12"/>
    <col min="15875" max="15875" width="11.85546875" style="12" bestFit="1" customWidth="1"/>
    <col min="15876" max="15876" width="9.28515625" style="12" bestFit="1" customWidth="1"/>
    <col min="15877" max="15877" width="11.5703125" style="12" bestFit="1" customWidth="1"/>
    <col min="15878" max="15878" width="25.140625" style="12" customWidth="1"/>
    <col min="15879" max="16130" width="11.42578125" style="12"/>
    <col min="16131" max="16131" width="11.85546875" style="12" bestFit="1" customWidth="1"/>
    <col min="16132" max="16132" width="9.28515625" style="12" bestFit="1" customWidth="1"/>
    <col min="16133" max="16133" width="11.5703125" style="12" bestFit="1" customWidth="1"/>
    <col min="16134" max="16134" width="25.140625" style="12" customWidth="1"/>
    <col min="16135" max="16384" width="11.42578125" style="12"/>
  </cols>
  <sheetData>
    <row r="1" spans="1:8" s="11" customFormat="1" ht="13.5" thickBot="1" x14ac:dyDescent="0.25">
      <c r="A1" s="186" t="s">
        <v>9</v>
      </c>
      <c r="B1" s="187" t="s">
        <v>10</v>
      </c>
      <c r="C1" s="188" t="s">
        <v>262</v>
      </c>
      <c r="D1" s="188" t="s">
        <v>15</v>
      </c>
      <c r="E1" s="189" t="s">
        <v>17</v>
      </c>
      <c r="F1" s="190" t="s">
        <v>18</v>
      </c>
      <c r="G1" s="190" t="s">
        <v>219</v>
      </c>
      <c r="H1" s="190" t="s">
        <v>250</v>
      </c>
    </row>
    <row r="2" spans="1:8" x14ac:dyDescent="0.2">
      <c r="A2" s="174"/>
      <c r="B2" s="175"/>
      <c r="C2" s="175"/>
      <c r="D2" s="175"/>
      <c r="E2" s="176"/>
      <c r="F2" s="175"/>
      <c r="G2" s="174"/>
      <c r="H2" s="174"/>
    </row>
    <row r="3" spans="1:8" x14ac:dyDescent="0.2">
      <c r="A3" s="177"/>
      <c r="B3" s="178"/>
      <c r="C3" s="178"/>
      <c r="D3" s="178"/>
      <c r="E3" s="179"/>
      <c r="F3" s="178"/>
      <c r="G3" s="177"/>
      <c r="H3" s="177"/>
    </row>
    <row r="4" spans="1:8" x14ac:dyDescent="0.2">
      <c r="A4" s="177"/>
      <c r="B4" s="178"/>
      <c r="C4" s="178"/>
      <c r="D4" s="178"/>
      <c r="E4" s="179"/>
      <c r="F4" s="178"/>
      <c r="G4" s="177"/>
      <c r="H4" s="177"/>
    </row>
    <row r="5" spans="1:8" s="5" customFormat="1" ht="12.95" customHeight="1" x14ac:dyDescent="0.2">
      <c r="A5" s="177"/>
      <c r="B5" s="178"/>
      <c r="C5" s="178"/>
      <c r="D5" s="178"/>
      <c r="E5" s="179"/>
      <c r="F5" s="178"/>
      <c r="G5" s="177"/>
      <c r="H5" s="177"/>
    </row>
    <row r="6" spans="1:8" s="5" customFormat="1" ht="12.95" customHeight="1" x14ac:dyDescent="0.2">
      <c r="A6" s="177"/>
      <c r="B6" s="178"/>
      <c r="C6" s="178"/>
      <c r="D6" s="178"/>
      <c r="E6" s="179"/>
      <c r="F6" s="180"/>
      <c r="G6" s="181"/>
      <c r="H6" s="181"/>
    </row>
    <row r="7" spans="1:8" s="5" customFormat="1" ht="12.95" customHeight="1" x14ac:dyDescent="0.2">
      <c r="A7" s="177"/>
      <c r="B7" s="178"/>
      <c r="C7" s="178"/>
      <c r="D7" s="178"/>
      <c r="E7" s="179"/>
      <c r="F7" s="180"/>
      <c r="G7" s="181"/>
      <c r="H7" s="181"/>
    </row>
    <row r="8" spans="1:8" x14ac:dyDescent="0.2">
      <c r="A8" s="177"/>
      <c r="B8" s="178"/>
      <c r="C8" s="178"/>
      <c r="D8" s="178"/>
      <c r="E8" s="179"/>
      <c r="F8" s="178"/>
      <c r="G8" s="177"/>
      <c r="H8" s="177"/>
    </row>
    <row r="9" spans="1:8" x14ac:dyDescent="0.2">
      <c r="A9" s="177"/>
      <c r="B9" s="178"/>
      <c r="C9" s="178"/>
      <c r="D9" s="178"/>
      <c r="E9" s="179"/>
      <c r="F9" s="178"/>
      <c r="G9" s="177"/>
      <c r="H9" s="177"/>
    </row>
    <row r="10" spans="1:8" x14ac:dyDescent="0.2">
      <c r="A10" s="177"/>
      <c r="B10" s="178"/>
      <c r="C10" s="178"/>
      <c r="D10" s="178"/>
      <c r="E10" s="179"/>
      <c r="F10" s="178"/>
      <c r="G10" s="177"/>
      <c r="H10" s="177"/>
    </row>
    <row r="11" spans="1:8" x14ac:dyDescent="0.2">
      <c r="A11" s="177"/>
      <c r="B11" s="178"/>
      <c r="C11" s="178"/>
      <c r="D11" s="178"/>
      <c r="E11" s="179"/>
      <c r="F11" s="178"/>
      <c r="G11" s="177"/>
      <c r="H11" s="177"/>
    </row>
    <row r="12" spans="1:8" x14ac:dyDescent="0.2">
      <c r="A12" s="177"/>
      <c r="B12" s="178"/>
      <c r="C12" s="178"/>
      <c r="D12" s="178"/>
      <c r="E12" s="179"/>
      <c r="F12" s="178"/>
      <c r="G12" s="177"/>
      <c r="H12" s="177"/>
    </row>
    <row r="13" spans="1:8" x14ac:dyDescent="0.2">
      <c r="A13" s="177"/>
      <c r="B13" s="178"/>
      <c r="C13" s="178"/>
      <c r="D13" s="178"/>
      <c r="E13" s="179"/>
      <c r="F13" s="178"/>
      <c r="G13" s="177"/>
      <c r="H13" s="177"/>
    </row>
    <row r="14" spans="1:8" x14ac:dyDescent="0.2">
      <c r="A14" s="177"/>
      <c r="B14" s="178"/>
      <c r="C14" s="178"/>
      <c r="D14" s="178"/>
      <c r="E14" s="179"/>
      <c r="F14" s="178"/>
      <c r="G14" s="177"/>
      <c r="H14" s="177"/>
    </row>
    <row r="15" spans="1:8" x14ac:dyDescent="0.2">
      <c r="A15" s="177"/>
      <c r="B15" s="178"/>
      <c r="C15" s="178"/>
      <c r="D15" s="178"/>
      <c r="E15" s="179"/>
      <c r="F15" s="178"/>
      <c r="G15" s="177"/>
      <c r="H15" s="177"/>
    </row>
    <row r="16" spans="1:8" x14ac:dyDescent="0.2">
      <c r="A16" s="177"/>
      <c r="B16" s="178"/>
      <c r="C16" s="178"/>
      <c r="D16" s="178"/>
      <c r="E16" s="179"/>
      <c r="F16" s="178"/>
      <c r="G16" s="177"/>
      <c r="H16" s="177"/>
    </row>
    <row r="17" spans="1:8" x14ac:dyDescent="0.2">
      <c r="A17" s="177"/>
      <c r="B17" s="178"/>
      <c r="C17" s="178"/>
      <c r="D17" s="178"/>
      <c r="E17" s="179"/>
      <c r="F17" s="178"/>
      <c r="G17" s="177"/>
      <c r="H17" s="177"/>
    </row>
    <row r="18" spans="1:8" x14ac:dyDescent="0.2">
      <c r="A18" s="177"/>
      <c r="B18" s="178"/>
      <c r="C18" s="178"/>
      <c r="D18" s="178"/>
      <c r="E18" s="179"/>
      <c r="F18" s="178"/>
      <c r="G18" s="177"/>
      <c r="H18" s="177"/>
    </row>
    <row r="19" spans="1:8" x14ac:dyDescent="0.2">
      <c r="A19" s="177"/>
      <c r="B19" s="178"/>
      <c r="C19" s="178"/>
      <c r="D19" s="178"/>
      <c r="E19" s="179"/>
      <c r="F19" s="178"/>
      <c r="G19" s="177"/>
      <c r="H19" s="177"/>
    </row>
    <row r="20" spans="1:8" x14ac:dyDescent="0.2">
      <c r="A20" s="177"/>
      <c r="B20" s="178"/>
      <c r="C20" s="178"/>
      <c r="D20" s="178"/>
      <c r="E20" s="179"/>
      <c r="F20" s="178"/>
      <c r="G20" s="177"/>
      <c r="H20" s="177"/>
    </row>
    <row r="21" spans="1:8" x14ac:dyDescent="0.2">
      <c r="A21" s="177"/>
      <c r="B21" s="178"/>
      <c r="C21" s="178"/>
      <c r="D21" s="178"/>
      <c r="E21" s="179"/>
      <c r="F21" s="178"/>
      <c r="G21" s="177"/>
      <c r="H21" s="177"/>
    </row>
    <row r="22" spans="1:8" x14ac:dyDescent="0.2">
      <c r="A22" s="177"/>
      <c r="B22" s="178"/>
      <c r="C22" s="178"/>
      <c r="D22" s="178"/>
      <c r="E22" s="179"/>
      <c r="F22" s="178"/>
      <c r="G22" s="177"/>
      <c r="H22" s="177"/>
    </row>
    <row r="23" spans="1:8" x14ac:dyDescent="0.2">
      <c r="A23" s="177"/>
      <c r="B23" s="178"/>
      <c r="C23" s="178"/>
      <c r="D23" s="178"/>
      <c r="E23" s="179"/>
      <c r="F23" s="178"/>
      <c r="G23" s="182"/>
      <c r="H23" s="177"/>
    </row>
    <row r="24" spans="1:8" x14ac:dyDescent="0.2">
      <c r="A24" s="177"/>
      <c r="B24" s="178"/>
      <c r="C24" s="178"/>
      <c r="D24" s="178"/>
      <c r="E24" s="179"/>
      <c r="F24" s="178"/>
      <c r="G24" s="182"/>
      <c r="H24" s="177"/>
    </row>
    <row r="25" spans="1:8" x14ac:dyDescent="0.2">
      <c r="A25" s="183"/>
      <c r="B25" s="184"/>
      <c r="C25" s="184"/>
      <c r="D25" s="184"/>
      <c r="E25" s="185"/>
      <c r="F25" s="184"/>
      <c r="G25" s="183"/>
      <c r="H25" s="183"/>
    </row>
    <row r="26" spans="1:8" x14ac:dyDescent="0.2">
      <c r="A26" s="183"/>
      <c r="B26" s="184"/>
      <c r="C26" s="184"/>
      <c r="D26" s="184"/>
      <c r="E26" s="185"/>
      <c r="F26" s="184"/>
      <c r="G26" s="183"/>
      <c r="H26" s="183"/>
    </row>
    <row r="27" spans="1:8" x14ac:dyDescent="0.2">
      <c r="A27" s="183"/>
      <c r="B27" s="184"/>
      <c r="C27" s="184"/>
      <c r="D27" s="184"/>
      <c r="E27" s="185"/>
      <c r="F27" s="184"/>
      <c r="G27" s="183"/>
      <c r="H27" s="183"/>
    </row>
    <row r="28" spans="1:8" x14ac:dyDescent="0.2">
      <c r="A28" s="183"/>
      <c r="B28" s="184"/>
      <c r="C28" s="184"/>
      <c r="D28" s="184"/>
      <c r="E28" s="185"/>
      <c r="F28" s="184"/>
      <c r="G28" s="183"/>
      <c r="H28" s="183"/>
    </row>
    <row r="29" spans="1:8" x14ac:dyDescent="0.2">
      <c r="A29" s="183"/>
      <c r="B29" s="184"/>
      <c r="C29" s="184"/>
      <c r="D29" s="184"/>
      <c r="E29" s="185"/>
      <c r="F29" s="184"/>
      <c r="G29" s="183"/>
      <c r="H29" s="183"/>
    </row>
    <row r="30" spans="1:8" x14ac:dyDescent="0.2">
      <c r="A30" s="183"/>
      <c r="B30" s="184"/>
      <c r="C30" s="184"/>
      <c r="D30" s="184"/>
      <c r="E30" s="185"/>
      <c r="F30" s="184"/>
      <c r="G30" s="183"/>
      <c r="H30" s="183"/>
    </row>
    <row r="31" spans="1:8" x14ac:dyDescent="0.2">
      <c r="A31" s="183"/>
      <c r="B31" s="184"/>
      <c r="C31" s="184"/>
      <c r="D31" s="184"/>
      <c r="E31" s="185"/>
      <c r="F31" s="184"/>
      <c r="G31" s="183"/>
      <c r="H31" s="183"/>
    </row>
    <row r="32" spans="1:8" x14ac:dyDescent="0.2">
      <c r="A32" s="183"/>
      <c r="B32" s="184"/>
      <c r="C32" s="184"/>
      <c r="D32" s="184"/>
      <c r="E32" s="185"/>
      <c r="F32" s="184"/>
      <c r="G32" s="183"/>
      <c r="H32" s="183"/>
    </row>
    <row r="33" spans="1:8" x14ac:dyDescent="0.2">
      <c r="A33" s="183"/>
      <c r="B33" s="184"/>
      <c r="C33" s="184"/>
      <c r="D33" s="184"/>
      <c r="E33" s="185"/>
      <c r="F33" s="184"/>
      <c r="G33" s="183"/>
      <c r="H33" s="183"/>
    </row>
    <row r="34" spans="1:8" x14ac:dyDescent="0.2">
      <c r="A34" s="183"/>
      <c r="B34" s="184"/>
      <c r="C34" s="184"/>
      <c r="D34" s="184"/>
      <c r="E34" s="185"/>
      <c r="F34" s="184"/>
      <c r="G34" s="183"/>
      <c r="H34" s="183"/>
    </row>
    <row r="35" spans="1:8" x14ac:dyDescent="0.2">
      <c r="A35" s="183"/>
      <c r="B35" s="184"/>
      <c r="C35" s="184"/>
      <c r="D35" s="184"/>
      <c r="E35" s="185"/>
      <c r="F35" s="184"/>
      <c r="G35" s="183"/>
      <c r="H35" s="183"/>
    </row>
    <row r="36" spans="1:8" x14ac:dyDescent="0.2">
      <c r="A36" s="183"/>
      <c r="B36" s="184"/>
      <c r="C36" s="184"/>
      <c r="D36" s="184"/>
      <c r="E36" s="185"/>
      <c r="F36" s="184"/>
      <c r="G36" s="183"/>
      <c r="H36" s="183"/>
    </row>
    <row r="37" spans="1:8" x14ac:dyDescent="0.2">
      <c r="A37" s="177"/>
      <c r="B37" s="178"/>
      <c r="C37" s="178"/>
      <c r="D37" s="178"/>
      <c r="E37" s="179"/>
      <c r="F37" s="178"/>
      <c r="G37" s="182"/>
      <c r="H37" s="179"/>
    </row>
    <row r="38" spans="1:8" x14ac:dyDescent="0.2">
      <c r="A38" s="177"/>
      <c r="B38" s="178"/>
      <c r="C38" s="178"/>
      <c r="D38" s="178"/>
      <c r="E38" s="179"/>
      <c r="F38" s="178"/>
      <c r="G38" s="182"/>
      <c r="H38" s="179"/>
    </row>
    <row r="39" spans="1:8" x14ac:dyDescent="0.2">
      <c r="A39" s="177"/>
      <c r="B39" s="178"/>
      <c r="C39" s="178"/>
      <c r="D39" s="178"/>
      <c r="E39" s="179"/>
      <c r="F39" s="178"/>
      <c r="G39" s="182"/>
      <c r="H39" s="179"/>
    </row>
    <row r="40" spans="1:8" x14ac:dyDescent="0.2">
      <c r="A40" s="177"/>
      <c r="B40" s="178"/>
      <c r="C40" s="178"/>
      <c r="D40" s="178"/>
      <c r="E40" s="179"/>
      <c r="F40" s="178"/>
      <c r="G40" s="182"/>
      <c r="H40" s="179"/>
    </row>
    <row r="41" spans="1:8" x14ac:dyDescent="0.2">
      <c r="A41" s="177"/>
      <c r="B41" s="178"/>
      <c r="C41" s="178"/>
      <c r="D41" s="178"/>
      <c r="E41" s="179"/>
      <c r="F41" s="178"/>
      <c r="G41" s="182"/>
      <c r="H41" s="179"/>
    </row>
    <row r="42" spans="1:8" x14ac:dyDescent="0.2">
      <c r="A42" s="177"/>
      <c r="B42" s="178"/>
      <c r="C42" s="178"/>
      <c r="D42" s="178"/>
      <c r="E42" s="179"/>
      <c r="F42" s="178"/>
      <c r="G42" s="182"/>
      <c r="H42" s="179"/>
    </row>
    <row r="43" spans="1:8" x14ac:dyDescent="0.2">
      <c r="A43" s="177"/>
      <c r="B43" s="178"/>
      <c r="C43" s="178"/>
      <c r="D43" s="178"/>
      <c r="E43" s="179"/>
      <c r="F43" s="178"/>
      <c r="G43" s="182"/>
      <c r="H43" s="179"/>
    </row>
    <row r="44" spans="1:8" x14ac:dyDescent="0.2">
      <c r="A44" s="177"/>
      <c r="B44" s="178"/>
      <c r="C44" s="178"/>
      <c r="D44" s="178"/>
      <c r="E44" s="179"/>
      <c r="F44" s="178"/>
      <c r="G44" s="182"/>
      <c r="H44" s="179"/>
    </row>
    <row r="45" spans="1:8" x14ac:dyDescent="0.2">
      <c r="A45" s="177"/>
      <c r="B45" s="178"/>
      <c r="C45" s="178"/>
      <c r="D45" s="178"/>
      <c r="E45" s="179"/>
      <c r="F45" s="178"/>
      <c r="G45" s="182"/>
      <c r="H45" s="179"/>
    </row>
    <row r="46" spans="1:8" x14ac:dyDescent="0.2">
      <c r="A46" s="177"/>
      <c r="B46" s="178"/>
      <c r="C46" s="197"/>
      <c r="D46" s="178"/>
      <c r="E46" s="179"/>
      <c r="F46" s="178"/>
      <c r="G46" s="182"/>
      <c r="H46" s="179"/>
    </row>
    <row r="47" spans="1:8" x14ac:dyDescent="0.2">
      <c r="A47" s="177"/>
      <c r="B47" s="178"/>
      <c r="C47" s="178"/>
      <c r="D47" s="178"/>
      <c r="E47" s="179"/>
      <c r="F47" s="178"/>
      <c r="G47" s="182"/>
      <c r="H47" s="179"/>
    </row>
    <row r="48" spans="1:8" x14ac:dyDescent="0.2">
      <c r="A48" s="177"/>
      <c r="B48" s="178"/>
      <c r="C48" s="178"/>
      <c r="D48" s="178"/>
      <c r="E48" s="179"/>
      <c r="F48" s="178"/>
      <c r="G48" s="182"/>
      <c r="H48" s="179"/>
    </row>
    <row r="49" spans="1:8" x14ac:dyDescent="0.2">
      <c r="A49" s="177"/>
      <c r="B49" s="178"/>
      <c r="C49" s="178"/>
      <c r="D49" s="178"/>
      <c r="E49" s="179"/>
      <c r="F49" s="178"/>
      <c r="G49" s="182"/>
      <c r="H49" s="179"/>
    </row>
    <row r="50" spans="1:8" x14ac:dyDescent="0.2">
      <c r="A50" s="177"/>
      <c r="B50" s="178"/>
      <c r="C50" s="178"/>
      <c r="D50" s="178"/>
      <c r="E50" s="179"/>
      <c r="F50" s="178"/>
      <c r="G50" s="182"/>
      <c r="H50" s="179"/>
    </row>
    <row r="51" spans="1:8" x14ac:dyDescent="0.2">
      <c r="A51" s="177"/>
      <c r="B51" s="178"/>
      <c r="C51" s="178"/>
      <c r="D51" s="178"/>
      <c r="E51" s="179"/>
      <c r="F51" s="178"/>
      <c r="G51" s="182"/>
      <c r="H51" s="179"/>
    </row>
    <row r="52" spans="1:8" x14ac:dyDescent="0.2">
      <c r="A52" s="177"/>
      <c r="B52" s="178"/>
      <c r="C52" s="178"/>
      <c r="D52" s="178"/>
      <c r="E52" s="179"/>
      <c r="F52" s="178"/>
      <c r="G52" s="182"/>
      <c r="H52" s="179"/>
    </row>
    <row r="53" spans="1:8" x14ac:dyDescent="0.2">
      <c r="A53" s="177"/>
      <c r="B53" s="178"/>
      <c r="C53" s="197"/>
      <c r="D53" s="178"/>
      <c r="E53" s="179"/>
      <c r="F53" s="178"/>
      <c r="G53" s="182"/>
      <c r="H53" s="179"/>
    </row>
    <row r="54" spans="1:8" x14ac:dyDescent="0.2">
      <c r="A54" s="183"/>
      <c r="B54" s="184"/>
      <c r="C54" s="184"/>
      <c r="D54" s="184"/>
      <c r="E54" s="185"/>
      <c r="F54" s="184"/>
      <c r="G54" s="183"/>
      <c r="H54" s="185"/>
    </row>
    <row r="55" spans="1:8" x14ac:dyDescent="0.2">
      <c r="A55" s="183"/>
      <c r="B55" s="184"/>
      <c r="C55" s="184"/>
      <c r="D55" s="184"/>
      <c r="E55" s="185"/>
      <c r="F55" s="184"/>
      <c r="G55" s="183"/>
      <c r="H55" s="185"/>
    </row>
    <row r="56" spans="1:8" x14ac:dyDescent="0.2">
      <c r="A56" s="183"/>
      <c r="B56" s="184"/>
      <c r="C56" s="184"/>
      <c r="D56" s="184"/>
      <c r="E56" s="185"/>
      <c r="F56" s="184"/>
      <c r="G56" s="183"/>
      <c r="H56" s="185"/>
    </row>
    <row r="57" spans="1:8" x14ac:dyDescent="0.2">
      <c r="A57" s="183"/>
      <c r="B57" s="184"/>
      <c r="C57" s="184"/>
      <c r="D57" s="184"/>
      <c r="E57" s="185"/>
      <c r="F57" s="184"/>
      <c r="G57" s="183"/>
      <c r="H57" s="185"/>
    </row>
    <row r="58" spans="1:8" x14ac:dyDescent="0.2">
      <c r="A58" s="183"/>
      <c r="B58" s="184"/>
      <c r="C58" s="184"/>
      <c r="D58" s="184"/>
      <c r="E58" s="185"/>
      <c r="F58" s="184"/>
      <c r="G58" s="183"/>
      <c r="H58" s="185"/>
    </row>
    <row r="59" spans="1:8" x14ac:dyDescent="0.2">
      <c r="A59" s="183"/>
      <c r="B59" s="184"/>
      <c r="C59" s="184"/>
      <c r="D59" s="184"/>
      <c r="E59" s="185"/>
      <c r="F59" s="184"/>
      <c r="G59" s="183"/>
      <c r="H59" s="185"/>
    </row>
    <row r="60" spans="1:8" x14ac:dyDescent="0.2">
      <c r="A60" s="183"/>
      <c r="B60" s="184"/>
      <c r="C60" s="184"/>
      <c r="D60" s="184"/>
      <c r="E60" s="185"/>
      <c r="F60" s="184"/>
      <c r="G60" s="183"/>
      <c r="H60" s="185"/>
    </row>
    <row r="61" spans="1:8" x14ac:dyDescent="0.2">
      <c r="A61" s="183"/>
      <c r="B61" s="184"/>
      <c r="C61" s="184"/>
      <c r="D61" s="184"/>
      <c r="E61" s="185"/>
      <c r="F61" s="184"/>
      <c r="G61" s="183"/>
      <c r="H61" s="185"/>
    </row>
    <row r="62" spans="1:8" x14ac:dyDescent="0.2">
      <c r="A62" s="183"/>
      <c r="B62" s="184"/>
      <c r="C62" s="184"/>
      <c r="D62" s="184"/>
      <c r="E62" s="185"/>
      <c r="F62" s="184"/>
      <c r="G62" s="183"/>
      <c r="H62" s="185"/>
    </row>
    <row r="63" spans="1:8" x14ac:dyDescent="0.2">
      <c r="A63" s="183"/>
      <c r="B63" s="184"/>
      <c r="C63" s="184"/>
      <c r="D63" s="184"/>
      <c r="E63" s="185"/>
      <c r="F63" s="184"/>
      <c r="G63" s="183"/>
      <c r="H63" s="185"/>
    </row>
    <row r="64" spans="1:8" x14ac:dyDescent="0.2">
      <c r="A64" s="183"/>
      <c r="B64" s="184"/>
      <c r="C64" s="184"/>
      <c r="D64" s="184"/>
      <c r="E64" s="185"/>
      <c r="F64" s="184"/>
      <c r="G64" s="183"/>
      <c r="H64" s="185"/>
    </row>
    <row r="65" spans="1:8" x14ac:dyDescent="0.2">
      <c r="A65" s="183"/>
      <c r="B65" s="184"/>
      <c r="C65" s="184"/>
      <c r="D65" s="184"/>
      <c r="E65" s="185"/>
      <c r="F65" s="184"/>
      <c r="G65" s="183"/>
      <c r="H65" s="185"/>
    </row>
    <row r="66" spans="1:8" x14ac:dyDescent="0.2">
      <c r="A66" s="183"/>
      <c r="B66" s="184"/>
      <c r="C66" s="184"/>
      <c r="D66" s="184"/>
      <c r="E66" s="185"/>
      <c r="F66" s="184"/>
      <c r="G66" s="183"/>
      <c r="H66" s="185"/>
    </row>
    <row r="67" spans="1:8" x14ac:dyDescent="0.2">
      <c r="A67" s="183"/>
      <c r="B67" s="184"/>
      <c r="C67" s="184"/>
      <c r="D67" s="184"/>
      <c r="E67" s="185"/>
      <c r="F67" s="184"/>
      <c r="G67" s="183"/>
      <c r="H67" s="185"/>
    </row>
    <row r="68" spans="1:8" x14ac:dyDescent="0.2">
      <c r="A68" s="183"/>
      <c r="B68" s="184"/>
      <c r="C68" s="184"/>
      <c r="D68" s="184"/>
      <c r="E68" s="185"/>
      <c r="F68" s="184"/>
      <c r="G68" s="183"/>
      <c r="H68" s="185"/>
    </row>
    <row r="69" spans="1:8" x14ac:dyDescent="0.2">
      <c r="A69" s="177"/>
      <c r="B69" s="178"/>
      <c r="C69" s="197"/>
      <c r="D69" s="178"/>
      <c r="E69" s="179"/>
      <c r="F69" s="178"/>
      <c r="G69" s="182"/>
      <c r="H69" s="179"/>
    </row>
    <row r="70" spans="1:8" x14ac:dyDescent="0.2">
      <c r="A70" s="177"/>
      <c r="B70" s="178"/>
      <c r="C70" s="197"/>
      <c r="D70" s="178"/>
      <c r="E70" s="179"/>
      <c r="F70" s="178"/>
      <c r="G70" s="182"/>
      <c r="H70" s="179"/>
    </row>
    <row r="71" spans="1:8" x14ac:dyDescent="0.2">
      <c r="A71" s="177"/>
      <c r="B71" s="178"/>
      <c r="C71" s="197"/>
      <c r="D71" s="178"/>
      <c r="E71" s="179"/>
      <c r="F71" s="178"/>
      <c r="G71" s="182"/>
      <c r="H71" s="179"/>
    </row>
    <row r="72" spans="1:8" x14ac:dyDescent="0.2">
      <c r="A72" s="177"/>
      <c r="B72" s="178"/>
      <c r="C72" s="197"/>
      <c r="D72" s="178"/>
      <c r="E72" s="179"/>
      <c r="F72" s="178"/>
      <c r="G72" s="182"/>
      <c r="H72" s="179"/>
    </row>
    <row r="73" spans="1:8" x14ac:dyDescent="0.2">
      <c r="A73" s="177"/>
      <c r="B73" s="178"/>
      <c r="C73" s="197"/>
      <c r="D73" s="178"/>
      <c r="E73" s="179"/>
      <c r="F73" s="178"/>
      <c r="G73" s="182"/>
      <c r="H73" s="179"/>
    </row>
    <row r="74" spans="1:8" x14ac:dyDescent="0.2">
      <c r="A74" s="177"/>
      <c r="B74" s="178"/>
      <c r="C74" s="197"/>
      <c r="D74" s="178"/>
      <c r="E74" s="179"/>
      <c r="F74" s="178"/>
      <c r="G74" s="182"/>
      <c r="H74" s="179"/>
    </row>
    <row r="75" spans="1:8" x14ac:dyDescent="0.2">
      <c r="A75" s="177"/>
      <c r="B75" s="178"/>
      <c r="C75" s="197"/>
      <c r="D75" s="178"/>
      <c r="E75" s="179"/>
      <c r="F75" s="178"/>
      <c r="G75" s="182"/>
      <c r="H75" s="179"/>
    </row>
    <row r="76" spans="1:8" x14ac:dyDescent="0.2">
      <c r="A76" s="177"/>
      <c r="B76" s="178"/>
      <c r="C76" s="197"/>
      <c r="D76" s="178"/>
      <c r="E76" s="179"/>
      <c r="F76" s="178"/>
      <c r="G76" s="182"/>
      <c r="H76" s="179"/>
    </row>
    <row r="77" spans="1:8" x14ac:dyDescent="0.2">
      <c r="A77" s="177"/>
      <c r="B77" s="178"/>
      <c r="C77" s="197"/>
      <c r="D77" s="178"/>
      <c r="E77" s="179"/>
      <c r="F77" s="178"/>
      <c r="G77" s="182"/>
      <c r="H77" s="179"/>
    </row>
    <row r="78" spans="1:8" x14ac:dyDescent="0.2">
      <c r="A78" s="177"/>
      <c r="B78" s="178"/>
      <c r="C78" s="197"/>
      <c r="D78" s="178"/>
      <c r="E78" s="179"/>
      <c r="F78" s="178"/>
      <c r="G78" s="182"/>
      <c r="H78" s="179"/>
    </row>
    <row r="79" spans="1:8" x14ac:dyDescent="0.2">
      <c r="A79" s="177"/>
      <c r="B79" s="178"/>
      <c r="C79" s="197"/>
      <c r="D79" s="178"/>
      <c r="E79" s="179"/>
      <c r="F79" s="178"/>
      <c r="G79" s="182"/>
      <c r="H79" s="179"/>
    </row>
    <row r="80" spans="1:8" x14ac:dyDescent="0.2">
      <c r="A80" s="177"/>
      <c r="B80" s="178"/>
      <c r="C80" s="197"/>
      <c r="D80" s="178"/>
      <c r="E80" s="179"/>
      <c r="F80" s="178"/>
      <c r="G80" s="182"/>
      <c r="H80" s="179"/>
    </row>
    <row r="81" spans="1:8" x14ac:dyDescent="0.2">
      <c r="A81" s="177"/>
      <c r="B81" s="178"/>
      <c r="C81" s="197"/>
      <c r="D81" s="178"/>
      <c r="E81" s="179"/>
      <c r="F81" s="178"/>
      <c r="G81" s="182"/>
      <c r="H81" s="179"/>
    </row>
    <row r="82" spans="1:8" x14ac:dyDescent="0.2">
      <c r="A82" s="177"/>
      <c r="B82" s="178"/>
      <c r="C82" s="197"/>
      <c r="D82" s="178"/>
      <c r="E82" s="179"/>
      <c r="F82" s="178"/>
      <c r="G82" s="182"/>
      <c r="H82" s="179"/>
    </row>
    <row r="83" spans="1:8" x14ac:dyDescent="0.2">
      <c r="A83" s="177"/>
      <c r="B83" s="178"/>
      <c r="C83" s="197"/>
      <c r="D83" s="178"/>
      <c r="E83" s="179"/>
      <c r="F83" s="178"/>
      <c r="G83" s="182"/>
      <c r="H83" s="179"/>
    </row>
    <row r="84" spans="1:8" x14ac:dyDescent="0.2">
      <c r="A84" s="177"/>
      <c r="B84" s="178"/>
      <c r="C84" s="197"/>
      <c r="D84" s="178"/>
      <c r="E84" s="179"/>
      <c r="F84" s="178"/>
      <c r="G84" s="182"/>
      <c r="H84" s="179"/>
    </row>
    <row r="85" spans="1:8" x14ac:dyDescent="0.2">
      <c r="A85" s="177"/>
      <c r="B85" s="178"/>
      <c r="C85" s="197"/>
      <c r="D85" s="178"/>
      <c r="E85" s="179"/>
      <c r="F85" s="178"/>
      <c r="G85" s="182"/>
      <c r="H85" s="179"/>
    </row>
    <row r="86" spans="1:8" x14ac:dyDescent="0.2">
      <c r="A86" s="177"/>
      <c r="B86" s="178"/>
      <c r="C86" s="197"/>
      <c r="D86" s="178"/>
      <c r="E86" s="179"/>
      <c r="F86" s="178"/>
      <c r="G86" s="182"/>
      <c r="H86" s="179"/>
    </row>
    <row r="87" spans="1:8" x14ac:dyDescent="0.2">
      <c r="A87" s="183"/>
      <c r="B87" s="184"/>
      <c r="C87" s="184"/>
      <c r="D87" s="184"/>
      <c r="E87" s="185"/>
      <c r="F87" s="184"/>
      <c r="G87" s="183"/>
      <c r="H87" s="185"/>
    </row>
    <row r="88" spans="1:8" x14ac:dyDescent="0.2">
      <c r="A88" s="183"/>
      <c r="B88" s="184"/>
      <c r="C88" s="184"/>
      <c r="D88" s="184"/>
      <c r="E88" s="185"/>
      <c r="F88" s="184"/>
      <c r="G88" s="183"/>
      <c r="H88" s="185"/>
    </row>
    <row r="89" spans="1:8" x14ac:dyDescent="0.2">
      <c r="A89" s="183"/>
      <c r="B89" s="184"/>
      <c r="C89" s="184"/>
      <c r="D89" s="184"/>
      <c r="E89" s="185"/>
      <c r="F89" s="184"/>
      <c r="G89" s="183"/>
      <c r="H89" s="185"/>
    </row>
    <row r="90" spans="1:8" x14ac:dyDescent="0.2">
      <c r="A90" s="183"/>
      <c r="B90" s="184"/>
      <c r="C90" s="184"/>
      <c r="D90" s="184"/>
      <c r="E90" s="185"/>
      <c r="F90" s="184"/>
      <c r="G90" s="183"/>
      <c r="H90" s="185"/>
    </row>
    <row r="91" spans="1:8" x14ac:dyDescent="0.2">
      <c r="A91" s="183"/>
      <c r="B91" s="184"/>
      <c r="C91" s="184"/>
      <c r="D91" s="184"/>
      <c r="E91" s="185"/>
      <c r="F91" s="184"/>
      <c r="G91" s="183"/>
      <c r="H91" s="185"/>
    </row>
    <row r="92" spans="1:8" x14ac:dyDescent="0.2">
      <c r="A92" s="183"/>
      <c r="B92" s="184"/>
      <c r="C92" s="184"/>
      <c r="D92" s="184"/>
      <c r="E92" s="185"/>
      <c r="F92" s="184"/>
      <c r="G92" s="183"/>
      <c r="H92" s="185"/>
    </row>
    <row r="93" spans="1:8" x14ac:dyDescent="0.2">
      <c r="A93" s="183"/>
      <c r="B93" s="184"/>
      <c r="C93" s="184"/>
      <c r="D93" s="184"/>
      <c r="E93" s="185"/>
      <c r="F93" s="184"/>
      <c r="G93" s="183"/>
      <c r="H93" s="185"/>
    </row>
    <row r="94" spans="1:8" x14ac:dyDescent="0.2">
      <c r="A94" s="183"/>
      <c r="B94" s="184"/>
      <c r="C94" s="184"/>
      <c r="D94" s="184"/>
      <c r="E94" s="185"/>
      <c r="F94" s="184"/>
      <c r="G94" s="183"/>
      <c r="H94" s="185"/>
    </row>
    <row r="95" spans="1:8" x14ac:dyDescent="0.2">
      <c r="A95" s="183"/>
      <c r="B95" s="184"/>
      <c r="C95" s="184"/>
      <c r="D95" s="184"/>
      <c r="E95" s="185"/>
      <c r="F95" s="184"/>
      <c r="G95" s="183"/>
      <c r="H95" s="185"/>
    </row>
    <row r="96" spans="1:8" x14ac:dyDescent="0.2">
      <c r="A96" s="183"/>
      <c r="B96" s="184"/>
      <c r="C96" s="209"/>
      <c r="D96" s="184"/>
      <c r="E96" s="185"/>
      <c r="F96" s="184"/>
      <c r="G96" s="183"/>
      <c r="H96" s="185"/>
    </row>
    <row r="97" spans="1:8" x14ac:dyDescent="0.2">
      <c r="A97" s="183"/>
      <c r="B97" s="184"/>
      <c r="C97" s="209"/>
      <c r="D97" s="184"/>
      <c r="E97" s="185"/>
      <c r="F97" s="184"/>
      <c r="G97" s="183"/>
      <c r="H97" s="185"/>
    </row>
    <row r="98" spans="1:8" x14ac:dyDescent="0.2">
      <c r="A98" s="183"/>
      <c r="B98" s="184"/>
      <c r="C98" s="209"/>
      <c r="D98" s="184"/>
      <c r="E98" s="185"/>
      <c r="F98" s="184"/>
      <c r="G98" s="183"/>
      <c r="H98" s="185"/>
    </row>
    <row r="99" spans="1:8" x14ac:dyDescent="0.2">
      <c r="A99" s="183"/>
      <c r="B99" s="184"/>
      <c r="C99" s="209"/>
      <c r="D99" s="184"/>
      <c r="E99" s="185"/>
      <c r="F99" s="184"/>
      <c r="G99" s="183"/>
      <c r="H99" s="185"/>
    </row>
    <row r="100" spans="1:8" x14ac:dyDescent="0.2">
      <c r="A100" s="183"/>
      <c r="B100" s="184"/>
      <c r="C100" s="209"/>
      <c r="D100" s="184"/>
      <c r="E100" s="185"/>
      <c r="F100" s="184"/>
      <c r="G100" s="183"/>
      <c r="H100" s="185"/>
    </row>
    <row r="101" spans="1:8" x14ac:dyDescent="0.2">
      <c r="A101" s="183"/>
      <c r="B101" s="184"/>
      <c r="C101" s="209"/>
      <c r="D101" s="184"/>
      <c r="E101" s="185"/>
      <c r="F101" s="184"/>
      <c r="G101" s="183"/>
      <c r="H101" s="185"/>
    </row>
    <row r="102" spans="1:8" x14ac:dyDescent="0.2">
      <c r="A102" s="183"/>
      <c r="B102" s="184"/>
      <c r="C102" s="184"/>
      <c r="D102" s="184"/>
      <c r="E102" s="185"/>
      <c r="F102" s="184"/>
      <c r="G102" s="183"/>
      <c r="H102" s="185"/>
    </row>
    <row r="103" spans="1:8" x14ac:dyDescent="0.2">
      <c r="A103" s="177"/>
      <c r="B103" s="178"/>
      <c r="C103" s="197"/>
      <c r="D103" s="178"/>
      <c r="E103" s="179"/>
      <c r="F103" s="178"/>
      <c r="G103" s="182"/>
      <c r="H103" s="179"/>
    </row>
    <row r="104" spans="1:8" x14ac:dyDescent="0.2">
      <c r="A104" s="177"/>
      <c r="B104" s="178"/>
      <c r="C104" s="197"/>
      <c r="D104" s="178"/>
      <c r="E104" s="179"/>
      <c r="F104" s="178"/>
      <c r="G104" s="182"/>
      <c r="H104" s="179"/>
    </row>
    <row r="105" spans="1:8" x14ac:dyDescent="0.2">
      <c r="A105" s="177"/>
      <c r="B105" s="178"/>
      <c r="C105" s="197"/>
      <c r="D105" s="178"/>
      <c r="E105" s="179"/>
      <c r="F105" s="178"/>
      <c r="G105" s="182"/>
      <c r="H105" s="179"/>
    </row>
    <row r="106" spans="1:8" x14ac:dyDescent="0.2">
      <c r="A106" s="177"/>
      <c r="B106" s="178"/>
      <c r="C106" s="197"/>
      <c r="D106" s="178"/>
      <c r="E106" s="179"/>
      <c r="F106" s="178"/>
      <c r="G106" s="182"/>
      <c r="H106" s="179"/>
    </row>
    <row r="107" spans="1:8" x14ac:dyDescent="0.2">
      <c r="A107" s="177"/>
      <c r="B107" s="178"/>
      <c r="C107" s="197"/>
      <c r="D107" s="178"/>
      <c r="E107" s="179"/>
      <c r="F107" s="178"/>
      <c r="G107" s="182"/>
      <c r="H107" s="179"/>
    </row>
    <row r="108" spans="1:8" x14ac:dyDescent="0.2">
      <c r="A108" s="177"/>
      <c r="B108" s="178"/>
      <c r="C108" s="197"/>
      <c r="D108" s="178"/>
      <c r="E108" s="179"/>
      <c r="F108" s="178"/>
      <c r="G108" s="182"/>
      <c r="H108" s="179"/>
    </row>
    <row r="109" spans="1:8" x14ac:dyDescent="0.2">
      <c r="A109" s="177"/>
      <c r="B109" s="178"/>
      <c r="C109" s="197"/>
      <c r="D109" s="178"/>
      <c r="E109" s="179"/>
      <c r="F109" s="178"/>
      <c r="G109" s="182"/>
      <c r="H109" s="179"/>
    </row>
    <row r="110" spans="1:8" x14ac:dyDescent="0.2">
      <c r="A110" s="177"/>
      <c r="B110" s="178"/>
      <c r="C110" s="197"/>
      <c r="D110" s="178"/>
      <c r="E110" s="179"/>
      <c r="F110" s="178"/>
      <c r="G110" s="182"/>
      <c r="H110" s="179"/>
    </row>
    <row r="111" spans="1:8" x14ac:dyDescent="0.2">
      <c r="A111" s="177"/>
      <c r="B111" s="178"/>
      <c r="C111" s="197"/>
      <c r="D111" s="178"/>
      <c r="E111" s="179"/>
      <c r="F111" s="178"/>
      <c r="G111" s="182"/>
      <c r="H111" s="179"/>
    </row>
    <row r="112" spans="1:8" x14ac:dyDescent="0.2">
      <c r="A112" s="177"/>
      <c r="B112" s="178"/>
      <c r="C112" s="197"/>
      <c r="D112" s="178"/>
      <c r="E112" s="179"/>
      <c r="F112" s="178"/>
      <c r="G112" s="182"/>
      <c r="H112" s="179"/>
    </row>
    <row r="113" spans="1:8" x14ac:dyDescent="0.2">
      <c r="A113" s="177"/>
      <c r="B113" s="178"/>
      <c r="C113" s="197"/>
      <c r="D113" s="178"/>
      <c r="E113" s="179"/>
      <c r="F113" s="178"/>
      <c r="G113" s="182"/>
      <c r="H113" s="179"/>
    </row>
    <row r="114" spans="1:8" x14ac:dyDescent="0.2">
      <c r="A114" s="177"/>
      <c r="B114" s="178"/>
      <c r="C114" s="197"/>
      <c r="D114" s="178"/>
      <c r="E114" s="179"/>
      <c r="F114" s="178"/>
      <c r="G114" s="182"/>
      <c r="H114" s="179"/>
    </row>
    <row r="115" spans="1:8" x14ac:dyDescent="0.2">
      <c r="A115" s="177"/>
      <c r="B115" s="178"/>
      <c r="C115" s="197"/>
      <c r="D115" s="178"/>
      <c r="E115" s="179"/>
      <c r="F115" s="178"/>
      <c r="G115" s="182"/>
      <c r="H115" s="179"/>
    </row>
    <row r="116" spans="1:8" x14ac:dyDescent="0.2">
      <c r="A116" s="177"/>
      <c r="B116" s="178"/>
      <c r="C116" s="197"/>
      <c r="D116" s="178"/>
      <c r="E116" s="179"/>
      <c r="F116" s="178"/>
      <c r="G116" s="182"/>
      <c r="H116" s="179"/>
    </row>
    <row r="117" spans="1:8" x14ac:dyDescent="0.2">
      <c r="A117" s="177"/>
      <c r="B117" s="178"/>
      <c r="C117" s="197"/>
      <c r="D117" s="178"/>
      <c r="E117" s="179"/>
      <c r="F117" s="178"/>
      <c r="G117" s="182"/>
      <c r="H117" s="179"/>
    </row>
    <row r="118" spans="1:8" x14ac:dyDescent="0.2">
      <c r="A118" s="177"/>
      <c r="B118" s="178"/>
      <c r="C118" s="197"/>
      <c r="D118" s="178"/>
      <c r="E118" s="179"/>
      <c r="F118" s="178"/>
      <c r="G118" s="182"/>
      <c r="H118" s="179"/>
    </row>
    <row r="119" spans="1:8" x14ac:dyDescent="0.2">
      <c r="A119" s="177"/>
      <c r="B119" s="178"/>
      <c r="C119" s="197"/>
      <c r="D119" s="178"/>
      <c r="E119" s="179"/>
      <c r="F119" s="178"/>
      <c r="G119" s="182"/>
      <c r="H119" s="179"/>
    </row>
    <row r="120" spans="1:8" x14ac:dyDescent="0.2">
      <c r="A120" s="177"/>
      <c r="B120" s="178"/>
      <c r="C120" s="197"/>
      <c r="D120" s="178"/>
      <c r="E120" s="179"/>
      <c r="F120" s="178"/>
      <c r="G120" s="182"/>
      <c r="H120" s="179"/>
    </row>
    <row r="121" spans="1:8" x14ac:dyDescent="0.2">
      <c r="A121" s="177"/>
      <c r="B121" s="178"/>
      <c r="C121" s="197"/>
      <c r="D121" s="178"/>
      <c r="E121" s="179"/>
      <c r="F121" s="178"/>
      <c r="G121" s="182"/>
      <c r="H121" s="179"/>
    </row>
    <row r="122" spans="1:8" x14ac:dyDescent="0.2">
      <c r="A122" s="177"/>
      <c r="B122" s="178"/>
      <c r="C122" s="197"/>
      <c r="D122" s="178"/>
      <c r="E122" s="179"/>
      <c r="F122" s="178"/>
      <c r="G122" s="182"/>
      <c r="H122" s="179"/>
    </row>
    <row r="123" spans="1:8" x14ac:dyDescent="0.2">
      <c r="A123" s="183"/>
      <c r="B123" s="184"/>
      <c r="C123" s="184"/>
      <c r="D123" s="184"/>
      <c r="E123" s="185"/>
      <c r="F123" s="184"/>
      <c r="G123" s="183"/>
      <c r="H123" s="185"/>
    </row>
    <row r="124" spans="1:8" x14ac:dyDescent="0.2">
      <c r="A124" s="183"/>
      <c r="B124" s="184"/>
      <c r="C124" s="184"/>
      <c r="D124" s="184"/>
      <c r="E124" s="185"/>
      <c r="F124" s="184"/>
      <c r="G124" s="183"/>
      <c r="H124" s="185"/>
    </row>
    <row r="125" spans="1:8" x14ac:dyDescent="0.2">
      <c r="A125" s="183"/>
      <c r="B125" s="184"/>
      <c r="C125" s="184"/>
      <c r="D125" s="184"/>
      <c r="E125" s="185"/>
      <c r="F125" s="184"/>
      <c r="G125" s="183"/>
      <c r="H125" s="185"/>
    </row>
    <row r="126" spans="1:8" x14ac:dyDescent="0.2">
      <c r="A126" s="183"/>
      <c r="B126" s="184"/>
      <c r="C126" s="184"/>
      <c r="D126" s="184"/>
      <c r="E126" s="185"/>
      <c r="F126" s="184"/>
      <c r="G126" s="183"/>
      <c r="H126" s="185"/>
    </row>
    <row r="127" spans="1:8" x14ac:dyDescent="0.2">
      <c r="A127" s="183"/>
      <c r="B127" s="184"/>
      <c r="C127" s="184"/>
      <c r="D127" s="184"/>
      <c r="E127" s="185"/>
      <c r="F127" s="184"/>
      <c r="G127" s="183"/>
      <c r="H127" s="185"/>
    </row>
    <row r="128" spans="1:8" x14ac:dyDescent="0.2">
      <c r="A128" s="183"/>
      <c r="B128" s="184"/>
      <c r="C128" s="184"/>
      <c r="D128" s="184"/>
      <c r="E128" s="185"/>
      <c r="F128" s="184"/>
      <c r="G128" s="183"/>
      <c r="H128" s="185"/>
    </row>
    <row r="129" spans="1:8" x14ac:dyDescent="0.2">
      <c r="A129" s="183"/>
      <c r="B129" s="184"/>
      <c r="C129" s="184"/>
      <c r="D129" s="184"/>
      <c r="E129" s="185"/>
      <c r="F129" s="184"/>
      <c r="G129" s="183"/>
      <c r="H129" s="185"/>
    </row>
    <row r="130" spans="1:8" x14ac:dyDescent="0.2">
      <c r="A130" s="183"/>
      <c r="B130" s="184"/>
      <c r="C130" s="184"/>
      <c r="D130" s="184"/>
      <c r="E130" s="185"/>
      <c r="F130" s="184"/>
      <c r="G130" s="183"/>
      <c r="H130" s="185"/>
    </row>
    <row r="131" spans="1:8" x14ac:dyDescent="0.2">
      <c r="A131" s="183"/>
      <c r="B131" s="184"/>
      <c r="C131" s="184"/>
      <c r="D131" s="184"/>
      <c r="E131" s="185"/>
      <c r="F131" s="184"/>
      <c r="G131" s="183"/>
      <c r="H131" s="185"/>
    </row>
    <row r="132" spans="1:8" x14ac:dyDescent="0.2">
      <c r="A132" s="183"/>
      <c r="B132" s="184"/>
      <c r="C132" s="184"/>
      <c r="D132" s="184"/>
      <c r="E132" s="185"/>
      <c r="F132" s="184"/>
      <c r="G132" s="183"/>
      <c r="H132" s="185"/>
    </row>
    <row r="133" spans="1:8" x14ac:dyDescent="0.2">
      <c r="A133" s="183"/>
      <c r="B133" s="184"/>
      <c r="C133" s="184"/>
      <c r="D133" s="184"/>
      <c r="E133" s="185"/>
      <c r="F133" s="184"/>
      <c r="G133" s="183"/>
      <c r="H133" s="185"/>
    </row>
    <row r="134" spans="1:8" x14ac:dyDescent="0.2">
      <c r="A134" s="183"/>
      <c r="B134" s="184"/>
      <c r="C134" s="184"/>
      <c r="D134" s="184"/>
      <c r="E134" s="185"/>
      <c r="F134" s="184"/>
      <c r="G134" s="183"/>
      <c r="H134" s="185"/>
    </row>
    <row r="135" spans="1:8" x14ac:dyDescent="0.2">
      <c r="A135" s="183"/>
      <c r="B135" s="184"/>
      <c r="C135" s="184"/>
      <c r="D135" s="184"/>
      <c r="E135" s="185"/>
      <c r="F135" s="184"/>
      <c r="G135" s="183"/>
      <c r="H135" s="185"/>
    </row>
    <row r="136" spans="1:8" x14ac:dyDescent="0.2">
      <c r="A136" s="183"/>
      <c r="B136" s="184"/>
      <c r="C136" s="184"/>
      <c r="D136" s="184"/>
      <c r="E136" s="185"/>
      <c r="F136" s="184"/>
      <c r="G136" s="183"/>
      <c r="H136" s="185"/>
    </row>
    <row r="137" spans="1:8" x14ac:dyDescent="0.2">
      <c r="A137" s="183"/>
      <c r="B137" s="184"/>
      <c r="C137" s="184"/>
      <c r="D137" s="184"/>
      <c r="E137" s="185"/>
      <c r="F137" s="184"/>
      <c r="G137" s="185"/>
      <c r="H137" s="185"/>
    </row>
    <row r="138" spans="1:8" x14ac:dyDescent="0.2">
      <c r="A138" s="177"/>
      <c r="B138" s="178"/>
      <c r="C138" s="197"/>
      <c r="D138" s="178"/>
      <c r="E138" s="179"/>
      <c r="F138" s="178"/>
      <c r="G138" s="182"/>
      <c r="H138" s="179"/>
    </row>
    <row r="139" spans="1:8" x14ac:dyDescent="0.2">
      <c r="A139" s="177"/>
      <c r="B139" s="178"/>
      <c r="C139" s="197"/>
      <c r="D139" s="178"/>
      <c r="E139" s="179"/>
      <c r="F139" s="178"/>
      <c r="G139" s="182"/>
      <c r="H139" s="179"/>
    </row>
    <row r="140" spans="1:8" x14ac:dyDescent="0.2">
      <c r="A140" s="177"/>
      <c r="B140" s="178"/>
      <c r="C140" s="197"/>
      <c r="D140" s="178"/>
      <c r="E140" s="179"/>
      <c r="F140" s="178"/>
      <c r="G140" s="182"/>
      <c r="H140" s="179"/>
    </row>
    <row r="141" spans="1:8" x14ac:dyDescent="0.2">
      <c r="A141" s="177"/>
      <c r="B141" s="178"/>
      <c r="C141" s="197"/>
      <c r="D141" s="178"/>
      <c r="E141" s="179"/>
      <c r="F141" s="178"/>
      <c r="G141" s="182"/>
      <c r="H141" s="179"/>
    </row>
    <row r="142" spans="1:8" x14ac:dyDescent="0.2">
      <c r="A142" s="177"/>
      <c r="B142" s="178"/>
      <c r="C142" s="197"/>
      <c r="D142" s="178"/>
      <c r="E142" s="179"/>
      <c r="F142" s="178"/>
      <c r="G142" s="182"/>
      <c r="H142" s="179"/>
    </row>
    <row r="143" spans="1:8" x14ac:dyDescent="0.2">
      <c r="A143" s="177"/>
      <c r="B143" s="178"/>
      <c r="C143" s="197"/>
      <c r="D143" s="178"/>
      <c r="E143" s="179"/>
      <c r="F143" s="178"/>
      <c r="G143" s="182"/>
      <c r="H143" s="179"/>
    </row>
    <row r="144" spans="1:8" x14ac:dyDescent="0.2">
      <c r="A144" s="177"/>
      <c r="B144" s="178"/>
      <c r="C144" s="197"/>
      <c r="D144" s="178"/>
      <c r="E144" s="179"/>
      <c r="F144" s="178"/>
      <c r="G144" s="182"/>
      <c r="H144" s="179"/>
    </row>
    <row r="145" spans="1:8" x14ac:dyDescent="0.2">
      <c r="A145" s="177"/>
      <c r="B145" s="178"/>
      <c r="C145" s="197"/>
      <c r="D145" s="178"/>
      <c r="E145" s="179"/>
      <c r="F145" s="178"/>
      <c r="G145" s="182"/>
      <c r="H145" s="179"/>
    </row>
    <row r="146" spans="1:8" x14ac:dyDescent="0.2">
      <c r="A146" s="177"/>
      <c r="B146" s="178"/>
      <c r="C146" s="197"/>
      <c r="D146" s="178"/>
      <c r="E146" s="179"/>
      <c r="F146" s="178"/>
      <c r="G146" s="182"/>
      <c r="H146" s="179"/>
    </row>
    <row r="147" spans="1:8" x14ac:dyDescent="0.2">
      <c r="A147" s="177"/>
      <c r="B147" s="178"/>
      <c r="C147" s="197"/>
      <c r="D147" s="178"/>
      <c r="E147" s="179"/>
      <c r="F147" s="178"/>
      <c r="G147" s="182"/>
      <c r="H147" s="179"/>
    </row>
    <row r="148" spans="1:8" x14ac:dyDescent="0.2">
      <c r="A148" s="177"/>
      <c r="B148" s="178"/>
      <c r="C148" s="197"/>
      <c r="D148" s="178"/>
      <c r="E148" s="179"/>
      <c r="F148" s="178"/>
      <c r="G148" s="182"/>
      <c r="H148" s="179"/>
    </row>
    <row r="149" spans="1:8" x14ac:dyDescent="0.2">
      <c r="A149" s="177"/>
      <c r="B149" s="178"/>
      <c r="C149" s="197"/>
      <c r="D149" s="178"/>
      <c r="E149" s="179"/>
      <c r="F149" s="178"/>
      <c r="G149" s="182"/>
      <c r="H149" s="179"/>
    </row>
    <row r="150" spans="1:8" x14ac:dyDescent="0.2">
      <c r="A150" s="177"/>
      <c r="B150" s="178"/>
      <c r="C150" s="197"/>
      <c r="D150" s="178"/>
      <c r="E150" s="179"/>
      <c r="F150" s="178"/>
      <c r="G150" s="182"/>
      <c r="H150" s="179"/>
    </row>
    <row r="151" spans="1:8" x14ac:dyDescent="0.2">
      <c r="A151" s="177"/>
      <c r="B151" s="178"/>
      <c r="C151" s="197"/>
      <c r="D151" s="178"/>
      <c r="E151" s="179"/>
      <c r="F151" s="178"/>
      <c r="G151" s="182"/>
      <c r="H151" s="179"/>
    </row>
    <row r="152" spans="1:8" x14ac:dyDescent="0.2">
      <c r="A152" s="177"/>
      <c r="B152" s="178"/>
      <c r="C152" s="197"/>
      <c r="D152" s="178"/>
      <c r="E152" s="179"/>
      <c r="F152" s="178"/>
      <c r="G152" s="182"/>
      <c r="H152" s="179"/>
    </row>
    <row r="153" spans="1:8" x14ac:dyDescent="0.2">
      <c r="A153" s="177"/>
      <c r="B153" s="178"/>
      <c r="C153" s="197"/>
      <c r="D153" s="178"/>
      <c r="E153" s="179"/>
      <c r="F153" s="178"/>
      <c r="G153" s="182"/>
      <c r="H153" s="179"/>
    </row>
    <row r="154" spans="1:8" x14ac:dyDescent="0.2">
      <c r="A154" s="177"/>
      <c r="B154" s="178"/>
      <c r="C154" s="197"/>
      <c r="D154" s="178"/>
      <c r="E154" s="179"/>
      <c r="F154" s="178"/>
      <c r="G154" s="182"/>
      <c r="H154" s="179"/>
    </row>
    <row r="155" spans="1:8" x14ac:dyDescent="0.2">
      <c r="A155" s="177"/>
      <c r="B155" s="178"/>
      <c r="C155" s="197"/>
      <c r="D155" s="178"/>
      <c r="E155" s="179"/>
      <c r="F155" s="178"/>
      <c r="G155" s="182"/>
      <c r="H155" s="179"/>
    </row>
    <row r="156" spans="1:8" x14ac:dyDescent="0.2">
      <c r="A156" s="183"/>
      <c r="B156" s="184"/>
      <c r="C156" s="184"/>
      <c r="D156" s="184"/>
      <c r="E156" s="185"/>
      <c r="F156" s="184"/>
      <c r="G156" s="185"/>
      <c r="H156" s="185"/>
    </row>
    <row r="157" spans="1:8" x14ac:dyDescent="0.2">
      <c r="A157" s="183"/>
      <c r="B157" s="184"/>
      <c r="C157" s="184"/>
      <c r="D157" s="184"/>
      <c r="E157" s="185"/>
      <c r="F157" s="184"/>
      <c r="G157" s="185"/>
      <c r="H157" s="185"/>
    </row>
    <row r="158" spans="1:8" x14ac:dyDescent="0.2">
      <c r="A158" s="183"/>
      <c r="B158" s="184"/>
      <c r="C158" s="184"/>
      <c r="D158" s="184"/>
      <c r="E158" s="185"/>
      <c r="F158" s="184"/>
      <c r="G158" s="185"/>
      <c r="H158" s="185"/>
    </row>
    <row r="159" spans="1:8" x14ac:dyDescent="0.2">
      <c r="A159" s="183"/>
      <c r="B159" s="184"/>
      <c r="C159" s="184"/>
      <c r="D159" s="184"/>
      <c r="E159" s="185"/>
      <c r="F159" s="184"/>
      <c r="G159" s="185"/>
      <c r="H159" s="185"/>
    </row>
    <row r="160" spans="1:8" x14ac:dyDescent="0.2">
      <c r="A160" s="183"/>
      <c r="B160" s="184"/>
      <c r="C160" s="184"/>
      <c r="D160" s="184"/>
      <c r="E160" s="185"/>
      <c r="F160" s="184"/>
      <c r="G160" s="185"/>
      <c r="H160" s="185"/>
    </row>
    <row r="161" spans="1:8" x14ac:dyDescent="0.2">
      <c r="A161" s="183"/>
      <c r="B161" s="184"/>
      <c r="C161" s="184"/>
      <c r="D161" s="184"/>
      <c r="E161" s="185"/>
      <c r="F161" s="184"/>
      <c r="G161" s="185"/>
      <c r="H161" s="185"/>
    </row>
    <row r="162" spans="1:8" x14ac:dyDescent="0.2">
      <c r="A162" s="183"/>
      <c r="B162" s="184"/>
      <c r="C162" s="184"/>
      <c r="D162" s="184"/>
      <c r="E162" s="185"/>
      <c r="F162" s="184"/>
      <c r="G162" s="185"/>
      <c r="H162" s="185"/>
    </row>
    <row r="163" spans="1:8" x14ac:dyDescent="0.2">
      <c r="A163" s="183"/>
      <c r="B163" s="184"/>
      <c r="C163" s="184"/>
      <c r="D163" s="184"/>
      <c r="E163" s="185"/>
      <c r="F163" s="184"/>
      <c r="G163" s="185"/>
      <c r="H163" s="185"/>
    </row>
    <row r="164" spans="1:8" x14ac:dyDescent="0.2">
      <c r="A164" s="183"/>
      <c r="B164" s="184"/>
      <c r="C164" s="184"/>
      <c r="D164" s="184"/>
      <c r="E164" s="185"/>
      <c r="F164" s="184"/>
      <c r="G164" s="185"/>
      <c r="H164" s="185"/>
    </row>
    <row r="165" spans="1:8" x14ac:dyDescent="0.2">
      <c r="A165" s="183"/>
      <c r="B165" s="184"/>
      <c r="C165" s="184"/>
      <c r="D165" s="184"/>
      <c r="E165" s="185"/>
      <c r="F165" s="184"/>
      <c r="G165" s="185"/>
      <c r="H165" s="185"/>
    </row>
    <row r="166" spans="1:8" x14ac:dyDescent="0.2">
      <c r="A166" s="183"/>
      <c r="B166" s="184"/>
      <c r="C166" s="184"/>
      <c r="D166" s="184"/>
      <c r="E166" s="185"/>
      <c r="F166" s="184"/>
      <c r="G166" s="185"/>
      <c r="H166" s="185"/>
    </row>
    <row r="167" spans="1:8" x14ac:dyDescent="0.2">
      <c r="A167" s="183"/>
      <c r="B167" s="184"/>
      <c r="C167" s="184"/>
      <c r="D167" s="184"/>
      <c r="E167" s="185"/>
      <c r="F167" s="184"/>
      <c r="G167" s="185"/>
      <c r="H167" s="185"/>
    </row>
    <row r="168" spans="1:8" x14ac:dyDescent="0.2">
      <c r="A168" s="183"/>
      <c r="B168" s="184"/>
      <c r="C168" s="184"/>
      <c r="D168" s="184"/>
      <c r="E168" s="185"/>
      <c r="F168" s="184"/>
      <c r="G168" s="185"/>
      <c r="H168" s="185"/>
    </row>
    <row r="169" spans="1:8" x14ac:dyDescent="0.2">
      <c r="A169" s="177"/>
      <c r="B169" s="178"/>
      <c r="C169" s="197"/>
      <c r="D169" s="178"/>
      <c r="E169" s="179"/>
      <c r="F169" s="178"/>
      <c r="G169" s="182"/>
      <c r="H169" s="179"/>
    </row>
    <row r="170" spans="1:8" x14ac:dyDescent="0.2">
      <c r="A170" s="177"/>
      <c r="B170" s="178"/>
      <c r="C170" s="197"/>
      <c r="D170" s="178"/>
      <c r="E170" s="179"/>
      <c r="F170" s="178"/>
      <c r="G170" s="182"/>
      <c r="H170" s="179"/>
    </row>
    <row r="171" spans="1:8" x14ac:dyDescent="0.2">
      <c r="A171" s="177"/>
      <c r="B171" s="178"/>
      <c r="C171" s="197"/>
      <c r="D171" s="178"/>
      <c r="E171" s="179"/>
      <c r="F171" s="178"/>
      <c r="G171" s="182"/>
      <c r="H171" s="179"/>
    </row>
    <row r="172" spans="1:8" x14ac:dyDescent="0.2">
      <c r="A172" s="177"/>
      <c r="B172" s="178"/>
      <c r="C172" s="197"/>
      <c r="D172" s="178"/>
      <c r="E172" s="179"/>
      <c r="F172" s="178"/>
      <c r="G172" s="182"/>
      <c r="H172" s="179"/>
    </row>
    <row r="173" spans="1:8" x14ac:dyDescent="0.2">
      <c r="A173" s="177"/>
      <c r="B173" s="178"/>
      <c r="C173" s="197"/>
      <c r="D173" s="178"/>
      <c r="E173" s="179"/>
      <c r="F173" s="178"/>
      <c r="G173" s="182"/>
      <c r="H173" s="179"/>
    </row>
    <row r="174" spans="1:8" x14ac:dyDescent="0.2">
      <c r="A174" s="177"/>
      <c r="B174" s="178"/>
      <c r="C174" s="197"/>
      <c r="D174" s="178"/>
      <c r="E174" s="179"/>
      <c r="F174" s="178"/>
      <c r="G174" s="182"/>
      <c r="H174" s="179"/>
    </row>
    <row r="175" spans="1:8" x14ac:dyDescent="0.2">
      <c r="A175" s="177"/>
      <c r="B175" s="178"/>
      <c r="C175" s="197"/>
      <c r="D175" s="178"/>
      <c r="E175" s="179"/>
      <c r="F175" s="178"/>
      <c r="G175" s="182"/>
      <c r="H175" s="179"/>
    </row>
    <row r="176" spans="1:8" x14ac:dyDescent="0.2">
      <c r="A176" s="177"/>
      <c r="B176" s="178"/>
      <c r="C176" s="197"/>
      <c r="D176" s="178"/>
      <c r="E176" s="179"/>
      <c r="F176" s="178"/>
      <c r="G176" s="182"/>
      <c r="H176" s="179"/>
    </row>
    <row r="177" spans="1:8" x14ac:dyDescent="0.2">
      <c r="A177" s="6"/>
      <c r="B177" s="3"/>
      <c r="C177" s="3"/>
      <c r="D177" s="3"/>
      <c r="E177" s="7"/>
      <c r="F177" s="3"/>
      <c r="G177" s="6"/>
      <c r="H177" s="28"/>
    </row>
    <row r="178" spans="1:8" x14ac:dyDescent="0.2">
      <c r="A178" s="6"/>
      <c r="B178" s="3"/>
      <c r="C178" s="3"/>
      <c r="D178" s="3"/>
      <c r="E178" s="7"/>
      <c r="F178" s="3"/>
      <c r="G178" s="6"/>
      <c r="H178" s="28"/>
    </row>
    <row r="179" spans="1:8" x14ac:dyDescent="0.2">
      <c r="A179" s="6"/>
      <c r="B179" s="3"/>
      <c r="C179" s="3"/>
      <c r="D179" s="3"/>
      <c r="E179" s="7"/>
      <c r="F179" s="3"/>
      <c r="G179" s="6"/>
      <c r="H179" s="28"/>
    </row>
    <row r="180" spans="1:8" x14ac:dyDescent="0.2">
      <c r="A180" s="6"/>
      <c r="B180" s="3"/>
      <c r="C180" s="3"/>
      <c r="D180" s="3"/>
      <c r="E180" s="7"/>
      <c r="F180" s="3"/>
      <c r="G180" s="6"/>
      <c r="H180" s="28"/>
    </row>
    <row r="181" spans="1:8" x14ac:dyDescent="0.2">
      <c r="A181" s="6"/>
      <c r="B181" s="3"/>
      <c r="C181" s="3"/>
      <c r="D181" s="3"/>
      <c r="E181" s="7"/>
      <c r="F181" s="3"/>
      <c r="G181" s="6"/>
      <c r="H181" s="28"/>
    </row>
    <row r="182" spans="1:8" x14ac:dyDescent="0.2">
      <c r="A182" s="6"/>
      <c r="B182" s="3"/>
      <c r="C182" s="3"/>
      <c r="D182" s="3"/>
      <c r="E182" s="172"/>
      <c r="F182" s="173"/>
      <c r="G182" s="159"/>
      <c r="H182" s="28"/>
    </row>
    <row r="183" spans="1:8" x14ac:dyDescent="0.2">
      <c r="A183" s="6"/>
      <c r="B183" s="3"/>
      <c r="C183" s="3"/>
      <c r="D183" s="3"/>
      <c r="E183" s="7"/>
      <c r="F183" s="3"/>
      <c r="G183" s="6"/>
      <c r="H183" s="28"/>
    </row>
    <row r="184" spans="1:8" x14ac:dyDescent="0.2">
      <c r="A184" s="6"/>
      <c r="B184" s="3"/>
      <c r="C184" s="3"/>
      <c r="D184" s="3"/>
      <c r="E184" s="7"/>
      <c r="F184" s="3"/>
      <c r="G184" s="6"/>
      <c r="H184" s="28"/>
    </row>
    <row r="185" spans="1:8" x14ac:dyDescent="0.2">
      <c r="A185" s="6"/>
      <c r="B185" s="3"/>
      <c r="C185" s="3"/>
      <c r="D185" s="3"/>
      <c r="E185" s="7"/>
      <c r="F185" s="3"/>
      <c r="G185" s="6"/>
      <c r="H185" s="28"/>
    </row>
    <row r="186" spans="1:8" x14ac:dyDescent="0.2">
      <c r="A186" s="6"/>
      <c r="B186" s="3"/>
      <c r="C186" s="3"/>
      <c r="D186" s="3"/>
      <c r="E186" s="7"/>
      <c r="F186" s="3"/>
      <c r="G186" s="6"/>
      <c r="H186" s="28"/>
    </row>
    <row r="187" spans="1:8" x14ac:dyDescent="0.2">
      <c r="A187" s="6"/>
      <c r="B187" s="3"/>
      <c r="C187" s="3"/>
      <c r="D187" s="3"/>
      <c r="E187" s="7"/>
      <c r="F187" s="3"/>
      <c r="G187" s="6"/>
      <c r="H187" s="28"/>
    </row>
    <row r="188" spans="1:8" x14ac:dyDescent="0.2">
      <c r="A188" s="6"/>
      <c r="B188" s="3"/>
      <c r="C188" s="3"/>
      <c r="D188" s="3"/>
      <c r="E188" s="7"/>
      <c r="F188" s="3"/>
      <c r="G188" s="6"/>
      <c r="H188" s="28"/>
    </row>
    <row r="189" spans="1:8" x14ac:dyDescent="0.2">
      <c r="A189" s="6"/>
      <c r="B189" s="3"/>
      <c r="C189" s="3"/>
      <c r="D189" s="3"/>
      <c r="E189" s="7"/>
      <c r="F189" s="3"/>
      <c r="G189" s="6"/>
      <c r="H189" s="28"/>
    </row>
    <row r="190" spans="1:8" x14ac:dyDescent="0.2">
      <c r="A190" s="6"/>
      <c r="B190" s="3"/>
      <c r="C190" s="3"/>
      <c r="D190" s="3"/>
      <c r="E190" s="7"/>
      <c r="F190" s="3"/>
      <c r="G190" s="6"/>
      <c r="H190" s="28"/>
    </row>
    <row r="191" spans="1:8" x14ac:dyDescent="0.2">
      <c r="A191" s="6"/>
      <c r="B191" s="3"/>
      <c r="C191" s="3"/>
      <c r="D191" s="3"/>
      <c r="E191" s="7"/>
      <c r="F191" s="3"/>
      <c r="G191" s="6"/>
      <c r="H191" s="28"/>
    </row>
    <row r="192" spans="1:8" x14ac:dyDescent="0.2">
      <c r="A192" s="6"/>
      <c r="B192" s="3"/>
      <c r="C192" s="3"/>
      <c r="D192" s="3"/>
      <c r="E192" s="7"/>
      <c r="F192" s="3"/>
      <c r="G192" s="6"/>
      <c r="H192" s="28"/>
    </row>
    <row r="193" spans="1:8" x14ac:dyDescent="0.2">
      <c r="A193" s="6"/>
      <c r="B193" s="3"/>
      <c r="C193" s="3"/>
      <c r="D193" s="3"/>
      <c r="E193" s="7"/>
      <c r="F193" s="3"/>
      <c r="G193" s="6"/>
      <c r="H193" s="28"/>
    </row>
    <row r="194" spans="1:8" x14ac:dyDescent="0.2">
      <c r="A194" s="6"/>
      <c r="B194" s="3"/>
      <c r="C194" s="3"/>
      <c r="D194" s="3"/>
      <c r="E194" s="7"/>
      <c r="F194" s="3"/>
      <c r="G194" s="6"/>
      <c r="H194" s="28"/>
    </row>
    <row r="195" spans="1:8" x14ac:dyDescent="0.2">
      <c r="A195" s="6"/>
      <c r="B195" s="3"/>
      <c r="C195" s="3"/>
      <c r="D195" s="3"/>
      <c r="E195" s="7"/>
      <c r="F195" s="3"/>
      <c r="G195" s="6"/>
      <c r="H195" s="28"/>
    </row>
    <row r="196" spans="1:8" x14ac:dyDescent="0.2">
      <c r="A196" s="6"/>
      <c r="B196" s="3"/>
      <c r="C196" s="3"/>
      <c r="D196" s="3"/>
      <c r="E196" s="7"/>
      <c r="F196" s="3"/>
      <c r="G196" s="6"/>
      <c r="H196" s="28"/>
    </row>
    <row r="197" spans="1:8" x14ac:dyDescent="0.2">
      <c r="A197" s="6"/>
      <c r="B197" s="3"/>
      <c r="C197" s="3"/>
      <c r="D197" s="3"/>
      <c r="E197" s="7"/>
      <c r="F197" s="3"/>
      <c r="G197" s="6"/>
      <c r="H197" s="28"/>
    </row>
    <row r="198" spans="1:8" x14ac:dyDescent="0.2">
      <c r="A198" s="6"/>
      <c r="B198" s="3"/>
      <c r="C198" s="3"/>
      <c r="D198" s="3"/>
      <c r="E198" s="7"/>
      <c r="F198" s="3"/>
      <c r="G198" s="6"/>
      <c r="H198" s="28"/>
    </row>
    <row r="199" spans="1:8" x14ac:dyDescent="0.2">
      <c r="A199" s="6"/>
      <c r="B199" s="3"/>
      <c r="C199" s="3"/>
      <c r="D199" s="3"/>
      <c r="E199" s="172"/>
      <c r="F199" s="173"/>
      <c r="G199" s="159"/>
      <c r="H199" s="28"/>
    </row>
    <row r="200" spans="1:8" x14ac:dyDescent="0.2">
      <c r="A200" s="6"/>
      <c r="B200" s="3"/>
      <c r="C200" s="3"/>
      <c r="D200" s="3"/>
      <c r="E200" s="7"/>
      <c r="F200" s="3"/>
      <c r="G200" s="6"/>
      <c r="H200" s="28"/>
    </row>
    <row r="201" spans="1:8" x14ac:dyDescent="0.2">
      <c r="A201" s="6"/>
      <c r="B201" s="3"/>
      <c r="C201" s="3"/>
      <c r="D201" s="3"/>
      <c r="E201" s="7"/>
      <c r="F201" s="3"/>
      <c r="G201" s="6"/>
      <c r="H201" s="28"/>
    </row>
    <row r="202" spans="1:8" x14ac:dyDescent="0.2">
      <c r="A202" s="6"/>
      <c r="B202" s="3"/>
      <c r="C202" s="3"/>
      <c r="D202" s="3"/>
      <c r="E202" s="7"/>
      <c r="F202" s="3"/>
      <c r="G202" s="6"/>
      <c r="H202" s="28"/>
    </row>
    <row r="203" spans="1:8" x14ac:dyDescent="0.2">
      <c r="A203" s="6"/>
      <c r="B203" s="3"/>
      <c r="C203" s="3"/>
      <c r="D203" s="3"/>
      <c r="E203" s="7"/>
      <c r="F203" s="3"/>
      <c r="G203" s="6"/>
      <c r="H203" s="28"/>
    </row>
    <row r="204" spans="1:8" x14ac:dyDescent="0.2">
      <c r="A204" s="6"/>
      <c r="B204" s="3"/>
      <c r="C204" s="3"/>
      <c r="D204" s="3"/>
      <c r="E204" s="7"/>
      <c r="F204" s="3"/>
      <c r="G204" s="6"/>
      <c r="H204" s="28"/>
    </row>
    <row r="205" spans="1:8" x14ac:dyDescent="0.2">
      <c r="A205" s="6"/>
      <c r="B205" s="3"/>
      <c r="C205" s="3"/>
      <c r="D205" s="3"/>
      <c r="E205" s="7"/>
      <c r="F205" s="3"/>
      <c r="G205" s="6"/>
      <c r="H205" s="28"/>
    </row>
    <row r="206" spans="1:8" x14ac:dyDescent="0.2">
      <c r="A206" s="6"/>
      <c r="B206" s="3"/>
      <c r="C206" s="3"/>
      <c r="D206" s="3"/>
      <c r="E206" s="7"/>
      <c r="F206" s="3"/>
      <c r="G206" s="6"/>
      <c r="H206" s="28"/>
    </row>
    <row r="207" spans="1:8" x14ac:dyDescent="0.2">
      <c r="A207" s="6"/>
      <c r="B207" s="3"/>
      <c r="C207" s="3"/>
      <c r="D207" s="3"/>
      <c r="E207" s="7"/>
      <c r="F207" s="3"/>
      <c r="G207" s="6"/>
      <c r="H207" s="28"/>
    </row>
    <row r="208" spans="1:8" x14ac:dyDescent="0.2">
      <c r="A208" s="6"/>
      <c r="B208" s="3"/>
      <c r="C208" s="3"/>
      <c r="D208" s="3"/>
      <c r="E208" s="7"/>
      <c r="F208" s="3"/>
      <c r="G208" s="6"/>
      <c r="H208" s="6"/>
    </row>
    <row r="209" spans="1:8" x14ac:dyDescent="0.2">
      <c r="A209" s="6"/>
      <c r="B209" s="3"/>
      <c r="C209" s="3"/>
      <c r="D209" s="3"/>
      <c r="E209" s="7"/>
      <c r="F209" s="3"/>
      <c r="G209" s="6"/>
      <c r="H209" s="6"/>
    </row>
    <row r="210" spans="1:8" x14ac:dyDescent="0.2">
      <c r="A210" s="6"/>
      <c r="B210" s="3"/>
      <c r="C210" s="3"/>
      <c r="D210" s="3"/>
      <c r="E210" s="7"/>
      <c r="F210" s="3"/>
      <c r="G210" s="6"/>
      <c r="H210" s="6"/>
    </row>
    <row r="211" spans="1:8" x14ac:dyDescent="0.2">
      <c r="A211" s="6"/>
      <c r="B211" s="3"/>
      <c r="C211" s="3"/>
      <c r="D211" s="3"/>
      <c r="E211" s="7"/>
      <c r="F211" s="3"/>
      <c r="G211" s="6"/>
      <c r="H211" s="6"/>
    </row>
    <row r="212" spans="1:8" x14ac:dyDescent="0.2">
      <c r="A212" s="6"/>
      <c r="B212" s="3"/>
      <c r="C212" s="3"/>
      <c r="D212" s="3"/>
      <c r="E212" s="7"/>
      <c r="F212" s="3"/>
      <c r="G212" s="6"/>
      <c r="H212" s="6"/>
    </row>
    <row r="213" spans="1:8" x14ac:dyDescent="0.2">
      <c r="A213" s="6"/>
      <c r="B213" s="3"/>
      <c r="C213" s="3"/>
      <c r="D213" s="3"/>
      <c r="E213" s="7"/>
      <c r="F213" s="3"/>
      <c r="G213" s="6"/>
      <c r="H213" s="6"/>
    </row>
    <row r="214" spans="1:8" x14ac:dyDescent="0.2">
      <c r="A214" s="6"/>
      <c r="B214" s="3"/>
      <c r="C214" s="3"/>
      <c r="D214" s="3"/>
      <c r="E214" s="7"/>
      <c r="F214" s="3"/>
      <c r="G214" s="6"/>
      <c r="H214" s="6"/>
    </row>
    <row r="215" spans="1:8" x14ac:dyDescent="0.2">
      <c r="A215" s="6"/>
      <c r="B215" s="3"/>
      <c r="C215" s="3"/>
      <c r="D215" s="3"/>
      <c r="E215" s="7"/>
      <c r="F215" s="3"/>
      <c r="G215" s="6"/>
      <c r="H215" s="6"/>
    </row>
    <row r="216" spans="1:8" x14ac:dyDescent="0.2">
      <c r="A216" s="6"/>
      <c r="B216" s="3"/>
      <c r="C216" s="3"/>
      <c r="D216" s="3"/>
      <c r="E216" s="7"/>
      <c r="F216" s="3"/>
      <c r="G216" s="6"/>
      <c r="H216" s="6"/>
    </row>
    <row r="217" spans="1:8" x14ac:dyDescent="0.2">
      <c r="E217" s="14"/>
      <c r="F217" s="10"/>
      <c r="G217" s="10"/>
    </row>
    <row r="218" spans="1:8" x14ac:dyDescent="0.2">
      <c r="D218" s="10"/>
      <c r="E218" s="14"/>
      <c r="F218" s="10"/>
      <c r="G218" s="10"/>
    </row>
  </sheetData>
  <autoFilter ref="A1:H14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"/>
  <sheetViews>
    <sheetView workbookViewId="0">
      <pane ySplit="1" topLeftCell="A2" activePane="bottomLeft" state="frozen"/>
      <selection pane="bottomLeft" activeCell="A2" sqref="A2:F37"/>
    </sheetView>
  </sheetViews>
  <sheetFormatPr baseColWidth="10" defaultColWidth="11.42578125" defaultRowHeight="12.75" x14ac:dyDescent="0.2"/>
  <cols>
    <col min="1" max="1" width="18.85546875" style="12" customWidth="1"/>
    <col min="2" max="2" width="13.85546875" style="11" customWidth="1"/>
    <col min="3" max="3" width="12.7109375" style="11" customWidth="1"/>
    <col min="4" max="4" width="14.28515625" style="13" customWidth="1"/>
    <col min="5" max="5" width="31.5703125" style="11" customWidth="1"/>
    <col min="6" max="6" width="29.42578125" style="11" bestFit="1" customWidth="1"/>
    <col min="7" max="257" width="11.42578125" style="12"/>
    <col min="258" max="258" width="11.85546875" style="12" bestFit="1" customWidth="1"/>
    <col min="259" max="259" width="9.28515625" style="12" bestFit="1" customWidth="1"/>
    <col min="260" max="260" width="11.5703125" style="12" bestFit="1" customWidth="1"/>
    <col min="261" max="261" width="25.140625" style="12" customWidth="1"/>
    <col min="262" max="513" width="11.42578125" style="12"/>
    <col min="514" max="514" width="11.85546875" style="12" bestFit="1" customWidth="1"/>
    <col min="515" max="515" width="9.28515625" style="12" bestFit="1" customWidth="1"/>
    <col min="516" max="516" width="11.5703125" style="12" bestFit="1" customWidth="1"/>
    <col min="517" max="517" width="25.140625" style="12" customWidth="1"/>
    <col min="518" max="769" width="11.42578125" style="12"/>
    <col min="770" max="770" width="11.85546875" style="12" bestFit="1" customWidth="1"/>
    <col min="771" max="771" width="9.28515625" style="12" bestFit="1" customWidth="1"/>
    <col min="772" max="772" width="11.5703125" style="12" bestFit="1" customWidth="1"/>
    <col min="773" max="773" width="25.140625" style="12" customWidth="1"/>
    <col min="774" max="1025" width="11.42578125" style="12"/>
    <col min="1026" max="1026" width="11.85546875" style="12" bestFit="1" customWidth="1"/>
    <col min="1027" max="1027" width="9.28515625" style="12" bestFit="1" customWidth="1"/>
    <col min="1028" max="1028" width="11.5703125" style="12" bestFit="1" customWidth="1"/>
    <col min="1029" max="1029" width="25.140625" style="12" customWidth="1"/>
    <col min="1030" max="1281" width="11.42578125" style="12"/>
    <col min="1282" max="1282" width="11.85546875" style="12" bestFit="1" customWidth="1"/>
    <col min="1283" max="1283" width="9.28515625" style="12" bestFit="1" customWidth="1"/>
    <col min="1284" max="1284" width="11.5703125" style="12" bestFit="1" customWidth="1"/>
    <col min="1285" max="1285" width="25.140625" style="12" customWidth="1"/>
    <col min="1286" max="1537" width="11.42578125" style="12"/>
    <col min="1538" max="1538" width="11.85546875" style="12" bestFit="1" customWidth="1"/>
    <col min="1539" max="1539" width="9.28515625" style="12" bestFit="1" customWidth="1"/>
    <col min="1540" max="1540" width="11.5703125" style="12" bestFit="1" customWidth="1"/>
    <col min="1541" max="1541" width="25.140625" style="12" customWidth="1"/>
    <col min="1542" max="1793" width="11.42578125" style="12"/>
    <col min="1794" max="1794" width="11.85546875" style="12" bestFit="1" customWidth="1"/>
    <col min="1795" max="1795" width="9.28515625" style="12" bestFit="1" customWidth="1"/>
    <col min="1796" max="1796" width="11.5703125" style="12" bestFit="1" customWidth="1"/>
    <col min="1797" max="1797" width="25.140625" style="12" customWidth="1"/>
    <col min="1798" max="2049" width="11.42578125" style="12"/>
    <col min="2050" max="2050" width="11.85546875" style="12" bestFit="1" customWidth="1"/>
    <col min="2051" max="2051" width="9.28515625" style="12" bestFit="1" customWidth="1"/>
    <col min="2052" max="2052" width="11.5703125" style="12" bestFit="1" customWidth="1"/>
    <col min="2053" max="2053" width="25.140625" style="12" customWidth="1"/>
    <col min="2054" max="2305" width="11.42578125" style="12"/>
    <col min="2306" max="2306" width="11.85546875" style="12" bestFit="1" customWidth="1"/>
    <col min="2307" max="2307" width="9.28515625" style="12" bestFit="1" customWidth="1"/>
    <col min="2308" max="2308" width="11.5703125" style="12" bestFit="1" customWidth="1"/>
    <col min="2309" max="2309" width="25.140625" style="12" customWidth="1"/>
    <col min="2310" max="2561" width="11.42578125" style="12"/>
    <col min="2562" max="2562" width="11.85546875" style="12" bestFit="1" customWidth="1"/>
    <col min="2563" max="2563" width="9.28515625" style="12" bestFit="1" customWidth="1"/>
    <col min="2564" max="2564" width="11.5703125" style="12" bestFit="1" customWidth="1"/>
    <col min="2565" max="2565" width="25.140625" style="12" customWidth="1"/>
    <col min="2566" max="2817" width="11.42578125" style="12"/>
    <col min="2818" max="2818" width="11.85546875" style="12" bestFit="1" customWidth="1"/>
    <col min="2819" max="2819" width="9.28515625" style="12" bestFit="1" customWidth="1"/>
    <col min="2820" max="2820" width="11.5703125" style="12" bestFit="1" customWidth="1"/>
    <col min="2821" max="2821" width="25.140625" style="12" customWidth="1"/>
    <col min="2822" max="3073" width="11.42578125" style="12"/>
    <col min="3074" max="3074" width="11.85546875" style="12" bestFit="1" customWidth="1"/>
    <col min="3075" max="3075" width="9.28515625" style="12" bestFit="1" customWidth="1"/>
    <col min="3076" max="3076" width="11.5703125" style="12" bestFit="1" customWidth="1"/>
    <col min="3077" max="3077" width="25.140625" style="12" customWidth="1"/>
    <col min="3078" max="3329" width="11.42578125" style="12"/>
    <col min="3330" max="3330" width="11.85546875" style="12" bestFit="1" customWidth="1"/>
    <col min="3331" max="3331" width="9.28515625" style="12" bestFit="1" customWidth="1"/>
    <col min="3332" max="3332" width="11.5703125" style="12" bestFit="1" customWidth="1"/>
    <col min="3333" max="3333" width="25.140625" style="12" customWidth="1"/>
    <col min="3334" max="3585" width="11.42578125" style="12"/>
    <col min="3586" max="3586" width="11.85546875" style="12" bestFit="1" customWidth="1"/>
    <col min="3587" max="3587" width="9.28515625" style="12" bestFit="1" customWidth="1"/>
    <col min="3588" max="3588" width="11.5703125" style="12" bestFit="1" customWidth="1"/>
    <col min="3589" max="3589" width="25.140625" style="12" customWidth="1"/>
    <col min="3590" max="3841" width="11.42578125" style="12"/>
    <col min="3842" max="3842" width="11.85546875" style="12" bestFit="1" customWidth="1"/>
    <col min="3843" max="3843" width="9.28515625" style="12" bestFit="1" customWidth="1"/>
    <col min="3844" max="3844" width="11.5703125" style="12" bestFit="1" customWidth="1"/>
    <col min="3845" max="3845" width="25.140625" style="12" customWidth="1"/>
    <col min="3846" max="4097" width="11.42578125" style="12"/>
    <col min="4098" max="4098" width="11.85546875" style="12" bestFit="1" customWidth="1"/>
    <col min="4099" max="4099" width="9.28515625" style="12" bestFit="1" customWidth="1"/>
    <col min="4100" max="4100" width="11.5703125" style="12" bestFit="1" customWidth="1"/>
    <col min="4101" max="4101" width="25.140625" style="12" customWidth="1"/>
    <col min="4102" max="4353" width="11.42578125" style="12"/>
    <col min="4354" max="4354" width="11.85546875" style="12" bestFit="1" customWidth="1"/>
    <col min="4355" max="4355" width="9.28515625" style="12" bestFit="1" customWidth="1"/>
    <col min="4356" max="4356" width="11.5703125" style="12" bestFit="1" customWidth="1"/>
    <col min="4357" max="4357" width="25.140625" style="12" customWidth="1"/>
    <col min="4358" max="4609" width="11.42578125" style="12"/>
    <col min="4610" max="4610" width="11.85546875" style="12" bestFit="1" customWidth="1"/>
    <col min="4611" max="4611" width="9.28515625" style="12" bestFit="1" customWidth="1"/>
    <col min="4612" max="4612" width="11.5703125" style="12" bestFit="1" customWidth="1"/>
    <col min="4613" max="4613" width="25.140625" style="12" customWidth="1"/>
    <col min="4614" max="4865" width="11.42578125" style="12"/>
    <col min="4866" max="4866" width="11.85546875" style="12" bestFit="1" customWidth="1"/>
    <col min="4867" max="4867" width="9.28515625" style="12" bestFit="1" customWidth="1"/>
    <col min="4868" max="4868" width="11.5703125" style="12" bestFit="1" customWidth="1"/>
    <col min="4869" max="4869" width="25.140625" style="12" customWidth="1"/>
    <col min="4870" max="5121" width="11.42578125" style="12"/>
    <col min="5122" max="5122" width="11.85546875" style="12" bestFit="1" customWidth="1"/>
    <col min="5123" max="5123" width="9.28515625" style="12" bestFit="1" customWidth="1"/>
    <col min="5124" max="5124" width="11.5703125" style="12" bestFit="1" customWidth="1"/>
    <col min="5125" max="5125" width="25.140625" style="12" customWidth="1"/>
    <col min="5126" max="5377" width="11.42578125" style="12"/>
    <col min="5378" max="5378" width="11.85546875" style="12" bestFit="1" customWidth="1"/>
    <col min="5379" max="5379" width="9.28515625" style="12" bestFit="1" customWidth="1"/>
    <col min="5380" max="5380" width="11.5703125" style="12" bestFit="1" customWidth="1"/>
    <col min="5381" max="5381" width="25.140625" style="12" customWidth="1"/>
    <col min="5382" max="5633" width="11.42578125" style="12"/>
    <col min="5634" max="5634" width="11.85546875" style="12" bestFit="1" customWidth="1"/>
    <col min="5635" max="5635" width="9.28515625" style="12" bestFit="1" customWidth="1"/>
    <col min="5636" max="5636" width="11.5703125" style="12" bestFit="1" customWidth="1"/>
    <col min="5637" max="5637" width="25.140625" style="12" customWidth="1"/>
    <col min="5638" max="5889" width="11.42578125" style="12"/>
    <col min="5890" max="5890" width="11.85546875" style="12" bestFit="1" customWidth="1"/>
    <col min="5891" max="5891" width="9.28515625" style="12" bestFit="1" customWidth="1"/>
    <col min="5892" max="5892" width="11.5703125" style="12" bestFit="1" customWidth="1"/>
    <col min="5893" max="5893" width="25.140625" style="12" customWidth="1"/>
    <col min="5894" max="6145" width="11.42578125" style="12"/>
    <col min="6146" max="6146" width="11.85546875" style="12" bestFit="1" customWidth="1"/>
    <col min="6147" max="6147" width="9.28515625" style="12" bestFit="1" customWidth="1"/>
    <col min="6148" max="6148" width="11.5703125" style="12" bestFit="1" customWidth="1"/>
    <col min="6149" max="6149" width="25.140625" style="12" customWidth="1"/>
    <col min="6150" max="6401" width="11.42578125" style="12"/>
    <col min="6402" max="6402" width="11.85546875" style="12" bestFit="1" customWidth="1"/>
    <col min="6403" max="6403" width="9.28515625" style="12" bestFit="1" customWidth="1"/>
    <col min="6404" max="6404" width="11.5703125" style="12" bestFit="1" customWidth="1"/>
    <col min="6405" max="6405" width="25.140625" style="12" customWidth="1"/>
    <col min="6406" max="6657" width="11.42578125" style="12"/>
    <col min="6658" max="6658" width="11.85546875" style="12" bestFit="1" customWidth="1"/>
    <col min="6659" max="6659" width="9.28515625" style="12" bestFit="1" customWidth="1"/>
    <col min="6660" max="6660" width="11.5703125" style="12" bestFit="1" customWidth="1"/>
    <col min="6661" max="6661" width="25.140625" style="12" customWidth="1"/>
    <col min="6662" max="6913" width="11.42578125" style="12"/>
    <col min="6914" max="6914" width="11.85546875" style="12" bestFit="1" customWidth="1"/>
    <col min="6915" max="6915" width="9.28515625" style="12" bestFit="1" customWidth="1"/>
    <col min="6916" max="6916" width="11.5703125" style="12" bestFit="1" customWidth="1"/>
    <col min="6917" max="6917" width="25.140625" style="12" customWidth="1"/>
    <col min="6918" max="7169" width="11.42578125" style="12"/>
    <col min="7170" max="7170" width="11.85546875" style="12" bestFit="1" customWidth="1"/>
    <col min="7171" max="7171" width="9.28515625" style="12" bestFit="1" customWidth="1"/>
    <col min="7172" max="7172" width="11.5703125" style="12" bestFit="1" customWidth="1"/>
    <col min="7173" max="7173" width="25.140625" style="12" customWidth="1"/>
    <col min="7174" max="7425" width="11.42578125" style="12"/>
    <col min="7426" max="7426" width="11.85546875" style="12" bestFit="1" customWidth="1"/>
    <col min="7427" max="7427" width="9.28515625" style="12" bestFit="1" customWidth="1"/>
    <col min="7428" max="7428" width="11.5703125" style="12" bestFit="1" customWidth="1"/>
    <col min="7429" max="7429" width="25.140625" style="12" customWidth="1"/>
    <col min="7430" max="7681" width="11.42578125" style="12"/>
    <col min="7682" max="7682" width="11.85546875" style="12" bestFit="1" customWidth="1"/>
    <col min="7683" max="7683" width="9.28515625" style="12" bestFit="1" customWidth="1"/>
    <col min="7684" max="7684" width="11.5703125" style="12" bestFit="1" customWidth="1"/>
    <col min="7685" max="7685" width="25.140625" style="12" customWidth="1"/>
    <col min="7686" max="7937" width="11.42578125" style="12"/>
    <col min="7938" max="7938" width="11.85546875" style="12" bestFit="1" customWidth="1"/>
    <col min="7939" max="7939" width="9.28515625" style="12" bestFit="1" customWidth="1"/>
    <col min="7940" max="7940" width="11.5703125" style="12" bestFit="1" customWidth="1"/>
    <col min="7941" max="7941" width="25.140625" style="12" customWidth="1"/>
    <col min="7942" max="8193" width="11.42578125" style="12"/>
    <col min="8194" max="8194" width="11.85546875" style="12" bestFit="1" customWidth="1"/>
    <col min="8195" max="8195" width="9.28515625" style="12" bestFit="1" customWidth="1"/>
    <col min="8196" max="8196" width="11.5703125" style="12" bestFit="1" customWidth="1"/>
    <col min="8197" max="8197" width="25.140625" style="12" customWidth="1"/>
    <col min="8198" max="8449" width="11.42578125" style="12"/>
    <col min="8450" max="8450" width="11.85546875" style="12" bestFit="1" customWidth="1"/>
    <col min="8451" max="8451" width="9.28515625" style="12" bestFit="1" customWidth="1"/>
    <col min="8452" max="8452" width="11.5703125" style="12" bestFit="1" customWidth="1"/>
    <col min="8453" max="8453" width="25.140625" style="12" customWidth="1"/>
    <col min="8454" max="8705" width="11.42578125" style="12"/>
    <col min="8706" max="8706" width="11.85546875" style="12" bestFit="1" customWidth="1"/>
    <col min="8707" max="8707" width="9.28515625" style="12" bestFit="1" customWidth="1"/>
    <col min="8708" max="8708" width="11.5703125" style="12" bestFit="1" customWidth="1"/>
    <col min="8709" max="8709" width="25.140625" style="12" customWidth="1"/>
    <col min="8710" max="8961" width="11.42578125" style="12"/>
    <col min="8962" max="8962" width="11.85546875" style="12" bestFit="1" customWidth="1"/>
    <col min="8963" max="8963" width="9.28515625" style="12" bestFit="1" customWidth="1"/>
    <col min="8964" max="8964" width="11.5703125" style="12" bestFit="1" customWidth="1"/>
    <col min="8965" max="8965" width="25.140625" style="12" customWidth="1"/>
    <col min="8966" max="9217" width="11.42578125" style="12"/>
    <col min="9218" max="9218" width="11.85546875" style="12" bestFit="1" customWidth="1"/>
    <col min="9219" max="9219" width="9.28515625" style="12" bestFit="1" customWidth="1"/>
    <col min="9220" max="9220" width="11.5703125" style="12" bestFit="1" customWidth="1"/>
    <col min="9221" max="9221" width="25.140625" style="12" customWidth="1"/>
    <col min="9222" max="9473" width="11.42578125" style="12"/>
    <col min="9474" max="9474" width="11.85546875" style="12" bestFit="1" customWidth="1"/>
    <col min="9475" max="9475" width="9.28515625" style="12" bestFit="1" customWidth="1"/>
    <col min="9476" max="9476" width="11.5703125" style="12" bestFit="1" customWidth="1"/>
    <col min="9477" max="9477" width="25.140625" style="12" customWidth="1"/>
    <col min="9478" max="9729" width="11.42578125" style="12"/>
    <col min="9730" max="9730" width="11.85546875" style="12" bestFit="1" customWidth="1"/>
    <col min="9731" max="9731" width="9.28515625" style="12" bestFit="1" customWidth="1"/>
    <col min="9732" max="9732" width="11.5703125" style="12" bestFit="1" customWidth="1"/>
    <col min="9733" max="9733" width="25.140625" style="12" customWidth="1"/>
    <col min="9734" max="9985" width="11.42578125" style="12"/>
    <col min="9986" max="9986" width="11.85546875" style="12" bestFit="1" customWidth="1"/>
    <col min="9987" max="9987" width="9.28515625" style="12" bestFit="1" customWidth="1"/>
    <col min="9988" max="9988" width="11.5703125" style="12" bestFit="1" customWidth="1"/>
    <col min="9989" max="9989" width="25.140625" style="12" customWidth="1"/>
    <col min="9990" max="10241" width="11.42578125" style="12"/>
    <col min="10242" max="10242" width="11.85546875" style="12" bestFit="1" customWidth="1"/>
    <col min="10243" max="10243" width="9.28515625" style="12" bestFit="1" customWidth="1"/>
    <col min="10244" max="10244" width="11.5703125" style="12" bestFit="1" customWidth="1"/>
    <col min="10245" max="10245" width="25.140625" style="12" customWidth="1"/>
    <col min="10246" max="10497" width="11.42578125" style="12"/>
    <col min="10498" max="10498" width="11.85546875" style="12" bestFit="1" customWidth="1"/>
    <col min="10499" max="10499" width="9.28515625" style="12" bestFit="1" customWidth="1"/>
    <col min="10500" max="10500" width="11.5703125" style="12" bestFit="1" customWidth="1"/>
    <col min="10501" max="10501" width="25.140625" style="12" customWidth="1"/>
    <col min="10502" max="10753" width="11.42578125" style="12"/>
    <col min="10754" max="10754" width="11.85546875" style="12" bestFit="1" customWidth="1"/>
    <col min="10755" max="10755" width="9.28515625" style="12" bestFit="1" customWidth="1"/>
    <col min="10756" max="10756" width="11.5703125" style="12" bestFit="1" customWidth="1"/>
    <col min="10757" max="10757" width="25.140625" style="12" customWidth="1"/>
    <col min="10758" max="11009" width="11.42578125" style="12"/>
    <col min="11010" max="11010" width="11.85546875" style="12" bestFit="1" customWidth="1"/>
    <col min="11011" max="11011" width="9.28515625" style="12" bestFit="1" customWidth="1"/>
    <col min="11012" max="11012" width="11.5703125" style="12" bestFit="1" customWidth="1"/>
    <col min="11013" max="11013" width="25.140625" style="12" customWidth="1"/>
    <col min="11014" max="11265" width="11.42578125" style="12"/>
    <col min="11266" max="11266" width="11.85546875" style="12" bestFit="1" customWidth="1"/>
    <col min="11267" max="11267" width="9.28515625" style="12" bestFit="1" customWidth="1"/>
    <col min="11268" max="11268" width="11.5703125" style="12" bestFit="1" customWidth="1"/>
    <col min="11269" max="11269" width="25.140625" style="12" customWidth="1"/>
    <col min="11270" max="11521" width="11.42578125" style="12"/>
    <col min="11522" max="11522" width="11.85546875" style="12" bestFit="1" customWidth="1"/>
    <col min="11523" max="11523" width="9.28515625" style="12" bestFit="1" customWidth="1"/>
    <col min="11524" max="11524" width="11.5703125" style="12" bestFit="1" customWidth="1"/>
    <col min="11525" max="11525" width="25.140625" style="12" customWidth="1"/>
    <col min="11526" max="11777" width="11.42578125" style="12"/>
    <col min="11778" max="11778" width="11.85546875" style="12" bestFit="1" customWidth="1"/>
    <col min="11779" max="11779" width="9.28515625" style="12" bestFit="1" customWidth="1"/>
    <col min="11780" max="11780" width="11.5703125" style="12" bestFit="1" customWidth="1"/>
    <col min="11781" max="11781" width="25.140625" style="12" customWidth="1"/>
    <col min="11782" max="12033" width="11.42578125" style="12"/>
    <col min="12034" max="12034" width="11.85546875" style="12" bestFit="1" customWidth="1"/>
    <col min="12035" max="12035" width="9.28515625" style="12" bestFit="1" customWidth="1"/>
    <col min="12036" max="12036" width="11.5703125" style="12" bestFit="1" customWidth="1"/>
    <col min="12037" max="12037" width="25.140625" style="12" customWidth="1"/>
    <col min="12038" max="12289" width="11.42578125" style="12"/>
    <col min="12290" max="12290" width="11.85546875" style="12" bestFit="1" customWidth="1"/>
    <col min="12291" max="12291" width="9.28515625" style="12" bestFit="1" customWidth="1"/>
    <col min="12292" max="12292" width="11.5703125" style="12" bestFit="1" customWidth="1"/>
    <col min="12293" max="12293" width="25.140625" style="12" customWidth="1"/>
    <col min="12294" max="12545" width="11.42578125" style="12"/>
    <col min="12546" max="12546" width="11.85546875" style="12" bestFit="1" customWidth="1"/>
    <col min="12547" max="12547" width="9.28515625" style="12" bestFit="1" customWidth="1"/>
    <col min="12548" max="12548" width="11.5703125" style="12" bestFit="1" customWidth="1"/>
    <col min="12549" max="12549" width="25.140625" style="12" customWidth="1"/>
    <col min="12550" max="12801" width="11.42578125" style="12"/>
    <col min="12802" max="12802" width="11.85546875" style="12" bestFit="1" customWidth="1"/>
    <col min="12803" max="12803" width="9.28515625" style="12" bestFit="1" customWidth="1"/>
    <col min="12804" max="12804" width="11.5703125" style="12" bestFit="1" customWidth="1"/>
    <col min="12805" max="12805" width="25.140625" style="12" customWidth="1"/>
    <col min="12806" max="13057" width="11.42578125" style="12"/>
    <col min="13058" max="13058" width="11.85546875" style="12" bestFit="1" customWidth="1"/>
    <col min="13059" max="13059" width="9.28515625" style="12" bestFit="1" customWidth="1"/>
    <col min="13060" max="13060" width="11.5703125" style="12" bestFit="1" customWidth="1"/>
    <col min="13061" max="13061" width="25.140625" style="12" customWidth="1"/>
    <col min="13062" max="13313" width="11.42578125" style="12"/>
    <col min="13314" max="13314" width="11.85546875" style="12" bestFit="1" customWidth="1"/>
    <col min="13315" max="13315" width="9.28515625" style="12" bestFit="1" customWidth="1"/>
    <col min="13316" max="13316" width="11.5703125" style="12" bestFit="1" customWidth="1"/>
    <col min="13317" max="13317" width="25.140625" style="12" customWidth="1"/>
    <col min="13318" max="13569" width="11.42578125" style="12"/>
    <col min="13570" max="13570" width="11.85546875" style="12" bestFit="1" customWidth="1"/>
    <col min="13571" max="13571" width="9.28515625" style="12" bestFit="1" customWidth="1"/>
    <col min="13572" max="13572" width="11.5703125" style="12" bestFit="1" customWidth="1"/>
    <col min="13573" max="13573" width="25.140625" style="12" customWidth="1"/>
    <col min="13574" max="13825" width="11.42578125" style="12"/>
    <col min="13826" max="13826" width="11.85546875" style="12" bestFit="1" customWidth="1"/>
    <col min="13827" max="13827" width="9.28515625" style="12" bestFit="1" customWidth="1"/>
    <col min="13828" max="13828" width="11.5703125" style="12" bestFit="1" customWidth="1"/>
    <col min="13829" max="13829" width="25.140625" style="12" customWidth="1"/>
    <col min="13830" max="14081" width="11.42578125" style="12"/>
    <col min="14082" max="14082" width="11.85546875" style="12" bestFit="1" customWidth="1"/>
    <col min="14083" max="14083" width="9.28515625" style="12" bestFit="1" customWidth="1"/>
    <col min="14084" max="14084" width="11.5703125" style="12" bestFit="1" customWidth="1"/>
    <col min="14085" max="14085" width="25.140625" style="12" customWidth="1"/>
    <col min="14086" max="14337" width="11.42578125" style="12"/>
    <col min="14338" max="14338" width="11.85546875" style="12" bestFit="1" customWidth="1"/>
    <col min="14339" max="14339" width="9.28515625" style="12" bestFit="1" customWidth="1"/>
    <col min="14340" max="14340" width="11.5703125" style="12" bestFit="1" customWidth="1"/>
    <col min="14341" max="14341" width="25.140625" style="12" customWidth="1"/>
    <col min="14342" max="14593" width="11.42578125" style="12"/>
    <col min="14594" max="14594" width="11.85546875" style="12" bestFit="1" customWidth="1"/>
    <col min="14595" max="14595" width="9.28515625" style="12" bestFit="1" customWidth="1"/>
    <col min="14596" max="14596" width="11.5703125" style="12" bestFit="1" customWidth="1"/>
    <col min="14597" max="14597" width="25.140625" style="12" customWidth="1"/>
    <col min="14598" max="14849" width="11.42578125" style="12"/>
    <col min="14850" max="14850" width="11.85546875" style="12" bestFit="1" customWidth="1"/>
    <col min="14851" max="14851" width="9.28515625" style="12" bestFit="1" customWidth="1"/>
    <col min="14852" max="14852" width="11.5703125" style="12" bestFit="1" customWidth="1"/>
    <col min="14853" max="14853" width="25.140625" style="12" customWidth="1"/>
    <col min="14854" max="15105" width="11.42578125" style="12"/>
    <col min="15106" max="15106" width="11.85546875" style="12" bestFit="1" customWidth="1"/>
    <col min="15107" max="15107" width="9.28515625" style="12" bestFit="1" customWidth="1"/>
    <col min="15108" max="15108" width="11.5703125" style="12" bestFit="1" customWidth="1"/>
    <col min="15109" max="15109" width="25.140625" style="12" customWidth="1"/>
    <col min="15110" max="15361" width="11.42578125" style="12"/>
    <col min="15362" max="15362" width="11.85546875" style="12" bestFit="1" customWidth="1"/>
    <col min="15363" max="15363" width="9.28515625" style="12" bestFit="1" customWidth="1"/>
    <col min="15364" max="15364" width="11.5703125" style="12" bestFit="1" customWidth="1"/>
    <col min="15365" max="15365" width="25.140625" style="12" customWidth="1"/>
    <col min="15366" max="15617" width="11.42578125" style="12"/>
    <col min="15618" max="15618" width="11.85546875" style="12" bestFit="1" customWidth="1"/>
    <col min="15619" max="15619" width="9.28515625" style="12" bestFit="1" customWidth="1"/>
    <col min="15620" max="15620" width="11.5703125" style="12" bestFit="1" customWidth="1"/>
    <col min="15621" max="15621" width="25.140625" style="12" customWidth="1"/>
    <col min="15622" max="15873" width="11.42578125" style="12"/>
    <col min="15874" max="15874" width="11.85546875" style="12" bestFit="1" customWidth="1"/>
    <col min="15875" max="15875" width="9.28515625" style="12" bestFit="1" customWidth="1"/>
    <col min="15876" max="15876" width="11.5703125" style="12" bestFit="1" customWidth="1"/>
    <col min="15877" max="15877" width="25.140625" style="12" customWidth="1"/>
    <col min="15878" max="16129" width="11.42578125" style="12"/>
    <col min="16130" max="16130" width="11.85546875" style="12" bestFit="1" customWidth="1"/>
    <col min="16131" max="16131" width="9.28515625" style="12" bestFit="1" customWidth="1"/>
    <col min="16132" max="16132" width="11.5703125" style="12" bestFit="1" customWidth="1"/>
    <col min="16133" max="16133" width="25.140625" style="12" customWidth="1"/>
    <col min="16134" max="16384" width="11.42578125" style="12"/>
  </cols>
  <sheetData>
    <row r="1" spans="1:6" s="11" customFormat="1" ht="13.5" thickBot="1" x14ac:dyDescent="0.25">
      <c r="A1" s="160" t="s">
        <v>9</v>
      </c>
      <c r="B1" s="161" t="s">
        <v>10</v>
      </c>
      <c r="C1" s="162" t="s">
        <v>15</v>
      </c>
      <c r="D1" s="163" t="s">
        <v>17</v>
      </c>
      <c r="E1" s="164" t="s">
        <v>18</v>
      </c>
      <c r="F1" s="164" t="s">
        <v>219</v>
      </c>
    </row>
    <row r="2" spans="1:6" x14ac:dyDescent="0.2">
      <c r="A2" s="143"/>
      <c r="B2" s="17"/>
      <c r="C2" s="171"/>
      <c r="D2" s="192"/>
      <c r="E2" s="171"/>
      <c r="F2" s="207"/>
    </row>
    <row r="3" spans="1:6" x14ac:dyDescent="0.2">
      <c r="A3" s="143"/>
      <c r="B3" s="17"/>
      <c r="C3" s="171"/>
      <c r="D3" s="192"/>
      <c r="E3" s="171"/>
      <c r="F3" s="207"/>
    </row>
    <row r="4" spans="1:6" x14ac:dyDescent="0.2">
      <c r="A4" s="143"/>
      <c r="B4" s="17"/>
      <c r="C4" s="171"/>
      <c r="D4" s="192"/>
      <c r="E4" s="171"/>
      <c r="F4" s="207"/>
    </row>
    <row r="5" spans="1:6" x14ac:dyDescent="0.2">
      <c r="A5" s="143"/>
      <c r="B5" s="17"/>
      <c r="C5" s="17"/>
      <c r="D5" s="28"/>
      <c r="E5" s="17"/>
      <c r="F5" s="207"/>
    </row>
    <row r="6" spans="1:6" s="5" customFormat="1" ht="12.95" customHeight="1" x14ac:dyDescent="0.2">
      <c r="A6" s="143"/>
      <c r="B6" s="17"/>
      <c r="C6" s="17"/>
      <c r="D6" s="28"/>
      <c r="E6" s="17"/>
      <c r="F6" s="207"/>
    </row>
    <row r="7" spans="1:6" s="5" customFormat="1" ht="12.95" customHeight="1" x14ac:dyDescent="0.2">
      <c r="A7" s="143"/>
      <c r="B7" s="17"/>
      <c r="C7" s="17"/>
      <c r="D7" s="28"/>
      <c r="E7" s="16"/>
      <c r="F7" s="207"/>
    </row>
    <row r="8" spans="1:6" s="5" customFormat="1" ht="12.95" customHeight="1" x14ac:dyDescent="0.2">
      <c r="A8" s="143"/>
      <c r="B8" s="17"/>
      <c r="C8" s="17"/>
      <c r="D8" s="28"/>
      <c r="E8" s="16"/>
      <c r="F8" s="207"/>
    </row>
    <row r="9" spans="1:6" x14ac:dyDescent="0.2">
      <c r="A9" s="143"/>
      <c r="B9" s="17"/>
      <c r="C9" s="17"/>
      <c r="D9" s="28"/>
      <c r="E9" s="17"/>
      <c r="F9" s="207"/>
    </row>
    <row r="10" spans="1:6" x14ac:dyDescent="0.2">
      <c r="A10" s="143"/>
      <c r="B10" s="17"/>
      <c r="C10" s="17"/>
      <c r="D10" s="28"/>
      <c r="E10" s="17"/>
      <c r="F10" s="207"/>
    </row>
    <row r="11" spans="1:6" x14ac:dyDescent="0.2">
      <c r="A11" s="143"/>
      <c r="B11" s="17"/>
      <c r="C11" s="17"/>
      <c r="D11" s="28"/>
      <c r="E11" s="17"/>
      <c r="F11" s="207"/>
    </row>
    <row r="12" spans="1:6" x14ac:dyDescent="0.2">
      <c r="A12" s="143"/>
      <c r="B12" s="17"/>
      <c r="C12" s="17"/>
      <c r="D12" s="28"/>
      <c r="E12" s="17"/>
      <c r="F12" s="207"/>
    </row>
    <row r="13" spans="1:6" x14ac:dyDescent="0.2">
      <c r="A13" s="143"/>
      <c r="B13" s="17"/>
      <c r="C13" s="17"/>
      <c r="D13" s="28"/>
      <c r="E13" s="17"/>
      <c r="F13" s="207"/>
    </row>
    <row r="14" spans="1:6" x14ac:dyDescent="0.2">
      <c r="A14" s="143"/>
      <c r="B14" s="17"/>
      <c r="C14" s="17"/>
      <c r="D14" s="28"/>
      <c r="E14" s="17"/>
      <c r="F14" s="207"/>
    </row>
    <row r="15" spans="1:6" x14ac:dyDescent="0.2">
      <c r="A15" s="143"/>
      <c r="B15" s="17"/>
      <c r="C15" s="17"/>
      <c r="D15" s="28"/>
      <c r="E15" s="17"/>
      <c r="F15" s="207"/>
    </row>
    <row r="16" spans="1:6" x14ac:dyDescent="0.2">
      <c r="A16" s="143"/>
      <c r="B16" s="17"/>
      <c r="C16" s="17"/>
      <c r="D16" s="28"/>
      <c r="E16" s="17"/>
      <c r="F16" s="207"/>
    </row>
    <row r="17" spans="1:6" x14ac:dyDescent="0.2">
      <c r="A17" s="143"/>
      <c r="B17" s="17"/>
      <c r="C17" s="17"/>
      <c r="D17" s="28"/>
      <c r="E17" s="17"/>
      <c r="F17" s="207"/>
    </row>
    <row r="18" spans="1:6" x14ac:dyDescent="0.2">
      <c r="A18" s="143"/>
      <c r="B18" s="17"/>
      <c r="C18" s="17"/>
      <c r="D18" s="28"/>
      <c r="E18" s="17"/>
      <c r="F18" s="207"/>
    </row>
    <row r="19" spans="1:6" x14ac:dyDescent="0.2">
      <c r="A19" s="143"/>
      <c r="B19" s="17"/>
      <c r="C19" s="17"/>
      <c r="D19" s="28"/>
      <c r="E19" s="17"/>
      <c r="F19" s="207"/>
    </row>
    <row r="20" spans="1:6" x14ac:dyDescent="0.2">
      <c r="A20" s="143"/>
      <c r="B20" s="17"/>
      <c r="C20" s="17"/>
      <c r="D20" s="28"/>
      <c r="E20" s="17"/>
      <c r="F20" s="207"/>
    </row>
    <row r="21" spans="1:6" x14ac:dyDescent="0.2">
      <c r="A21" s="143"/>
      <c r="B21" s="17"/>
      <c r="C21" s="17"/>
      <c r="D21" s="28"/>
      <c r="E21" s="17"/>
      <c r="F21" s="207"/>
    </row>
    <row r="22" spans="1:6" x14ac:dyDescent="0.2">
      <c r="A22" s="143"/>
      <c r="B22" s="17"/>
      <c r="C22" s="17"/>
      <c r="D22" s="28"/>
      <c r="E22" s="17"/>
      <c r="F22" s="207"/>
    </row>
    <row r="23" spans="1:6" x14ac:dyDescent="0.2">
      <c r="A23" s="143"/>
      <c r="B23" s="17"/>
      <c r="C23" s="17"/>
      <c r="D23" s="28"/>
      <c r="E23" s="17"/>
      <c r="F23" s="207"/>
    </row>
    <row r="24" spans="1:6" x14ac:dyDescent="0.2">
      <c r="A24" s="143"/>
      <c r="B24" s="17"/>
      <c r="C24" s="17"/>
      <c r="D24" s="28"/>
      <c r="E24" s="17"/>
      <c r="F24" s="207"/>
    </row>
    <row r="25" spans="1:6" x14ac:dyDescent="0.2">
      <c r="A25" s="143"/>
      <c r="B25" s="17"/>
      <c r="C25" s="17"/>
      <c r="D25" s="28"/>
      <c r="E25" s="17"/>
      <c r="F25" s="207"/>
    </row>
    <row r="26" spans="1:6" x14ac:dyDescent="0.2">
      <c r="A26" s="143"/>
      <c r="B26" s="17"/>
      <c r="C26" s="17"/>
      <c r="D26" s="28"/>
      <c r="E26" s="17"/>
      <c r="F26" s="207"/>
    </row>
    <row r="27" spans="1:6" x14ac:dyDescent="0.2">
      <c r="A27" s="143"/>
      <c r="B27" s="3"/>
      <c r="C27" s="3"/>
      <c r="D27" s="7"/>
      <c r="E27" s="3"/>
      <c r="F27" s="207"/>
    </row>
    <row r="28" spans="1:6" x14ac:dyDescent="0.2">
      <c r="A28" s="143"/>
      <c r="B28" s="3"/>
      <c r="C28" s="3"/>
      <c r="D28" s="7"/>
      <c r="E28" s="3"/>
      <c r="F28" s="207"/>
    </row>
    <row r="29" spans="1:6" x14ac:dyDescent="0.2">
      <c r="A29" s="143"/>
      <c r="B29" s="3"/>
      <c r="C29" s="3"/>
      <c r="D29" s="7"/>
      <c r="E29" s="17"/>
      <c r="F29" s="207"/>
    </row>
    <row r="30" spans="1:6" x14ac:dyDescent="0.2">
      <c r="A30" s="143"/>
      <c r="B30" s="3"/>
      <c r="C30" s="3"/>
      <c r="D30" s="7"/>
      <c r="E30" s="3"/>
      <c r="F30" s="207"/>
    </row>
    <row r="31" spans="1:6" x14ac:dyDescent="0.2">
      <c r="A31" s="143"/>
      <c r="B31" s="3"/>
      <c r="C31" s="3"/>
      <c r="D31" s="7"/>
      <c r="E31" s="3"/>
      <c r="F31" s="207"/>
    </row>
    <row r="32" spans="1:6" x14ac:dyDescent="0.2">
      <c r="A32" s="143"/>
      <c r="B32" s="3"/>
      <c r="C32" s="3"/>
      <c r="D32" s="7"/>
      <c r="E32" s="3"/>
      <c r="F32" s="207"/>
    </row>
    <row r="33" spans="1:6" x14ac:dyDescent="0.2">
      <c r="A33" s="143"/>
      <c r="B33" s="3"/>
      <c r="C33" s="3"/>
      <c r="D33" s="7"/>
      <c r="E33" s="3"/>
      <c r="F33" s="207"/>
    </row>
    <row r="34" spans="1:6" x14ac:dyDescent="0.2">
      <c r="A34" s="143"/>
      <c r="B34" s="3"/>
      <c r="C34" s="3"/>
      <c r="D34" s="7"/>
      <c r="E34" s="3"/>
      <c r="F34" s="207"/>
    </row>
    <row r="35" spans="1:6" x14ac:dyDescent="0.2">
      <c r="A35" s="143"/>
      <c r="B35" s="3"/>
      <c r="C35" s="3"/>
      <c r="D35" s="7"/>
      <c r="E35" s="3"/>
      <c r="F35" s="207"/>
    </row>
    <row r="36" spans="1:6" x14ac:dyDescent="0.2">
      <c r="A36" s="143"/>
      <c r="B36" s="3"/>
      <c r="C36" s="3"/>
      <c r="D36" s="7"/>
      <c r="E36" s="3"/>
      <c r="F36" s="207"/>
    </row>
    <row r="37" spans="1:6" x14ac:dyDescent="0.2">
      <c r="A37" s="143"/>
      <c r="B37" s="3"/>
      <c r="C37" s="3"/>
      <c r="D37" s="7"/>
      <c r="E37" s="3"/>
      <c r="F37" s="207"/>
    </row>
    <row r="38" spans="1:6" x14ac:dyDescent="0.2">
      <c r="A38" s="143"/>
      <c r="B38" s="3"/>
      <c r="C38" s="3"/>
      <c r="D38" s="7"/>
      <c r="E38" s="3"/>
      <c r="F38" s="207"/>
    </row>
    <row r="39" spans="1:6" x14ac:dyDescent="0.2">
      <c r="A39" s="143"/>
      <c r="B39" s="3"/>
      <c r="C39" s="3"/>
      <c r="D39" s="7"/>
      <c r="E39" s="3"/>
      <c r="F39" s="207"/>
    </row>
    <row r="40" spans="1:6" x14ac:dyDescent="0.2">
      <c r="A40" s="143"/>
      <c r="B40" s="3"/>
      <c r="C40" s="3"/>
      <c r="D40" s="7"/>
      <c r="E40" s="3"/>
      <c r="F40" s="207"/>
    </row>
    <row r="41" spans="1:6" x14ac:dyDescent="0.2">
      <c r="A41" s="143"/>
      <c r="B41" s="3"/>
      <c r="C41" s="3"/>
      <c r="D41" s="7"/>
      <c r="E41" s="3"/>
      <c r="F41" s="207"/>
    </row>
    <row r="42" spans="1:6" x14ac:dyDescent="0.2">
      <c r="A42" s="143"/>
      <c r="B42" s="3"/>
      <c r="C42" s="3"/>
      <c r="D42" s="7"/>
      <c r="E42" s="3"/>
      <c r="F42" s="207"/>
    </row>
    <row r="43" spans="1:6" x14ac:dyDescent="0.2">
      <c r="A43" s="143"/>
      <c r="B43" s="3"/>
      <c r="C43" s="3"/>
      <c r="D43" s="7"/>
      <c r="E43" s="3"/>
      <c r="F43" s="207"/>
    </row>
    <row r="44" spans="1:6" x14ac:dyDescent="0.2">
      <c r="A44" s="143"/>
      <c r="B44" s="3"/>
      <c r="C44" s="3"/>
      <c r="D44" s="7"/>
      <c r="E44" s="3"/>
      <c r="F44" s="207"/>
    </row>
    <row r="45" spans="1:6" x14ac:dyDescent="0.2">
      <c r="A45" s="143"/>
      <c r="B45" s="3"/>
      <c r="C45" s="3"/>
      <c r="D45" s="7"/>
      <c r="E45" s="3"/>
      <c r="F45" s="6"/>
    </row>
    <row r="46" spans="1:6" x14ac:dyDescent="0.2">
      <c r="A46" s="143"/>
      <c r="B46" s="3"/>
      <c r="C46" s="3"/>
      <c r="D46" s="7"/>
      <c r="E46" s="3"/>
      <c r="F46" s="6"/>
    </row>
    <row r="47" spans="1:6" x14ac:dyDescent="0.2">
      <c r="A47" s="143"/>
      <c r="B47" s="3"/>
      <c r="C47" s="3"/>
      <c r="D47" s="7"/>
      <c r="E47" s="3"/>
      <c r="F47" s="6"/>
    </row>
    <row r="48" spans="1:6" x14ac:dyDescent="0.2">
      <c r="A48" s="143"/>
      <c r="B48" s="3"/>
      <c r="C48" s="3"/>
      <c r="D48" s="7"/>
      <c r="E48" s="3"/>
      <c r="F48" s="6"/>
    </row>
    <row r="49" spans="1:6" x14ac:dyDescent="0.2">
      <c r="A49" s="143"/>
      <c r="B49" s="3"/>
      <c r="C49" s="3"/>
      <c r="D49" s="7"/>
      <c r="E49" s="3"/>
      <c r="F49" s="6"/>
    </row>
    <row r="50" spans="1:6" x14ac:dyDescent="0.2">
      <c r="A50" s="143"/>
      <c r="B50" s="3"/>
      <c r="C50" s="3"/>
      <c r="D50" s="7"/>
      <c r="E50" s="3"/>
      <c r="F50" s="6"/>
    </row>
    <row r="51" spans="1:6" x14ac:dyDescent="0.2">
      <c r="A51" s="143"/>
      <c r="B51" s="3"/>
      <c r="C51" s="3"/>
      <c r="D51" s="7"/>
      <c r="E51" s="3"/>
      <c r="F51" s="159"/>
    </row>
    <row r="52" spans="1:6" x14ac:dyDescent="0.2">
      <c r="A52" s="143"/>
      <c r="B52" s="3"/>
      <c r="C52" s="3"/>
      <c r="D52" s="172"/>
      <c r="E52" s="173"/>
      <c r="F52" s="6"/>
    </row>
    <row r="53" spans="1:6" x14ac:dyDescent="0.2">
      <c r="A53" s="143"/>
      <c r="B53" s="3"/>
      <c r="C53" s="3"/>
      <c r="D53" s="7"/>
      <c r="E53" s="3"/>
      <c r="F53" s="6"/>
    </row>
    <row r="54" spans="1:6" x14ac:dyDescent="0.2">
      <c r="A54" s="143"/>
      <c r="B54" s="3"/>
      <c r="C54" s="3"/>
      <c r="D54" s="7"/>
      <c r="E54" s="3"/>
      <c r="F54" s="6"/>
    </row>
    <row r="55" spans="1:6" x14ac:dyDescent="0.2">
      <c r="A55" s="143"/>
      <c r="B55" s="3"/>
      <c r="C55" s="3"/>
      <c r="D55" s="7"/>
      <c r="E55" s="3"/>
      <c r="F55" s="6"/>
    </row>
    <row r="56" spans="1:6" x14ac:dyDescent="0.2">
      <c r="A56" s="143"/>
      <c r="B56" s="3"/>
      <c r="C56" s="3"/>
      <c r="D56" s="7"/>
      <c r="E56" s="3"/>
      <c r="F56" s="6"/>
    </row>
    <row r="57" spans="1:6" x14ac:dyDescent="0.2">
      <c r="A57" s="143"/>
      <c r="B57" s="3"/>
      <c r="C57" s="3"/>
      <c r="D57" s="7"/>
      <c r="E57" s="3"/>
      <c r="F57" s="6"/>
    </row>
    <row r="58" spans="1:6" x14ac:dyDescent="0.2">
      <c r="A58" s="6"/>
      <c r="B58" s="3"/>
      <c r="C58" s="3"/>
      <c r="D58" s="7"/>
      <c r="E58" s="3"/>
      <c r="F58" s="6"/>
    </row>
    <row r="59" spans="1:6" x14ac:dyDescent="0.2">
      <c r="A59" s="6"/>
      <c r="B59" s="3"/>
      <c r="C59" s="3"/>
      <c r="D59" s="7"/>
      <c r="E59" s="3"/>
      <c r="F59" s="6"/>
    </row>
    <row r="60" spans="1:6" x14ac:dyDescent="0.2">
      <c r="A60" s="6"/>
      <c r="B60" s="3"/>
      <c r="C60" s="3"/>
      <c r="D60" s="7"/>
      <c r="E60" s="3"/>
      <c r="F60" s="6"/>
    </row>
    <row r="61" spans="1:6" x14ac:dyDescent="0.2">
      <c r="A61" s="6"/>
      <c r="B61" s="3"/>
      <c r="C61" s="3"/>
      <c r="D61" s="7"/>
      <c r="E61" s="3"/>
      <c r="F61" s="6"/>
    </row>
    <row r="62" spans="1:6" x14ac:dyDescent="0.2">
      <c r="A62" s="6"/>
      <c r="B62" s="3"/>
      <c r="C62" s="3"/>
      <c r="D62" s="7"/>
      <c r="E62" s="3"/>
      <c r="F62" s="6"/>
    </row>
    <row r="63" spans="1:6" x14ac:dyDescent="0.2">
      <c r="A63" s="6"/>
      <c r="B63" s="3"/>
      <c r="C63" s="3"/>
      <c r="D63" s="7"/>
      <c r="E63" s="3"/>
      <c r="F63" s="6"/>
    </row>
    <row r="64" spans="1:6" x14ac:dyDescent="0.2">
      <c r="A64" s="6"/>
      <c r="B64" s="3"/>
      <c r="C64" s="3"/>
      <c r="D64" s="7"/>
      <c r="E64" s="3"/>
      <c r="F64" s="159"/>
    </row>
    <row r="65" spans="1:6" x14ac:dyDescent="0.2">
      <c r="A65" s="6"/>
      <c r="B65" s="3"/>
      <c r="C65" s="3"/>
      <c r="D65" s="172"/>
      <c r="E65" s="173"/>
      <c r="F65" s="6"/>
    </row>
    <row r="66" spans="1:6" x14ac:dyDescent="0.2">
      <c r="A66" s="6"/>
      <c r="B66" s="3"/>
      <c r="C66" s="3"/>
      <c r="D66" s="7"/>
      <c r="E66" s="3"/>
      <c r="F66" s="6"/>
    </row>
    <row r="67" spans="1:6" x14ac:dyDescent="0.2">
      <c r="A67" s="6"/>
      <c r="B67" s="3"/>
      <c r="C67" s="3"/>
      <c r="D67" s="7"/>
      <c r="E67" s="3"/>
      <c r="F67" s="6"/>
    </row>
    <row r="68" spans="1:6" x14ac:dyDescent="0.2">
      <c r="A68" s="6"/>
      <c r="B68" s="3"/>
      <c r="C68" s="3"/>
      <c r="D68" s="7"/>
      <c r="E68" s="3"/>
      <c r="F68" s="6"/>
    </row>
    <row r="69" spans="1:6" x14ac:dyDescent="0.2">
      <c r="A69" s="6"/>
      <c r="B69" s="3"/>
      <c r="C69" s="3"/>
      <c r="D69" s="7"/>
      <c r="E69" s="3"/>
      <c r="F69" s="6"/>
    </row>
    <row r="70" spans="1:6" x14ac:dyDescent="0.2">
      <c r="A70" s="6"/>
      <c r="B70" s="3"/>
      <c r="C70" s="3"/>
      <c r="D70" s="7"/>
      <c r="E70" s="3"/>
      <c r="F70" s="6"/>
    </row>
    <row r="71" spans="1:6" x14ac:dyDescent="0.2">
      <c r="A71" s="6"/>
      <c r="B71" s="3"/>
      <c r="C71" s="3"/>
      <c r="D71" s="7"/>
      <c r="E71" s="3"/>
      <c r="F71" s="6"/>
    </row>
    <row r="72" spans="1:6" x14ac:dyDescent="0.2">
      <c r="A72" s="6"/>
      <c r="B72" s="3"/>
      <c r="C72" s="3"/>
      <c r="D72" s="7"/>
      <c r="E72" s="3"/>
      <c r="F72" s="6"/>
    </row>
    <row r="73" spans="1:6" x14ac:dyDescent="0.2">
      <c r="A73" s="6"/>
      <c r="B73" s="3"/>
      <c r="C73" s="3"/>
      <c r="D73" s="7"/>
      <c r="E73" s="3"/>
      <c r="F73" s="6"/>
    </row>
    <row r="74" spans="1:6" x14ac:dyDescent="0.2">
      <c r="A74" s="6"/>
      <c r="B74" s="3"/>
      <c r="C74" s="3"/>
      <c r="D74" s="7"/>
      <c r="E74" s="3"/>
      <c r="F74" s="6"/>
    </row>
    <row r="75" spans="1:6" x14ac:dyDescent="0.2">
      <c r="A75" s="6"/>
      <c r="B75" s="3"/>
      <c r="C75" s="3"/>
      <c r="D75" s="7"/>
      <c r="E75" s="3"/>
      <c r="F75" s="6"/>
    </row>
    <row r="76" spans="1:6" x14ac:dyDescent="0.2">
      <c r="A76" s="6"/>
      <c r="B76" s="3"/>
      <c r="C76" s="3"/>
      <c r="D76" s="7"/>
      <c r="E76" s="3"/>
      <c r="F76" s="6"/>
    </row>
    <row r="77" spans="1:6" x14ac:dyDescent="0.2">
      <c r="A77" s="6"/>
      <c r="B77" s="3"/>
      <c r="C77" s="3"/>
      <c r="D77" s="7"/>
      <c r="E77" s="3"/>
      <c r="F77" s="6"/>
    </row>
    <row r="78" spans="1:6" x14ac:dyDescent="0.2">
      <c r="A78" s="6"/>
      <c r="B78" s="3"/>
      <c r="C78" s="3"/>
      <c r="D78" s="7"/>
      <c r="E78" s="3"/>
      <c r="F78" s="6"/>
    </row>
    <row r="79" spans="1:6" x14ac:dyDescent="0.2">
      <c r="A79" s="6"/>
      <c r="B79" s="3"/>
      <c r="C79" s="3"/>
      <c r="D79" s="7"/>
      <c r="E79" s="3"/>
      <c r="F79" s="6"/>
    </row>
    <row r="80" spans="1:6" x14ac:dyDescent="0.2">
      <c r="A80" s="6"/>
      <c r="B80" s="3"/>
      <c r="C80" s="3"/>
      <c r="D80" s="7"/>
      <c r="E80" s="3"/>
      <c r="F80" s="6"/>
    </row>
    <row r="81" spans="1:6" x14ac:dyDescent="0.2">
      <c r="A81" s="6"/>
      <c r="B81" s="3"/>
      <c r="C81" s="3"/>
      <c r="D81" s="7"/>
      <c r="E81" s="3"/>
      <c r="F81" s="6"/>
    </row>
    <row r="82" spans="1:6" x14ac:dyDescent="0.2">
      <c r="A82" s="6"/>
      <c r="B82" s="3"/>
      <c r="C82" s="3"/>
      <c r="D82" s="7"/>
      <c r="E82" s="3"/>
      <c r="F82" s="6"/>
    </row>
    <row r="83" spans="1:6" x14ac:dyDescent="0.2">
      <c r="A83" s="6"/>
      <c r="B83" s="3"/>
      <c r="C83" s="3"/>
      <c r="D83" s="7"/>
      <c r="E83" s="3"/>
      <c r="F83" s="6"/>
    </row>
    <row r="84" spans="1:6" x14ac:dyDescent="0.2">
      <c r="A84" s="6"/>
      <c r="B84" s="3"/>
      <c r="C84" s="3"/>
      <c r="D84" s="7"/>
      <c r="E84" s="3"/>
      <c r="F84" s="6"/>
    </row>
    <row r="85" spans="1:6" x14ac:dyDescent="0.2">
      <c r="A85" s="6"/>
      <c r="B85" s="3"/>
      <c r="C85" s="3"/>
      <c r="D85" s="7"/>
      <c r="E85" s="3"/>
      <c r="F85" s="6"/>
    </row>
    <row r="86" spans="1:6" x14ac:dyDescent="0.2">
      <c r="A86" s="6"/>
      <c r="B86" s="3"/>
      <c r="C86" s="3"/>
      <c r="D86" s="7"/>
      <c r="E86" s="3"/>
      <c r="F86" s="6"/>
    </row>
    <row r="87" spans="1:6" x14ac:dyDescent="0.2">
      <c r="A87" s="6"/>
      <c r="B87" s="3"/>
      <c r="C87" s="3"/>
      <c r="D87" s="7"/>
      <c r="E87" s="3"/>
      <c r="F87" s="6"/>
    </row>
    <row r="88" spans="1:6" x14ac:dyDescent="0.2">
      <c r="A88" s="6"/>
      <c r="B88" s="3"/>
      <c r="C88" s="3"/>
      <c r="D88" s="7"/>
      <c r="E88" s="3"/>
      <c r="F88" s="159"/>
    </row>
    <row r="89" spans="1:6" x14ac:dyDescent="0.2">
      <c r="A89" s="6"/>
      <c r="B89" s="3"/>
      <c r="C89" s="3"/>
      <c r="D89" s="172"/>
      <c r="E89" s="173"/>
      <c r="F89" s="6"/>
    </row>
    <row r="90" spans="1:6" x14ac:dyDescent="0.2">
      <c r="A90" s="6"/>
      <c r="B90" s="3"/>
      <c r="C90" s="3"/>
      <c r="D90" s="7"/>
      <c r="E90" s="3"/>
      <c r="F90" s="6"/>
    </row>
    <row r="91" spans="1:6" x14ac:dyDescent="0.2">
      <c r="A91" s="6"/>
      <c r="B91" s="3"/>
      <c r="C91" s="3"/>
      <c r="D91" s="7"/>
      <c r="E91" s="3"/>
      <c r="F91" s="6"/>
    </row>
    <row r="92" spans="1:6" x14ac:dyDescent="0.2">
      <c r="A92" s="6"/>
      <c r="B92" s="3"/>
      <c r="C92" s="3"/>
      <c r="D92" s="7"/>
      <c r="E92" s="3"/>
      <c r="F92" s="6"/>
    </row>
    <row r="93" spans="1:6" x14ac:dyDescent="0.2">
      <c r="A93" s="6"/>
      <c r="B93" s="3"/>
      <c r="C93" s="3"/>
      <c r="D93" s="7"/>
      <c r="E93" s="3"/>
      <c r="F93" s="6"/>
    </row>
    <row r="94" spans="1:6" x14ac:dyDescent="0.2">
      <c r="A94" s="6"/>
      <c r="B94" s="3"/>
      <c r="C94" s="3"/>
      <c r="D94" s="7"/>
      <c r="E94" s="3"/>
      <c r="F94" s="6"/>
    </row>
    <row r="95" spans="1:6" x14ac:dyDescent="0.2">
      <c r="A95" s="6"/>
      <c r="B95" s="3"/>
      <c r="C95" s="3"/>
      <c r="D95" s="7"/>
      <c r="E95" s="3"/>
      <c r="F95" s="6"/>
    </row>
    <row r="96" spans="1:6" x14ac:dyDescent="0.2">
      <c r="A96" s="6"/>
      <c r="B96" s="3"/>
      <c r="C96" s="3"/>
      <c r="D96" s="7"/>
      <c r="E96" s="3"/>
      <c r="F96" s="159"/>
    </row>
    <row r="97" spans="1:6" x14ac:dyDescent="0.2">
      <c r="A97" s="6"/>
      <c r="B97" s="3"/>
      <c r="C97" s="3"/>
      <c r="D97" s="172"/>
      <c r="E97" s="173"/>
      <c r="F97" s="6"/>
    </row>
    <row r="98" spans="1:6" x14ac:dyDescent="0.2">
      <c r="A98" s="6"/>
      <c r="B98" s="3"/>
      <c r="C98" s="3"/>
      <c r="D98" s="7"/>
      <c r="E98" s="3"/>
      <c r="F98" s="6"/>
    </row>
    <row r="99" spans="1:6" x14ac:dyDescent="0.2">
      <c r="A99" s="6"/>
      <c r="B99" s="3"/>
      <c r="C99" s="3"/>
      <c r="D99" s="7"/>
      <c r="E99" s="3"/>
      <c r="F99" s="6"/>
    </row>
    <row r="100" spans="1:6" x14ac:dyDescent="0.2">
      <c r="A100" s="6"/>
      <c r="B100" s="3"/>
      <c r="C100" s="3"/>
      <c r="D100" s="7"/>
      <c r="E100" s="3"/>
      <c r="F100" s="6"/>
    </row>
    <row r="101" spans="1:6" x14ac:dyDescent="0.2">
      <c r="A101" s="6"/>
      <c r="B101" s="3"/>
      <c r="C101" s="3"/>
      <c r="D101" s="7"/>
      <c r="E101" s="3"/>
      <c r="F101" s="6"/>
    </row>
    <row r="102" spans="1:6" x14ac:dyDescent="0.2">
      <c r="A102" s="6"/>
      <c r="B102" s="3"/>
      <c r="C102" s="3"/>
      <c r="D102" s="7"/>
      <c r="E102" s="3"/>
      <c r="F102" s="6"/>
    </row>
    <row r="103" spans="1:6" x14ac:dyDescent="0.2">
      <c r="A103" s="6"/>
      <c r="B103" s="3"/>
      <c r="C103" s="3"/>
      <c r="D103" s="7"/>
      <c r="E103" s="3"/>
      <c r="F103" s="6"/>
    </row>
    <row r="104" spans="1:6" x14ac:dyDescent="0.2">
      <c r="A104" s="6"/>
      <c r="B104" s="3"/>
      <c r="C104" s="3"/>
      <c r="D104" s="7"/>
      <c r="E104" s="3"/>
      <c r="F104" s="6"/>
    </row>
    <row r="105" spans="1:6" x14ac:dyDescent="0.2">
      <c r="A105" s="6"/>
      <c r="B105" s="3"/>
      <c r="C105" s="3"/>
      <c r="D105" s="7"/>
      <c r="E105" s="3"/>
      <c r="F105" s="6"/>
    </row>
    <row r="106" spans="1:6" x14ac:dyDescent="0.2">
      <c r="A106" s="6"/>
      <c r="B106" s="3"/>
      <c r="C106" s="3"/>
      <c r="D106" s="7"/>
      <c r="E106" s="3"/>
      <c r="F106" s="6"/>
    </row>
    <row r="107" spans="1:6" x14ac:dyDescent="0.2">
      <c r="A107" s="6"/>
      <c r="B107" s="3"/>
      <c r="C107" s="3"/>
      <c r="D107" s="7"/>
      <c r="E107" s="3"/>
      <c r="F107" s="6"/>
    </row>
    <row r="108" spans="1:6" x14ac:dyDescent="0.2">
      <c r="A108" s="6"/>
      <c r="B108" s="3"/>
      <c r="C108" s="3"/>
      <c r="D108" s="7"/>
      <c r="E108" s="3"/>
      <c r="F108" s="6"/>
    </row>
    <row r="109" spans="1:6" x14ac:dyDescent="0.2">
      <c r="A109" s="6"/>
      <c r="B109" s="3"/>
      <c r="C109" s="3"/>
      <c r="D109" s="7"/>
      <c r="E109" s="3"/>
      <c r="F109" s="6"/>
    </row>
    <row r="110" spans="1:6" x14ac:dyDescent="0.2">
      <c r="A110" s="6"/>
      <c r="B110" s="3"/>
      <c r="C110" s="3"/>
      <c r="D110" s="7"/>
      <c r="E110" s="3"/>
      <c r="F110" s="6"/>
    </row>
    <row r="111" spans="1:6" x14ac:dyDescent="0.2">
      <c r="A111" s="6"/>
      <c r="B111" s="3"/>
      <c r="C111" s="3"/>
      <c r="D111" s="7"/>
      <c r="E111" s="3"/>
      <c r="F111" s="6"/>
    </row>
    <row r="112" spans="1:6" x14ac:dyDescent="0.2">
      <c r="A112" s="6"/>
      <c r="B112" s="3"/>
      <c r="C112" s="3"/>
      <c r="D112" s="7"/>
      <c r="E112" s="3"/>
      <c r="F112" s="6"/>
    </row>
    <row r="113" spans="1:6" x14ac:dyDescent="0.2">
      <c r="A113" s="6"/>
      <c r="B113" s="3"/>
      <c r="C113" s="3"/>
      <c r="D113" s="7"/>
      <c r="E113" s="3"/>
      <c r="F113" s="159"/>
    </row>
    <row r="114" spans="1:6" x14ac:dyDescent="0.2">
      <c r="A114" s="6"/>
      <c r="B114" s="3"/>
      <c r="C114" s="3"/>
      <c r="D114" s="172"/>
      <c r="E114" s="173"/>
      <c r="F114" s="6"/>
    </row>
    <row r="115" spans="1:6" x14ac:dyDescent="0.2">
      <c r="A115" s="6"/>
      <c r="B115" s="3"/>
      <c r="C115" s="3"/>
      <c r="D115" s="7"/>
      <c r="E115" s="3"/>
      <c r="F115" s="6"/>
    </row>
    <row r="116" spans="1:6" x14ac:dyDescent="0.2">
      <c r="A116" s="6"/>
      <c r="B116" s="3"/>
      <c r="C116" s="3"/>
      <c r="D116" s="7"/>
      <c r="E116" s="3"/>
      <c r="F116" s="6"/>
    </row>
    <row r="117" spans="1:6" x14ac:dyDescent="0.2">
      <c r="A117" s="6"/>
      <c r="B117" s="3"/>
      <c r="C117" s="3"/>
      <c r="D117" s="7"/>
      <c r="E117" s="3"/>
      <c r="F117" s="6"/>
    </row>
    <row r="118" spans="1:6" x14ac:dyDescent="0.2">
      <c r="A118" s="6"/>
      <c r="B118" s="3"/>
      <c r="C118" s="3"/>
      <c r="D118" s="7"/>
      <c r="E118" s="3"/>
      <c r="F118" s="6"/>
    </row>
    <row r="119" spans="1:6" x14ac:dyDescent="0.2">
      <c r="A119" s="6"/>
      <c r="B119" s="3"/>
      <c r="C119" s="3"/>
      <c r="D119" s="7"/>
      <c r="E119" s="3"/>
      <c r="F119" s="6"/>
    </row>
    <row r="120" spans="1:6" x14ac:dyDescent="0.2">
      <c r="A120" s="6"/>
      <c r="B120" s="3"/>
      <c r="C120" s="3"/>
      <c r="D120" s="7"/>
      <c r="E120" s="3"/>
      <c r="F120" s="6"/>
    </row>
    <row r="121" spans="1:6" x14ac:dyDescent="0.2">
      <c r="A121" s="6"/>
      <c r="B121" s="3"/>
      <c r="C121" s="3"/>
      <c r="D121" s="7"/>
      <c r="E121" s="3"/>
      <c r="F121" s="6"/>
    </row>
    <row r="122" spans="1:6" x14ac:dyDescent="0.2">
      <c r="A122" s="6"/>
      <c r="B122" s="3"/>
      <c r="C122" s="3"/>
      <c r="D122" s="7"/>
      <c r="E122" s="3"/>
      <c r="F122" s="6"/>
    </row>
    <row r="123" spans="1:6" x14ac:dyDescent="0.2">
      <c r="A123" s="6"/>
      <c r="B123" s="3"/>
      <c r="C123" s="3"/>
      <c r="D123" s="7"/>
      <c r="E123" s="3"/>
      <c r="F123" s="6"/>
    </row>
    <row r="124" spans="1:6" x14ac:dyDescent="0.2">
      <c r="A124" s="6"/>
      <c r="B124" s="3"/>
      <c r="C124" s="3"/>
      <c r="D124" s="7"/>
      <c r="E124" s="3"/>
      <c r="F124" s="6"/>
    </row>
    <row r="125" spans="1:6" x14ac:dyDescent="0.2">
      <c r="A125" s="6"/>
      <c r="B125" s="3"/>
      <c r="C125" s="3"/>
      <c r="D125" s="7"/>
      <c r="E125" s="3"/>
      <c r="F125" s="6"/>
    </row>
    <row r="126" spans="1:6" x14ac:dyDescent="0.2">
      <c r="A126" s="6"/>
      <c r="B126" s="3"/>
      <c r="C126" s="3"/>
      <c r="D126" s="7"/>
      <c r="E126" s="3"/>
      <c r="F126" s="6"/>
    </row>
    <row r="127" spans="1:6" x14ac:dyDescent="0.2">
      <c r="A127" s="6"/>
      <c r="B127" s="3"/>
      <c r="C127" s="3"/>
      <c r="D127" s="7"/>
      <c r="E127" s="3"/>
      <c r="F127" s="6"/>
    </row>
    <row r="128" spans="1:6" x14ac:dyDescent="0.2">
      <c r="A128" s="6"/>
      <c r="B128" s="3"/>
      <c r="C128" s="3"/>
      <c r="D128" s="7"/>
      <c r="E128" s="3"/>
      <c r="F128" s="6"/>
    </row>
    <row r="129" spans="1:6" x14ac:dyDescent="0.2">
      <c r="A129" s="6"/>
      <c r="B129" s="3"/>
      <c r="C129" s="3"/>
      <c r="D129" s="7"/>
      <c r="E129" s="3"/>
      <c r="F129" s="159"/>
    </row>
    <row r="130" spans="1:6" x14ac:dyDescent="0.2">
      <c r="A130" s="6"/>
      <c r="B130" s="3"/>
      <c r="C130" s="3"/>
      <c r="D130" s="172"/>
      <c r="E130" s="173"/>
      <c r="F130" s="6"/>
    </row>
    <row r="131" spans="1:6" x14ac:dyDescent="0.2">
      <c r="A131" s="6"/>
      <c r="B131" s="3"/>
      <c r="C131" s="3"/>
      <c r="D131" s="7"/>
      <c r="E131" s="3"/>
      <c r="F131" s="6"/>
    </row>
    <row r="132" spans="1:6" x14ac:dyDescent="0.2">
      <c r="A132" s="6"/>
      <c r="B132" s="3"/>
      <c r="C132" s="3"/>
      <c r="D132" s="7"/>
      <c r="E132" s="3"/>
      <c r="F132" s="6"/>
    </row>
    <row r="133" spans="1:6" x14ac:dyDescent="0.2">
      <c r="A133" s="6"/>
      <c r="B133" s="3"/>
      <c r="C133" s="3"/>
      <c r="D133" s="7"/>
      <c r="E133" s="3"/>
      <c r="F133" s="6"/>
    </row>
    <row r="134" spans="1:6" x14ac:dyDescent="0.2">
      <c r="A134" s="6"/>
      <c r="B134" s="3"/>
      <c r="C134" s="3"/>
      <c r="D134" s="7"/>
      <c r="E134" s="3"/>
      <c r="F134" s="6"/>
    </row>
    <row r="135" spans="1:6" x14ac:dyDescent="0.2">
      <c r="A135" s="6"/>
      <c r="B135" s="3"/>
      <c r="C135" s="3"/>
      <c r="D135" s="7"/>
      <c r="E135" s="3"/>
      <c r="F135" s="6"/>
    </row>
    <row r="136" spans="1:6" x14ac:dyDescent="0.2">
      <c r="A136" s="6"/>
      <c r="B136" s="3"/>
      <c r="C136" s="3"/>
      <c r="D136" s="7"/>
      <c r="E136" s="3"/>
      <c r="F136" s="6"/>
    </row>
    <row r="137" spans="1:6" x14ac:dyDescent="0.2">
      <c r="A137" s="6"/>
      <c r="B137" s="3"/>
      <c r="C137" s="3"/>
      <c r="D137" s="7"/>
      <c r="E137" s="3"/>
      <c r="F137" s="6"/>
    </row>
    <row r="138" spans="1:6" x14ac:dyDescent="0.2">
      <c r="A138" s="6"/>
      <c r="B138" s="3"/>
      <c r="C138" s="3"/>
      <c r="D138" s="7"/>
      <c r="E138" s="3"/>
      <c r="F138" s="6"/>
    </row>
    <row r="139" spans="1:6" x14ac:dyDescent="0.2">
      <c r="A139" s="6"/>
      <c r="B139" s="3"/>
      <c r="C139" s="3"/>
      <c r="D139" s="7"/>
      <c r="E139" s="3"/>
      <c r="F139" s="6"/>
    </row>
    <row r="140" spans="1:6" x14ac:dyDescent="0.2">
      <c r="A140" s="6"/>
      <c r="B140" s="3"/>
      <c r="C140" s="3"/>
      <c r="D140" s="7"/>
      <c r="E140" s="3"/>
      <c r="F140" s="159"/>
    </row>
    <row r="141" spans="1:6" x14ac:dyDescent="0.2">
      <c r="A141" s="6"/>
      <c r="B141" s="3"/>
      <c r="C141" s="3"/>
      <c r="D141" s="172"/>
      <c r="E141" s="173"/>
      <c r="F141" s="6"/>
    </row>
    <row r="142" spans="1:6" x14ac:dyDescent="0.2">
      <c r="A142" s="6"/>
      <c r="B142" s="3"/>
      <c r="C142" s="3"/>
      <c r="D142" s="7"/>
      <c r="E142" s="3"/>
      <c r="F142" s="6"/>
    </row>
    <row r="143" spans="1:6" x14ac:dyDescent="0.2">
      <c r="A143" s="6"/>
      <c r="B143" s="3"/>
      <c r="C143" s="3"/>
      <c r="D143" s="7"/>
      <c r="E143" s="3"/>
      <c r="F143" s="6"/>
    </row>
    <row r="144" spans="1:6" x14ac:dyDescent="0.2">
      <c r="A144" s="6"/>
      <c r="B144" s="3"/>
      <c r="C144" s="3"/>
      <c r="D144" s="7"/>
      <c r="E144" s="3"/>
      <c r="F144" s="6"/>
    </row>
    <row r="145" spans="1:6" x14ac:dyDescent="0.2">
      <c r="A145" s="6"/>
      <c r="B145" s="3"/>
      <c r="C145" s="3"/>
      <c r="D145" s="7"/>
      <c r="E145" s="3"/>
      <c r="F145" s="6"/>
    </row>
    <row r="146" spans="1:6" x14ac:dyDescent="0.2">
      <c r="A146" s="6"/>
      <c r="B146" s="3"/>
      <c r="C146" s="3"/>
      <c r="D146" s="7"/>
      <c r="E146" s="3"/>
      <c r="F146" s="6"/>
    </row>
    <row r="147" spans="1:6" x14ac:dyDescent="0.2">
      <c r="A147" s="6"/>
      <c r="B147" s="3"/>
      <c r="C147" s="3"/>
      <c r="D147" s="7"/>
      <c r="E147" s="3"/>
      <c r="F147" s="6"/>
    </row>
    <row r="148" spans="1:6" x14ac:dyDescent="0.2">
      <c r="A148" s="6"/>
      <c r="B148" s="3"/>
      <c r="C148" s="3"/>
      <c r="D148" s="7"/>
      <c r="E148" s="3"/>
      <c r="F148" s="6"/>
    </row>
    <row r="149" spans="1:6" x14ac:dyDescent="0.2">
      <c r="A149" s="6"/>
      <c r="B149" s="3"/>
      <c r="C149" s="3"/>
      <c r="D149" s="7"/>
      <c r="E149" s="3"/>
      <c r="F149" s="6"/>
    </row>
    <row r="150" spans="1:6" x14ac:dyDescent="0.2">
      <c r="A150" s="6"/>
      <c r="B150" s="3"/>
      <c r="C150" s="3"/>
      <c r="D150" s="7"/>
      <c r="E150" s="3"/>
      <c r="F150" s="6"/>
    </row>
    <row r="151" spans="1:6" x14ac:dyDescent="0.2">
      <c r="A151" s="6"/>
      <c r="B151" s="3"/>
      <c r="C151" s="3"/>
      <c r="D151" s="7"/>
      <c r="E151" s="3"/>
      <c r="F151" s="6"/>
    </row>
    <row r="152" spans="1:6" x14ac:dyDescent="0.2">
      <c r="A152" s="6"/>
      <c r="B152" s="3"/>
      <c r="C152" s="3"/>
      <c r="D152" s="7"/>
      <c r="E152" s="3"/>
      <c r="F152" s="6"/>
    </row>
    <row r="153" spans="1:6" x14ac:dyDescent="0.2">
      <c r="A153" s="6"/>
      <c r="B153" s="3"/>
      <c r="C153" s="3"/>
      <c r="D153" s="7"/>
      <c r="E153" s="3"/>
      <c r="F153" s="159"/>
    </row>
    <row r="154" spans="1:6" x14ac:dyDescent="0.2">
      <c r="A154" s="6"/>
      <c r="B154" s="3"/>
      <c r="C154" s="3"/>
      <c r="D154" s="172"/>
      <c r="E154" s="173"/>
      <c r="F154" s="6"/>
    </row>
    <row r="155" spans="1:6" x14ac:dyDescent="0.2">
      <c r="A155" s="6"/>
      <c r="B155" s="3"/>
      <c r="C155" s="3"/>
      <c r="D155" s="7"/>
      <c r="E155" s="3"/>
      <c r="F155" s="6"/>
    </row>
    <row r="156" spans="1:6" x14ac:dyDescent="0.2">
      <c r="A156" s="6"/>
      <c r="B156" s="3"/>
      <c r="C156" s="3"/>
      <c r="D156" s="7"/>
      <c r="E156" s="3"/>
      <c r="F156" s="6"/>
    </row>
    <row r="157" spans="1:6" x14ac:dyDescent="0.2">
      <c r="A157" s="6"/>
      <c r="B157" s="3"/>
      <c r="C157" s="3"/>
      <c r="D157" s="7"/>
      <c r="E157" s="3"/>
      <c r="F157" s="6"/>
    </row>
    <row r="158" spans="1:6" x14ac:dyDescent="0.2">
      <c r="A158" s="6"/>
      <c r="B158" s="3"/>
      <c r="C158" s="3"/>
      <c r="D158" s="7"/>
      <c r="E158" s="3"/>
      <c r="F158" s="6"/>
    </row>
    <row r="159" spans="1:6" x14ac:dyDescent="0.2">
      <c r="A159" s="6"/>
      <c r="B159" s="3"/>
      <c r="C159" s="3"/>
      <c r="D159" s="7"/>
      <c r="E159" s="3"/>
      <c r="F159" s="6"/>
    </row>
    <row r="160" spans="1:6" x14ac:dyDescent="0.2">
      <c r="A160" s="6"/>
      <c r="B160" s="3"/>
      <c r="C160" s="3"/>
      <c r="D160" s="7"/>
      <c r="E160" s="3"/>
      <c r="F160" s="6"/>
    </row>
    <row r="161" spans="1:6" x14ac:dyDescent="0.2">
      <c r="A161" s="6"/>
      <c r="B161" s="3"/>
      <c r="C161" s="3"/>
      <c r="D161" s="7"/>
      <c r="E161" s="3"/>
      <c r="F161" s="6"/>
    </row>
    <row r="162" spans="1:6" x14ac:dyDescent="0.2">
      <c r="A162" s="6"/>
      <c r="B162" s="3"/>
      <c r="C162" s="3"/>
      <c r="D162" s="7"/>
      <c r="E162" s="3"/>
      <c r="F162" s="6"/>
    </row>
    <row r="163" spans="1:6" x14ac:dyDescent="0.2">
      <c r="A163" s="6"/>
      <c r="B163" s="3"/>
      <c r="C163" s="3"/>
      <c r="D163" s="7"/>
      <c r="E163" s="3"/>
      <c r="F163" s="6"/>
    </row>
    <row r="164" spans="1:6" x14ac:dyDescent="0.2">
      <c r="A164" s="6"/>
      <c r="B164" s="3"/>
      <c r="C164" s="3"/>
      <c r="D164" s="7"/>
      <c r="E164" s="3"/>
      <c r="F164" s="6"/>
    </row>
    <row r="165" spans="1:6" x14ac:dyDescent="0.2">
      <c r="A165" s="6"/>
      <c r="B165" s="3"/>
      <c r="C165" s="3"/>
      <c r="D165" s="7"/>
      <c r="E165" s="3"/>
      <c r="F165" s="6"/>
    </row>
    <row r="166" spans="1:6" x14ac:dyDescent="0.2">
      <c r="A166" s="6"/>
      <c r="B166" s="3"/>
      <c r="C166" s="3"/>
      <c r="D166" s="7"/>
      <c r="E166" s="3"/>
      <c r="F166" s="6"/>
    </row>
    <row r="167" spans="1:6" x14ac:dyDescent="0.2">
      <c r="A167" s="6"/>
      <c r="B167" s="3"/>
      <c r="C167" s="3"/>
      <c r="D167" s="7"/>
      <c r="E167" s="3"/>
      <c r="F167" s="6"/>
    </row>
    <row r="168" spans="1:6" x14ac:dyDescent="0.2">
      <c r="A168" s="6"/>
      <c r="B168" s="3"/>
      <c r="C168" s="3"/>
      <c r="D168" s="7"/>
      <c r="E168" s="3"/>
      <c r="F168" s="6"/>
    </row>
    <row r="169" spans="1:6" x14ac:dyDescent="0.2">
      <c r="A169" s="6"/>
      <c r="B169" s="3"/>
      <c r="C169" s="3"/>
      <c r="D169" s="7"/>
      <c r="E169" s="3"/>
      <c r="F169" s="6"/>
    </row>
    <row r="170" spans="1:6" x14ac:dyDescent="0.2">
      <c r="A170" s="6"/>
      <c r="B170" s="3"/>
      <c r="C170" s="3"/>
      <c r="D170" s="7"/>
      <c r="E170" s="3"/>
      <c r="F170" s="6"/>
    </row>
    <row r="171" spans="1:6" x14ac:dyDescent="0.2">
      <c r="A171" s="6"/>
      <c r="B171" s="3"/>
      <c r="C171" s="3"/>
      <c r="D171" s="7"/>
      <c r="E171" s="3"/>
      <c r="F171" s="6"/>
    </row>
    <row r="172" spans="1:6" x14ac:dyDescent="0.2">
      <c r="A172" s="6"/>
      <c r="B172" s="3"/>
      <c r="C172" s="3"/>
      <c r="D172" s="7"/>
      <c r="E172" s="3"/>
      <c r="F172" s="159"/>
    </row>
    <row r="173" spans="1:6" x14ac:dyDescent="0.2">
      <c r="A173" s="6"/>
      <c r="B173" s="3"/>
      <c r="C173" s="3"/>
      <c r="D173" s="172"/>
      <c r="E173" s="173"/>
      <c r="F173" s="6"/>
    </row>
    <row r="174" spans="1:6" x14ac:dyDescent="0.2">
      <c r="A174" s="6"/>
      <c r="B174" s="3"/>
      <c r="C174" s="3"/>
      <c r="D174" s="7"/>
      <c r="E174" s="3"/>
      <c r="F174" s="6"/>
    </row>
    <row r="175" spans="1:6" x14ac:dyDescent="0.2">
      <c r="A175" s="6"/>
      <c r="B175" s="3"/>
      <c r="C175" s="3"/>
      <c r="D175" s="7"/>
      <c r="E175" s="3"/>
      <c r="F175" s="6"/>
    </row>
    <row r="176" spans="1:6" x14ac:dyDescent="0.2">
      <c r="A176" s="6"/>
      <c r="B176" s="3"/>
      <c r="C176" s="3"/>
      <c r="D176" s="7"/>
      <c r="E176" s="3"/>
      <c r="F176" s="6"/>
    </row>
    <row r="177" spans="1:6" x14ac:dyDescent="0.2">
      <c r="A177" s="6"/>
      <c r="B177" s="3"/>
      <c r="C177" s="3"/>
      <c r="D177" s="7"/>
      <c r="E177" s="3"/>
      <c r="F177" s="6"/>
    </row>
    <row r="178" spans="1:6" x14ac:dyDescent="0.2">
      <c r="A178" s="6"/>
      <c r="B178" s="3"/>
      <c r="C178" s="3"/>
      <c r="D178" s="7"/>
      <c r="E178" s="3"/>
      <c r="F178" s="6"/>
    </row>
    <row r="179" spans="1:6" x14ac:dyDescent="0.2">
      <c r="A179" s="6"/>
      <c r="B179" s="3"/>
      <c r="C179" s="3"/>
      <c r="D179" s="7"/>
      <c r="E179" s="3"/>
      <c r="F179" s="6"/>
    </row>
    <row r="180" spans="1:6" x14ac:dyDescent="0.2">
      <c r="A180" s="6"/>
      <c r="B180" s="3"/>
      <c r="C180" s="3"/>
      <c r="D180" s="7"/>
      <c r="E180" s="3"/>
      <c r="F180" s="6"/>
    </row>
    <row r="181" spans="1:6" x14ac:dyDescent="0.2">
      <c r="A181" s="6"/>
      <c r="B181" s="3"/>
      <c r="C181" s="3"/>
      <c r="D181" s="7"/>
      <c r="E181" s="3"/>
      <c r="F181" s="6"/>
    </row>
    <row r="182" spans="1:6" x14ac:dyDescent="0.2">
      <c r="A182" s="6"/>
      <c r="B182" s="3"/>
      <c r="C182" s="3"/>
      <c r="D182" s="7"/>
      <c r="E182" s="3"/>
      <c r="F182" s="6"/>
    </row>
    <row r="183" spans="1:6" x14ac:dyDescent="0.2">
      <c r="A183" s="6"/>
      <c r="B183" s="3"/>
      <c r="C183" s="3"/>
      <c r="D183" s="7"/>
      <c r="E183" s="3"/>
      <c r="F183" s="6"/>
    </row>
    <row r="184" spans="1:6" x14ac:dyDescent="0.2">
      <c r="A184" s="6"/>
      <c r="B184" s="3"/>
      <c r="C184" s="3"/>
      <c r="D184" s="7"/>
      <c r="E184" s="3"/>
      <c r="F184" s="6"/>
    </row>
    <row r="185" spans="1:6" x14ac:dyDescent="0.2">
      <c r="A185" s="6"/>
      <c r="B185" s="3"/>
      <c r="C185" s="3"/>
      <c r="D185" s="7"/>
      <c r="E185" s="3"/>
      <c r="F185" s="6"/>
    </row>
    <row r="186" spans="1:6" x14ac:dyDescent="0.2">
      <c r="A186" s="6"/>
      <c r="B186" s="3"/>
      <c r="C186" s="3"/>
      <c r="D186" s="7"/>
      <c r="E186" s="3"/>
      <c r="F186" s="6"/>
    </row>
    <row r="187" spans="1:6" x14ac:dyDescent="0.2">
      <c r="A187" s="6"/>
      <c r="B187" s="3"/>
      <c r="C187" s="3"/>
      <c r="D187" s="7"/>
      <c r="E187" s="3"/>
      <c r="F187" s="6"/>
    </row>
    <row r="188" spans="1:6" x14ac:dyDescent="0.2">
      <c r="A188" s="6"/>
      <c r="B188" s="3"/>
      <c r="C188" s="3"/>
      <c r="D188" s="7"/>
      <c r="E188" s="3"/>
      <c r="F188" s="6"/>
    </row>
    <row r="189" spans="1:6" x14ac:dyDescent="0.2">
      <c r="A189" s="6"/>
      <c r="B189" s="3"/>
      <c r="C189" s="3"/>
      <c r="D189" s="7"/>
      <c r="E189" s="3"/>
      <c r="F189" s="159"/>
    </row>
    <row r="190" spans="1:6" x14ac:dyDescent="0.2">
      <c r="A190" s="6"/>
      <c r="B190" s="3"/>
      <c r="C190" s="3"/>
      <c r="D190" s="172"/>
      <c r="E190" s="173"/>
      <c r="F190" s="6"/>
    </row>
    <row r="191" spans="1:6" x14ac:dyDescent="0.2">
      <c r="A191" s="6"/>
      <c r="B191" s="3"/>
      <c r="C191" s="3"/>
      <c r="D191" s="7"/>
      <c r="E191" s="3"/>
      <c r="F191" s="6"/>
    </row>
    <row r="192" spans="1:6" x14ac:dyDescent="0.2">
      <c r="A192" s="6"/>
      <c r="B192" s="3"/>
      <c r="C192" s="3"/>
      <c r="D192" s="7"/>
      <c r="E192" s="3"/>
      <c r="F192" s="6"/>
    </row>
    <row r="193" spans="1:6" x14ac:dyDescent="0.2">
      <c r="A193" s="6"/>
      <c r="B193" s="3"/>
      <c r="C193" s="3"/>
      <c r="D193" s="7"/>
      <c r="E193" s="3"/>
      <c r="F193" s="6"/>
    </row>
    <row r="194" spans="1:6" x14ac:dyDescent="0.2">
      <c r="A194" s="6"/>
      <c r="B194" s="3"/>
      <c r="C194" s="3"/>
      <c r="D194" s="7"/>
      <c r="E194" s="3"/>
      <c r="F194" s="6"/>
    </row>
    <row r="195" spans="1:6" x14ac:dyDescent="0.2">
      <c r="A195" s="6"/>
      <c r="B195" s="3"/>
      <c r="C195" s="3"/>
      <c r="D195" s="7"/>
      <c r="E195" s="3"/>
      <c r="F195" s="6"/>
    </row>
    <row r="196" spans="1:6" x14ac:dyDescent="0.2">
      <c r="A196" s="6"/>
      <c r="B196" s="3"/>
      <c r="C196" s="3"/>
      <c r="D196" s="7"/>
      <c r="E196" s="3"/>
      <c r="F196" s="6"/>
    </row>
    <row r="197" spans="1:6" x14ac:dyDescent="0.2">
      <c r="A197" s="6"/>
      <c r="B197" s="3"/>
      <c r="C197" s="3"/>
      <c r="D197" s="7"/>
      <c r="E197" s="3"/>
      <c r="F197" s="6"/>
    </row>
    <row r="198" spans="1:6" x14ac:dyDescent="0.2">
      <c r="A198" s="6"/>
      <c r="B198" s="3"/>
      <c r="C198" s="3"/>
      <c r="D198" s="7"/>
      <c r="E198" s="3"/>
      <c r="F198" s="6"/>
    </row>
    <row r="199" spans="1:6" x14ac:dyDescent="0.2">
      <c r="A199" s="6"/>
      <c r="B199" s="3"/>
      <c r="C199" s="3"/>
      <c r="D199" s="7"/>
      <c r="E199" s="3"/>
      <c r="F199" s="6"/>
    </row>
    <row r="200" spans="1:6" x14ac:dyDescent="0.2">
      <c r="A200" s="6"/>
      <c r="B200" s="3"/>
      <c r="C200" s="3"/>
      <c r="D200" s="7"/>
      <c r="E200" s="3"/>
      <c r="F200" s="6"/>
    </row>
    <row r="201" spans="1:6" x14ac:dyDescent="0.2">
      <c r="A201" s="6"/>
      <c r="B201" s="3"/>
      <c r="C201" s="3"/>
      <c r="D201" s="7"/>
      <c r="E201" s="3"/>
      <c r="F201" s="6"/>
    </row>
    <row r="202" spans="1:6" x14ac:dyDescent="0.2">
      <c r="A202" s="6"/>
      <c r="B202" s="3"/>
      <c r="C202" s="3"/>
      <c r="D202" s="7"/>
      <c r="E202" s="3"/>
      <c r="F202" s="6"/>
    </row>
    <row r="203" spans="1:6" x14ac:dyDescent="0.2">
      <c r="A203" s="6"/>
      <c r="B203" s="3"/>
      <c r="C203" s="3"/>
      <c r="D203" s="7"/>
      <c r="E203" s="3"/>
      <c r="F203" s="6"/>
    </row>
    <row r="204" spans="1:6" x14ac:dyDescent="0.2">
      <c r="A204" s="6"/>
      <c r="B204" s="3"/>
      <c r="C204" s="3"/>
      <c r="D204" s="7"/>
      <c r="E204" s="3"/>
      <c r="F204" s="6"/>
    </row>
    <row r="205" spans="1:6" x14ac:dyDescent="0.2">
      <c r="A205" s="6"/>
      <c r="B205" s="3"/>
      <c r="C205" s="3"/>
      <c r="D205" s="7"/>
      <c r="E205" s="3"/>
      <c r="F205" s="6"/>
    </row>
    <row r="206" spans="1:6" x14ac:dyDescent="0.2">
      <c r="A206" s="6"/>
      <c r="B206" s="3"/>
      <c r="C206" s="3"/>
      <c r="D206" s="7"/>
      <c r="E206" s="3"/>
      <c r="F206" s="6"/>
    </row>
    <row r="207" spans="1:6" x14ac:dyDescent="0.2">
      <c r="A207" s="6"/>
      <c r="B207" s="3"/>
      <c r="C207" s="3"/>
      <c r="D207" s="7"/>
      <c r="E207" s="3"/>
      <c r="F207" s="10"/>
    </row>
    <row r="208" spans="1:6" x14ac:dyDescent="0.2">
      <c r="D208" s="14"/>
      <c r="E208" s="10"/>
      <c r="F208" s="10"/>
    </row>
    <row r="209" spans="3:5" x14ac:dyDescent="0.2">
      <c r="C209" s="10"/>
      <c r="D209" s="14"/>
      <c r="E209" s="10"/>
    </row>
  </sheetData>
  <autoFilter ref="A1:F1"/>
  <sortState ref="B2:E205">
    <sortCondition ref="D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3"/>
  <sheetViews>
    <sheetView topLeftCell="A262" zoomScaleNormal="100" workbookViewId="0">
      <selection activeCell="H284" sqref="H284"/>
    </sheetView>
  </sheetViews>
  <sheetFormatPr baseColWidth="10" defaultColWidth="11.42578125" defaultRowHeight="15" x14ac:dyDescent="0.25"/>
  <cols>
    <col min="1" max="1" width="15.5703125" customWidth="1"/>
    <col min="2" max="2" width="11.42578125" customWidth="1"/>
    <col min="3" max="3" width="35.85546875" bestFit="1" customWidth="1"/>
    <col min="4" max="4" width="11.42578125" customWidth="1"/>
    <col min="6" max="6" width="13.140625" customWidth="1"/>
    <col min="8" max="8" width="25.42578125" bestFit="1" customWidth="1"/>
  </cols>
  <sheetData>
    <row r="1" spans="1:5" ht="23.25" x14ac:dyDescent="0.35">
      <c r="A1" s="355" t="s">
        <v>143</v>
      </c>
      <c r="B1" s="356"/>
      <c r="C1" s="356"/>
      <c r="D1" s="356"/>
      <c r="E1" s="357"/>
    </row>
    <row r="2" spans="1:5" ht="23.25" x14ac:dyDescent="0.35">
      <c r="A2" s="358" t="s">
        <v>260</v>
      </c>
      <c r="B2" s="359"/>
      <c r="C2" s="359"/>
      <c r="D2" s="359"/>
      <c r="E2" s="360"/>
    </row>
    <row r="3" spans="1:5" ht="18.75" x14ac:dyDescent="0.3">
      <c r="A3" s="361" t="s">
        <v>215</v>
      </c>
      <c r="B3" s="362"/>
      <c r="C3" s="362"/>
      <c r="D3" s="362"/>
      <c r="E3" s="363"/>
    </row>
    <row r="4" spans="1:5" ht="19.5" thickBot="1" x14ac:dyDescent="0.35">
      <c r="A4" s="168"/>
      <c r="B4" s="169"/>
      <c r="C4" s="169"/>
      <c r="D4" s="169"/>
      <c r="E4" s="170"/>
    </row>
    <row r="5" spans="1:5" s="64" customFormat="1" ht="18.75" x14ac:dyDescent="0.3">
      <c r="A5" s="156"/>
      <c r="B5" s="156"/>
      <c r="C5" s="156"/>
      <c r="D5" s="156"/>
      <c r="E5" s="156"/>
    </row>
    <row r="6" spans="1:5" s="64" customFormat="1" ht="19.5" thickBot="1" x14ac:dyDescent="0.35">
      <c r="A6" s="156"/>
      <c r="B6" s="156"/>
      <c r="C6" s="156"/>
      <c r="D6" s="156"/>
      <c r="E6" s="156"/>
    </row>
    <row r="7" spans="1:5" ht="15.75" thickBot="1" x14ac:dyDescent="0.3">
      <c r="A7" s="352">
        <v>42736</v>
      </c>
      <c r="B7" s="353"/>
      <c r="C7" s="354"/>
      <c r="D7" s="196" t="s">
        <v>144</v>
      </c>
      <c r="E7" s="158" t="s">
        <v>145</v>
      </c>
    </row>
    <row r="8" spans="1:5" x14ac:dyDescent="0.25">
      <c r="A8" s="85" t="s">
        <v>184</v>
      </c>
      <c r="B8" s="86"/>
      <c r="C8" s="92"/>
      <c r="D8" s="132">
        <f>COUNTIFS('Données '!$A:$A,"JANVIER")</f>
        <v>27</v>
      </c>
      <c r="E8" s="76"/>
    </row>
    <row r="9" spans="1:5" x14ac:dyDescent="0.25">
      <c r="A9" s="61" t="s">
        <v>202</v>
      </c>
      <c r="B9" s="62"/>
      <c r="C9" s="62"/>
      <c r="D9" s="91">
        <f>COUNTIFS('Données '!$A:$A,"JANVIER",'Données '!$F:$F,1)</f>
        <v>0</v>
      </c>
      <c r="E9" s="63"/>
    </row>
    <row r="10" spans="1:5" s="64" customFormat="1" x14ac:dyDescent="0.25">
      <c r="A10" s="61" t="s">
        <v>220</v>
      </c>
      <c r="B10" s="62"/>
      <c r="C10" s="62"/>
      <c r="D10" s="91">
        <f>COUNTIFS('Données '!$A:$A,"JANVIER",'Données '!$BW:$BW,"OUI")</f>
        <v>0</v>
      </c>
      <c r="E10" s="129">
        <f>D10/D8</f>
        <v>0</v>
      </c>
    </row>
    <row r="11" spans="1:5" x14ac:dyDescent="0.25">
      <c r="A11" s="87" t="s">
        <v>146</v>
      </c>
      <c r="B11" s="88"/>
      <c r="C11" s="88"/>
      <c r="D11" s="91">
        <f>COUNTIFS('Données '!$A:$A,"JANVIER",'Données '!$O:$O,"CABG")</f>
        <v>0</v>
      </c>
      <c r="E11" s="77">
        <f>D11/D8</f>
        <v>0</v>
      </c>
    </row>
    <row r="12" spans="1:5" x14ac:dyDescent="0.25">
      <c r="A12" s="83" t="s">
        <v>147</v>
      </c>
      <c r="B12" s="84"/>
      <c r="C12" s="84"/>
      <c r="D12" s="91">
        <f>SUM($D$13:$D$18)</f>
        <v>0</v>
      </c>
      <c r="E12" s="77">
        <f>D12/D8</f>
        <v>0</v>
      </c>
    </row>
    <row r="13" spans="1:5" x14ac:dyDescent="0.25">
      <c r="A13" s="68"/>
      <c r="B13" s="69"/>
      <c r="C13" s="69" t="s">
        <v>1</v>
      </c>
      <c r="D13" s="96">
        <f>COUNTIFS('Données '!$A:$A,"JANVIER",'Données '!$R:$R,"AVR")</f>
        <v>0</v>
      </c>
      <c r="E13" s="133" t="str">
        <f>IFERROR(D13/#REF!,"")</f>
        <v/>
      </c>
    </row>
    <row r="14" spans="1:5" x14ac:dyDescent="0.25">
      <c r="A14" s="68"/>
      <c r="B14" s="69"/>
      <c r="C14" s="69" t="s">
        <v>72</v>
      </c>
      <c r="D14" s="96">
        <f>COUNTIFS('Données '!$A:$A,"JANVIER",'Données '!$R:$R,"TVR")</f>
        <v>0</v>
      </c>
      <c r="E14" s="133" t="str">
        <f>IFERROR(D14/#REF!,"")</f>
        <v/>
      </c>
    </row>
    <row r="15" spans="1:5" x14ac:dyDescent="0.25">
      <c r="A15" s="68"/>
      <c r="B15" s="69"/>
      <c r="C15" s="69" t="s">
        <v>62</v>
      </c>
      <c r="D15" s="96">
        <f>COUNTIFS('Données '!$A:$A,"JANVIER",'Données '!$R:$R,"TVP")</f>
        <v>0</v>
      </c>
      <c r="E15" s="133" t="str">
        <f>IFERROR(D15/#REF!,"")</f>
        <v/>
      </c>
    </row>
    <row r="16" spans="1:5" x14ac:dyDescent="0.25">
      <c r="A16" s="68"/>
      <c r="B16" s="69"/>
      <c r="C16" s="69" t="s">
        <v>64</v>
      </c>
      <c r="D16" s="96">
        <f>COUNTIFS('Données '!$A:$A,"JANVIER",'Données '!$R:$R,"MVR")</f>
        <v>0</v>
      </c>
      <c r="E16" s="133" t="str">
        <f>IFERROR(D16/#REF!,"")</f>
        <v/>
      </c>
    </row>
    <row r="17" spans="1:8" x14ac:dyDescent="0.25">
      <c r="A17" s="68"/>
      <c r="B17" s="69"/>
      <c r="C17" s="69" t="s">
        <v>63</v>
      </c>
      <c r="D17" s="96">
        <f>COUNTIFS('Données '!$A:$A,"JANVIER",'Données '!$R:$R,"MVP")</f>
        <v>0</v>
      </c>
      <c r="E17" s="133" t="str">
        <f>IFERROR(D17/#REF!,"")</f>
        <v/>
      </c>
    </row>
    <row r="18" spans="1:8" x14ac:dyDescent="0.25">
      <c r="A18" s="70"/>
      <c r="B18" s="71"/>
      <c r="C18" s="71" t="s">
        <v>148</v>
      </c>
      <c r="D18" s="96">
        <f>COUNTIFS('Données '!$A:$A,"JANVIER",'Données '!$R:$R,"2 V ou plus")</f>
        <v>0</v>
      </c>
      <c r="E18" s="133" t="str">
        <f>IFERROR(D18/#REF!,"")</f>
        <v/>
      </c>
    </row>
    <row r="19" spans="1:8" x14ac:dyDescent="0.25">
      <c r="A19" s="87" t="s">
        <v>180</v>
      </c>
      <c r="B19" s="88"/>
      <c r="C19" s="93"/>
      <c r="D19" s="79">
        <f>COUNTIFS('Données '!$A:$A,"JANVIER",'Données '!$Q:$Q,"CABG + V")</f>
        <v>0</v>
      </c>
      <c r="E19" s="77">
        <f>D19/D8</f>
        <v>0</v>
      </c>
    </row>
    <row r="20" spans="1:8" x14ac:dyDescent="0.25">
      <c r="A20" s="87" t="s">
        <v>181</v>
      </c>
      <c r="B20" s="88"/>
      <c r="C20" s="93"/>
      <c r="D20" s="79">
        <f>COUNTIFS('Données '!$A:$A,"JANVIER",'Données '!$O:$O,"Autre")</f>
        <v>0</v>
      </c>
      <c r="E20" s="77">
        <f>D20/D8</f>
        <v>0</v>
      </c>
    </row>
    <row r="21" spans="1:8" x14ac:dyDescent="0.25">
      <c r="A21" s="87" t="s">
        <v>154</v>
      </c>
      <c r="B21" s="88"/>
      <c r="C21" s="93"/>
      <c r="D21" s="79">
        <f>COUNTIFS('Données '!$A:$A,"JANVIER",'Données '!$O:$O,"Aorte")</f>
        <v>0</v>
      </c>
      <c r="E21" s="77">
        <f>D21/D8</f>
        <v>0</v>
      </c>
    </row>
    <row r="22" spans="1:8" x14ac:dyDescent="0.25">
      <c r="A22" s="89" t="s">
        <v>152</v>
      </c>
      <c r="B22" s="90"/>
      <c r="C22" s="94"/>
      <c r="D22" s="79">
        <f>SUM($D$23:$D$24)</f>
        <v>0</v>
      </c>
      <c r="E22" s="77">
        <f>D22/D8</f>
        <v>0</v>
      </c>
    </row>
    <row r="23" spans="1:8" x14ac:dyDescent="0.25">
      <c r="A23" s="68"/>
      <c r="B23" s="69"/>
      <c r="C23" s="69" t="s">
        <v>45</v>
      </c>
      <c r="D23" s="96">
        <f>COUNTIFS('Données '!$A:$A,"JANVIER",'Données '!$O:$O,"LVAD")</f>
        <v>0</v>
      </c>
      <c r="E23" s="95">
        <f>D23/D8</f>
        <v>0</v>
      </c>
    </row>
    <row r="24" spans="1:8" ht="15.75" thickBot="1" x14ac:dyDescent="0.3">
      <c r="A24" s="72"/>
      <c r="B24" s="73"/>
      <c r="C24" s="73" t="s">
        <v>151</v>
      </c>
      <c r="D24" s="135">
        <f>COUNTIFS('Données '!$A:$A,"JANVIER",'Données '!$O:$O,"HTX")</f>
        <v>0</v>
      </c>
      <c r="E24" s="136">
        <f>D24/D8</f>
        <v>0</v>
      </c>
    </row>
    <row r="25" spans="1:8" x14ac:dyDescent="0.25">
      <c r="A25" s="47" t="s">
        <v>169</v>
      </c>
      <c r="B25" s="48"/>
      <c r="C25" s="49"/>
      <c r="D25" s="43">
        <f>COUNTIFS('Données '!$A:$A,"JANVIER",'Données '!$Y:$Y,1)</f>
        <v>27</v>
      </c>
      <c r="E25" s="140">
        <f>D25/D8</f>
        <v>1</v>
      </c>
    </row>
    <row r="26" spans="1:8" x14ac:dyDescent="0.25">
      <c r="A26" s="70" t="s">
        <v>149</v>
      </c>
      <c r="B26" s="71"/>
      <c r="C26" s="71"/>
      <c r="D26" s="79">
        <f>COUNTIFS('Données '!$A:$A,"JANVIER",'Données '!$AN:$AN,"DECEASED")</f>
        <v>0</v>
      </c>
      <c r="E26" s="77">
        <f>D26/D8</f>
        <v>0</v>
      </c>
    </row>
    <row r="27" spans="1:8" x14ac:dyDescent="0.25">
      <c r="A27" s="66" t="s">
        <v>150</v>
      </c>
      <c r="B27" s="67"/>
      <c r="C27" s="67"/>
      <c r="D27" s="91">
        <v>4.5999999999999996</v>
      </c>
      <c r="E27" s="78"/>
    </row>
    <row r="28" spans="1:8" x14ac:dyDescent="0.25">
      <c r="A28" s="66" t="s">
        <v>167</v>
      </c>
      <c r="B28" s="67"/>
      <c r="C28" s="67"/>
      <c r="D28" s="91">
        <v>17.3</v>
      </c>
      <c r="E28" s="78"/>
    </row>
    <row r="29" spans="1:8" x14ac:dyDescent="0.25">
      <c r="A29" s="66" t="s">
        <v>221</v>
      </c>
      <c r="B29" s="67"/>
      <c r="C29" s="67"/>
      <c r="D29" s="91">
        <f>COUNTIFS('Données '!$A:$A,"JANVIER",'Données '!$AD:$AD,1,'Données '!$O:$O,"&lt;&gt;LVAD",'Données '!$O:$O,"&lt;&gt;HTX")</f>
        <v>0</v>
      </c>
      <c r="E29" s="77">
        <f>D29/26</f>
        <v>0</v>
      </c>
    </row>
    <row r="30" spans="1:8" x14ac:dyDescent="0.25">
      <c r="A30" s="40" t="s">
        <v>222</v>
      </c>
      <c r="B30" s="41"/>
      <c r="C30" s="41"/>
      <c r="D30" s="91">
        <f>COUNTIFS('Données '!$A:$A,"JANVIER",'Données '!$AI:$AI,"&lt;&gt;0",'Données '!$O:$O,"&lt;&gt;LVAD",'Données '!$O:$O,"&lt;&gt;HTX")</f>
        <v>13</v>
      </c>
      <c r="E30" s="77">
        <f>D30/26</f>
        <v>0.5</v>
      </c>
    </row>
    <row r="31" spans="1:8" ht="15.75" thickBot="1" x14ac:dyDescent="0.3">
      <c r="A31" s="74" t="s">
        <v>223</v>
      </c>
      <c r="B31" s="75"/>
      <c r="C31" s="75"/>
      <c r="D31" s="195">
        <v>6.5</v>
      </c>
      <c r="E31" s="42"/>
      <c r="H31" s="64"/>
    </row>
    <row r="32" spans="1:8" x14ac:dyDescent="0.25">
      <c r="H32" s="64"/>
    </row>
    <row r="35" spans="1:5" ht="15.75" thickBot="1" x14ac:dyDescent="0.3"/>
    <row r="36" spans="1:5" s="64" customFormat="1" ht="15.75" thickBot="1" x14ac:dyDescent="0.3">
      <c r="A36" s="352">
        <v>42767</v>
      </c>
      <c r="B36" s="353"/>
      <c r="C36" s="354"/>
      <c r="D36" s="80" t="s">
        <v>144</v>
      </c>
      <c r="E36" s="81" t="s">
        <v>145</v>
      </c>
    </row>
    <row r="37" spans="1:5" s="64" customFormat="1" x14ac:dyDescent="0.25">
      <c r="A37" s="85" t="s">
        <v>184</v>
      </c>
      <c r="B37" s="86"/>
      <c r="C37" s="92"/>
      <c r="D37" s="132">
        <f>COUNTIFS('Données '!$A:$A,"FEVRIER")</f>
        <v>29</v>
      </c>
      <c r="E37" s="76"/>
    </row>
    <row r="38" spans="1:5" s="64" customFormat="1" x14ac:dyDescent="0.25">
      <c r="A38" s="61" t="s">
        <v>202</v>
      </c>
      <c r="B38" s="62"/>
      <c r="C38" s="62"/>
      <c r="D38" s="91">
        <f>COUNTIFS('Données '!$A:$A,"FEVRIER",'Données '!$F:$F,1)</f>
        <v>0</v>
      </c>
      <c r="E38" s="63"/>
    </row>
    <row r="39" spans="1:5" s="64" customFormat="1" x14ac:dyDescent="0.25">
      <c r="A39" s="61" t="s">
        <v>220</v>
      </c>
      <c r="B39" s="62"/>
      <c r="C39" s="62"/>
      <c r="D39" s="91">
        <f>COUNTIFS('Données '!$A:$A,"FEVRIER",'Données '!$BW:$BW,"OUI")</f>
        <v>0</v>
      </c>
      <c r="E39" s="129">
        <f>D39/D37</f>
        <v>0</v>
      </c>
    </row>
    <row r="40" spans="1:5" s="64" customFormat="1" x14ac:dyDescent="0.25">
      <c r="A40" s="87" t="s">
        <v>146</v>
      </c>
      <c r="B40" s="88"/>
      <c r="C40" s="88"/>
      <c r="D40" s="91">
        <f>COUNTIFS('Données '!$A:$A,"FEVRIER",'Données '!$O:$O,"CABG")</f>
        <v>0</v>
      </c>
      <c r="E40" s="77">
        <f>D40/D37</f>
        <v>0</v>
      </c>
    </row>
    <row r="41" spans="1:5" s="64" customFormat="1" x14ac:dyDescent="0.25">
      <c r="A41" s="83" t="s">
        <v>147</v>
      </c>
      <c r="B41" s="84"/>
      <c r="C41" s="84"/>
      <c r="D41" s="91">
        <f>SUM($D$42:$D$47)</f>
        <v>0</v>
      </c>
      <c r="E41" s="77">
        <f>D41/D37</f>
        <v>0</v>
      </c>
    </row>
    <row r="42" spans="1:5" s="64" customFormat="1" x14ac:dyDescent="0.25">
      <c r="A42" s="68"/>
      <c r="B42" s="69"/>
      <c r="C42" s="69" t="s">
        <v>1</v>
      </c>
      <c r="D42" s="96">
        <f>COUNTIFS('Données '!$A:$A,"FEVRIER",'Données '!$R:$R,"AVR")</f>
        <v>0</v>
      </c>
      <c r="E42" s="133" t="str">
        <f>IFERROR(D42/#REF!,"")</f>
        <v/>
      </c>
    </row>
    <row r="43" spans="1:5" s="64" customFormat="1" x14ac:dyDescent="0.25">
      <c r="A43" s="68"/>
      <c r="B43" s="69"/>
      <c r="C43" s="69" t="s">
        <v>72</v>
      </c>
      <c r="D43" s="96">
        <f>COUNTIFS('Données '!$A:$A,"FEVRIER",'Données '!$R:$R,"TVR")</f>
        <v>0</v>
      </c>
      <c r="E43" s="133" t="str">
        <f>IFERROR(D43/#REF!,"")</f>
        <v/>
      </c>
    </row>
    <row r="44" spans="1:5" s="64" customFormat="1" x14ac:dyDescent="0.25">
      <c r="A44" s="68"/>
      <c r="B44" s="69"/>
      <c r="C44" s="69" t="s">
        <v>62</v>
      </c>
      <c r="D44" s="96">
        <f>COUNTIFS('Données '!$A:$A,"FEVRIER",'Données '!$R:$R,"TVP")</f>
        <v>0</v>
      </c>
      <c r="E44" s="133" t="str">
        <f>IFERROR(D44/#REF!,"")</f>
        <v/>
      </c>
    </row>
    <row r="45" spans="1:5" s="64" customFormat="1" x14ac:dyDescent="0.25">
      <c r="A45" s="68"/>
      <c r="B45" s="69"/>
      <c r="C45" s="69" t="s">
        <v>64</v>
      </c>
      <c r="D45" s="96">
        <f>COUNTIFS('Données '!$A:$A,"FEVRIER",'Données '!$R:$R,"MVR")</f>
        <v>0</v>
      </c>
      <c r="E45" s="133" t="str">
        <f>IFERROR(D45/#REF!,"")</f>
        <v/>
      </c>
    </row>
    <row r="46" spans="1:5" s="64" customFormat="1" x14ac:dyDescent="0.25">
      <c r="A46" s="68"/>
      <c r="B46" s="69"/>
      <c r="C46" s="69" t="s">
        <v>63</v>
      </c>
      <c r="D46" s="96">
        <f>COUNTIFS('Données '!$A:$A,"FEVRIER",'Données '!$R:$R,"MVP")</f>
        <v>0</v>
      </c>
      <c r="E46" s="133" t="str">
        <f>IFERROR(D46/#REF!,"")</f>
        <v/>
      </c>
    </row>
    <row r="47" spans="1:5" s="64" customFormat="1" x14ac:dyDescent="0.25">
      <c r="A47" s="70"/>
      <c r="B47" s="71"/>
      <c r="C47" s="71" t="s">
        <v>148</v>
      </c>
      <c r="D47" s="96">
        <f>COUNTIFS('Données '!$A:$A,"FEVRIER",'Données '!$R:$R,"2 V ou plus")</f>
        <v>0</v>
      </c>
      <c r="E47" s="133" t="str">
        <f>IFERROR(D47/#REF!,"")</f>
        <v/>
      </c>
    </row>
    <row r="48" spans="1:5" s="64" customFormat="1" x14ac:dyDescent="0.25">
      <c r="A48" s="87" t="s">
        <v>180</v>
      </c>
      <c r="B48" s="88"/>
      <c r="C48" s="93"/>
      <c r="D48" s="79">
        <f>COUNTIFS('Données '!$A:$A,"FEVRIER",'Données '!$Q:$Q,"CABG + V")</f>
        <v>0</v>
      </c>
      <c r="E48" s="77">
        <f>D48/D37</f>
        <v>0</v>
      </c>
    </row>
    <row r="49" spans="1:5" s="64" customFormat="1" x14ac:dyDescent="0.25">
      <c r="A49" s="87" t="s">
        <v>181</v>
      </c>
      <c r="B49" s="88"/>
      <c r="C49" s="93"/>
      <c r="D49" s="79">
        <f>COUNTIFS('Données '!$A:$A,"FEVRIER",'Données '!$O:$O,"Autre")</f>
        <v>0</v>
      </c>
      <c r="E49" s="77">
        <f>D49/D37</f>
        <v>0</v>
      </c>
    </row>
    <row r="50" spans="1:5" s="64" customFormat="1" x14ac:dyDescent="0.25">
      <c r="A50" s="87" t="s">
        <v>154</v>
      </c>
      <c r="B50" s="88"/>
      <c r="C50" s="93"/>
      <c r="D50" s="79">
        <f>COUNTIFS('Données '!$A:$A,"FEVRIER",'Données '!$O:$O,"Aorte")</f>
        <v>0</v>
      </c>
      <c r="E50" s="77">
        <f>D50/D37</f>
        <v>0</v>
      </c>
    </row>
    <row r="51" spans="1:5" s="64" customFormat="1" x14ac:dyDescent="0.25">
      <c r="A51" s="89" t="s">
        <v>152</v>
      </c>
      <c r="B51" s="90"/>
      <c r="C51" s="94"/>
      <c r="D51" s="79">
        <f>SUM($D$52:$D$53)</f>
        <v>0</v>
      </c>
      <c r="E51" s="77">
        <f>D51/D37</f>
        <v>0</v>
      </c>
    </row>
    <row r="52" spans="1:5" s="64" customFormat="1" x14ac:dyDescent="0.25">
      <c r="A52" s="68"/>
      <c r="B52" s="69"/>
      <c r="C52" s="69" t="s">
        <v>45</v>
      </c>
      <c r="D52" s="96">
        <f>COUNTIFS('Données '!$A:$A,"FEVRIER",'Données '!$O:$O,"LVAD")</f>
        <v>0</v>
      </c>
      <c r="E52" s="95">
        <f>D52/D37</f>
        <v>0</v>
      </c>
    </row>
    <row r="53" spans="1:5" s="64" customFormat="1" ht="15.75" thickBot="1" x14ac:dyDescent="0.3">
      <c r="A53" s="72"/>
      <c r="B53" s="73"/>
      <c r="C53" s="73" t="s">
        <v>151</v>
      </c>
      <c r="D53" s="135">
        <f>COUNTIFS('Données '!$A:$A,"FEVRIER",'Données '!$O:$O,"HTX")</f>
        <v>0</v>
      </c>
      <c r="E53" s="136">
        <f>D53/D37</f>
        <v>0</v>
      </c>
    </row>
    <row r="54" spans="1:5" s="64" customFormat="1" x14ac:dyDescent="0.25">
      <c r="A54" s="47" t="s">
        <v>169</v>
      </c>
      <c r="B54" s="48"/>
      <c r="C54" s="49"/>
      <c r="D54" s="43">
        <f>COUNTIFS('Données '!$A:$A,"FEVRIER",'Données '!$Y:$Y,1)</f>
        <v>17</v>
      </c>
      <c r="E54" s="140">
        <f>D54/D37</f>
        <v>0.58620689655172409</v>
      </c>
    </row>
    <row r="55" spans="1:5" s="64" customFormat="1" x14ac:dyDescent="0.25">
      <c r="A55" s="70" t="s">
        <v>149</v>
      </c>
      <c r="B55" s="71"/>
      <c r="C55" s="71"/>
      <c r="D55" s="79">
        <f>COUNTIFS('Données '!$A:$A,"FEVRIER",'Données '!$AN:$AN,"DECEASED")</f>
        <v>0</v>
      </c>
      <c r="E55" s="77">
        <f>D55/D37</f>
        <v>0</v>
      </c>
    </row>
    <row r="56" spans="1:5" s="64" customFormat="1" x14ac:dyDescent="0.25">
      <c r="A56" s="66" t="s">
        <v>150</v>
      </c>
      <c r="B56" s="67"/>
      <c r="C56" s="67"/>
      <c r="D56" s="91">
        <v>2.6</v>
      </c>
      <c r="E56" s="78"/>
    </row>
    <row r="57" spans="1:5" s="64" customFormat="1" x14ac:dyDescent="0.25">
      <c r="A57" s="66" t="s">
        <v>167</v>
      </c>
      <c r="B57" s="67"/>
      <c r="C57" s="67"/>
      <c r="D57" s="91">
        <v>9.4</v>
      </c>
      <c r="E57" s="78"/>
    </row>
    <row r="58" spans="1:5" s="64" customFormat="1" x14ac:dyDescent="0.25">
      <c r="A58" s="66" t="s">
        <v>221</v>
      </c>
      <c r="B58" s="67"/>
      <c r="C58" s="67"/>
      <c r="D58" s="91">
        <f>COUNTIFS('Données '!$A:$A,"FEVRIER",'Données '!$AD:$AD,1,'Données '!$O:$O,"&lt;&gt;LVAD",'Données '!$O:$O,"&lt;&gt;HTX")</f>
        <v>0</v>
      </c>
      <c r="E58" s="77">
        <f>D58/27</f>
        <v>0</v>
      </c>
    </row>
    <row r="59" spans="1:5" s="64" customFormat="1" x14ac:dyDescent="0.25">
      <c r="A59" s="40" t="s">
        <v>222</v>
      </c>
      <c r="B59" s="41"/>
      <c r="C59" s="41"/>
      <c r="D59" s="91">
        <f>COUNTIFS('Données '!$A:$A,"FEVRIER",'Données '!$AI:$AI,"&lt;&gt;0",'Données '!$O:$O,"&lt;&gt;LVAD",'Données '!$O:$O,"&lt;&gt;HTX")</f>
        <v>0</v>
      </c>
      <c r="E59" s="77">
        <f>D59/27</f>
        <v>0</v>
      </c>
    </row>
    <row r="60" spans="1:5" s="64" customFormat="1" ht="15.75" thickBot="1" x14ac:dyDescent="0.3">
      <c r="A60" s="74" t="s">
        <v>223</v>
      </c>
      <c r="B60" s="75"/>
      <c r="C60" s="75"/>
      <c r="D60" s="199">
        <v>6.8</v>
      </c>
      <c r="E60" s="42"/>
    </row>
    <row r="64" spans="1:5" ht="15.75" thickBot="1" x14ac:dyDescent="0.3"/>
    <row r="65" spans="1:5" s="64" customFormat="1" ht="15.75" thickBot="1" x14ac:dyDescent="0.3">
      <c r="A65" s="352">
        <v>42795</v>
      </c>
      <c r="B65" s="353"/>
      <c r="C65" s="354"/>
      <c r="D65" s="80" t="s">
        <v>144</v>
      </c>
      <c r="E65" s="81" t="s">
        <v>145</v>
      </c>
    </row>
    <row r="66" spans="1:5" s="64" customFormat="1" x14ac:dyDescent="0.25">
      <c r="A66" s="85" t="s">
        <v>184</v>
      </c>
      <c r="B66" s="86"/>
      <c r="C66" s="92"/>
      <c r="D66" s="132">
        <f>COUNTIFS('Données '!$A:$A,"MARS")</f>
        <v>30</v>
      </c>
      <c r="E66" s="76"/>
    </row>
    <row r="67" spans="1:5" s="64" customFormat="1" x14ac:dyDescent="0.25">
      <c r="A67" s="61" t="s">
        <v>202</v>
      </c>
      <c r="B67" s="62"/>
      <c r="C67" s="62"/>
      <c r="D67" s="91">
        <f>COUNTIFS('Données '!$A:$A,"MARS",'Données '!$F:$F,1)</f>
        <v>0</v>
      </c>
      <c r="E67" s="129">
        <f>D67/D66</f>
        <v>0</v>
      </c>
    </row>
    <row r="68" spans="1:5" s="64" customFormat="1" x14ac:dyDescent="0.25">
      <c r="A68" s="61" t="s">
        <v>220</v>
      </c>
      <c r="B68" s="62"/>
      <c r="C68" s="62"/>
      <c r="D68" s="91">
        <f>COUNTIFS('Données '!$A:$A,"MARS",'Données '!$BW:$BW,"OUI")</f>
        <v>0</v>
      </c>
      <c r="E68" s="129">
        <f>D68/D66</f>
        <v>0</v>
      </c>
    </row>
    <row r="69" spans="1:5" s="64" customFormat="1" x14ac:dyDescent="0.25">
      <c r="A69" s="87" t="s">
        <v>146</v>
      </c>
      <c r="B69" s="88"/>
      <c r="C69" s="88"/>
      <c r="D69" s="91">
        <f>COUNTIFS('Données '!$A:$A,"MARS",'Données '!$O:$O,"CABG")</f>
        <v>0</v>
      </c>
      <c r="E69" s="77">
        <f>D69/D66</f>
        <v>0</v>
      </c>
    </row>
    <row r="70" spans="1:5" s="64" customFormat="1" x14ac:dyDescent="0.25">
      <c r="A70" s="83" t="s">
        <v>147</v>
      </c>
      <c r="B70" s="84"/>
      <c r="C70" s="84"/>
      <c r="D70" s="91">
        <f>SUM($D$71:$D$76)</f>
        <v>0</v>
      </c>
      <c r="E70" s="77">
        <f>D70/D66</f>
        <v>0</v>
      </c>
    </row>
    <row r="71" spans="1:5" s="64" customFormat="1" x14ac:dyDescent="0.25">
      <c r="A71" s="68"/>
      <c r="B71" s="69"/>
      <c r="C71" s="69" t="s">
        <v>1</v>
      </c>
      <c r="D71" s="96">
        <f>COUNTIFS('Données '!$A:$A,"MARS",'Données '!$R:$R,"AVR")</f>
        <v>0</v>
      </c>
      <c r="E71" s="133" t="str">
        <f>IFERROR(D71/#REF!,"")</f>
        <v/>
      </c>
    </row>
    <row r="72" spans="1:5" s="64" customFormat="1" x14ac:dyDescent="0.25">
      <c r="A72" s="68"/>
      <c r="B72" s="69"/>
      <c r="C72" s="69" t="s">
        <v>72</v>
      </c>
      <c r="D72" s="96">
        <f>COUNTIFS('Données '!$A:$A,"MARS",'Données '!$R:$R,"TVR")</f>
        <v>0</v>
      </c>
      <c r="E72" s="133" t="str">
        <f>IFERROR(D72/#REF!,"")</f>
        <v/>
      </c>
    </row>
    <row r="73" spans="1:5" s="64" customFormat="1" x14ac:dyDescent="0.25">
      <c r="A73" s="68"/>
      <c r="B73" s="69"/>
      <c r="C73" s="69" t="s">
        <v>62</v>
      </c>
      <c r="D73" s="96">
        <f>COUNTIFS('Données '!$A:$A,"MARS",'Données '!$R:$R,"TVP")</f>
        <v>0</v>
      </c>
      <c r="E73" s="133" t="str">
        <f>IFERROR(D73/#REF!,"")</f>
        <v/>
      </c>
    </row>
    <row r="74" spans="1:5" s="64" customFormat="1" x14ac:dyDescent="0.25">
      <c r="A74" s="68"/>
      <c r="B74" s="69"/>
      <c r="C74" s="69" t="s">
        <v>64</v>
      </c>
      <c r="D74" s="96">
        <f>COUNTIFS('Données '!$A:$A,"MARS",'Données '!$R:$R,"MVR")</f>
        <v>0</v>
      </c>
      <c r="E74" s="133" t="str">
        <f>IFERROR(D74/#REF!,"")</f>
        <v/>
      </c>
    </row>
    <row r="75" spans="1:5" s="64" customFormat="1" x14ac:dyDescent="0.25">
      <c r="A75" s="68"/>
      <c r="B75" s="69"/>
      <c r="C75" s="69" t="s">
        <v>63</v>
      </c>
      <c r="D75" s="96">
        <f>COUNTIFS('Données '!$A:$A,"MARS",'Données '!$R:$R,"MVP")</f>
        <v>0</v>
      </c>
      <c r="E75" s="133" t="str">
        <f>IFERROR(D75/#REF!,"")</f>
        <v/>
      </c>
    </row>
    <row r="76" spans="1:5" s="64" customFormat="1" x14ac:dyDescent="0.25">
      <c r="A76" s="70"/>
      <c r="B76" s="71"/>
      <c r="C76" s="71" t="s">
        <v>148</v>
      </c>
      <c r="D76" s="96">
        <f>COUNTIFS('Données '!$A:$A,"MARS",'Données '!$R:$R,"2 V ou plus")</f>
        <v>0</v>
      </c>
      <c r="E76" s="133" t="str">
        <f>IFERROR(D76/#REF!,"")</f>
        <v/>
      </c>
    </row>
    <row r="77" spans="1:5" s="64" customFormat="1" x14ac:dyDescent="0.25">
      <c r="A77" s="87" t="s">
        <v>180</v>
      </c>
      <c r="B77" s="88"/>
      <c r="C77" s="93"/>
      <c r="D77" s="79">
        <f>COUNTIFS('Données '!$A:$A,"MARS",'Données '!$Q:$Q,"CABG + V")</f>
        <v>0</v>
      </c>
      <c r="E77" s="77">
        <f>D77/D66</f>
        <v>0</v>
      </c>
    </row>
    <row r="78" spans="1:5" s="64" customFormat="1" x14ac:dyDescent="0.25">
      <c r="A78" s="87" t="s">
        <v>181</v>
      </c>
      <c r="B78" s="88"/>
      <c r="C78" s="93"/>
      <c r="D78" s="79">
        <f>COUNTIFS('Données '!$A:$A,"MARS",'Données '!$O:$O,"Autre")</f>
        <v>0</v>
      </c>
      <c r="E78" s="77">
        <f>D78/D66</f>
        <v>0</v>
      </c>
    </row>
    <row r="79" spans="1:5" s="64" customFormat="1" x14ac:dyDescent="0.25">
      <c r="A79" s="87" t="s">
        <v>154</v>
      </c>
      <c r="B79" s="88"/>
      <c r="C79" s="93"/>
      <c r="D79" s="79">
        <f>COUNTIFS('Données '!$A:$A,"MARS",'Données '!$O:$O,"Aorte")</f>
        <v>0</v>
      </c>
      <c r="E79" s="77">
        <f>D79/D66</f>
        <v>0</v>
      </c>
    </row>
    <row r="80" spans="1:5" s="64" customFormat="1" x14ac:dyDescent="0.25">
      <c r="A80" s="89" t="s">
        <v>152</v>
      </c>
      <c r="B80" s="90"/>
      <c r="C80" s="94"/>
      <c r="D80" s="79">
        <f>SUM($D$52:$D$53)</f>
        <v>0</v>
      </c>
      <c r="E80" s="77">
        <f>D80/D66</f>
        <v>0</v>
      </c>
    </row>
    <row r="81" spans="1:5" s="64" customFormat="1" x14ac:dyDescent="0.25">
      <c r="A81" s="68"/>
      <c r="B81" s="69"/>
      <c r="C81" s="69" t="s">
        <v>45</v>
      </c>
      <c r="D81" s="96">
        <f>COUNTIFS('Données '!$A:$A,"MARS",'Données '!$O:$O,"LVAD")</f>
        <v>0</v>
      </c>
      <c r="E81" s="95">
        <f>D81/D66</f>
        <v>0</v>
      </c>
    </row>
    <row r="82" spans="1:5" s="64" customFormat="1" ht="15.75" thickBot="1" x14ac:dyDescent="0.3">
      <c r="A82" s="72"/>
      <c r="B82" s="73"/>
      <c r="C82" s="73" t="s">
        <v>151</v>
      </c>
      <c r="D82" s="135">
        <f>COUNTIFS('Données '!$A:$A,"MARS",'Données '!$O:$O,"HTX")</f>
        <v>0</v>
      </c>
      <c r="E82" s="136">
        <f>D82/D66</f>
        <v>0</v>
      </c>
    </row>
    <row r="83" spans="1:5" s="64" customFormat="1" x14ac:dyDescent="0.25">
      <c r="A83" s="47" t="s">
        <v>169</v>
      </c>
      <c r="B83" s="48"/>
      <c r="C83" s="49"/>
      <c r="D83" s="43">
        <f>COUNTIFS('Données '!$A:$A,"MARS",'Données '!$Y:$Y,1)</f>
        <v>0</v>
      </c>
      <c r="E83" s="140">
        <f>D83/D66</f>
        <v>0</v>
      </c>
    </row>
    <row r="84" spans="1:5" s="64" customFormat="1" x14ac:dyDescent="0.25">
      <c r="A84" s="70" t="s">
        <v>149</v>
      </c>
      <c r="B84" s="71"/>
      <c r="C84" s="71"/>
      <c r="D84" s="79">
        <f>COUNTIFS('Données '!$A:$A,"MARS",'Données '!$AN:$AN,"DECEASED")</f>
        <v>0</v>
      </c>
      <c r="E84" s="77">
        <f>D84/D66</f>
        <v>0</v>
      </c>
    </row>
    <row r="85" spans="1:5" s="64" customFormat="1" x14ac:dyDescent="0.25">
      <c r="A85" s="66" t="s">
        <v>150</v>
      </c>
      <c r="B85" s="67"/>
      <c r="C85" s="67"/>
      <c r="D85" s="91">
        <v>4.5999999999999996</v>
      </c>
      <c r="E85" s="78"/>
    </row>
    <row r="86" spans="1:5" s="64" customFormat="1" x14ac:dyDescent="0.25">
      <c r="A86" s="66" t="s">
        <v>167</v>
      </c>
      <c r="B86" s="67"/>
      <c r="C86" s="67"/>
      <c r="D86" s="91">
        <v>12.5</v>
      </c>
      <c r="E86" s="78"/>
    </row>
    <row r="87" spans="1:5" s="64" customFormat="1" x14ac:dyDescent="0.25">
      <c r="A87" s="66" t="s">
        <v>221</v>
      </c>
      <c r="B87" s="67"/>
      <c r="C87" s="67"/>
      <c r="D87" s="91">
        <f>COUNTIFS('Données '!$A:$A,"MARS",'Données '!$AD:$AD,1,'Données '!$O:$O,"&lt;&gt;LVAD",'Données '!$O:$O,"&lt;&gt;HTX")</f>
        <v>0</v>
      </c>
      <c r="E87" s="77">
        <f>D87/28</f>
        <v>0</v>
      </c>
    </row>
    <row r="88" spans="1:5" s="64" customFormat="1" x14ac:dyDescent="0.25">
      <c r="A88" s="40" t="s">
        <v>222</v>
      </c>
      <c r="B88" s="41"/>
      <c r="C88" s="41"/>
      <c r="D88" s="91">
        <f>COUNTIFS('Données '!$A:$A,"MARS",'Données '!$AI:$AI,"&lt;&gt;0",'Données '!$O:$O,"&lt;&gt;LVAD",'Données '!$O:$O,"&lt;&gt;HTX")</f>
        <v>0</v>
      </c>
      <c r="E88" s="77">
        <f>D88/28</f>
        <v>0</v>
      </c>
    </row>
    <row r="89" spans="1:5" s="64" customFormat="1" ht="15.75" thickBot="1" x14ac:dyDescent="0.3">
      <c r="A89" s="74" t="s">
        <v>223</v>
      </c>
      <c r="B89" s="75"/>
      <c r="C89" s="75"/>
      <c r="D89" s="199">
        <v>5.7</v>
      </c>
      <c r="E89" s="42"/>
    </row>
    <row r="93" spans="1:5" ht="15.75" thickBot="1" x14ac:dyDescent="0.3"/>
    <row r="94" spans="1:5" ht="15.75" thickBot="1" x14ac:dyDescent="0.3">
      <c r="A94" s="352">
        <v>42826</v>
      </c>
      <c r="B94" s="353"/>
      <c r="C94" s="354"/>
      <c r="D94" s="80" t="s">
        <v>144</v>
      </c>
      <c r="E94" s="81" t="s">
        <v>145</v>
      </c>
    </row>
    <row r="95" spans="1:5" x14ac:dyDescent="0.25">
      <c r="A95" s="85" t="s">
        <v>184</v>
      </c>
      <c r="B95" s="86"/>
      <c r="C95" s="92"/>
      <c r="D95" s="132">
        <f>COUNTIFS('Données '!$A:$A,"AVRIL")</f>
        <v>29</v>
      </c>
      <c r="E95" s="76"/>
    </row>
    <row r="96" spans="1:5" x14ac:dyDescent="0.25">
      <c r="A96" s="61" t="s">
        <v>202</v>
      </c>
      <c r="B96" s="62"/>
      <c r="C96" s="62"/>
      <c r="D96" s="91">
        <f>COUNTIFS('Données '!$A:$A,"AVRIL",'Données '!$F:$F,1)</f>
        <v>0</v>
      </c>
      <c r="E96" s="129">
        <f>D96/29</f>
        <v>0</v>
      </c>
    </row>
    <row r="97" spans="1:5" x14ac:dyDescent="0.25">
      <c r="A97" s="61" t="s">
        <v>220</v>
      </c>
      <c r="B97" s="62"/>
      <c r="C97" s="62"/>
      <c r="D97" s="91">
        <f>COUNTIFS('Données '!$A:$A,"AVRIL",'Données '!$BW:$BW,"OUI")</f>
        <v>0</v>
      </c>
      <c r="E97" s="129">
        <f>D97/D95</f>
        <v>0</v>
      </c>
    </row>
    <row r="98" spans="1:5" x14ac:dyDescent="0.25">
      <c r="A98" s="87" t="s">
        <v>146</v>
      </c>
      <c r="B98" s="88"/>
      <c r="C98" s="88"/>
      <c r="D98" s="91">
        <f>COUNTIFS('Données '!$A:$A,"AVRIL",'Données '!$O:$O,"CABG")</f>
        <v>0</v>
      </c>
      <c r="E98" s="77">
        <f>D98/D95</f>
        <v>0</v>
      </c>
    </row>
    <row r="99" spans="1:5" x14ac:dyDescent="0.25">
      <c r="A99" s="83" t="s">
        <v>147</v>
      </c>
      <c r="B99" s="84"/>
      <c r="C99" s="84"/>
      <c r="D99" s="91">
        <f>SUM(D100:D105)</f>
        <v>0</v>
      </c>
      <c r="E99" s="77">
        <f>D99/D95</f>
        <v>0</v>
      </c>
    </row>
    <row r="100" spans="1:5" x14ac:dyDescent="0.25">
      <c r="A100" s="68"/>
      <c r="B100" s="69"/>
      <c r="C100" s="69" t="s">
        <v>1</v>
      </c>
      <c r="D100" s="96">
        <f>COUNTIFS('Données '!$A:$A,"AVRIL",'Données '!$R:$R,"AVR")</f>
        <v>0</v>
      </c>
      <c r="E100" s="133" t="e">
        <f>D100/D99</f>
        <v>#DIV/0!</v>
      </c>
    </row>
    <row r="101" spans="1:5" x14ac:dyDescent="0.25">
      <c r="A101" s="68"/>
      <c r="B101" s="69"/>
      <c r="C101" s="69" t="s">
        <v>72</v>
      </c>
      <c r="D101" s="96">
        <f>COUNTIFS('Données '!$A:$A,"AVRIL",'Données '!$R:$R,"TVR")</f>
        <v>0</v>
      </c>
      <c r="E101" s="133" t="str">
        <f>IFERROR(D101/#REF!,"")</f>
        <v/>
      </c>
    </row>
    <row r="102" spans="1:5" x14ac:dyDescent="0.25">
      <c r="A102" s="68"/>
      <c r="B102" s="69"/>
      <c r="C102" s="69" t="s">
        <v>62</v>
      </c>
      <c r="D102" s="96">
        <f>COUNTIFS('Données '!$A:$A,"AVRIL",'Données '!$R:$R,"TVP")</f>
        <v>0</v>
      </c>
      <c r="E102" s="133" t="str">
        <f>IFERROR(D102/#REF!,"")</f>
        <v/>
      </c>
    </row>
    <row r="103" spans="1:5" x14ac:dyDescent="0.25">
      <c r="A103" s="68"/>
      <c r="B103" s="69"/>
      <c r="C103" s="69" t="s">
        <v>64</v>
      </c>
      <c r="D103" s="96">
        <f>COUNTIFS('Données '!$A:$A,"AVRIL",'Données '!$R:$R,"MVR")</f>
        <v>0</v>
      </c>
      <c r="E103" s="133" t="str">
        <f>IFERROR(D103/#REF!,"")</f>
        <v/>
      </c>
    </row>
    <row r="104" spans="1:5" x14ac:dyDescent="0.25">
      <c r="A104" s="68"/>
      <c r="B104" s="69"/>
      <c r="C104" s="69" t="s">
        <v>63</v>
      </c>
      <c r="D104" s="96">
        <f>COUNTIFS('Données '!$A:$A,"AVRIL",'Données '!$R:$R,"MVP")</f>
        <v>0</v>
      </c>
      <c r="E104" s="133" t="e">
        <f>D104/D99</f>
        <v>#DIV/0!</v>
      </c>
    </row>
    <row r="105" spans="1:5" x14ac:dyDescent="0.25">
      <c r="A105" s="70"/>
      <c r="B105" s="71"/>
      <c r="C105" s="71" t="s">
        <v>148</v>
      </c>
      <c r="D105" s="96">
        <f>COUNTIFS('Données '!$A:$A,"AVRIL",'Données '!$R:$R,"2 V ou plus")</f>
        <v>0</v>
      </c>
      <c r="E105" s="133" t="str">
        <f>IFERROR(D105/#REF!,"")</f>
        <v/>
      </c>
    </row>
    <row r="106" spans="1:5" x14ac:dyDescent="0.25">
      <c r="A106" s="87" t="s">
        <v>180</v>
      </c>
      <c r="B106" s="88"/>
      <c r="C106" s="93"/>
      <c r="D106" s="79">
        <f>COUNTIFS('Données '!$A:$A,"AVRIL",'Données '!$Q:$Q,"CABG + V")</f>
        <v>0</v>
      </c>
      <c r="E106" s="77">
        <f>D106/D95</f>
        <v>0</v>
      </c>
    </row>
    <row r="107" spans="1:5" x14ac:dyDescent="0.25">
      <c r="A107" s="87" t="s">
        <v>181</v>
      </c>
      <c r="B107" s="88"/>
      <c r="C107" s="93"/>
      <c r="D107" s="79">
        <f>COUNTIFS('Données '!$A:$A,"AVRIL",'Données '!$O:$O,"Autre")</f>
        <v>0</v>
      </c>
      <c r="E107" s="77">
        <f>D107/D95</f>
        <v>0</v>
      </c>
    </row>
    <row r="108" spans="1:5" x14ac:dyDescent="0.25">
      <c r="A108" s="87" t="s">
        <v>154</v>
      </c>
      <c r="B108" s="88"/>
      <c r="C108" s="93"/>
      <c r="D108" s="79">
        <f>COUNTIFS('Données '!$A:$A,"AVRIL",'Données '!$O:$O,"Aorte")</f>
        <v>0</v>
      </c>
      <c r="E108" s="77">
        <f>D108/D95</f>
        <v>0</v>
      </c>
    </row>
    <row r="109" spans="1:5" x14ac:dyDescent="0.25">
      <c r="A109" s="89" t="s">
        <v>152</v>
      </c>
      <c r="B109" s="90"/>
      <c r="C109" s="94"/>
      <c r="D109" s="79">
        <f>SUM($D$110:$D$111)</f>
        <v>0</v>
      </c>
      <c r="E109" s="77">
        <f>D109/D95</f>
        <v>0</v>
      </c>
    </row>
    <row r="110" spans="1:5" x14ac:dyDescent="0.25">
      <c r="A110" s="68"/>
      <c r="B110" s="69"/>
      <c r="C110" s="69" t="s">
        <v>45</v>
      </c>
      <c r="D110" s="96">
        <f>COUNTIFS('Données '!$A:$A,"AVRIL",'Données '!$O:$O,"LVAD")</f>
        <v>0</v>
      </c>
      <c r="E110" s="95">
        <f>D110/D95</f>
        <v>0</v>
      </c>
    </row>
    <row r="111" spans="1:5" ht="15.75" thickBot="1" x14ac:dyDescent="0.3">
      <c r="A111" s="72"/>
      <c r="B111" s="73"/>
      <c r="C111" s="73" t="s">
        <v>151</v>
      </c>
      <c r="D111" s="135">
        <f>COUNTIFS('Données '!$A:$A,"AVRIL",'Données '!$O:$O,"HTX")</f>
        <v>0</v>
      </c>
      <c r="E111" s="136">
        <f>D111/D95</f>
        <v>0</v>
      </c>
    </row>
    <row r="112" spans="1:5" x14ac:dyDescent="0.25">
      <c r="A112" s="47" t="s">
        <v>169</v>
      </c>
      <c r="B112" s="48"/>
      <c r="C112" s="49"/>
      <c r="D112" s="43">
        <f>COUNTIFS('Données '!$A:$A,"AVRIL",'Données '!$Y:$Y,1)</f>
        <v>0</v>
      </c>
      <c r="E112" s="140">
        <f>D112/D95</f>
        <v>0</v>
      </c>
    </row>
    <row r="113" spans="1:6" x14ac:dyDescent="0.25">
      <c r="A113" s="70" t="s">
        <v>149</v>
      </c>
      <c r="B113" s="71"/>
      <c r="C113" s="71"/>
      <c r="D113" s="79">
        <f>COUNTIFS('Données '!$A:$A,"AVRIL",'Données '!$AN:$AN,"DECEASED")</f>
        <v>0</v>
      </c>
      <c r="E113" s="77">
        <f>D113/D95</f>
        <v>0</v>
      </c>
    </row>
    <row r="114" spans="1:6" x14ac:dyDescent="0.25">
      <c r="A114" s="66" t="s">
        <v>150</v>
      </c>
      <c r="B114" s="67"/>
      <c r="C114" s="67"/>
      <c r="D114" s="91">
        <v>3.1</v>
      </c>
      <c r="E114" s="78"/>
    </row>
    <row r="115" spans="1:6" x14ac:dyDescent="0.25">
      <c r="A115" s="66" t="s">
        <v>167</v>
      </c>
      <c r="B115" s="67"/>
      <c r="C115" s="67"/>
      <c r="D115" s="91">
        <v>11</v>
      </c>
      <c r="E115" s="78"/>
    </row>
    <row r="116" spans="1:6" x14ac:dyDescent="0.25">
      <c r="A116" s="66" t="s">
        <v>221</v>
      </c>
      <c r="B116" s="67"/>
      <c r="C116" s="67"/>
      <c r="D116" s="91">
        <f>COUNTIFS('Données '!$A:$A,"AVRIL",'Données '!$AD:$AD,1,'Données '!$O:$O,"&lt;&gt;LVAD",'Données '!$O:$O,"&lt;&gt;HTX")</f>
        <v>0</v>
      </c>
      <c r="E116" s="77">
        <f>D116/28</f>
        <v>0</v>
      </c>
      <c r="F116" s="64"/>
    </row>
    <row r="117" spans="1:6" x14ac:dyDescent="0.25">
      <c r="A117" s="40" t="s">
        <v>222</v>
      </c>
      <c r="B117" s="41"/>
      <c r="C117" s="41"/>
      <c r="D117" s="91">
        <f>COUNTIFS('Données '!$A:$A,"AVRIL",'Données '!$AI:$AI,"&lt;&gt;0",'Données '!$O:$O,"&lt;&gt;LVAD",'Données '!$O:$O,"&lt;&gt;HTX")</f>
        <v>0</v>
      </c>
      <c r="E117" s="77"/>
    </row>
    <row r="118" spans="1:6" ht="15.75" thickBot="1" x14ac:dyDescent="0.3">
      <c r="A118" s="74" t="s">
        <v>223</v>
      </c>
      <c r="B118" s="75"/>
      <c r="C118" s="75"/>
      <c r="D118" s="199">
        <v>3.3</v>
      </c>
      <c r="E118" s="42"/>
    </row>
    <row r="122" spans="1:6" ht="15.75" thickBot="1" x14ac:dyDescent="0.3"/>
    <row r="123" spans="1:6" ht="15.75" thickBot="1" x14ac:dyDescent="0.3">
      <c r="A123" s="352">
        <v>42856</v>
      </c>
      <c r="B123" s="353"/>
      <c r="C123" s="354"/>
      <c r="D123" s="80" t="s">
        <v>144</v>
      </c>
      <c r="E123" s="81" t="s">
        <v>145</v>
      </c>
    </row>
    <row r="124" spans="1:6" x14ac:dyDescent="0.25">
      <c r="A124" s="85" t="s">
        <v>184</v>
      </c>
      <c r="B124" s="86"/>
      <c r="C124" s="92"/>
      <c r="D124" s="132">
        <f>COUNTIFS('Données '!$A:$A,"MAI")</f>
        <v>32</v>
      </c>
      <c r="E124" s="76"/>
    </row>
    <row r="125" spans="1:6" x14ac:dyDescent="0.25">
      <c r="A125" s="61" t="s">
        <v>202</v>
      </c>
      <c r="B125" s="62"/>
      <c r="C125" s="62"/>
      <c r="D125" s="91">
        <f>COUNTIFS('Données '!$A:$A,"MAI",'Données '!$F:$F,1)</f>
        <v>0</v>
      </c>
      <c r="E125" s="63"/>
    </row>
    <row r="126" spans="1:6" x14ac:dyDescent="0.25">
      <c r="A126" s="61" t="s">
        <v>220</v>
      </c>
      <c r="B126" s="62"/>
      <c r="C126" s="62"/>
      <c r="D126" s="91">
        <f>COUNTIFS('Données '!$A:$A,"MAI",'Données '!$BW:$BW,"OUI")</f>
        <v>0</v>
      </c>
      <c r="E126" s="129">
        <f>D126/D124</f>
        <v>0</v>
      </c>
    </row>
    <row r="127" spans="1:6" x14ac:dyDescent="0.25">
      <c r="A127" s="87" t="s">
        <v>146</v>
      </c>
      <c r="B127" s="88"/>
      <c r="C127" s="88"/>
      <c r="D127" s="91">
        <f>COUNTIFS('Données '!$A:$A,"MAI",'Données '!$O:$O,"CABG")</f>
        <v>0</v>
      </c>
      <c r="E127" s="77">
        <f>D127/D124</f>
        <v>0</v>
      </c>
    </row>
    <row r="128" spans="1:6" x14ac:dyDescent="0.25">
      <c r="A128" s="83" t="s">
        <v>147</v>
      </c>
      <c r="B128" s="84"/>
      <c r="C128" s="84"/>
      <c r="D128" s="91">
        <f>SUM(D129:D134)</f>
        <v>0</v>
      </c>
      <c r="E128" s="77">
        <f>D128/D124</f>
        <v>0</v>
      </c>
    </row>
    <row r="129" spans="1:5" x14ac:dyDescent="0.25">
      <c r="A129" s="68"/>
      <c r="B129" s="69"/>
      <c r="C129" s="69" t="s">
        <v>1</v>
      </c>
      <c r="D129" s="96">
        <f>COUNTIFS('Données '!$A:$A,"MAI",'Données '!$R:$R,"AVR")</f>
        <v>0</v>
      </c>
      <c r="E129" s="133" t="e">
        <f>D129/D128</f>
        <v>#DIV/0!</v>
      </c>
    </row>
    <row r="130" spans="1:5" x14ac:dyDescent="0.25">
      <c r="A130" s="68"/>
      <c r="B130" s="69"/>
      <c r="C130" s="69" t="s">
        <v>72</v>
      </c>
      <c r="D130" s="96">
        <f>COUNTIFS('Données '!$A:$A,"MAI",'Données '!$R:$R,"TVR")</f>
        <v>0</v>
      </c>
      <c r="E130" s="133" t="e">
        <f>D130/D128</f>
        <v>#DIV/0!</v>
      </c>
    </row>
    <row r="131" spans="1:5" x14ac:dyDescent="0.25">
      <c r="A131" s="68"/>
      <c r="B131" s="69"/>
      <c r="C131" s="69" t="s">
        <v>62</v>
      </c>
      <c r="D131" s="96">
        <f>COUNTIFS('Données '!$A:$A,"MAI",'Données '!$R:$R,"TVP")</f>
        <v>0</v>
      </c>
      <c r="E131" s="133" t="e">
        <f>D131/D128</f>
        <v>#DIV/0!</v>
      </c>
    </row>
    <row r="132" spans="1:5" x14ac:dyDescent="0.25">
      <c r="A132" s="68"/>
      <c r="B132" s="69"/>
      <c r="C132" s="69" t="s">
        <v>64</v>
      </c>
      <c r="D132" s="96">
        <f>COUNTIFS('Données '!$A:$A,"MAI",'Données '!$R:$R,"MVR")</f>
        <v>0</v>
      </c>
      <c r="E132" s="133" t="e">
        <f>D132/D128</f>
        <v>#DIV/0!</v>
      </c>
    </row>
    <row r="133" spans="1:5" x14ac:dyDescent="0.25">
      <c r="A133" s="68"/>
      <c r="B133" s="69"/>
      <c r="C133" s="69" t="s">
        <v>63</v>
      </c>
      <c r="D133" s="96">
        <f>COUNTIFS('Données '!$A:$A,"MAI",'Données '!$R:$R,"MVP")</f>
        <v>0</v>
      </c>
      <c r="E133" s="133" t="e">
        <f>D133/D128</f>
        <v>#DIV/0!</v>
      </c>
    </row>
    <row r="134" spans="1:5" x14ac:dyDescent="0.25">
      <c r="A134" s="70"/>
      <c r="B134" s="71"/>
      <c r="C134" s="71" t="s">
        <v>148</v>
      </c>
      <c r="D134" s="96">
        <f>COUNTIFS('Données '!$A:$A,"MAI",'Données '!$R:$R,"2 V ou plus")</f>
        <v>0</v>
      </c>
      <c r="E134" s="133" t="e">
        <f>D134/D128</f>
        <v>#DIV/0!</v>
      </c>
    </row>
    <row r="135" spans="1:5" x14ac:dyDescent="0.25">
      <c r="A135" s="87" t="s">
        <v>180</v>
      </c>
      <c r="B135" s="88"/>
      <c r="C135" s="93"/>
      <c r="D135" s="79">
        <f>COUNTIFS('Données '!$A:$A,"MAI",'Données '!$Q:$Q,"CABG + V")</f>
        <v>0</v>
      </c>
      <c r="E135" s="77">
        <f>D135/D124</f>
        <v>0</v>
      </c>
    </row>
    <row r="136" spans="1:5" x14ac:dyDescent="0.25">
      <c r="A136" s="87" t="s">
        <v>181</v>
      </c>
      <c r="B136" s="88"/>
      <c r="C136" s="93"/>
      <c r="D136" s="79">
        <f>COUNTIFS('Données '!$A:$A,"MAI",'Données '!$O:$O,"Autre")</f>
        <v>0</v>
      </c>
      <c r="E136" s="77">
        <f>D136/D124</f>
        <v>0</v>
      </c>
    </row>
    <row r="137" spans="1:5" x14ac:dyDescent="0.25">
      <c r="A137" s="87" t="s">
        <v>154</v>
      </c>
      <c r="B137" s="88"/>
      <c r="C137" s="93"/>
      <c r="D137" s="79">
        <f>COUNTIFS('Données '!$A:$A,"MAI",'Données '!$O:$O,"Aorte")</f>
        <v>0</v>
      </c>
      <c r="E137" s="77">
        <f>D137/D124</f>
        <v>0</v>
      </c>
    </row>
    <row r="138" spans="1:5" x14ac:dyDescent="0.25">
      <c r="A138" s="89" t="s">
        <v>152</v>
      </c>
      <c r="B138" s="90"/>
      <c r="C138" s="94"/>
      <c r="D138" s="79">
        <f>SUM($D$139:$D$140)</f>
        <v>0</v>
      </c>
      <c r="E138" s="77">
        <f>D138/D124</f>
        <v>0</v>
      </c>
    </row>
    <row r="139" spans="1:5" x14ac:dyDescent="0.25">
      <c r="A139" s="68"/>
      <c r="B139" s="69"/>
      <c r="C139" s="69" t="s">
        <v>45</v>
      </c>
      <c r="D139" s="96">
        <f>COUNTIFS('Données '!$A:$A,"MAI",'Données '!$O:$O,"LVAD")</f>
        <v>0</v>
      </c>
      <c r="E139" s="95">
        <f>D139/D124</f>
        <v>0</v>
      </c>
    </row>
    <row r="140" spans="1:5" ht="15.75" thickBot="1" x14ac:dyDescent="0.3">
      <c r="A140" s="72"/>
      <c r="B140" s="73"/>
      <c r="C140" s="73" t="s">
        <v>151</v>
      </c>
      <c r="D140" s="135">
        <f>COUNTIFS('Données '!$A:$A,"MAI",'Données '!$O:$O,"HTX")</f>
        <v>0</v>
      </c>
      <c r="E140" s="136">
        <f>D140/D124</f>
        <v>0</v>
      </c>
    </row>
    <row r="141" spans="1:5" x14ac:dyDescent="0.25">
      <c r="A141" s="47" t="s">
        <v>169</v>
      </c>
      <c r="B141" s="48"/>
      <c r="C141" s="49"/>
      <c r="D141" s="43">
        <f>COUNTIFS('Données '!$A:$A,"MAI",'Données '!$Y:$Y,1)</f>
        <v>0</v>
      </c>
      <c r="E141" s="140">
        <f>D141/D124</f>
        <v>0</v>
      </c>
    </row>
    <row r="142" spans="1:5" x14ac:dyDescent="0.25">
      <c r="A142" s="70" t="s">
        <v>149</v>
      </c>
      <c r="B142" s="71"/>
      <c r="C142" s="71"/>
      <c r="D142" s="79">
        <f>COUNTIFS('Données '!$A:$A,"MAI",'Données '!$AN:$AN,"DECEASED")</f>
        <v>0</v>
      </c>
      <c r="E142" s="77">
        <f>D142/D124</f>
        <v>0</v>
      </c>
    </row>
    <row r="143" spans="1:5" x14ac:dyDescent="0.25">
      <c r="A143" s="66" t="s">
        <v>150</v>
      </c>
      <c r="B143" s="67"/>
      <c r="C143" s="67"/>
      <c r="D143" s="91">
        <v>3.6</v>
      </c>
      <c r="E143" s="78"/>
    </row>
    <row r="144" spans="1:5" x14ac:dyDescent="0.25">
      <c r="A144" s="66" t="s">
        <v>167</v>
      </c>
      <c r="B144" s="67"/>
      <c r="C144" s="67"/>
      <c r="D144" s="91">
        <v>10.9</v>
      </c>
      <c r="E144" s="78"/>
    </row>
    <row r="145" spans="1:5" x14ac:dyDescent="0.25">
      <c r="A145" s="66" t="s">
        <v>221</v>
      </c>
      <c r="B145" s="67"/>
      <c r="C145" s="67"/>
      <c r="D145" s="91">
        <f>COUNTIFS('Données '!$A:$A,"MAI",'Données '!$AD:$AD,1,'Données '!$O:$O,"&lt;&gt;LVAD",'Données '!$O:$O,"&lt;&gt;HTX")</f>
        <v>0</v>
      </c>
      <c r="E145" s="77">
        <f>D145/32</f>
        <v>0</v>
      </c>
    </row>
    <row r="146" spans="1:5" x14ac:dyDescent="0.25">
      <c r="A146" s="40" t="s">
        <v>222</v>
      </c>
      <c r="B146" s="41"/>
      <c r="C146" s="41"/>
      <c r="D146" s="91">
        <f>COUNTIFS('Données '!$A:$A,"MAI",'Données '!$AI:$AI,"&lt;&gt;0",'Données '!$O:$O,"&lt;&gt;LVAD",'Données '!$O:$O,"&lt;&gt;HTX")</f>
        <v>0</v>
      </c>
      <c r="E146" s="77">
        <f>D146/32</f>
        <v>0</v>
      </c>
    </row>
    <row r="147" spans="1:5" ht="15.75" thickBot="1" x14ac:dyDescent="0.3">
      <c r="A147" s="74" t="s">
        <v>223</v>
      </c>
      <c r="B147" s="75"/>
      <c r="C147" s="75"/>
      <c r="D147" s="199">
        <v>3.6</v>
      </c>
      <c r="E147" s="42"/>
    </row>
    <row r="151" spans="1:5" ht="15.75" thickBot="1" x14ac:dyDescent="0.3"/>
    <row r="152" spans="1:5" ht="15.75" thickBot="1" x14ac:dyDescent="0.3">
      <c r="A152" s="352">
        <v>42887</v>
      </c>
      <c r="B152" s="353"/>
      <c r="C152" s="354"/>
      <c r="D152" s="80" t="s">
        <v>144</v>
      </c>
      <c r="E152" s="81" t="s">
        <v>145</v>
      </c>
    </row>
    <row r="153" spans="1:5" x14ac:dyDescent="0.25">
      <c r="A153" s="85" t="s">
        <v>184</v>
      </c>
      <c r="B153" s="86"/>
      <c r="C153" s="92"/>
      <c r="D153" s="132">
        <f>COUNTIFS('Données '!$A:$A,"JUIN")</f>
        <v>21</v>
      </c>
      <c r="E153" s="76"/>
    </row>
    <row r="154" spans="1:5" x14ac:dyDescent="0.25">
      <c r="A154" s="61" t="s">
        <v>202</v>
      </c>
      <c r="B154" s="62"/>
      <c r="C154" s="62"/>
      <c r="D154" s="91">
        <f>COUNTIFS('Données '!$A:$A,"JUIN",'Données '!$F:$F,1)</f>
        <v>0</v>
      </c>
      <c r="E154" s="63"/>
    </row>
    <row r="155" spans="1:5" x14ac:dyDescent="0.25">
      <c r="A155" s="61" t="s">
        <v>220</v>
      </c>
      <c r="B155" s="62"/>
      <c r="C155" s="62"/>
      <c r="D155" s="91">
        <f>COUNTIFS('Données '!$A:$A,"JUIN",'Données '!$BW:$BW,"OUI")</f>
        <v>0</v>
      </c>
      <c r="E155" s="129">
        <f>D155/D153</f>
        <v>0</v>
      </c>
    </row>
    <row r="156" spans="1:5" x14ac:dyDescent="0.25">
      <c r="A156" s="87" t="s">
        <v>146</v>
      </c>
      <c r="B156" s="88"/>
      <c r="C156" s="88"/>
      <c r="D156" s="91">
        <f>COUNTIFS('Données '!$A:$A,"JUIN",'Données '!$O:$O,"CABG")</f>
        <v>0</v>
      </c>
      <c r="E156" s="77">
        <f>D156/D153</f>
        <v>0</v>
      </c>
    </row>
    <row r="157" spans="1:5" x14ac:dyDescent="0.25">
      <c r="A157" s="83" t="s">
        <v>147</v>
      </c>
      <c r="B157" s="84"/>
      <c r="C157" s="84"/>
      <c r="D157" s="91">
        <f>SUM(D158:D163)</f>
        <v>0</v>
      </c>
      <c r="E157" s="77">
        <f>D157/D153</f>
        <v>0</v>
      </c>
    </row>
    <row r="158" spans="1:5" x14ac:dyDescent="0.25">
      <c r="A158" s="68"/>
      <c r="B158" s="69"/>
      <c r="C158" s="69" t="s">
        <v>1</v>
      </c>
      <c r="D158" s="96">
        <f>COUNTIFS('Données '!$A:$A,"JUIN",'Données '!$R:$R,"AVR")</f>
        <v>0</v>
      </c>
      <c r="E158" s="95" t="str">
        <f t="shared" ref="E158:E163" si="0">IFERROR(D158/D$157,"")</f>
        <v/>
      </c>
    </row>
    <row r="159" spans="1:5" x14ac:dyDescent="0.25">
      <c r="A159" s="68"/>
      <c r="B159" s="69"/>
      <c r="C159" s="69" t="s">
        <v>72</v>
      </c>
      <c r="D159" s="96">
        <f>COUNTIFS('Données '!$A:$A,"JUIN",'Données '!$R:$R,"TVR")</f>
        <v>0</v>
      </c>
      <c r="E159" s="95" t="str">
        <f t="shared" si="0"/>
        <v/>
      </c>
    </row>
    <row r="160" spans="1:5" x14ac:dyDescent="0.25">
      <c r="A160" s="68"/>
      <c r="B160" s="69"/>
      <c r="C160" s="69" t="s">
        <v>62</v>
      </c>
      <c r="D160" s="96">
        <f>COUNTIFS('Données '!$A:$A,"JUIN",'Données '!$R:$R,"TVP")</f>
        <v>0</v>
      </c>
      <c r="E160" s="95" t="str">
        <f t="shared" si="0"/>
        <v/>
      </c>
    </row>
    <row r="161" spans="1:6" x14ac:dyDescent="0.25">
      <c r="A161" s="68"/>
      <c r="B161" s="69"/>
      <c r="C161" s="69" t="s">
        <v>64</v>
      </c>
      <c r="D161" s="96">
        <f>COUNTIFS('Données '!$A:$A,"JUIN",'Données '!$R:$R,"MVR")</f>
        <v>0</v>
      </c>
      <c r="E161" s="95" t="str">
        <f t="shared" si="0"/>
        <v/>
      </c>
    </row>
    <row r="162" spans="1:6" x14ac:dyDescent="0.25">
      <c r="A162" s="68"/>
      <c r="B162" s="69"/>
      <c r="C162" s="69" t="s">
        <v>63</v>
      </c>
      <c r="D162" s="96">
        <f>COUNTIFS('Données '!$A:$A,"JUIN",'Données '!$R:$R,"MVP")</f>
        <v>0</v>
      </c>
      <c r="E162" s="95" t="str">
        <f t="shared" si="0"/>
        <v/>
      </c>
    </row>
    <row r="163" spans="1:6" x14ac:dyDescent="0.25">
      <c r="A163" s="70"/>
      <c r="B163" s="71"/>
      <c r="C163" s="71" t="s">
        <v>148</v>
      </c>
      <c r="D163" s="96">
        <f>COUNTIFS('Données '!$A:$A,"JUIN",'Données '!$R:$R,"2 V ou plus")</f>
        <v>0</v>
      </c>
      <c r="E163" s="95" t="str">
        <f t="shared" si="0"/>
        <v/>
      </c>
    </row>
    <row r="164" spans="1:6" x14ac:dyDescent="0.25">
      <c r="A164" s="87" t="s">
        <v>180</v>
      </c>
      <c r="B164" s="88"/>
      <c r="C164" s="93"/>
      <c r="D164" s="79">
        <f>COUNTIFS('Données '!$A:$A,"JUIN",'Données '!$Q:$Q,"CABG + V")</f>
        <v>0</v>
      </c>
      <c r="E164" s="228">
        <f>D164/D$153</f>
        <v>0</v>
      </c>
    </row>
    <row r="165" spans="1:6" x14ac:dyDescent="0.25">
      <c r="A165" s="87" t="s">
        <v>181</v>
      </c>
      <c r="B165" s="88"/>
      <c r="C165" s="93"/>
      <c r="D165" s="79">
        <f>COUNTIFS('Données '!$A:$A,"JUIN",'Données '!$O:$O,"Autre")</f>
        <v>0</v>
      </c>
      <c r="E165" s="228">
        <f t="shared" ref="E165:E167" si="1">D165/D$153</f>
        <v>0</v>
      </c>
    </row>
    <row r="166" spans="1:6" x14ac:dyDescent="0.25">
      <c r="A166" s="87" t="s">
        <v>154</v>
      </c>
      <c r="B166" s="88"/>
      <c r="C166" s="93"/>
      <c r="D166" s="79">
        <f>COUNTIFS('Données '!$A:$A,"JUIN",'Données '!$O:$O,"Aorte")</f>
        <v>0</v>
      </c>
      <c r="E166" s="228">
        <f t="shared" si="1"/>
        <v>0</v>
      </c>
    </row>
    <row r="167" spans="1:6" x14ac:dyDescent="0.25">
      <c r="A167" s="89" t="s">
        <v>152</v>
      </c>
      <c r="B167" s="90"/>
      <c r="C167" s="94"/>
      <c r="D167" s="79">
        <f>SUM($D$168:$D$169)</f>
        <v>0</v>
      </c>
      <c r="E167" s="228">
        <f t="shared" si="1"/>
        <v>0</v>
      </c>
    </row>
    <row r="168" spans="1:6" x14ac:dyDescent="0.25">
      <c r="A168" s="68"/>
      <c r="B168" s="69"/>
      <c r="C168" s="69" t="s">
        <v>45</v>
      </c>
      <c r="D168" s="96">
        <f>COUNTIFS('Données '!$A:$A,"JUIN",'Données '!$O:$O,"LVAD")</f>
        <v>0</v>
      </c>
      <c r="E168" s="228">
        <f>D168/D153</f>
        <v>0</v>
      </c>
    </row>
    <row r="169" spans="1:6" ht="15.75" thickBot="1" x14ac:dyDescent="0.3">
      <c r="A169" s="72"/>
      <c r="B169" s="73"/>
      <c r="C169" s="73" t="s">
        <v>151</v>
      </c>
      <c r="D169" s="135">
        <f>COUNTIFS('Données '!$A:$A,"JUIN",'Données '!$O:$O,"HTX")</f>
        <v>0</v>
      </c>
      <c r="E169" s="230">
        <f>D169/D153</f>
        <v>0</v>
      </c>
    </row>
    <row r="170" spans="1:6" x14ac:dyDescent="0.25">
      <c r="A170" s="47" t="s">
        <v>169</v>
      </c>
      <c r="B170" s="48"/>
      <c r="C170" s="49"/>
      <c r="D170" s="43">
        <f>COUNTIFS('Données '!$A:$A,"JUIN",'Données '!$Y:$Y,1)</f>
        <v>0</v>
      </c>
      <c r="E170" s="140">
        <f>D170/D153</f>
        <v>0</v>
      </c>
    </row>
    <row r="171" spans="1:6" x14ac:dyDescent="0.25">
      <c r="A171" s="70" t="s">
        <v>149</v>
      </c>
      <c r="B171" s="71"/>
      <c r="C171" s="71"/>
      <c r="D171" s="79">
        <f>COUNTIFS('Données '!$A:$A,"JUIN",'Données '!$AN:$AN,"DECEASED")</f>
        <v>0</v>
      </c>
      <c r="E171" s="77">
        <f>D171/D153</f>
        <v>0</v>
      </c>
    </row>
    <row r="172" spans="1:6" x14ac:dyDescent="0.25">
      <c r="A172" s="66" t="s">
        <v>150</v>
      </c>
      <c r="B172" s="67"/>
      <c r="C172" s="67"/>
      <c r="D172" s="91">
        <v>2.1</v>
      </c>
      <c r="E172" s="78"/>
      <c r="F172" s="64"/>
    </row>
    <row r="173" spans="1:6" x14ac:dyDescent="0.25">
      <c r="A173" s="66" t="s">
        <v>167</v>
      </c>
      <c r="B173" s="67"/>
      <c r="C173" s="67"/>
      <c r="D173" s="91">
        <v>8</v>
      </c>
      <c r="E173" s="78"/>
      <c r="F173" s="64"/>
    </row>
    <row r="174" spans="1:6" s="64" customFormat="1" x14ac:dyDescent="0.25">
      <c r="A174" s="66" t="s">
        <v>285</v>
      </c>
      <c r="B174" s="67"/>
      <c r="C174" s="67"/>
      <c r="D174" s="91">
        <f>COUNTIFS('Données '!$A:$A,"JUIN",'Données '!$AB:$AB,1,'Données '!$O:$O,"&lt;&gt;LVAD",'Données '!$O:$O,"&lt;&gt;HTX")</f>
        <v>0</v>
      </c>
      <c r="E174" s="77">
        <f>D174/19</f>
        <v>0</v>
      </c>
    </row>
    <row r="175" spans="1:6" x14ac:dyDescent="0.25">
      <c r="A175" s="66" t="s">
        <v>221</v>
      </c>
      <c r="B175" s="67"/>
      <c r="C175" s="67"/>
      <c r="D175" s="91">
        <f>COUNTIFS('Données '!$A:$A,"JUIN",'Données '!$AD:$AD,1,'Données '!$O:$O,"&lt;&gt;LVAD",'Données '!$O:$O,"&lt;&gt;HTX")</f>
        <v>0</v>
      </c>
      <c r="E175" s="77">
        <f>D175/19</f>
        <v>0</v>
      </c>
      <c r="F175" s="64"/>
    </row>
    <row r="176" spans="1:6" x14ac:dyDescent="0.25">
      <c r="A176" s="40" t="s">
        <v>222</v>
      </c>
      <c r="B176" s="41"/>
      <c r="C176" s="41"/>
      <c r="D176" s="91">
        <f>COUNTIFS('Données '!$A:$A,"JUIN",'Données '!$AI:$AI,"&lt;&gt;0",'Données '!$O:$O,"&lt;&gt;LVAD",'Données '!$O:$O,"&lt;&gt;HTX")</f>
        <v>0</v>
      </c>
      <c r="E176" s="77">
        <f>D176/19</f>
        <v>0</v>
      </c>
      <c r="F176" s="64"/>
    </row>
    <row r="177" spans="1:6" ht="15.75" thickBot="1" x14ac:dyDescent="0.3">
      <c r="A177" s="74" t="s">
        <v>223</v>
      </c>
      <c r="B177" s="75"/>
      <c r="C177" s="75"/>
      <c r="D177" s="199">
        <v>2</v>
      </c>
      <c r="E177" s="42"/>
      <c r="F177" s="64"/>
    </row>
    <row r="180" spans="1:6" ht="15.75" thickBot="1" x14ac:dyDescent="0.3"/>
    <row r="181" spans="1:6" ht="15.75" thickBot="1" x14ac:dyDescent="0.3">
      <c r="A181" s="352">
        <v>42917</v>
      </c>
      <c r="B181" s="353"/>
      <c r="C181" s="354"/>
      <c r="D181" s="80" t="s">
        <v>144</v>
      </c>
      <c r="E181" s="81" t="s">
        <v>145</v>
      </c>
    </row>
    <row r="182" spans="1:6" x14ac:dyDescent="0.25">
      <c r="A182" s="85" t="s">
        <v>184</v>
      </c>
      <c r="B182" s="86"/>
      <c r="C182" s="92"/>
      <c r="D182" s="132">
        <f>COUNTIFS('Données '!$A:$A,"JUILLET")</f>
        <v>13</v>
      </c>
      <c r="E182" s="76"/>
    </row>
    <row r="183" spans="1:6" x14ac:dyDescent="0.25">
      <c r="A183" s="61" t="s">
        <v>202</v>
      </c>
      <c r="B183" s="62"/>
      <c r="C183" s="62"/>
      <c r="D183" s="91">
        <f>COUNTIFS('Données '!$A:$A,"JUILLET",'Données '!$F:$F,1)</f>
        <v>0</v>
      </c>
      <c r="E183" s="63"/>
    </row>
    <row r="184" spans="1:6" x14ac:dyDescent="0.25">
      <c r="A184" s="61" t="s">
        <v>220</v>
      </c>
      <c r="B184" s="62"/>
      <c r="C184" s="62"/>
      <c r="D184" s="91">
        <f>COUNTIFS('Données '!$A:$A,"JUILLET",'Données '!$BW:$BW,"OUI")</f>
        <v>0</v>
      </c>
      <c r="E184" s="129">
        <f>D184/D182</f>
        <v>0</v>
      </c>
    </row>
    <row r="185" spans="1:6" x14ac:dyDescent="0.25">
      <c r="A185" s="87" t="s">
        <v>146</v>
      </c>
      <c r="B185" s="88"/>
      <c r="C185" s="88"/>
      <c r="D185" s="91">
        <f>COUNTIFS('Données '!$A:$A,"JUILLET",'Données '!$O:$O,"CABG")</f>
        <v>0</v>
      </c>
      <c r="E185" s="77">
        <f>D185/D182</f>
        <v>0</v>
      </c>
    </row>
    <row r="186" spans="1:6" x14ac:dyDescent="0.25">
      <c r="A186" s="83" t="s">
        <v>147</v>
      </c>
      <c r="B186" s="84"/>
      <c r="C186" s="84"/>
      <c r="D186" s="91">
        <f>SUM(D187:D192)</f>
        <v>0</v>
      </c>
      <c r="E186" s="77">
        <f>D186/D182</f>
        <v>0</v>
      </c>
    </row>
    <row r="187" spans="1:6" x14ac:dyDescent="0.25">
      <c r="A187" s="68"/>
      <c r="B187" s="69"/>
      <c r="C187" s="69" t="s">
        <v>1</v>
      </c>
      <c r="D187" s="96">
        <f>COUNTIFS('Données '!$A:$A,"JUILLET",'Données '!$R:$R,"AVR")</f>
        <v>0</v>
      </c>
      <c r="E187" s="95" t="str">
        <f>IFERROR(D187/D$186,"")</f>
        <v/>
      </c>
    </row>
    <row r="188" spans="1:6" x14ac:dyDescent="0.25">
      <c r="A188" s="68"/>
      <c r="B188" s="69"/>
      <c r="C188" s="69" t="s">
        <v>72</v>
      </c>
      <c r="D188" s="96">
        <f>COUNTIFS('Données '!$A:$A,"JUILLET",'Données '!$R:$R,"TVR")</f>
        <v>0</v>
      </c>
      <c r="E188" s="95" t="str">
        <f t="shared" ref="E188:E192" si="2">IFERROR(D188/D$186,"")</f>
        <v/>
      </c>
    </row>
    <row r="189" spans="1:6" x14ac:dyDescent="0.25">
      <c r="A189" s="68"/>
      <c r="B189" s="69"/>
      <c r="C189" s="69" t="s">
        <v>62</v>
      </c>
      <c r="D189" s="96">
        <f>COUNTIFS('Données '!$A:$A,"JUILLET",'Données '!$R:$R,"TVP")</f>
        <v>0</v>
      </c>
      <c r="E189" s="95" t="str">
        <f t="shared" si="2"/>
        <v/>
      </c>
    </row>
    <row r="190" spans="1:6" x14ac:dyDescent="0.25">
      <c r="A190" s="68"/>
      <c r="B190" s="69"/>
      <c r="C190" s="69" t="s">
        <v>64</v>
      </c>
      <c r="D190" s="96">
        <f>COUNTIFS('Données '!$A:$A,"JUILLET",'Données '!$R:$R,"MVR")</f>
        <v>0</v>
      </c>
      <c r="E190" s="95" t="str">
        <f t="shared" si="2"/>
        <v/>
      </c>
    </row>
    <row r="191" spans="1:6" x14ac:dyDescent="0.25">
      <c r="A191" s="68"/>
      <c r="B191" s="69"/>
      <c r="C191" s="69" t="s">
        <v>63</v>
      </c>
      <c r="D191" s="96">
        <f>COUNTIFS('Données '!$A:$A,"JUILLET",'Données '!$R:$R,"MVP")</f>
        <v>0</v>
      </c>
      <c r="E191" s="95" t="str">
        <f t="shared" si="2"/>
        <v/>
      </c>
    </row>
    <row r="192" spans="1:6" x14ac:dyDescent="0.25">
      <c r="A192" s="70"/>
      <c r="B192" s="71"/>
      <c r="C192" s="71" t="s">
        <v>148</v>
      </c>
      <c r="D192" s="96">
        <f>COUNTIFS('Données '!$A:$A,"JUILLET",'Données '!$R:$R,"2 V ou plus")</f>
        <v>0</v>
      </c>
      <c r="E192" s="95" t="str">
        <f t="shared" si="2"/>
        <v/>
      </c>
    </row>
    <row r="193" spans="1:6" x14ac:dyDescent="0.25">
      <c r="A193" s="87" t="s">
        <v>180</v>
      </c>
      <c r="B193" s="88"/>
      <c r="C193" s="93"/>
      <c r="D193" s="79">
        <f>COUNTIFS('Données '!$A:$A,"JUILLET",'Données '!$Q:$Q,"CABG + V")</f>
        <v>0</v>
      </c>
      <c r="E193" s="228">
        <f>D193/D$182</f>
        <v>0</v>
      </c>
    </row>
    <row r="194" spans="1:6" x14ac:dyDescent="0.25">
      <c r="A194" s="87" t="s">
        <v>181</v>
      </c>
      <c r="B194" s="88"/>
      <c r="C194" s="93"/>
      <c r="D194" s="79">
        <f>COUNTIFS('Données '!$A:$A,"JUILLET",'Données '!$O:$O,"Autre")</f>
        <v>0</v>
      </c>
      <c r="E194" s="228">
        <f t="shared" ref="E194:E196" si="3">D194/D$182</f>
        <v>0</v>
      </c>
    </row>
    <row r="195" spans="1:6" x14ac:dyDescent="0.25">
      <c r="A195" s="87" t="s">
        <v>154</v>
      </c>
      <c r="B195" s="88"/>
      <c r="C195" s="93"/>
      <c r="D195" s="79">
        <f>COUNTIFS('Données '!$A:$A,"JUILLET",'Données '!$O:$O,"Aorte")</f>
        <v>0</v>
      </c>
      <c r="E195" s="228">
        <f t="shared" si="3"/>
        <v>0</v>
      </c>
    </row>
    <row r="196" spans="1:6" x14ac:dyDescent="0.25">
      <c r="A196" s="89" t="s">
        <v>152</v>
      </c>
      <c r="B196" s="90"/>
      <c r="C196" s="94"/>
      <c r="D196" s="79">
        <f>SUM($D$197:$D$198)</f>
        <v>0</v>
      </c>
      <c r="E196" s="228">
        <f t="shared" si="3"/>
        <v>0</v>
      </c>
    </row>
    <row r="197" spans="1:6" x14ac:dyDescent="0.25">
      <c r="A197" s="68"/>
      <c r="B197" s="69"/>
      <c r="C197" s="69" t="s">
        <v>45</v>
      </c>
      <c r="D197" s="96">
        <f>COUNTIFS('Données '!$A:$A,"JUILLET",'Données '!$O:$O,"LVAD")</f>
        <v>0</v>
      </c>
      <c r="E197" s="95">
        <f>D197/D182</f>
        <v>0</v>
      </c>
    </row>
    <row r="198" spans="1:6" ht="15.75" thickBot="1" x14ac:dyDescent="0.3">
      <c r="A198" s="72"/>
      <c r="B198" s="73"/>
      <c r="C198" s="73" t="s">
        <v>151</v>
      </c>
      <c r="D198" s="135">
        <f>COUNTIFS('Données '!$A:$A,"JUILLET",'Données '!$O:$O,"HTX")</f>
        <v>0</v>
      </c>
      <c r="E198" s="136">
        <f>D198/D182</f>
        <v>0</v>
      </c>
    </row>
    <row r="199" spans="1:6" x14ac:dyDescent="0.25">
      <c r="A199" s="47" t="s">
        <v>169</v>
      </c>
      <c r="B199" s="48"/>
      <c r="C199" s="49"/>
      <c r="D199" s="43">
        <f>COUNTIFS('Données '!$A:$A,"JUIN",'Données '!$Y:$Y,1)</f>
        <v>0</v>
      </c>
      <c r="E199" s="140">
        <f>D199/D182</f>
        <v>0</v>
      </c>
    </row>
    <row r="200" spans="1:6" x14ac:dyDescent="0.25">
      <c r="A200" s="70" t="s">
        <v>149</v>
      </c>
      <c r="B200" s="71"/>
      <c r="C200" s="71"/>
      <c r="D200" s="79">
        <f>COUNTIFS('Données '!$A:$A,"JUIN",'Données '!$AN:$AN,"DECEASED")</f>
        <v>0</v>
      </c>
      <c r="E200" s="77">
        <f>D200/D182</f>
        <v>0</v>
      </c>
    </row>
    <row r="201" spans="1:6" x14ac:dyDescent="0.25">
      <c r="A201" s="66" t="s">
        <v>150</v>
      </c>
      <c r="B201" s="67"/>
      <c r="C201" s="67"/>
      <c r="D201" s="91">
        <v>3.2</v>
      </c>
      <c r="E201" s="78"/>
      <c r="F201" s="64"/>
    </row>
    <row r="202" spans="1:6" x14ac:dyDescent="0.25">
      <c r="A202" s="66" t="s">
        <v>167</v>
      </c>
      <c r="B202" s="67"/>
      <c r="C202" s="67"/>
      <c r="D202" s="91">
        <v>12.3</v>
      </c>
      <c r="E202" s="78"/>
      <c r="F202" s="64"/>
    </row>
    <row r="203" spans="1:6" x14ac:dyDescent="0.25">
      <c r="A203" s="66" t="s">
        <v>285</v>
      </c>
      <c r="B203" s="67"/>
      <c r="C203" s="67"/>
      <c r="D203" s="91">
        <f>COUNTIFS('Données '!$A:$A,"JUIN",'Données '!$AB:$AB,1,'Données '!$O:$O,"&lt;&gt;LVAD",'Données '!$O:$O,"&lt;&gt;HTX")</f>
        <v>0</v>
      </c>
      <c r="E203" s="77">
        <f>D203/D182</f>
        <v>0</v>
      </c>
      <c r="F203" s="64"/>
    </row>
    <row r="204" spans="1:6" x14ac:dyDescent="0.25">
      <c r="A204" s="66" t="s">
        <v>221</v>
      </c>
      <c r="B204" s="67"/>
      <c r="C204" s="67"/>
      <c r="D204" s="91">
        <f>COUNTIFS('Données '!$A:$A,"JUIN",'Données '!$AD:$AD,1,'Données '!$O:$O,"&lt;&gt;LVAD",'Données '!$O:$O,"&lt;&gt;HTX")</f>
        <v>0</v>
      </c>
      <c r="E204" s="77">
        <f>D204/D182</f>
        <v>0</v>
      </c>
      <c r="F204" s="64"/>
    </row>
    <row r="205" spans="1:6" x14ac:dyDescent="0.25">
      <c r="A205" s="40" t="s">
        <v>222</v>
      </c>
      <c r="B205" s="41"/>
      <c r="C205" s="41"/>
      <c r="D205" s="91">
        <f>COUNTIFS('Données '!$A:$A,"JUIN",'Données '!$AI:$AI,"&lt;&gt;0",'Données '!$O:$O,"&lt;&gt;LVAD",'Données '!$O:$O,"&lt;&gt;HTX")</f>
        <v>0</v>
      </c>
      <c r="E205" s="77">
        <f>D205/13</f>
        <v>0</v>
      </c>
      <c r="F205" s="64"/>
    </row>
    <row r="206" spans="1:6" ht="15.75" thickBot="1" x14ac:dyDescent="0.3">
      <c r="A206" s="74" t="s">
        <v>223</v>
      </c>
      <c r="B206" s="75"/>
      <c r="C206" s="75"/>
      <c r="D206" s="199">
        <v>4.5999999999999996</v>
      </c>
      <c r="E206" s="42"/>
      <c r="F206" s="64"/>
    </row>
    <row r="209" spans="1:7" ht="15.75" thickBot="1" x14ac:dyDescent="0.3"/>
    <row r="210" spans="1:7" ht="15.75" thickBot="1" x14ac:dyDescent="0.3">
      <c r="A210" s="352">
        <v>42948</v>
      </c>
      <c r="B210" s="353"/>
      <c r="C210" s="354"/>
      <c r="D210" s="80" t="s">
        <v>144</v>
      </c>
      <c r="E210" s="81" t="s">
        <v>145</v>
      </c>
      <c r="F210" s="64"/>
      <c r="G210" s="64"/>
    </row>
    <row r="211" spans="1:7" x14ac:dyDescent="0.25">
      <c r="A211" s="85" t="s">
        <v>184</v>
      </c>
      <c r="B211" s="86"/>
      <c r="C211" s="92"/>
      <c r="D211" s="132">
        <f>COUNTIFS('Données '!$A:$A,"AOUT")</f>
        <v>20</v>
      </c>
      <c r="E211" s="76"/>
      <c r="F211" s="64"/>
      <c r="G211" s="64"/>
    </row>
    <row r="212" spans="1:7" x14ac:dyDescent="0.25">
      <c r="A212" s="61" t="s">
        <v>202</v>
      </c>
      <c r="B212" s="62"/>
      <c r="C212" s="62"/>
      <c r="D212" s="91">
        <f>COUNTIFS('Données '!$A:$A,"AOUT",'Données '!$F:$F,1)</f>
        <v>0</v>
      </c>
      <c r="E212" s="63"/>
      <c r="F212" s="64"/>
      <c r="G212" s="64"/>
    </row>
    <row r="213" spans="1:7" x14ac:dyDescent="0.25">
      <c r="A213" s="61" t="s">
        <v>220</v>
      </c>
      <c r="B213" s="62"/>
      <c r="C213" s="62"/>
      <c r="D213" s="91">
        <f>COUNTIFS('Données '!$A:$A,"AOUT",'Données '!$BW:$BW,"OUI")</f>
        <v>0</v>
      </c>
      <c r="E213" s="129">
        <f>D213/D211</f>
        <v>0</v>
      </c>
      <c r="F213" s="64"/>
      <c r="G213" s="64"/>
    </row>
    <row r="214" spans="1:7" x14ac:dyDescent="0.25">
      <c r="A214" s="87" t="s">
        <v>146</v>
      </c>
      <c r="B214" s="88"/>
      <c r="C214" s="88"/>
      <c r="D214" s="91">
        <f>COUNTIFS('Données '!$A:$A,"AOUT",'Données '!$O:$O,"CABG")</f>
        <v>0</v>
      </c>
      <c r="E214" s="77">
        <f>D214/D211</f>
        <v>0</v>
      </c>
      <c r="F214" s="64"/>
      <c r="G214" s="64"/>
    </row>
    <row r="215" spans="1:7" x14ac:dyDescent="0.25">
      <c r="A215" s="83" t="s">
        <v>147</v>
      </c>
      <c r="B215" s="84"/>
      <c r="C215" s="84"/>
      <c r="D215" s="91">
        <f>SUM(D216:D221)</f>
        <v>0</v>
      </c>
      <c r="E215" s="77">
        <f>D215/D211</f>
        <v>0</v>
      </c>
      <c r="F215" s="64"/>
      <c r="G215" s="64"/>
    </row>
    <row r="216" spans="1:7" x14ac:dyDescent="0.25">
      <c r="A216" s="68"/>
      <c r="B216" s="69"/>
      <c r="C216" s="69" t="s">
        <v>1</v>
      </c>
      <c r="D216" s="96">
        <f>COUNTIFS('Données '!$A:$A,"AOUT",'Données '!$R:$R,"AVR")</f>
        <v>0</v>
      </c>
      <c r="E216" s="95" t="str">
        <f>IFERROR(D216/D$215,"")</f>
        <v/>
      </c>
      <c r="F216" s="64"/>
      <c r="G216" s="64"/>
    </row>
    <row r="217" spans="1:7" x14ac:dyDescent="0.25">
      <c r="A217" s="68"/>
      <c r="B217" s="69"/>
      <c r="C217" s="69" t="s">
        <v>72</v>
      </c>
      <c r="D217" s="96">
        <f>COUNTIFS('Données '!$A:$A,"AOUT",'Données '!$R:$R,"TVR")</f>
        <v>0</v>
      </c>
      <c r="E217" s="95" t="str">
        <f t="shared" ref="E217:E220" si="4">IFERROR(D217/D$215,"")</f>
        <v/>
      </c>
      <c r="F217" s="64"/>
      <c r="G217" s="64"/>
    </row>
    <row r="218" spans="1:7" x14ac:dyDescent="0.25">
      <c r="A218" s="68"/>
      <c r="B218" s="69"/>
      <c r="C218" s="69" t="s">
        <v>62</v>
      </c>
      <c r="D218" s="96">
        <f>COUNTIFS('Données '!$A:$A,"AOUT",'Données '!$R:$R,"TVP")</f>
        <v>0</v>
      </c>
      <c r="E218" s="95" t="str">
        <f t="shared" si="4"/>
        <v/>
      </c>
      <c r="F218" s="64"/>
      <c r="G218" s="64"/>
    </row>
    <row r="219" spans="1:7" x14ac:dyDescent="0.25">
      <c r="A219" s="68"/>
      <c r="B219" s="69"/>
      <c r="C219" s="69" t="s">
        <v>64</v>
      </c>
      <c r="D219" s="96">
        <f>COUNTIFS('Données '!$A:$A,"AOUT",'Données '!$R:$R,"MVR")</f>
        <v>0</v>
      </c>
      <c r="E219" s="95" t="str">
        <f t="shared" si="4"/>
        <v/>
      </c>
      <c r="F219" s="64"/>
      <c r="G219" s="64"/>
    </row>
    <row r="220" spans="1:7" x14ac:dyDescent="0.25">
      <c r="A220" s="68"/>
      <c r="B220" s="69"/>
      <c r="C220" s="69" t="s">
        <v>63</v>
      </c>
      <c r="D220" s="96">
        <f>COUNTIFS('Données '!$A:$A,"AOUT",'Données '!$R:$R,"MVP")</f>
        <v>0</v>
      </c>
      <c r="E220" s="95" t="str">
        <f t="shared" si="4"/>
        <v/>
      </c>
      <c r="F220" s="64"/>
      <c r="G220" s="64"/>
    </row>
    <row r="221" spans="1:7" x14ac:dyDescent="0.25">
      <c r="A221" s="70"/>
      <c r="B221" s="71"/>
      <c r="C221" s="71" t="s">
        <v>148</v>
      </c>
      <c r="D221" s="96">
        <f>COUNTIFS('Données '!$A:$A,"AOUT",'Données '!$R:$R,"2 V ou plus")</f>
        <v>0</v>
      </c>
      <c r="E221" s="95" t="str">
        <f>IFERROR(D221/D$215,"")</f>
        <v/>
      </c>
      <c r="F221" s="64"/>
      <c r="G221" s="64"/>
    </row>
    <row r="222" spans="1:7" x14ac:dyDescent="0.25">
      <c r="A222" s="87" t="s">
        <v>180</v>
      </c>
      <c r="B222" s="88"/>
      <c r="C222" s="93"/>
      <c r="D222" s="79">
        <f>COUNTIFS('Données '!$A:$A,"AOUT",'Données '!$Q:$Q,"CABG + V")</f>
        <v>0</v>
      </c>
      <c r="E222" s="228"/>
      <c r="F222" s="64"/>
      <c r="G222" s="64"/>
    </row>
    <row r="223" spans="1:7" x14ac:dyDescent="0.25">
      <c r="A223" s="87" t="s">
        <v>181</v>
      </c>
      <c r="B223" s="88"/>
      <c r="C223" s="93"/>
      <c r="D223" s="79">
        <f>COUNTIFS('Données '!$A:$A,"AOUT",'Données '!$O:$O,"Autre")</f>
        <v>0</v>
      </c>
      <c r="E223" s="228"/>
      <c r="F223" s="64"/>
      <c r="G223" s="64"/>
    </row>
    <row r="224" spans="1:7" x14ac:dyDescent="0.25">
      <c r="A224" s="87" t="s">
        <v>154</v>
      </c>
      <c r="B224" s="88"/>
      <c r="C224" s="93"/>
      <c r="D224" s="79">
        <f>COUNTIFS('Données '!$A:$A,"AOUT",'Données '!$O:$O,"Aorte")</f>
        <v>0</v>
      </c>
      <c r="E224" s="228"/>
      <c r="F224" s="64"/>
      <c r="G224" s="64"/>
    </row>
    <row r="225" spans="1:7" x14ac:dyDescent="0.25">
      <c r="A225" s="89" t="s">
        <v>152</v>
      </c>
      <c r="B225" s="90"/>
      <c r="C225" s="94"/>
      <c r="D225" s="79">
        <f>SUM($D226:$D227)</f>
        <v>0</v>
      </c>
      <c r="E225" s="228"/>
      <c r="F225" s="64"/>
      <c r="G225" s="64"/>
    </row>
    <row r="226" spans="1:7" x14ac:dyDescent="0.25">
      <c r="A226" s="68"/>
      <c r="B226" s="69"/>
      <c r="C226" s="69" t="s">
        <v>45</v>
      </c>
      <c r="D226" s="96">
        <f>COUNTIFS('Données '!$A:$A,"AOUT",'Données '!$O:$O,"LVAD")</f>
        <v>0</v>
      </c>
      <c r="E226" s="95">
        <f>D226/D211</f>
        <v>0</v>
      </c>
      <c r="F226" s="64"/>
      <c r="G226" s="64"/>
    </row>
    <row r="227" spans="1:7" ht="15.75" thickBot="1" x14ac:dyDescent="0.3">
      <c r="A227" s="72"/>
      <c r="B227" s="73"/>
      <c r="C227" s="73" t="s">
        <v>151</v>
      </c>
      <c r="D227" s="135">
        <f>COUNTIFS('Données '!$A:$A,"AOUT",'Données '!$O:$O,"HTX")</f>
        <v>0</v>
      </c>
      <c r="E227" s="136">
        <f>D227/D211</f>
        <v>0</v>
      </c>
      <c r="F227" s="64"/>
      <c r="G227" s="64"/>
    </row>
    <row r="228" spans="1:7" x14ac:dyDescent="0.25">
      <c r="A228" s="47" t="s">
        <v>169</v>
      </c>
      <c r="B228" s="48"/>
      <c r="C228" s="49"/>
      <c r="D228" s="43">
        <f>COUNTIFS('Données '!$A:$A,"AOUT",'Données '!$Y:$Y,1)</f>
        <v>0</v>
      </c>
      <c r="E228" s="140">
        <f>D228/D211</f>
        <v>0</v>
      </c>
      <c r="F228" s="64"/>
      <c r="G228" s="64"/>
    </row>
    <row r="229" spans="1:7" x14ac:dyDescent="0.25">
      <c r="A229" s="70" t="s">
        <v>149</v>
      </c>
      <c r="B229" s="71"/>
      <c r="C229" s="71"/>
      <c r="D229" s="79">
        <f>COUNTIFS('Données '!$A:$A,"AOUT",'Données '!$AN:$AN,"DECEASED")</f>
        <v>0</v>
      </c>
      <c r="E229" s="77">
        <f>D229/D211</f>
        <v>0</v>
      </c>
      <c r="F229" s="64"/>
      <c r="G229" s="64"/>
    </row>
    <row r="230" spans="1:7" x14ac:dyDescent="0.25">
      <c r="A230" s="66" t="s">
        <v>150</v>
      </c>
      <c r="B230" s="67"/>
      <c r="C230" s="67"/>
      <c r="D230" s="91">
        <v>2.6</v>
      </c>
      <c r="E230" s="78"/>
      <c r="F230" s="64"/>
      <c r="G230" s="64"/>
    </row>
    <row r="231" spans="1:7" x14ac:dyDescent="0.25">
      <c r="A231" s="66" t="s">
        <v>167</v>
      </c>
      <c r="B231" s="67"/>
      <c r="C231" s="67"/>
      <c r="D231" s="91">
        <v>10.4</v>
      </c>
      <c r="E231" s="78"/>
      <c r="F231" s="64"/>
      <c r="G231" s="64"/>
    </row>
    <row r="232" spans="1:7" x14ac:dyDescent="0.25">
      <c r="A232" s="66" t="s">
        <v>285</v>
      </c>
      <c r="B232" s="67"/>
      <c r="C232" s="67"/>
      <c r="D232" s="91">
        <f>COUNTIFS('Données '!$A:$A,"AOUT",'Données '!$AB:$AB,1,'Données '!$O:$O,"&lt;&gt;LVAD",'Données '!$O:$O,"&lt;&gt;HTX")</f>
        <v>0</v>
      </c>
      <c r="E232" s="78"/>
      <c r="F232" s="64"/>
      <c r="G232" s="64"/>
    </row>
    <row r="233" spans="1:7" x14ac:dyDescent="0.25">
      <c r="A233" s="66" t="s">
        <v>221</v>
      </c>
      <c r="B233" s="67"/>
      <c r="C233" s="67"/>
      <c r="D233" s="91">
        <f>COUNTIFS('Données '!$A:$A,"AOUT",'Données '!$AD:$AD,1,'Données '!$O:$O,"&lt;&gt;LVAD",'Données '!$O:$O,"&lt;&gt;HTX")</f>
        <v>0</v>
      </c>
      <c r="E233" s="77">
        <f>D233/17</f>
        <v>0</v>
      </c>
      <c r="F233" s="64"/>
      <c r="G233" s="64"/>
    </row>
    <row r="234" spans="1:7" x14ac:dyDescent="0.25">
      <c r="A234" s="40" t="s">
        <v>222</v>
      </c>
      <c r="B234" s="41"/>
      <c r="C234" s="41"/>
      <c r="D234" s="91">
        <f>COUNTIFS('Données '!$A:$A,"AOUT",'Données '!$AI:$AI,"&lt;&gt;0",'Données '!$O:$O,"&lt;&gt;LVAD",'Données '!$O:$O,"&lt;&gt;HTX")</f>
        <v>0</v>
      </c>
      <c r="E234" s="77">
        <f>D234/17</f>
        <v>0</v>
      </c>
      <c r="F234" s="64"/>
      <c r="G234" s="64"/>
    </row>
    <row r="235" spans="1:7" ht="15.75" thickBot="1" x14ac:dyDescent="0.3">
      <c r="A235" s="74" t="s">
        <v>223</v>
      </c>
      <c r="B235" s="75"/>
      <c r="C235" s="75"/>
      <c r="D235" s="199">
        <v>5.0999999999999996</v>
      </c>
      <c r="E235" s="42"/>
      <c r="F235" s="64"/>
      <c r="G235" s="64"/>
    </row>
    <row r="238" spans="1:7" ht="15.75" thickBot="1" x14ac:dyDescent="0.3"/>
    <row r="239" spans="1:7" ht="15.75" thickBot="1" x14ac:dyDescent="0.3">
      <c r="A239" s="352">
        <v>42979</v>
      </c>
      <c r="B239" s="353"/>
      <c r="C239" s="354"/>
      <c r="D239" s="80" t="s">
        <v>144</v>
      </c>
      <c r="E239" s="81" t="s">
        <v>145</v>
      </c>
      <c r="F239" s="64"/>
    </row>
    <row r="240" spans="1:7" x14ac:dyDescent="0.25">
      <c r="A240" s="85" t="s">
        <v>184</v>
      </c>
      <c r="B240" s="86"/>
      <c r="C240" s="92"/>
      <c r="D240" s="132">
        <f>COUNTIFS('Données '!$A:$A,"SEPTEMBRE")</f>
        <v>25</v>
      </c>
      <c r="E240" s="76"/>
      <c r="F240" s="64"/>
    </row>
    <row r="241" spans="1:6" x14ac:dyDescent="0.25">
      <c r="A241" s="61" t="s">
        <v>202</v>
      </c>
      <c r="B241" s="62"/>
      <c r="C241" s="62"/>
      <c r="D241" s="91">
        <f>COUNTIFS('Données '!$A:$A,"SEPTEMBRE",'Données '!$F:$F,1)</f>
        <v>0</v>
      </c>
      <c r="E241" s="129">
        <f>D241/D240</f>
        <v>0</v>
      </c>
      <c r="F241" s="64"/>
    </row>
    <row r="242" spans="1:6" x14ac:dyDescent="0.25">
      <c r="A242" s="61" t="s">
        <v>220</v>
      </c>
      <c r="B242" s="62"/>
      <c r="C242" s="62"/>
      <c r="D242" s="91">
        <f>COUNTIFS('Données '!$A:$A,"SEPTEMBRE",'Données '!$BW:$BW,"OUI")</f>
        <v>0</v>
      </c>
      <c r="E242" s="129">
        <f>D242/D240</f>
        <v>0</v>
      </c>
      <c r="F242" s="64"/>
    </row>
    <row r="243" spans="1:6" x14ac:dyDescent="0.25">
      <c r="A243" s="87" t="s">
        <v>146</v>
      </c>
      <c r="B243" s="88"/>
      <c r="C243" s="88"/>
      <c r="D243" s="91">
        <f>COUNTIFS('Données '!$A:$A,"SEPTEMBRE",'Données '!$O:$O,"CABG")</f>
        <v>0</v>
      </c>
      <c r="E243" s="77">
        <f>D243/D240</f>
        <v>0</v>
      </c>
      <c r="F243" s="64"/>
    </row>
    <row r="244" spans="1:6" x14ac:dyDescent="0.25">
      <c r="A244" s="83" t="s">
        <v>147</v>
      </c>
      <c r="B244" s="84"/>
      <c r="C244" s="84"/>
      <c r="D244" s="91">
        <f>SUM(D245:D250)</f>
        <v>0</v>
      </c>
      <c r="E244" s="77">
        <f>D244/D240</f>
        <v>0</v>
      </c>
      <c r="F244" s="64"/>
    </row>
    <row r="245" spans="1:6" x14ac:dyDescent="0.25">
      <c r="A245" s="68"/>
      <c r="B245" s="69"/>
      <c r="C245" s="69" t="s">
        <v>1</v>
      </c>
      <c r="D245" s="96">
        <f>COUNTIFS('Données '!$A:$A,"SEPTEMBRE",'Données '!$R:$R,"AVR")</f>
        <v>0</v>
      </c>
      <c r="E245" s="95" t="str">
        <f>IFERROR(D245/D$244,"")</f>
        <v/>
      </c>
      <c r="F245" s="64"/>
    </row>
    <row r="246" spans="1:6" x14ac:dyDescent="0.25">
      <c r="A246" s="68"/>
      <c r="B246" s="69"/>
      <c r="C246" s="69" t="s">
        <v>72</v>
      </c>
      <c r="D246" s="96">
        <f>COUNTIFS('Données '!$A:$A,"SEPTEMBRE",'Données '!$R:$R,"TVR")</f>
        <v>0</v>
      </c>
      <c r="E246" s="95" t="str">
        <f t="shared" ref="E246:E250" si="5">IFERROR(D246/D$244,"")</f>
        <v/>
      </c>
      <c r="F246" s="64"/>
    </row>
    <row r="247" spans="1:6" x14ac:dyDescent="0.25">
      <c r="A247" s="68"/>
      <c r="B247" s="69"/>
      <c r="C247" s="69" t="s">
        <v>62</v>
      </c>
      <c r="D247" s="96">
        <f>COUNTIFS('Données '!$A:$A,"SEPTEMBRE",'Données '!$R:$R,"TVP")</f>
        <v>0</v>
      </c>
      <c r="E247" s="95" t="str">
        <f t="shared" si="5"/>
        <v/>
      </c>
      <c r="F247" s="64"/>
    </row>
    <row r="248" spans="1:6" x14ac:dyDescent="0.25">
      <c r="A248" s="68"/>
      <c r="B248" s="69"/>
      <c r="C248" s="69" t="s">
        <v>64</v>
      </c>
      <c r="D248" s="96">
        <f>COUNTIFS('Données '!$A:$A,"SEPTEMBRE",'Données '!$R:$R,"MVR")</f>
        <v>0</v>
      </c>
      <c r="E248" s="95" t="str">
        <f t="shared" si="5"/>
        <v/>
      </c>
      <c r="F248" s="64"/>
    </row>
    <row r="249" spans="1:6" x14ac:dyDescent="0.25">
      <c r="A249" s="68"/>
      <c r="B249" s="69"/>
      <c r="C249" s="69" t="s">
        <v>63</v>
      </c>
      <c r="D249" s="96">
        <f>COUNTIFS('Données '!$A:$A,"SEPTEMBRE",'Données '!$R:$R,"MVP")</f>
        <v>0</v>
      </c>
      <c r="E249" s="95" t="str">
        <f t="shared" si="5"/>
        <v/>
      </c>
      <c r="F249" s="64"/>
    </row>
    <row r="250" spans="1:6" x14ac:dyDescent="0.25">
      <c r="A250" s="70"/>
      <c r="B250" s="71"/>
      <c r="C250" s="71" t="s">
        <v>148</v>
      </c>
      <c r="D250" s="96">
        <f>COUNTIFS('Données '!$A:$A,"SEPTEMBRE",'Données '!$R:$R,"2 V ou plus")</f>
        <v>0</v>
      </c>
      <c r="E250" s="95" t="str">
        <f t="shared" si="5"/>
        <v/>
      </c>
      <c r="F250" s="64"/>
    </row>
    <row r="251" spans="1:6" x14ac:dyDescent="0.25">
      <c r="A251" s="87" t="s">
        <v>180</v>
      </c>
      <c r="B251" s="88"/>
      <c r="C251" s="93"/>
      <c r="D251" s="79">
        <f>COUNTIFS('Données '!$A:$A,"SEPTEMBRE",'Données '!$Q:$Q,"CABG + V")</f>
        <v>0</v>
      </c>
      <c r="E251" s="228">
        <f>D251/D$240</f>
        <v>0</v>
      </c>
      <c r="F251" s="64"/>
    </row>
    <row r="252" spans="1:6" x14ac:dyDescent="0.25">
      <c r="A252" s="87" t="s">
        <v>181</v>
      </c>
      <c r="B252" s="88"/>
      <c r="C252" s="93"/>
      <c r="D252" s="79">
        <f>COUNTIFS('Données '!$A:$A,"SEPTEMBRE",'Données '!$O:$O,"Autre")</f>
        <v>0</v>
      </c>
      <c r="E252" s="228">
        <f t="shared" ref="E252:E254" si="6">D252/D$240</f>
        <v>0</v>
      </c>
      <c r="F252" s="64"/>
    </row>
    <row r="253" spans="1:6" x14ac:dyDescent="0.25">
      <c r="A253" s="87" t="s">
        <v>154</v>
      </c>
      <c r="B253" s="88"/>
      <c r="C253" s="93"/>
      <c r="D253" s="79">
        <f>COUNTIFS('Données '!$A:$A,"SEPTEMBRE",'Données '!$O:$O,"Aorte")</f>
        <v>0</v>
      </c>
      <c r="E253" s="228">
        <f t="shared" si="6"/>
        <v>0</v>
      </c>
      <c r="F253" s="64"/>
    </row>
    <row r="254" spans="1:6" x14ac:dyDescent="0.25">
      <c r="A254" s="89" t="s">
        <v>152</v>
      </c>
      <c r="B254" s="90"/>
      <c r="C254" s="94"/>
      <c r="D254" s="79">
        <f>SUM($D255:$D256)</f>
        <v>0</v>
      </c>
      <c r="E254" s="228">
        <f t="shared" si="6"/>
        <v>0</v>
      </c>
      <c r="F254" s="64"/>
    </row>
    <row r="255" spans="1:6" x14ac:dyDescent="0.25">
      <c r="A255" s="68"/>
      <c r="B255" s="69"/>
      <c r="C255" s="69" t="s">
        <v>45</v>
      </c>
      <c r="D255" s="96">
        <f>COUNTIFS('Données '!$A:$A,"SEPTEMBRE",'Données '!$O:$O,"LVAD")</f>
        <v>0</v>
      </c>
      <c r="E255" s="228">
        <f>D255/D240</f>
        <v>0</v>
      </c>
      <c r="F255" s="64"/>
    </row>
    <row r="256" spans="1:6" ht="15.75" thickBot="1" x14ac:dyDescent="0.3">
      <c r="A256" s="72"/>
      <c r="B256" s="73"/>
      <c r="C256" s="73" t="s">
        <v>151</v>
      </c>
      <c r="D256" s="135">
        <f>COUNTIFS('Données '!$A:$A,"SEPTEMBRE",'Données '!$O:$O,"HTX")</f>
        <v>0</v>
      </c>
      <c r="E256" s="230">
        <f>D256/D240</f>
        <v>0</v>
      </c>
      <c r="F256" s="64"/>
    </row>
    <row r="257" spans="1:6" x14ac:dyDescent="0.25">
      <c r="A257" s="47" t="s">
        <v>169</v>
      </c>
      <c r="B257" s="48"/>
      <c r="C257" s="49"/>
      <c r="D257" s="43">
        <f>COUNTIFS('Données '!$A:$A,"SEPTEMBRE",'Données '!$Y:$Y,1)</f>
        <v>0</v>
      </c>
      <c r="E257" s="140">
        <f>D257/D240</f>
        <v>0</v>
      </c>
      <c r="F257" s="64"/>
    </row>
    <row r="258" spans="1:6" x14ac:dyDescent="0.25">
      <c r="A258" s="70" t="s">
        <v>149</v>
      </c>
      <c r="B258" s="71"/>
      <c r="C258" s="71"/>
      <c r="D258" s="79">
        <f>COUNTIFS('Données '!$A:$A,"SEPTEMBRE",'Données '!$AN:$AN,"DECEASED")</f>
        <v>0</v>
      </c>
      <c r="E258" s="77">
        <f>D258/D240</f>
        <v>0</v>
      </c>
      <c r="F258" s="64"/>
    </row>
    <row r="259" spans="1:6" x14ac:dyDescent="0.25">
      <c r="A259" s="66" t="s">
        <v>150</v>
      </c>
      <c r="B259" s="67"/>
      <c r="C259" s="67"/>
      <c r="D259" s="91">
        <v>3.1</v>
      </c>
      <c r="E259" s="78"/>
      <c r="F259" s="64" t="s">
        <v>266</v>
      </c>
    </row>
    <row r="260" spans="1:6" x14ac:dyDescent="0.25">
      <c r="A260" s="66" t="s">
        <v>167</v>
      </c>
      <c r="B260" s="67"/>
      <c r="C260" s="67"/>
      <c r="D260" s="91">
        <v>10.9</v>
      </c>
      <c r="E260" s="78"/>
      <c r="F260" s="64" t="s">
        <v>266</v>
      </c>
    </row>
    <row r="261" spans="1:6" x14ac:dyDescent="0.25">
      <c r="A261" s="66" t="s">
        <v>285</v>
      </c>
      <c r="B261" s="67"/>
      <c r="C261" s="67"/>
      <c r="D261" s="91">
        <f>COUNTIFS('Données '!$A:$A,"SEPTEMBRE",'Données '!$AB:$AB,1,'Données '!$O:$O,"&lt;&gt;LVAD",'Données '!$O:$O,"&lt;&gt;HTX")</f>
        <v>0</v>
      </c>
      <c r="E261" s="77">
        <f>D261/22</f>
        <v>0</v>
      </c>
      <c r="F261" s="64" t="s">
        <v>266</v>
      </c>
    </row>
    <row r="262" spans="1:6" x14ac:dyDescent="0.25">
      <c r="A262" s="66" t="s">
        <v>221</v>
      </c>
      <c r="B262" s="67"/>
      <c r="C262" s="67"/>
      <c r="D262" s="91">
        <f>COUNTIFS('Données '!$A:$A,"SEPTEMBRE",'Données '!$AD:$AD,1,'Données '!$O:$O,"&lt;&gt;LVAD",'Données '!$O:$O,"&lt;&gt;HTX")</f>
        <v>0</v>
      </c>
      <c r="E262" s="77">
        <f>D262/22</f>
        <v>0</v>
      </c>
      <c r="F262" s="64" t="s">
        <v>266</v>
      </c>
    </row>
    <row r="263" spans="1:6" x14ac:dyDescent="0.25">
      <c r="A263" s="40" t="s">
        <v>222</v>
      </c>
      <c r="B263" s="41"/>
      <c r="C263" s="41"/>
      <c r="D263" s="91">
        <f>COUNTIFS('Données '!$A:$A,"SEPTEMBRE",'Données '!$AI:$AI,"&lt;&gt;0",'Données '!$O:$O,"&lt;&gt;LVAD",'Données '!$O:$O,"&lt;&gt;HTX")</f>
        <v>0</v>
      </c>
      <c r="E263" s="77">
        <f>D263/22</f>
        <v>0</v>
      </c>
      <c r="F263" s="64" t="s">
        <v>266</v>
      </c>
    </row>
    <row r="264" spans="1:6" ht="15.75" thickBot="1" x14ac:dyDescent="0.3">
      <c r="A264" s="74" t="s">
        <v>223</v>
      </c>
      <c r="B264" s="75"/>
      <c r="C264" s="75"/>
      <c r="D264" s="199">
        <v>5.3</v>
      </c>
      <c r="E264" s="42"/>
      <c r="F264" s="64" t="s">
        <v>266</v>
      </c>
    </row>
    <row r="265" spans="1:6" x14ac:dyDescent="0.25">
      <c r="A265" s="64"/>
      <c r="B265" s="64"/>
      <c r="C265" s="64"/>
      <c r="D265" s="64"/>
      <c r="E265" s="64"/>
      <c r="F265" s="64"/>
    </row>
    <row r="267" spans="1:6" ht="15.75" thickBot="1" x14ac:dyDescent="0.3"/>
    <row r="268" spans="1:6" ht="15.75" thickBot="1" x14ac:dyDescent="0.3">
      <c r="A268" s="352">
        <v>43009</v>
      </c>
      <c r="B268" s="353"/>
      <c r="C268" s="354"/>
      <c r="D268" s="80" t="s">
        <v>144</v>
      </c>
      <c r="E268" s="81" t="s">
        <v>145</v>
      </c>
      <c r="F268" s="64"/>
    </row>
    <row r="269" spans="1:6" x14ac:dyDescent="0.25">
      <c r="A269" s="85" t="s">
        <v>184</v>
      </c>
      <c r="B269" s="86"/>
      <c r="C269" s="92"/>
      <c r="D269" s="132">
        <f>COUNTIFS('Données '!$A:$A,"OCTOBRE")</f>
        <v>32</v>
      </c>
      <c r="E269" s="76"/>
      <c r="F269" s="64"/>
    </row>
    <row r="270" spans="1:6" x14ac:dyDescent="0.25">
      <c r="A270" s="61" t="s">
        <v>202</v>
      </c>
      <c r="B270" s="62"/>
      <c r="C270" s="62"/>
      <c r="D270" s="91">
        <f>COUNTIFS('Données '!$A:$A,"OCTOBRE",'Données '!$F:$F,1)</f>
        <v>0</v>
      </c>
      <c r="E270" s="63"/>
      <c r="F270" s="64"/>
    </row>
    <row r="271" spans="1:6" x14ac:dyDescent="0.25">
      <c r="A271" s="61" t="s">
        <v>220</v>
      </c>
      <c r="B271" s="62"/>
      <c r="C271" s="62"/>
      <c r="D271" s="91">
        <f>COUNTIFS('Données '!$A:$A,"OCTOBRE",'Données '!$BW:$BW,"OUI")</f>
        <v>0</v>
      </c>
      <c r="E271" s="129">
        <f>D271/D269</f>
        <v>0</v>
      </c>
      <c r="F271" s="64"/>
    </row>
    <row r="272" spans="1:6" x14ac:dyDescent="0.25">
      <c r="A272" s="87" t="s">
        <v>146</v>
      </c>
      <c r="B272" s="88"/>
      <c r="C272" s="88"/>
      <c r="D272" s="91">
        <f>COUNTIFS('Données '!$A:$A,"OCTOBRE",'Données '!$O:$O,"CABG")</f>
        <v>0</v>
      </c>
      <c r="E272" s="77">
        <f>D272/D269</f>
        <v>0</v>
      </c>
      <c r="F272" s="64"/>
    </row>
    <row r="273" spans="1:6" x14ac:dyDescent="0.25">
      <c r="A273" s="83" t="s">
        <v>147</v>
      </c>
      <c r="B273" s="84"/>
      <c r="C273" s="84"/>
      <c r="D273" s="91">
        <f>SUM(D274:D279)</f>
        <v>0</v>
      </c>
      <c r="E273" s="77">
        <f>D273/D269</f>
        <v>0</v>
      </c>
      <c r="F273" s="64"/>
    </row>
    <row r="274" spans="1:6" x14ac:dyDescent="0.25">
      <c r="A274" s="68"/>
      <c r="B274" s="69"/>
      <c r="C274" s="69" t="s">
        <v>1</v>
      </c>
      <c r="D274" s="96">
        <f>COUNTIFS('Données '!$A:$A,"OCTOBRE",'Données '!$R:$R,"AVR")</f>
        <v>0</v>
      </c>
      <c r="E274" s="95" t="str">
        <f>IFERROR(D274/D$273,"")</f>
        <v/>
      </c>
      <c r="F274" s="64"/>
    </row>
    <row r="275" spans="1:6" x14ac:dyDescent="0.25">
      <c r="A275" s="68"/>
      <c r="B275" s="69"/>
      <c r="C275" s="69" t="s">
        <v>72</v>
      </c>
      <c r="D275" s="96">
        <f>COUNTIFS('Données '!$A:$A,"OCTOBRE",'Données '!$R:$R,"TVR")</f>
        <v>0</v>
      </c>
      <c r="E275" s="95" t="str">
        <f t="shared" ref="E275:E279" si="7">IFERROR(D275/D$273,"")</f>
        <v/>
      </c>
      <c r="F275" s="64"/>
    </row>
    <row r="276" spans="1:6" x14ac:dyDescent="0.25">
      <c r="A276" s="68"/>
      <c r="B276" s="69"/>
      <c r="C276" s="69" t="s">
        <v>62</v>
      </c>
      <c r="D276" s="96">
        <f>COUNTIFS('Données '!$A:$A,"OCTOBRE",'Données '!$R:$R,"TVP")</f>
        <v>0</v>
      </c>
      <c r="E276" s="95" t="str">
        <f t="shared" si="7"/>
        <v/>
      </c>
      <c r="F276" s="64"/>
    </row>
    <row r="277" spans="1:6" x14ac:dyDescent="0.25">
      <c r="A277" s="68"/>
      <c r="B277" s="69"/>
      <c r="C277" s="69" t="s">
        <v>64</v>
      </c>
      <c r="D277" s="96">
        <f>COUNTIFS('Données '!$A:$A,"OCTOBRE",'Données '!$R:$R,"MVR")</f>
        <v>0</v>
      </c>
      <c r="E277" s="95" t="str">
        <f t="shared" si="7"/>
        <v/>
      </c>
      <c r="F277" s="64"/>
    </row>
    <row r="278" spans="1:6" x14ac:dyDescent="0.25">
      <c r="A278" s="68"/>
      <c r="B278" s="69"/>
      <c r="C278" s="69" t="s">
        <v>63</v>
      </c>
      <c r="D278" s="96">
        <f>COUNTIFS('Données '!$A:$A,"OCTOBRE",'Données '!$R:$R,"MVP")</f>
        <v>0</v>
      </c>
      <c r="E278" s="95" t="str">
        <f t="shared" si="7"/>
        <v/>
      </c>
      <c r="F278" s="64"/>
    </row>
    <row r="279" spans="1:6" x14ac:dyDescent="0.25">
      <c r="A279" s="70"/>
      <c r="B279" s="71"/>
      <c r="C279" s="71" t="s">
        <v>148</v>
      </c>
      <c r="D279" s="96">
        <f>COUNTIFS('Données '!$A:$A,"OCTOBRE",'Données '!$R:$R,"2 V ou plus")</f>
        <v>0</v>
      </c>
      <c r="E279" s="95" t="str">
        <f t="shared" si="7"/>
        <v/>
      </c>
      <c r="F279" s="64"/>
    </row>
    <row r="280" spans="1:6" x14ac:dyDescent="0.25">
      <c r="A280" s="87" t="s">
        <v>180</v>
      </c>
      <c r="B280" s="88"/>
      <c r="C280" s="93"/>
      <c r="D280" s="79">
        <f>COUNTIFS('Données '!$A:$A,"OCTOBRE",'Données '!$Q:$Q,"CABG + V")</f>
        <v>0</v>
      </c>
      <c r="E280" s="228">
        <f>IFERROR(D280/D$269,"")</f>
        <v>0</v>
      </c>
      <c r="F280" s="64"/>
    </row>
    <row r="281" spans="1:6" x14ac:dyDescent="0.25">
      <c r="A281" s="87" t="s">
        <v>181</v>
      </c>
      <c r="B281" s="88"/>
      <c r="C281" s="93"/>
      <c r="D281" s="79">
        <f>COUNTIFS('Données '!$A:$A,"OCTOBRE",'Données '!$O:$O,"Autre")</f>
        <v>0</v>
      </c>
      <c r="E281" s="228">
        <f t="shared" ref="E281:E283" si="8">IFERROR(D281/D$269,"")</f>
        <v>0</v>
      </c>
      <c r="F281" s="64"/>
    </row>
    <row r="282" spans="1:6" x14ac:dyDescent="0.25">
      <c r="A282" s="87" t="s">
        <v>154</v>
      </c>
      <c r="B282" s="88"/>
      <c r="C282" s="93"/>
      <c r="D282" s="79">
        <f>COUNTIFS('Données '!$A:$A,"OCTOBRE",'Données '!$O:$O,"Aorte")</f>
        <v>0</v>
      </c>
      <c r="E282" s="228">
        <f t="shared" si="8"/>
        <v>0</v>
      </c>
      <c r="F282" s="64"/>
    </row>
    <row r="283" spans="1:6" x14ac:dyDescent="0.25">
      <c r="A283" s="89" t="s">
        <v>152</v>
      </c>
      <c r="B283" s="90"/>
      <c r="C283" s="94"/>
      <c r="D283" s="79">
        <f>SUM($D284:$D285)</f>
        <v>0</v>
      </c>
      <c r="E283" s="228">
        <f t="shared" si="8"/>
        <v>0</v>
      </c>
      <c r="F283" s="64"/>
    </row>
    <row r="284" spans="1:6" x14ac:dyDescent="0.25">
      <c r="A284" s="68"/>
      <c r="B284" s="69"/>
      <c r="C284" s="69" t="s">
        <v>45</v>
      </c>
      <c r="D284" s="96">
        <f>COUNTIFS('Données '!$A:$A,"OCTOBRE",'Données '!$O:$O,"LVAD")</f>
        <v>0</v>
      </c>
      <c r="E284" s="95">
        <f>D284/D269</f>
        <v>0</v>
      </c>
      <c r="F284" s="64"/>
    </row>
    <row r="285" spans="1:6" ht="15.75" thickBot="1" x14ac:dyDescent="0.3">
      <c r="A285" s="72"/>
      <c r="B285" s="73"/>
      <c r="C285" s="73" t="s">
        <v>151</v>
      </c>
      <c r="D285" s="135">
        <f>COUNTIFS('Données '!$A:$A,"OCTOBRE",'Données '!$O:$O,"HTX")</f>
        <v>0</v>
      </c>
      <c r="E285" s="136">
        <f>D285/D269</f>
        <v>0</v>
      </c>
      <c r="F285" s="64"/>
    </row>
    <row r="286" spans="1:6" x14ac:dyDescent="0.25">
      <c r="A286" s="47" t="s">
        <v>169</v>
      </c>
      <c r="B286" s="48"/>
      <c r="C286" s="49"/>
      <c r="D286" s="43">
        <f>COUNTIFS('Données '!$A:$A,"OCTOBRE",'Données '!$Y:$Y,1)</f>
        <v>0</v>
      </c>
      <c r="E286" s="140">
        <f>D286/D269</f>
        <v>0</v>
      </c>
      <c r="F286" s="64"/>
    </row>
    <row r="287" spans="1:6" x14ac:dyDescent="0.25">
      <c r="A287" s="70" t="s">
        <v>149</v>
      </c>
      <c r="B287" s="71"/>
      <c r="C287" s="71"/>
      <c r="D287" s="79">
        <f>COUNTIFS('Données '!$A:$A,"OCTOBRE",'Données '!$AN:$AN,"DECEASED")</f>
        <v>0</v>
      </c>
      <c r="E287" s="77">
        <f>D287/D269</f>
        <v>0</v>
      </c>
      <c r="F287" s="64"/>
    </row>
    <row r="288" spans="1:6" x14ac:dyDescent="0.25">
      <c r="A288" s="66" t="s">
        <v>150</v>
      </c>
      <c r="B288" s="67"/>
      <c r="C288" s="67"/>
      <c r="D288" s="91">
        <v>3.3</v>
      </c>
      <c r="E288" s="78"/>
      <c r="F288" s="64" t="s">
        <v>266</v>
      </c>
    </row>
    <row r="289" spans="1:6" x14ac:dyDescent="0.25">
      <c r="A289" s="66" t="s">
        <v>167</v>
      </c>
      <c r="B289" s="67"/>
      <c r="C289" s="67"/>
      <c r="D289" s="91">
        <v>10.199999999999999</v>
      </c>
      <c r="E289" s="78"/>
      <c r="F289" s="64" t="s">
        <v>266</v>
      </c>
    </row>
    <row r="290" spans="1:6" x14ac:dyDescent="0.25">
      <c r="A290" s="66" t="s">
        <v>285</v>
      </c>
      <c r="B290" s="67"/>
      <c r="C290" s="67"/>
      <c r="D290" s="91">
        <f>COUNTIFS('Données '!$A:$A,"OCTOBRE",'Données '!$AB:$AB,1,'Données '!$O:$O,"&lt;&gt;LVAD",'Données '!$O:$O,"&lt;&gt;HTX")</f>
        <v>0</v>
      </c>
      <c r="E290" s="77">
        <f>D290/30</f>
        <v>0</v>
      </c>
      <c r="F290" s="64" t="s">
        <v>266</v>
      </c>
    </row>
    <row r="291" spans="1:6" x14ac:dyDescent="0.25">
      <c r="A291" s="66" t="s">
        <v>221</v>
      </c>
      <c r="B291" s="67"/>
      <c r="C291" s="67"/>
      <c r="D291" s="91">
        <f>COUNTIFS('Données '!$A:$A,"OCTOBRE",'Données '!$AD:$AD,1,'Données '!$O:$O,"&lt;&gt;LVAD",'Données '!$O:$O,"&lt;&gt;HTX")</f>
        <v>0</v>
      </c>
      <c r="E291" s="77">
        <f>D291/30</f>
        <v>0</v>
      </c>
      <c r="F291" s="64" t="s">
        <v>266</v>
      </c>
    </row>
    <row r="292" spans="1:6" x14ac:dyDescent="0.25">
      <c r="A292" s="40" t="s">
        <v>222</v>
      </c>
      <c r="B292" s="41"/>
      <c r="C292" s="41"/>
      <c r="D292" s="91">
        <f>COUNTIFS('Données '!$A:$A,"OCTOBRE",'Données '!$AI:$AI,"&lt;&gt;0",'Données '!$O:$O,"&lt;&gt;LVAD",'Données '!$O:$O,"&lt;&gt;HTX")</f>
        <v>0</v>
      </c>
      <c r="E292" s="77">
        <f>D292/30</f>
        <v>0</v>
      </c>
      <c r="F292" s="64" t="s">
        <v>266</v>
      </c>
    </row>
    <row r="293" spans="1:6" ht="15.75" thickBot="1" x14ac:dyDescent="0.3">
      <c r="A293" s="74" t="s">
        <v>223</v>
      </c>
      <c r="B293" s="75"/>
      <c r="C293" s="75"/>
      <c r="D293" s="199">
        <v>7.3</v>
      </c>
      <c r="E293" s="42"/>
      <c r="F293" s="64" t="s">
        <v>266</v>
      </c>
    </row>
  </sheetData>
  <mergeCells count="13">
    <mergeCell ref="A210:C210"/>
    <mergeCell ref="A239:C239"/>
    <mergeCell ref="A268:C268"/>
    <mergeCell ref="A181:C181"/>
    <mergeCell ref="A152:C152"/>
    <mergeCell ref="A65:C65"/>
    <mergeCell ref="A94:C94"/>
    <mergeCell ref="A123:C123"/>
    <mergeCell ref="A1:E1"/>
    <mergeCell ref="A2:E2"/>
    <mergeCell ref="A3:E3"/>
    <mergeCell ref="A36:C36"/>
    <mergeCell ref="A7:C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338"/>
  <sheetViews>
    <sheetView topLeftCell="A277" zoomScaleNormal="100" workbookViewId="0">
      <selection activeCell="K257" sqref="K257"/>
    </sheetView>
  </sheetViews>
  <sheetFormatPr baseColWidth="10" defaultColWidth="11.42578125" defaultRowHeight="15" x14ac:dyDescent="0.25"/>
  <cols>
    <col min="1" max="1" width="15.5703125" customWidth="1"/>
    <col min="2" max="2" width="11.42578125" customWidth="1"/>
    <col min="3" max="3" width="35.85546875" bestFit="1" customWidth="1"/>
    <col min="4" max="4" width="11.42578125" style="21"/>
    <col min="6" max="6" width="13.140625" customWidth="1"/>
    <col min="9" max="9" width="21" customWidth="1"/>
    <col min="10" max="10" width="20.7109375" customWidth="1"/>
    <col min="11" max="11" width="12.5703125" bestFit="1" customWidth="1"/>
    <col min="12" max="13" width="10.5703125" customWidth="1"/>
    <col min="14" max="14" width="9" customWidth="1"/>
    <col min="15" max="15" width="9.42578125" customWidth="1"/>
    <col min="16" max="16" width="8.85546875" customWidth="1"/>
    <col min="17" max="17" width="10.42578125" customWidth="1"/>
    <col min="18" max="18" width="9.5703125" customWidth="1"/>
    <col min="19" max="19" width="9" customWidth="1"/>
    <col min="20" max="20" width="9.5703125" customWidth="1"/>
    <col min="21" max="21" width="8.85546875" customWidth="1"/>
    <col min="22" max="22" width="6.28515625" customWidth="1"/>
    <col min="23" max="23" width="1.42578125" customWidth="1"/>
    <col min="24" max="24" width="12.5703125" bestFit="1" customWidth="1"/>
  </cols>
  <sheetData>
    <row r="1" spans="1:6" ht="23.25" x14ac:dyDescent="0.35">
      <c r="A1" s="355" t="s">
        <v>143</v>
      </c>
      <c r="B1" s="356"/>
      <c r="C1" s="356"/>
      <c r="D1" s="356"/>
      <c r="E1" s="357"/>
      <c r="F1" s="44"/>
    </row>
    <row r="2" spans="1:6" ht="23.25" x14ac:dyDescent="0.35">
      <c r="A2" s="358" t="s">
        <v>177</v>
      </c>
      <c r="B2" s="359"/>
      <c r="C2" s="359"/>
      <c r="D2" s="359"/>
      <c r="E2" s="360"/>
      <c r="F2" s="44"/>
    </row>
    <row r="3" spans="1:6" ht="18.75" x14ac:dyDescent="0.3">
      <c r="A3" s="361" t="s">
        <v>215</v>
      </c>
      <c r="B3" s="362"/>
      <c r="C3" s="362"/>
      <c r="D3" s="362"/>
      <c r="E3" s="363"/>
      <c r="F3" s="45"/>
    </row>
    <row r="4" spans="1:6" s="64" customFormat="1" ht="19.5" thickBot="1" x14ac:dyDescent="0.35">
      <c r="A4" s="168"/>
      <c r="B4" s="169"/>
      <c r="C4" s="169"/>
      <c r="D4" s="169"/>
      <c r="E4" s="170"/>
      <c r="F4" s="45"/>
    </row>
    <row r="5" spans="1:6" s="64" customFormat="1" ht="18.75" x14ac:dyDescent="0.3">
      <c r="A5" s="167"/>
      <c r="B5" s="167"/>
      <c r="C5" s="167"/>
      <c r="D5" s="167"/>
      <c r="E5" s="167"/>
      <c r="F5" s="45"/>
    </row>
    <row r="6" spans="1:6" s="64" customFormat="1" ht="19.5" thickBot="1" x14ac:dyDescent="0.35">
      <c r="A6" s="167"/>
      <c r="B6" s="167"/>
      <c r="C6" s="167"/>
      <c r="D6" s="167"/>
      <c r="E6" s="167"/>
      <c r="F6" s="45"/>
    </row>
    <row r="7" spans="1:6" s="64" customFormat="1" ht="19.5" thickBot="1" x14ac:dyDescent="0.35">
      <c r="A7" s="352" t="s">
        <v>231</v>
      </c>
      <c r="B7" s="353"/>
      <c r="C7" s="354"/>
      <c r="D7" s="157" t="s">
        <v>144</v>
      </c>
      <c r="E7" s="158" t="s">
        <v>145</v>
      </c>
      <c r="F7" s="45"/>
    </row>
    <row r="8" spans="1:6" s="64" customFormat="1" ht="18.75" x14ac:dyDescent="0.3">
      <c r="A8" s="85" t="s">
        <v>184</v>
      </c>
      <c r="B8" s="86"/>
      <c r="C8" s="92"/>
      <c r="D8" s="130">
        <f>COUNTIFS('Données '!$A:$A,"JANVIER")+COUNTIFS('Données '!$A:$A,"FEVRIER")</f>
        <v>56</v>
      </c>
      <c r="E8" s="76"/>
      <c r="F8" s="45"/>
    </row>
    <row r="9" spans="1:6" s="64" customFormat="1" ht="16.5" customHeight="1" x14ac:dyDescent="0.3">
      <c r="A9" s="61" t="s">
        <v>176</v>
      </c>
      <c r="B9" s="62"/>
      <c r="C9" s="62"/>
      <c r="D9" s="152">
        <v>56</v>
      </c>
      <c r="E9" s="63"/>
      <c r="F9" s="45"/>
    </row>
    <row r="10" spans="1:6" s="64" customFormat="1" ht="18.75" x14ac:dyDescent="0.3">
      <c r="A10" s="61" t="s">
        <v>220</v>
      </c>
      <c r="B10" s="62"/>
      <c r="C10" s="62"/>
      <c r="D10" s="165">
        <f>COUNTIFS('Données '!$A:$A,"JANVIER",'Données '!$BW:$BW,"OUI")+COUNTIFS('Données '!$A:$A,"FEVRIER",'Données '!$BW:$BW,"OUI")</f>
        <v>0</v>
      </c>
      <c r="E10" s="129">
        <f>D10/D9</f>
        <v>0</v>
      </c>
      <c r="F10" s="45"/>
    </row>
    <row r="11" spans="1:6" s="64" customFormat="1" x14ac:dyDescent="0.25">
      <c r="A11" s="61" t="s">
        <v>203</v>
      </c>
      <c r="B11" s="62"/>
      <c r="C11" s="62"/>
      <c r="D11" s="166">
        <f>COUNTIFS('Données '!$A:$A,"JANVIER",'Données '!$F:$F,1)+COUNTIFS('Données '!$A:$A,"FEVRIER",'Données '!$F:$F,1)</f>
        <v>0</v>
      </c>
      <c r="E11" s="129">
        <f>D11/D9</f>
        <v>0</v>
      </c>
    </row>
    <row r="12" spans="1:6" s="64" customFormat="1" x14ac:dyDescent="0.25">
      <c r="A12" s="87" t="s">
        <v>146</v>
      </c>
      <c r="B12" s="88"/>
      <c r="C12" s="88"/>
      <c r="D12" s="120">
        <f>COUNTIFS('Données '!$A:$A,"JANVIER",'Données '!$O:$O,"CABG")+COUNTIFS('Données '!$A:$A,"FEVRIER",'Données '!$O:$O,"CABG")</f>
        <v>0</v>
      </c>
      <c r="E12" s="77">
        <f>D12/D8</f>
        <v>0</v>
      </c>
    </row>
    <row r="13" spans="1:6" s="64" customFormat="1" x14ac:dyDescent="0.25">
      <c r="A13" s="83" t="s">
        <v>147</v>
      </c>
      <c r="B13" s="84"/>
      <c r="C13" s="84"/>
      <c r="D13" s="125">
        <f>SUM(D14:D19)</f>
        <v>0</v>
      </c>
      <c r="E13" s="77">
        <f>D13/D8</f>
        <v>0</v>
      </c>
    </row>
    <row r="14" spans="1:6" s="64" customFormat="1" x14ac:dyDescent="0.25">
      <c r="A14" s="68"/>
      <c r="B14" s="69"/>
      <c r="C14" s="69" t="s">
        <v>1</v>
      </c>
      <c r="D14" s="134">
        <f>COUNTIFS('Données '!$A:$A,"JANVIER",'Données '!$R:$R,"AVR")+COUNTIFS('Données '!$A:$A,"FEVRIER",'Données '!$R:$R,"AVR")</f>
        <v>0</v>
      </c>
      <c r="E14" s="95" t="str">
        <f>IFERROR(D14/D13,"")</f>
        <v/>
      </c>
    </row>
    <row r="15" spans="1:6" s="64" customFormat="1" x14ac:dyDescent="0.25">
      <c r="A15" s="68"/>
      <c r="B15" s="69"/>
      <c r="C15" s="69" t="s">
        <v>72</v>
      </c>
      <c r="D15" s="134">
        <f>COUNTIFS('Données '!$A:$A,"JANVIER",'Données '!$R:$R,"TVR")+COUNTIFS('Données '!$A:$A,"FEVRIER",'Données '!$R:$R,"TVR")</f>
        <v>0</v>
      </c>
      <c r="E15" s="95" t="str">
        <f>IFERROR(D15/D13,"")</f>
        <v/>
      </c>
    </row>
    <row r="16" spans="1:6" s="64" customFormat="1" x14ac:dyDescent="0.25">
      <c r="A16" s="68"/>
      <c r="B16" s="69"/>
      <c r="C16" s="69" t="s">
        <v>62</v>
      </c>
      <c r="D16" s="134">
        <f>COUNTIFS('Données '!$A:$A,"JANVIER",'Données '!$R:$R,"TVP")+COUNTIFS('Données '!$A:$A,"FEVRIER",'Données '!$R:$R,"TVP")</f>
        <v>0</v>
      </c>
      <c r="E16" s="95" t="str">
        <f>IFERROR(D16/D13,"")</f>
        <v/>
      </c>
    </row>
    <row r="17" spans="1:5" s="64" customFormat="1" x14ac:dyDescent="0.25">
      <c r="A17" s="68"/>
      <c r="B17" s="69"/>
      <c r="C17" s="69" t="s">
        <v>64</v>
      </c>
      <c r="D17" s="134">
        <f>COUNTIFS('Données '!$A:$A,"JANVIER",'Données '!$R:$R,"MVR")+COUNTIFS('Données '!$A:$A,"FEVRIER",'Données '!$R:$R,"MVR")</f>
        <v>0</v>
      </c>
      <c r="E17" s="95" t="str">
        <f>IFERROR(D17/D13,"")</f>
        <v/>
      </c>
    </row>
    <row r="18" spans="1:5" s="64" customFormat="1" x14ac:dyDescent="0.25">
      <c r="A18" s="68"/>
      <c r="B18" s="69"/>
      <c r="C18" s="69" t="s">
        <v>63</v>
      </c>
      <c r="D18" s="134">
        <f>COUNTIFS('Données '!$A:$A,"JANVIER",'Données '!$R:$R,"MVP")+COUNTIFS('Données '!$A:$A,"FEVRIER",'Données '!$R:$R,"MVP")</f>
        <v>0</v>
      </c>
      <c r="E18" s="95" t="str">
        <f>IFERROR(D18/D13,"")</f>
        <v/>
      </c>
    </row>
    <row r="19" spans="1:5" s="64" customFormat="1" x14ac:dyDescent="0.25">
      <c r="A19" s="70"/>
      <c r="B19" s="71"/>
      <c r="C19" s="71" t="s">
        <v>148</v>
      </c>
      <c r="D19" s="134">
        <f>COUNTIFS('Données '!$A:$A,"JANVIER",'Données '!$R:$R,"2 V ou plus")+COUNTIFS('Données '!$A:$A,"FEVRIER",'Données '!$R:$R,"2 V ou plus")</f>
        <v>0</v>
      </c>
      <c r="E19" s="95" t="str">
        <f>IFERROR(D19/D13,"")</f>
        <v/>
      </c>
    </row>
    <row r="20" spans="1:5" s="64" customFormat="1" x14ac:dyDescent="0.25">
      <c r="A20" s="87" t="s">
        <v>180</v>
      </c>
      <c r="B20" s="88"/>
      <c r="C20" s="93"/>
      <c r="D20" s="120">
        <f>COUNTIFS('Données '!$A:$A,"JANVIER",'Données '!$O:$O,"CABG +*")+COUNTIFS('Données '!$A:$A,"FEVRIER",'Données '!$O:$O,"CABG +*")</f>
        <v>0</v>
      </c>
      <c r="E20" s="77">
        <f>D20/D8</f>
        <v>0</v>
      </c>
    </row>
    <row r="21" spans="1:5" s="64" customFormat="1" x14ac:dyDescent="0.25">
      <c r="A21" s="87" t="s">
        <v>154</v>
      </c>
      <c r="B21" s="88"/>
      <c r="C21" s="93"/>
      <c r="D21" s="120">
        <f>COUNTIFS('Données '!$A:$A,"JANVIER",'Données '!$O:$O,"Aorte")+COUNTIFS('Données '!$A:$A,"FEVRIER",'Données '!$O:$O,"Aorte")</f>
        <v>0</v>
      </c>
      <c r="E21" s="77">
        <f>D21/D8</f>
        <v>0</v>
      </c>
    </row>
    <row r="22" spans="1:5" s="64" customFormat="1" x14ac:dyDescent="0.25">
      <c r="A22" s="87" t="s">
        <v>181</v>
      </c>
      <c r="B22" s="88"/>
      <c r="C22" s="93"/>
      <c r="D22" s="120">
        <f>COUNTIFS('Données '!$A:$A,"JANVIER",'Données '!$O:$O,"Autre")+COUNTIFS('Données '!$A:$A,"FEVRIER",'Données '!$O:$O,"Autre")</f>
        <v>0</v>
      </c>
      <c r="E22" s="77">
        <f>D22/D8</f>
        <v>0</v>
      </c>
    </row>
    <row r="23" spans="1:5" s="64" customFormat="1" x14ac:dyDescent="0.25">
      <c r="A23" s="89" t="s">
        <v>152</v>
      </c>
      <c r="B23" s="90"/>
      <c r="C23" s="94"/>
      <c r="D23" s="125">
        <f>SUM(D24:D25)</f>
        <v>0</v>
      </c>
      <c r="E23" s="77">
        <f>D23/D8</f>
        <v>0</v>
      </c>
    </row>
    <row r="24" spans="1:5" s="64" customFormat="1" x14ac:dyDescent="0.25">
      <c r="A24" s="68"/>
      <c r="B24" s="69"/>
      <c r="C24" s="69" t="s">
        <v>45</v>
      </c>
      <c r="D24" s="134">
        <f>COUNTIFS('Données '!$A:$A,"JANVIER",'Données '!$O:$O,"LVAD")+COUNTIFS('Données '!$A:$A,"FEVRIER",'Données '!$O:$O,"LVAD")</f>
        <v>0</v>
      </c>
      <c r="E24" s="95">
        <f>D24/D8</f>
        <v>0</v>
      </c>
    </row>
    <row r="25" spans="1:5" s="64" customFormat="1" ht="15.75" thickBot="1" x14ac:dyDescent="0.3">
      <c r="A25" s="72"/>
      <c r="B25" s="73"/>
      <c r="C25" s="73" t="s">
        <v>151</v>
      </c>
      <c r="D25" s="138">
        <f>COUNTIFS('Données '!$A:$A,"JANVIER",'Données '!$O:$O,"HTX")+COUNTIFS('Données '!$A:$A,"FEVRIER",'Données '!$O:$O,"HTX")</f>
        <v>0</v>
      </c>
      <c r="E25" s="136">
        <f>D25/D8</f>
        <v>0</v>
      </c>
    </row>
    <row r="26" spans="1:5" s="64" customFormat="1" x14ac:dyDescent="0.25">
      <c r="A26" s="39" t="s">
        <v>168</v>
      </c>
      <c r="B26" s="65"/>
      <c r="C26" s="82"/>
      <c r="D26" s="121">
        <f>COUNTIFS('Données '!$A:$A,"JANVIER",'Données '!$Y:$Y,1)+COUNTIFS('Données '!$A:$A,"FEVRIER",'Données '!$Y:$Y,1)</f>
        <v>44</v>
      </c>
      <c r="E26" s="60">
        <f>D26/D9</f>
        <v>0.7857142857142857</v>
      </c>
    </row>
    <row r="27" spans="1:5" s="64" customFormat="1" x14ac:dyDescent="0.25">
      <c r="A27" s="70" t="s">
        <v>149</v>
      </c>
      <c r="B27" s="71"/>
      <c r="C27" s="71"/>
      <c r="D27" s="120">
        <f>COUNTIFS('Données '!$A:$A,"JANVIER",'Données '!$AN:$AN,"DECEASED")+COUNTIFS('Données '!$A:$A,"FEVRIER",'Données '!$AN:$AN,"DECEASED")</f>
        <v>0</v>
      </c>
      <c r="E27" s="77">
        <f>D27/D9</f>
        <v>0</v>
      </c>
    </row>
    <row r="28" spans="1:5" s="64" customFormat="1" x14ac:dyDescent="0.25">
      <c r="A28" s="66" t="s">
        <v>150</v>
      </c>
      <c r="B28" s="67"/>
      <c r="C28" s="67"/>
      <c r="D28" s="200" t="e">
        <f>AVERAGEIF('Données '!BP2:BP57,"&lt;&gt;(Inconnu)")</f>
        <v>#DIV/0!</v>
      </c>
      <c r="E28" s="78"/>
    </row>
    <row r="29" spans="1:5" s="64" customFormat="1" x14ac:dyDescent="0.25">
      <c r="A29" s="66" t="s">
        <v>167</v>
      </c>
      <c r="B29" s="67"/>
      <c r="C29" s="67"/>
      <c r="D29" s="200" t="e">
        <f>AVERAGEIF('Données '!BM2:BM57,"&lt;&gt;(Inconnu)")</f>
        <v>#DIV/0!</v>
      </c>
      <c r="E29" s="78"/>
    </row>
    <row r="30" spans="1:5" s="64" customFormat="1" x14ac:dyDescent="0.25">
      <c r="A30" s="66" t="s">
        <v>221</v>
      </c>
      <c r="B30" s="67"/>
      <c r="C30" s="67"/>
      <c r="D30" s="201">
        <f>COUNTIFS('Données '!$A:$A,"JANVIER",'Données '!$AD:$AD,1)+COUNTIFS('Données '!$A:$A,"FEVRIER",'Données '!$AD:$AD,1)</f>
        <v>0</v>
      </c>
      <c r="E30" s="77">
        <f>D30/53</f>
        <v>0</v>
      </c>
    </row>
    <row r="31" spans="1:5" s="64" customFormat="1" x14ac:dyDescent="0.25">
      <c r="A31" s="40" t="s">
        <v>222</v>
      </c>
      <c r="B31" s="41"/>
      <c r="C31" s="41"/>
      <c r="D31" s="20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</f>
        <v>13</v>
      </c>
      <c r="E31" s="77">
        <f>D31/53</f>
        <v>0.24528301886792453</v>
      </c>
    </row>
    <row r="32" spans="1:5" s="64" customFormat="1" ht="15.75" thickBot="1" x14ac:dyDescent="0.3">
      <c r="A32" s="74" t="s">
        <v>223</v>
      </c>
      <c r="B32" s="75"/>
      <c r="C32" s="75"/>
      <c r="D32" s="202">
        <v>6.5</v>
      </c>
      <c r="E32" s="42"/>
    </row>
    <row r="33" spans="1:6" s="64" customFormat="1" ht="18.75" x14ac:dyDescent="0.3">
      <c r="A33" s="156"/>
      <c r="B33" s="156"/>
      <c r="C33" s="156"/>
      <c r="D33" s="156"/>
      <c r="E33" s="156"/>
    </row>
    <row r="34" spans="1:6" s="64" customFormat="1" ht="18.75" x14ac:dyDescent="0.3">
      <c r="A34" s="156"/>
      <c r="B34" s="156"/>
      <c r="C34" s="156"/>
      <c r="D34" s="156"/>
      <c r="E34" s="156"/>
    </row>
    <row r="35" spans="1:6" s="64" customFormat="1" ht="18.75" x14ac:dyDescent="0.3">
      <c r="A35" s="156"/>
      <c r="B35" s="156"/>
      <c r="C35" s="156"/>
      <c r="D35" s="156"/>
      <c r="E35" s="156"/>
    </row>
    <row r="36" spans="1:6" s="64" customFormat="1" ht="19.5" thickBot="1" x14ac:dyDescent="0.35">
      <c r="A36" s="156"/>
      <c r="B36" s="156"/>
      <c r="C36" s="156"/>
      <c r="D36" s="156"/>
      <c r="E36" s="156"/>
    </row>
    <row r="37" spans="1:6" s="64" customFormat="1" ht="19.5" thickBot="1" x14ac:dyDescent="0.35">
      <c r="A37" s="352" t="s">
        <v>230</v>
      </c>
      <c r="B37" s="353"/>
      <c r="C37" s="354"/>
      <c r="D37" s="157" t="s">
        <v>144</v>
      </c>
      <c r="E37" s="158" t="s">
        <v>145</v>
      </c>
      <c r="F37" s="45"/>
    </row>
    <row r="38" spans="1:6" s="64" customFormat="1" ht="18.75" x14ac:dyDescent="0.3">
      <c r="A38" s="85" t="s">
        <v>184</v>
      </c>
      <c r="B38" s="86"/>
      <c r="C38" s="92"/>
      <c r="D38" s="130">
        <f>COUNTIFS('Données '!$A:$A,"JANVIER")+COUNTIFS('Données '!$A:$A,"FEVRIER")+COUNTIFS('Données '!$A:$A,"MARS")</f>
        <v>86</v>
      </c>
      <c r="E38" s="76"/>
      <c r="F38" s="45"/>
    </row>
    <row r="39" spans="1:6" s="64" customFormat="1" ht="18.75" x14ac:dyDescent="0.3">
      <c r="A39" s="61" t="s">
        <v>176</v>
      </c>
      <c r="B39" s="62"/>
      <c r="C39" s="62"/>
      <c r="D39" s="152">
        <v>86</v>
      </c>
      <c r="E39" s="63"/>
      <c r="F39" s="45"/>
    </row>
    <row r="40" spans="1:6" s="64" customFormat="1" ht="18.75" x14ac:dyDescent="0.3">
      <c r="A40" s="61" t="s">
        <v>220</v>
      </c>
      <c r="B40" s="62"/>
      <c r="C40" s="62"/>
      <c r="D40" s="165">
        <f>COUNTIFS('Données '!$A:$A,"JANVIER",'Données '!$BW:$BW,"OUI")+COUNTIFS('Données '!$A:$A,"FEVRIER",'Données '!$BW:$BW,"OUI")+COUNTIFS('Données '!$A:$A,"MARS",'Données '!$BW:$BW,"OUI")</f>
        <v>0</v>
      </c>
      <c r="E40" s="129">
        <f>D40/D39</f>
        <v>0</v>
      </c>
      <c r="F40" s="45"/>
    </row>
    <row r="41" spans="1:6" s="64" customFormat="1" x14ac:dyDescent="0.25">
      <c r="A41" s="61" t="s">
        <v>203</v>
      </c>
      <c r="B41" s="62"/>
      <c r="C41" s="62"/>
      <c r="D41" s="166">
        <f>COUNTIFS('Données '!$A:$A,"JANVIER",'Données '!$F:$F,1)+COUNTIFS('Données '!$A:$A,"FEVRIER",'Données '!$F:$F,1)+COUNTIFS('Données '!$A:$A,"MARS",'Données '!$F:$F,1)</f>
        <v>0</v>
      </c>
      <c r="E41" s="129">
        <f>D41/D39</f>
        <v>0</v>
      </c>
    </row>
    <row r="42" spans="1:6" s="64" customFormat="1" x14ac:dyDescent="0.25">
      <c r="A42" s="87" t="s">
        <v>146</v>
      </c>
      <c r="B42" s="88"/>
      <c r="C42" s="88"/>
      <c r="D42" s="120">
        <f>COUNTIFS('Données '!$A:$A,"JANVIER",'Données '!$O:$O,"CABG")+COUNTIFS('Données '!$A:$A,"FEVRIER",'Données '!$O:$O,"CABG")+COUNTIFS('Données '!$A:$A,"MARS",'Données '!$O:$O,"CABG")</f>
        <v>0</v>
      </c>
      <c r="E42" s="77">
        <f>D42/D38</f>
        <v>0</v>
      </c>
    </row>
    <row r="43" spans="1:6" s="64" customFormat="1" x14ac:dyDescent="0.25">
      <c r="A43" s="83" t="s">
        <v>147</v>
      </c>
      <c r="B43" s="84"/>
      <c r="C43" s="84"/>
      <c r="D43" s="125">
        <f>SUM(D44:D49)</f>
        <v>0</v>
      </c>
      <c r="E43" s="77">
        <f>D43/D38</f>
        <v>0</v>
      </c>
    </row>
    <row r="44" spans="1:6" s="64" customFormat="1" x14ac:dyDescent="0.25">
      <c r="A44" s="68"/>
      <c r="B44" s="69"/>
      <c r="C44" s="69" t="s">
        <v>1</v>
      </c>
      <c r="D44" s="134">
        <f>COUNTIFS('Données '!$A:$A,"JANVIER",'Données '!$R:$R,"AVR")+COUNTIFS('Données '!$A:$A,"FEVRIER",'Données '!$R:$R,"AVR")+COUNTIFS('Données '!$A:$A,"MARS",'Données '!$R:$R,"AVR")</f>
        <v>0</v>
      </c>
      <c r="E44" s="95" t="str">
        <f>IFERROR(D44/D43,"")</f>
        <v/>
      </c>
    </row>
    <row r="45" spans="1:6" s="64" customFormat="1" x14ac:dyDescent="0.25">
      <c r="A45" s="68"/>
      <c r="B45" s="69"/>
      <c r="C45" s="69" t="s">
        <v>72</v>
      </c>
      <c r="D45" s="134">
        <f>COUNTIFS('Données '!$A:$A,"JANVIER",'Données '!$R:$R,"TVR")+COUNTIFS('Données '!$A:$A,"FEVRIER",'Données '!$R:$R,"TVR")+COUNTIFS('Données '!$A:$A,"MARS",'Données '!$R:$R,"TVR")</f>
        <v>0</v>
      </c>
      <c r="E45" s="95" t="str">
        <f>IFERROR(D45/D43,"")</f>
        <v/>
      </c>
    </row>
    <row r="46" spans="1:6" s="64" customFormat="1" x14ac:dyDescent="0.25">
      <c r="A46" s="68"/>
      <c r="B46" s="69"/>
      <c r="C46" s="69" t="s">
        <v>62</v>
      </c>
      <c r="D46" s="134">
        <f>COUNTIFS('Données '!$A:$A,"JANVIER",'Données '!$R:$R,"TVP")+COUNTIFS('Données '!$A:$A,"FEVRIER",'Données '!$R:$R,"TVP")+COUNTIFS('Données '!$A:$A,"MARS",'Données '!$R:$R,"TVP")</f>
        <v>0</v>
      </c>
      <c r="E46" s="95" t="str">
        <f>IFERROR(D46/D43,"")</f>
        <v/>
      </c>
    </row>
    <row r="47" spans="1:6" s="64" customFormat="1" x14ac:dyDescent="0.25">
      <c r="A47" s="68"/>
      <c r="B47" s="69"/>
      <c r="C47" s="69" t="s">
        <v>64</v>
      </c>
      <c r="D47" s="134">
        <f>COUNTIFS('Données '!$A:$A,"JANVIER",'Données '!$R:$R,"MVR")+COUNTIFS('Données '!$A:$A,"FEVRIER",'Données '!$R:$R,"MVR")+COUNTIFS('Données '!$A:$A,"MARS",'Données '!$R:$R,"MVR")</f>
        <v>0</v>
      </c>
      <c r="E47" s="95" t="str">
        <f>IFERROR(D47/D43,"")</f>
        <v/>
      </c>
    </row>
    <row r="48" spans="1:6" s="64" customFormat="1" x14ac:dyDescent="0.25">
      <c r="A48" s="68"/>
      <c r="B48" s="69"/>
      <c r="C48" s="69" t="s">
        <v>63</v>
      </c>
      <c r="D48" s="134">
        <f>COUNTIFS('Données '!$A:$A,"JANVIER",'Données '!$R:$R,"MVP")+COUNTIFS('Données '!$A:$A,"FEVRIER",'Données '!$R:$R,"MVP")+COUNTIFS('Données '!$A:$A,"MARS",'Données '!$R:$R,"MVP")</f>
        <v>0</v>
      </c>
      <c r="E48" s="95" t="str">
        <f>IFERROR(D48/D43,"")</f>
        <v/>
      </c>
    </row>
    <row r="49" spans="1:5" s="64" customFormat="1" x14ac:dyDescent="0.25">
      <c r="A49" s="70"/>
      <c r="B49" s="71"/>
      <c r="C49" s="71" t="s">
        <v>148</v>
      </c>
      <c r="D49" s="134">
        <f>COUNTIFS('Données '!$A:$A,"JANVIER",'Données '!$R:$R,"2 V ou plus")+COUNTIFS('Données '!$A:$A,"FEVRIER",'Données '!$R:$R,"2 V ou plus")+COUNTIFS('Données '!$A:$A,"MARS",'Données '!$R:$R,"2 V ou plus")</f>
        <v>0</v>
      </c>
      <c r="E49" s="95" t="str">
        <f>IFERROR(D49/D43,"")</f>
        <v/>
      </c>
    </row>
    <row r="50" spans="1:5" s="64" customFormat="1" x14ac:dyDescent="0.25">
      <c r="A50" s="87" t="s">
        <v>180</v>
      </c>
      <c r="B50" s="88"/>
      <c r="C50" s="93"/>
      <c r="D50" s="120">
        <f>COUNTIFS('Données '!$A:$A,"JANVIER",'Données '!$O:$O,"CABG +*")+COUNTIFS('Données '!$A:$A,"FEVRIER",'Données '!$O:$O,"CABG +*")+COUNTIFS('Données '!$A:$A,"MARS",'Données '!$O:$O,"CABG +*")</f>
        <v>0</v>
      </c>
      <c r="E50" s="77">
        <f>D50/D38</f>
        <v>0</v>
      </c>
    </row>
    <row r="51" spans="1:5" s="64" customFormat="1" x14ac:dyDescent="0.25">
      <c r="A51" s="87" t="s">
        <v>154</v>
      </c>
      <c r="B51" s="88"/>
      <c r="C51" s="93"/>
      <c r="D51" s="120">
        <f>COUNTIFS('Données '!$A:$A,"JANVIER",'Données '!$O:$O,"Aorte")+COUNTIFS('Données '!$A:$A,"FEVRIER",'Données '!$O:$O,"Aorte")+COUNTIFS('Données '!$A:$A,"MARS",'Données '!$O:$O,"Aorte")</f>
        <v>0</v>
      </c>
      <c r="E51" s="77">
        <f>D51/D38</f>
        <v>0</v>
      </c>
    </row>
    <row r="52" spans="1:5" s="64" customFormat="1" x14ac:dyDescent="0.25">
      <c r="A52" s="87" t="s">
        <v>181</v>
      </c>
      <c r="B52" s="88"/>
      <c r="C52" s="93"/>
      <c r="D52" s="120">
        <f>COUNTIFS('Données '!$A:$A,"JANVIER",'Données '!$O:$O,"Autre")+COUNTIFS('Données '!$A:$A,"FEVRIER",'Données '!$O:$O,"Autre")+COUNTIFS('Données '!$A:$A,"MARS",'Données '!$O:$O,"Autre")</f>
        <v>0</v>
      </c>
      <c r="E52" s="77">
        <f>D52/D38</f>
        <v>0</v>
      </c>
    </row>
    <row r="53" spans="1:5" s="64" customFormat="1" x14ac:dyDescent="0.25">
      <c r="A53" s="89" t="s">
        <v>152</v>
      </c>
      <c r="B53" s="90"/>
      <c r="C53" s="94"/>
      <c r="D53" s="125">
        <f>SUM(D54:D55)</f>
        <v>0</v>
      </c>
      <c r="E53" s="77">
        <f>D53/D38</f>
        <v>0</v>
      </c>
    </row>
    <row r="54" spans="1:5" s="64" customFormat="1" x14ac:dyDescent="0.25">
      <c r="A54" s="68"/>
      <c r="B54" s="69"/>
      <c r="C54" s="69" t="s">
        <v>45</v>
      </c>
      <c r="D54" s="134">
        <f>COUNTIFS('Données '!$A:$A,"JANVIER",'Données '!$O:$O,"LVAD")+COUNTIFS('Données '!$A:$A,"FEVRIER",'Données '!$O:$O,"LVAD")+COUNTIFS('Données '!$A:$A,"MARS",'Données '!$O:$O,"LVAD")</f>
        <v>0</v>
      </c>
      <c r="E54" s="95">
        <f>D54/D38</f>
        <v>0</v>
      </c>
    </row>
    <row r="55" spans="1:5" s="64" customFormat="1" ht="15.75" thickBot="1" x14ac:dyDescent="0.3">
      <c r="A55" s="72"/>
      <c r="B55" s="73"/>
      <c r="C55" s="73" t="s">
        <v>151</v>
      </c>
      <c r="D55" s="138">
        <f>COUNTIFS('Données '!$A:$A,"JANVIER",'Données '!$O:$O,"HTX")+COUNTIFS('Données '!$A:$A,"FEVRIER",'Données '!$O:$O,"HTX")+COUNTIFS('Données '!$A:$A,"MARS",'Données '!$O:$O,"HTX")</f>
        <v>0</v>
      </c>
      <c r="E55" s="136">
        <f>D55/D38</f>
        <v>0</v>
      </c>
    </row>
    <row r="56" spans="1:5" s="64" customFormat="1" x14ac:dyDescent="0.25">
      <c r="A56" s="39" t="s">
        <v>168</v>
      </c>
      <c r="B56" s="65"/>
      <c r="C56" s="82"/>
      <c r="D56" s="121">
        <f>COUNTIFS('Données '!$A:$A,"JANVIER",'Données '!$Y:$Y,1)+COUNTIFS('Données '!$A:$A,"FEVRIER",'Données '!$Y:$Y,1)+COUNTIFS('Données '!$A:$A,"MARS",'Données '!$Y:$Y,1)</f>
        <v>44</v>
      </c>
      <c r="E56" s="60">
        <f>D56/D39</f>
        <v>0.51162790697674421</v>
      </c>
    </row>
    <row r="57" spans="1:5" s="64" customFormat="1" x14ac:dyDescent="0.25">
      <c r="A57" s="70" t="s">
        <v>149</v>
      </c>
      <c r="B57" s="71"/>
      <c r="C57" s="71"/>
      <c r="D57" s="300">
        <f>COUNTIFS('Données '!$A:$A,"JANVIER",'Données '!$AN:$AN,"DECEASED")+COUNTIFS('Données '!$A:$A,"FEVRIER",'Données '!$AN:$AN,"DECEASED")+COUNTIFS('Données '!$A:$A,"MARS",'Données '!$AN:$AN,"DECEASED")</f>
        <v>0</v>
      </c>
      <c r="E57" s="77">
        <f>D57/D39</f>
        <v>0</v>
      </c>
    </row>
    <row r="58" spans="1:5" s="64" customFormat="1" x14ac:dyDescent="0.25">
      <c r="A58" s="66" t="s">
        <v>150</v>
      </c>
      <c r="B58" s="67"/>
      <c r="C58" s="67"/>
      <c r="D58" s="200" t="e">
        <f>AVERAGEIF('Données '!BP2:BP87,"&lt;&gt;(Inconnu)")</f>
        <v>#DIV/0!</v>
      </c>
      <c r="E58" s="78"/>
    </row>
    <row r="59" spans="1:5" s="64" customFormat="1" x14ac:dyDescent="0.25">
      <c r="A59" s="66" t="s">
        <v>167</v>
      </c>
      <c r="B59" s="67"/>
      <c r="C59" s="67"/>
      <c r="D59" s="200" t="e">
        <f>AVERAGEIF('Données '!BM2:BM87,"&lt;&gt;(Inconnu)")</f>
        <v>#DIV/0!</v>
      </c>
      <c r="E59" s="78"/>
    </row>
    <row r="60" spans="1:5" s="64" customFormat="1" x14ac:dyDescent="0.25">
      <c r="A60" s="66" t="s">
        <v>221</v>
      </c>
      <c r="B60" s="67"/>
      <c r="C60" s="67"/>
      <c r="D60" s="131">
        <f>COUNTIFS('Données '!$A:$A,"JANVIER",'Données '!$AD:$AD,1)+COUNTIFS('Données '!$A:$A,"FEVRIER",'Données '!$AD:$AD,1)+COUNTIFS('Données '!$A:$A,"MARS",'Données '!$AD:$AD,1)</f>
        <v>0</v>
      </c>
      <c r="E60" s="77">
        <f>D60/81</f>
        <v>0</v>
      </c>
    </row>
    <row r="61" spans="1:5" s="64" customFormat="1" x14ac:dyDescent="0.25">
      <c r="A61" s="40" t="s">
        <v>222</v>
      </c>
      <c r="B61" s="41"/>
      <c r="C61" s="41"/>
      <c r="D61" s="13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</f>
        <v>13</v>
      </c>
      <c r="E61" s="77">
        <f>D61/81</f>
        <v>0.16049382716049382</v>
      </c>
    </row>
    <row r="62" spans="1:5" s="64" customFormat="1" ht="15.75" thickBot="1" x14ac:dyDescent="0.3">
      <c r="A62" s="74" t="s">
        <v>223</v>
      </c>
      <c r="B62" s="75"/>
      <c r="C62" s="75"/>
      <c r="D62" s="202">
        <v>7.2</v>
      </c>
      <c r="E62" s="42"/>
    </row>
    <row r="63" spans="1:5" s="64" customFormat="1" ht="18.75" x14ac:dyDescent="0.3">
      <c r="A63" s="156"/>
      <c r="B63" s="156"/>
      <c r="C63" s="156"/>
      <c r="D63" s="156"/>
      <c r="E63" s="156"/>
    </row>
    <row r="64" spans="1:5" s="64" customFormat="1" ht="18.75" x14ac:dyDescent="0.3">
      <c r="A64" s="156"/>
      <c r="B64" s="156"/>
      <c r="C64" s="156"/>
      <c r="D64" s="156"/>
      <c r="E64" s="156"/>
    </row>
    <row r="65" spans="1:6" s="64" customFormat="1" ht="18.75" x14ac:dyDescent="0.3">
      <c r="A65" s="156"/>
      <c r="B65" s="156"/>
      <c r="C65" s="156"/>
      <c r="D65" s="156"/>
      <c r="E65" s="156"/>
    </row>
    <row r="66" spans="1:6" s="64" customFormat="1" ht="19.5" thickBot="1" x14ac:dyDescent="0.35">
      <c r="A66" s="156"/>
      <c r="B66" s="156"/>
      <c r="C66" s="156"/>
      <c r="D66" s="156"/>
      <c r="E66" s="156"/>
    </row>
    <row r="67" spans="1:6" s="64" customFormat="1" ht="19.5" thickBot="1" x14ac:dyDescent="0.35">
      <c r="A67" s="352" t="s">
        <v>229</v>
      </c>
      <c r="B67" s="353"/>
      <c r="C67" s="354"/>
      <c r="D67" s="157" t="s">
        <v>144</v>
      </c>
      <c r="E67" s="158" t="s">
        <v>145</v>
      </c>
      <c r="F67" s="45"/>
    </row>
    <row r="68" spans="1:6" s="64" customFormat="1" ht="18.75" x14ac:dyDescent="0.3">
      <c r="A68" s="85" t="s">
        <v>184</v>
      </c>
      <c r="B68" s="86"/>
      <c r="C68" s="92"/>
      <c r="D68" s="130">
        <f>COUNTIFS('Données '!$A:$A,"JANVIER")+COUNTIFS('Données '!$A:$A,"FEVRIER")+COUNTIFS('Données '!$A:$A,"MARS")+COUNTIFS('Données '!$A:$A,"AVRIL")</f>
        <v>115</v>
      </c>
      <c r="E68" s="76"/>
      <c r="F68" s="45"/>
    </row>
    <row r="69" spans="1:6" s="64" customFormat="1" ht="18.75" x14ac:dyDescent="0.3">
      <c r="A69" s="61" t="s">
        <v>176</v>
      </c>
      <c r="B69" s="62"/>
      <c r="C69" s="62"/>
      <c r="D69" s="152">
        <v>115</v>
      </c>
      <c r="E69" s="63"/>
      <c r="F69" s="45"/>
    </row>
    <row r="70" spans="1:6" s="64" customFormat="1" ht="18.75" x14ac:dyDescent="0.3">
      <c r="A70" s="61" t="s">
        <v>220</v>
      </c>
      <c r="B70" s="62"/>
      <c r="C70" s="62"/>
      <c r="D70" s="165">
        <f>COUNTIFS('Données '!$A:$A,"JANVIER",'Données '!$BW:$BW,"OUI")+COUNTIFS('Données '!$A:$A,"FEVRIER",'Données '!$BW:$BW,"OUI")+COUNTIFS('Données '!$A:$A,"MARS",'Données '!$BW:$BW,"OUI")+COUNTIFS('Données '!$A:$A,"AVRIL",'Données '!$BW:$BW,"OUI")</f>
        <v>0</v>
      </c>
      <c r="E70" s="129">
        <f>D70/D69</f>
        <v>0</v>
      </c>
      <c r="F70" s="45"/>
    </row>
    <row r="71" spans="1:6" s="64" customFormat="1" x14ac:dyDescent="0.25">
      <c r="A71" s="61" t="s">
        <v>203</v>
      </c>
      <c r="B71" s="62"/>
      <c r="C71" s="62"/>
      <c r="D71" s="166">
        <f>COUNTIFS('Données '!$A:$A,"JANVIER",'Données '!$F:$F,1)+COUNTIFS('Données '!$A:$A,"FEVRIER",'Données '!$F:$F,1)+COUNTIFS('Données '!$A:$A,"MARS",'Données '!$F:$F,1)+COUNTIFS('Données '!$A:$A,"AVRIL",'Données '!$F:$F,1)</f>
        <v>0</v>
      </c>
      <c r="E71" s="129">
        <f>D71/D69</f>
        <v>0</v>
      </c>
    </row>
    <row r="72" spans="1:6" s="64" customFormat="1" x14ac:dyDescent="0.25">
      <c r="A72" s="87" t="s">
        <v>146</v>
      </c>
      <c r="B72" s="88"/>
      <c r="C72" s="88"/>
      <c r="D72" s="120">
        <f>COUNTIFS('Données '!$A:$A,"JANVIER",'Données '!$O:$O,"CABG")+COUNTIFS('Données '!$A:$A,"FEVRIER",'Données '!$O:$O,"CABG")+COUNTIFS('Données '!$A:$A,"MARS",'Données '!$O:$O,"CABG")+COUNTIFS('Données '!$A:$A,"AVRIL",'Données '!$O:$O,"CABG")</f>
        <v>0</v>
      </c>
      <c r="E72" s="77">
        <f>D72/D68</f>
        <v>0</v>
      </c>
    </row>
    <row r="73" spans="1:6" s="64" customFormat="1" x14ac:dyDescent="0.25">
      <c r="A73" s="83" t="s">
        <v>147</v>
      </c>
      <c r="B73" s="84"/>
      <c r="C73" s="84"/>
      <c r="D73" s="125">
        <f>SUM(D74:D79)</f>
        <v>0</v>
      </c>
      <c r="E73" s="77">
        <f>D73/D68</f>
        <v>0</v>
      </c>
    </row>
    <row r="74" spans="1:6" s="64" customFormat="1" x14ac:dyDescent="0.25">
      <c r="A74" s="68"/>
      <c r="B74" s="69"/>
      <c r="C74" s="69" t="s">
        <v>1</v>
      </c>
      <c r="D74" s="134">
        <f>COUNTIFS('Données '!$A:$A,"JANVIER",'Données '!$R:$R,"AVR")+COUNTIFS('Données '!$A:$A,"FEVRIER",'Données '!$R:$R,"AVR")+COUNTIFS('Données '!$A:$A,"MARS",'Données '!$R:$R,"AVR")+COUNTIFS('Données '!$A:$A,"AVRIL",'Données '!$R:$R,"AVR")</f>
        <v>0</v>
      </c>
      <c r="E74" s="95" t="str">
        <f>IFERROR(D74/D73,"")</f>
        <v/>
      </c>
    </row>
    <row r="75" spans="1:6" s="64" customFormat="1" x14ac:dyDescent="0.25">
      <c r="A75" s="68"/>
      <c r="B75" s="69"/>
      <c r="C75" s="69" t="s">
        <v>72</v>
      </c>
      <c r="D75" s="134">
        <f>COUNTIFS('Données '!$A:$A,"JANVIER",'Données '!$R:$R,"TVR")+COUNTIFS('Données '!$A:$A,"FEVRIER",'Données '!$R:$R,"TVR")+COUNTIFS('Données '!$A:$A,"MARS",'Données '!$R:$R,"TVR")+COUNTIFS('Données '!$A:$A,"AVRIL",'Données '!$R:$R,"TVR")</f>
        <v>0</v>
      </c>
      <c r="E75" s="95" t="str">
        <f>IFERROR(D75/D73,"")</f>
        <v/>
      </c>
    </row>
    <row r="76" spans="1:6" s="64" customFormat="1" x14ac:dyDescent="0.25">
      <c r="A76" s="68"/>
      <c r="B76" s="69"/>
      <c r="C76" s="69" t="s">
        <v>62</v>
      </c>
      <c r="D76" s="134">
        <f>COUNTIFS('Données '!$A:$A,"JANVIER",'Données '!$R:$R,"TVP")+COUNTIFS('Données '!$A:$A,"FEVRIER",'Données '!$R:$R,"TVP")+COUNTIFS('Données '!$A:$A,"MARS",'Données '!$R:$R,"TVP")+COUNTIFS('Données '!$A:$A,"AVRIL",'Données '!$R:$R,"TVP")</f>
        <v>0</v>
      </c>
      <c r="E76" s="95" t="str">
        <f>IFERROR(D76/D73,"")</f>
        <v/>
      </c>
    </row>
    <row r="77" spans="1:6" s="64" customFormat="1" x14ac:dyDescent="0.25">
      <c r="A77" s="68"/>
      <c r="B77" s="69"/>
      <c r="C77" s="69" t="s">
        <v>64</v>
      </c>
      <c r="D77" s="134">
        <f>COUNTIFS('Données '!$A:$A,"JANVIER",'Données '!$R:$R,"MVR")+COUNTIFS('Données '!$A:$A,"FEVRIER",'Données '!$R:$R,"MVR")+COUNTIFS('Données '!$A:$A,"MARS",'Données '!$R:$R,"MVR")+COUNTIFS('Données '!$A:$A,"AVRIL",'Données '!$R:$R,"MVR")</f>
        <v>0</v>
      </c>
      <c r="E77" s="95" t="str">
        <f>IFERROR(D77/D73,"")</f>
        <v/>
      </c>
    </row>
    <row r="78" spans="1:6" s="64" customFormat="1" x14ac:dyDescent="0.25">
      <c r="A78" s="68"/>
      <c r="B78" s="69"/>
      <c r="C78" s="69" t="s">
        <v>63</v>
      </c>
      <c r="D78" s="134">
        <f>COUNTIFS('Données '!$A:$A,"JANVIER",'Données '!$R:$R,"MVP")+COUNTIFS('Données '!$A:$A,"FEVRIER",'Données '!$R:$R,"MVP")+COUNTIFS('Données '!$A:$A,"MARS",'Données '!$R:$R,"MVP")+COUNTIFS('Données '!$A:$A,"AVRIL",'Données '!$R:$R,"MVP")</f>
        <v>0</v>
      </c>
      <c r="E78" s="95" t="str">
        <f>IFERROR(D78/D73,"")</f>
        <v/>
      </c>
    </row>
    <row r="79" spans="1:6" s="64" customFormat="1" x14ac:dyDescent="0.25">
      <c r="A79" s="70"/>
      <c r="B79" s="71"/>
      <c r="C79" s="71" t="s">
        <v>148</v>
      </c>
      <c r="D79" s="134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</f>
        <v>0</v>
      </c>
      <c r="E79" s="95" t="str">
        <f>IFERROR(D79/D73,"")</f>
        <v/>
      </c>
    </row>
    <row r="80" spans="1:6" s="64" customFormat="1" x14ac:dyDescent="0.25">
      <c r="A80" s="87" t="s">
        <v>180</v>
      </c>
      <c r="B80" s="88"/>
      <c r="C80" s="93"/>
      <c r="D80" s="120">
        <f>COUNTIFS('Données '!$A:$A,"JANVIER",'Données '!$O:$O,"CABG +*")+COUNTIFS('Données '!$A:$A,"FEVRIER",'Données '!$O:$O,"CABG +*")+COUNTIFS('Données '!$A:$A,"MARS",'Données '!$O:$O,"CABG +*")+COUNTIFS('Données '!$A:$A,"AVRIL",'Données '!$O:$O,"CABG +*")</f>
        <v>0</v>
      </c>
      <c r="E80" s="77">
        <f>D80/D68</f>
        <v>0</v>
      </c>
    </row>
    <row r="81" spans="1:5" s="64" customFormat="1" x14ac:dyDescent="0.25">
      <c r="A81" s="87" t="s">
        <v>154</v>
      </c>
      <c r="B81" s="88"/>
      <c r="C81" s="93"/>
      <c r="D81" s="120">
        <f>COUNTIFS('Données '!$A:$A,"JANVIER",'Données '!$O:$O,"Aorte")+COUNTIFS('Données '!$A:$A,"FEVRIER",'Données '!$O:$O,"Aorte")+COUNTIFS('Données '!$A:$A,"MARS",'Données '!$O:$O,"Aorte")+COUNTIFS('Données '!$A:$A,"AVRIL",'Données '!$O:$O,"Aorte")</f>
        <v>0</v>
      </c>
      <c r="E81" s="77">
        <f>D81/D68</f>
        <v>0</v>
      </c>
    </row>
    <row r="82" spans="1:5" s="64" customFormat="1" x14ac:dyDescent="0.25">
      <c r="A82" s="87" t="s">
        <v>181</v>
      </c>
      <c r="B82" s="88"/>
      <c r="C82" s="93"/>
      <c r="D82" s="120">
        <f>COUNTIFS('Données '!$A:$A,"JANVIER",'Données '!$O:$O,"Autre")+COUNTIFS('Données '!$A:$A,"FEVRIER",'Données '!$O:$O,"Autre")+COUNTIFS('Données '!$A:$A,"MARS",'Données '!$O:$O,"Autre")+COUNTIFS('Données '!$A:$A,"AVRIL",'Données '!$O:$O,"Autre")</f>
        <v>0</v>
      </c>
      <c r="E82" s="77">
        <f>D82/D68</f>
        <v>0</v>
      </c>
    </row>
    <row r="83" spans="1:5" s="64" customFormat="1" x14ac:dyDescent="0.25">
      <c r="A83" s="89" t="s">
        <v>152</v>
      </c>
      <c r="B83" s="90"/>
      <c r="C83" s="94"/>
      <c r="D83" s="125">
        <f>SUM(D84:D85)</f>
        <v>0</v>
      </c>
      <c r="E83" s="77">
        <f>D83/D68</f>
        <v>0</v>
      </c>
    </row>
    <row r="84" spans="1:5" s="64" customFormat="1" x14ac:dyDescent="0.25">
      <c r="A84" s="68"/>
      <c r="B84" s="69"/>
      <c r="C84" s="69" t="s">
        <v>45</v>
      </c>
      <c r="D84" s="134">
        <f>COUNTIFS('Données '!$A:$A,"JANVIER",'Données '!$O:$O,"LVAD")+COUNTIFS('Données '!$A:$A,"FEVRIER",'Données '!$O:$O,"LVAD")+COUNTIFS('Données '!$A:$A,"MARS",'Données '!$O:$O,"LVAD")+COUNTIFS('Données '!$A:$A,"AVRIL",'Données '!$O:$O,"LVAD")</f>
        <v>0</v>
      </c>
      <c r="E84" s="95">
        <f>D84/D68</f>
        <v>0</v>
      </c>
    </row>
    <row r="85" spans="1:5" s="64" customFormat="1" ht="15.75" thickBot="1" x14ac:dyDescent="0.3">
      <c r="A85" s="72"/>
      <c r="B85" s="73"/>
      <c r="C85" s="73" t="s">
        <v>151</v>
      </c>
      <c r="D85" s="138">
        <f>COUNTIFS('Données '!$A:$A,"JANVIER",'Données '!$O:$O,"HTX")+COUNTIFS('Données '!$A:$A,"FEVRIER",'Données '!$O:$O,"HTX")+COUNTIFS('Données '!$A:$A,"MARS",'Données '!$O:$O,"HTX")+COUNTIFS('Données '!$A:$A,"AVRIL",'Données '!$O:$O,"HTX")</f>
        <v>0</v>
      </c>
      <c r="E85" s="136">
        <f>D85/D68</f>
        <v>0</v>
      </c>
    </row>
    <row r="86" spans="1:5" s="64" customFormat="1" x14ac:dyDescent="0.25">
      <c r="A86" s="39" t="s">
        <v>168</v>
      </c>
      <c r="B86" s="65"/>
      <c r="C86" s="82"/>
      <c r="D86" s="121">
        <f>COUNTIFS('Données '!$A:$A,"JANVIER",'Données '!$Y:$Y,1)+COUNTIFS('Données '!$A:$A,"FEVRIER",'Données '!$Y:$Y,1)+COUNTIFS('Données '!$A:$A,"MARS",'Données '!$Y:$Y,1)+COUNTIFS('Données '!$A:$A,"AVRIL",'Données '!$Y:$Y,1)</f>
        <v>44</v>
      </c>
      <c r="E86" s="60">
        <f>D86/D69</f>
        <v>0.38260869565217392</v>
      </c>
    </row>
    <row r="87" spans="1:5" s="64" customFormat="1" x14ac:dyDescent="0.25">
      <c r="A87" s="70" t="s">
        <v>149</v>
      </c>
      <c r="B87" s="71"/>
      <c r="C87" s="71"/>
      <c r="D87" s="300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</f>
        <v>0</v>
      </c>
      <c r="E87" s="77">
        <f>D87/D69</f>
        <v>0</v>
      </c>
    </row>
    <row r="88" spans="1:5" s="64" customFormat="1" x14ac:dyDescent="0.25">
      <c r="A88" s="66" t="s">
        <v>150</v>
      </c>
      <c r="B88" s="67"/>
      <c r="C88" s="67"/>
      <c r="D88" s="200" t="e">
        <f>AVERAGEIF('Données '!BP2:BP116,"&lt;&gt;(Inconnu)")</f>
        <v>#DIV/0!</v>
      </c>
      <c r="E88" s="78"/>
    </row>
    <row r="89" spans="1:5" s="64" customFormat="1" x14ac:dyDescent="0.25">
      <c r="A89" s="66" t="s">
        <v>167</v>
      </c>
      <c r="B89" s="67"/>
      <c r="C89" s="67"/>
      <c r="D89" s="200" t="e">
        <f>AVERAGEIF('Données '!BM2:BM116,"&lt;&gt;(Inconnu)")</f>
        <v>#DIV/0!</v>
      </c>
      <c r="E89" s="78"/>
    </row>
    <row r="90" spans="1:5" s="64" customFormat="1" x14ac:dyDescent="0.25">
      <c r="A90" s="66" t="s">
        <v>221</v>
      </c>
      <c r="B90" s="67"/>
      <c r="C90" s="67"/>
      <c r="D90" s="131">
        <f>COUNTIFS('Données '!$A:$A,"JANVIER",'Données '!$AD:$AD,1)+COUNTIFS('Données '!$A:$A,"FEVRIER",'Données '!$AD:$AD,1)+COUNTIFS('Données '!$A:$A,"MARS",'Données '!$AD:$AD,1)+COUNTIFS('Données '!$A:$A,"AVRIL",'Données '!$AD:$AD,1)</f>
        <v>0</v>
      </c>
      <c r="E90" s="77">
        <f>D90/109</f>
        <v>0</v>
      </c>
    </row>
    <row r="91" spans="1:5" s="64" customFormat="1" x14ac:dyDescent="0.25">
      <c r="A91" s="40" t="s">
        <v>222</v>
      </c>
      <c r="B91" s="41"/>
      <c r="C91" s="41"/>
      <c r="D91" s="13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</f>
        <v>13</v>
      </c>
      <c r="E91" s="77">
        <f>D91/109</f>
        <v>0.11926605504587157</v>
      </c>
    </row>
    <row r="92" spans="1:5" s="64" customFormat="1" ht="15.75" thickBot="1" x14ac:dyDescent="0.3">
      <c r="A92" s="74" t="s">
        <v>223</v>
      </c>
      <c r="B92" s="75"/>
      <c r="C92" s="75"/>
      <c r="D92" s="202">
        <v>6.3</v>
      </c>
      <c r="E92" s="42"/>
    </row>
    <row r="93" spans="1:5" s="64" customFormat="1" ht="18.75" x14ac:dyDescent="0.3">
      <c r="A93" s="156"/>
      <c r="B93" s="156"/>
      <c r="C93" s="156"/>
      <c r="D93" s="156"/>
      <c r="E93" s="156"/>
    </row>
    <row r="94" spans="1:5" s="64" customFormat="1" ht="18.75" x14ac:dyDescent="0.3">
      <c r="A94" s="156"/>
      <c r="B94" s="156"/>
      <c r="C94" s="156"/>
      <c r="D94" s="156"/>
      <c r="E94" s="156"/>
    </row>
    <row r="95" spans="1:5" s="64" customFormat="1" ht="18.75" x14ac:dyDescent="0.3">
      <c r="A95" s="156"/>
      <c r="B95" s="156"/>
      <c r="C95" s="156"/>
      <c r="D95" s="156"/>
      <c r="E95" s="156"/>
    </row>
    <row r="96" spans="1:5" s="64" customFormat="1" ht="19.5" thickBot="1" x14ac:dyDescent="0.35">
      <c r="A96" s="156"/>
      <c r="B96" s="156"/>
      <c r="C96" s="156"/>
      <c r="D96" s="156"/>
      <c r="E96" s="156"/>
    </row>
    <row r="97" spans="1:6" s="64" customFormat="1" ht="19.5" thickBot="1" x14ac:dyDescent="0.35">
      <c r="A97" s="352" t="s">
        <v>228</v>
      </c>
      <c r="B97" s="353"/>
      <c r="C97" s="354"/>
      <c r="D97" s="157" t="s">
        <v>144</v>
      </c>
      <c r="E97" s="158" t="s">
        <v>145</v>
      </c>
      <c r="F97" s="45"/>
    </row>
    <row r="98" spans="1:6" s="64" customFormat="1" ht="18.75" x14ac:dyDescent="0.3">
      <c r="A98" s="85" t="s">
        <v>184</v>
      </c>
      <c r="B98" s="86"/>
      <c r="C98" s="92"/>
      <c r="D98" s="130">
        <f>COUNTIFS('Données '!$A:$A,"JANVIER")+COUNTIFS('Données '!$A:$A,"FEVRIER")+COUNTIFS('Données '!$A:$A,"MARS")+COUNTIFS('Données '!$A:$A,"AVRIL")+COUNTIFS('Données '!$A:$A,"MAI")</f>
        <v>147</v>
      </c>
      <c r="E98" s="76"/>
      <c r="F98" s="45"/>
    </row>
    <row r="99" spans="1:6" s="64" customFormat="1" ht="18.75" x14ac:dyDescent="0.3">
      <c r="A99" s="61" t="s">
        <v>176</v>
      </c>
      <c r="B99" s="62"/>
      <c r="C99" s="62"/>
      <c r="D99" s="152">
        <v>147</v>
      </c>
      <c r="E99" s="63"/>
      <c r="F99" s="203"/>
    </row>
    <row r="100" spans="1:6" s="64" customFormat="1" ht="18.75" x14ac:dyDescent="0.3">
      <c r="A100" s="61" t="s">
        <v>220</v>
      </c>
      <c r="B100" s="62"/>
      <c r="C100" s="62"/>
      <c r="D100" s="165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</f>
        <v>0</v>
      </c>
      <c r="E100" s="129">
        <f>D100/D98</f>
        <v>0</v>
      </c>
      <c r="F100" s="203"/>
    </row>
    <row r="101" spans="1:6" s="64" customFormat="1" x14ac:dyDescent="0.25">
      <c r="A101" s="61" t="s">
        <v>203</v>
      </c>
      <c r="B101" s="62"/>
      <c r="C101" s="62"/>
      <c r="D101" s="166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</f>
        <v>0</v>
      </c>
      <c r="E101" s="129">
        <f>D101/D98</f>
        <v>0</v>
      </c>
    </row>
    <row r="102" spans="1:6" s="64" customFormat="1" x14ac:dyDescent="0.25">
      <c r="A102" s="87" t="s">
        <v>146</v>
      </c>
      <c r="B102" s="88"/>
      <c r="C102" s="88"/>
      <c r="D102" s="120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</f>
        <v>0</v>
      </c>
      <c r="E102" s="77">
        <f>D102/D98</f>
        <v>0</v>
      </c>
    </row>
    <row r="103" spans="1:6" s="64" customFormat="1" x14ac:dyDescent="0.25">
      <c r="A103" s="83" t="s">
        <v>147</v>
      </c>
      <c r="B103" s="84"/>
      <c r="C103" s="84"/>
      <c r="D103" s="125">
        <f>SUM(D104:D109)</f>
        <v>0</v>
      </c>
      <c r="E103" s="77">
        <f>D103/D98</f>
        <v>0</v>
      </c>
    </row>
    <row r="104" spans="1:6" s="64" customFormat="1" x14ac:dyDescent="0.25">
      <c r="A104" s="68"/>
      <c r="B104" s="69"/>
      <c r="C104" s="69" t="s">
        <v>1</v>
      </c>
      <c r="D104" s="134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</f>
        <v>0</v>
      </c>
      <c r="E104" s="95" t="str">
        <f>IFERROR(D104/D103,"")</f>
        <v/>
      </c>
    </row>
    <row r="105" spans="1:6" s="64" customFormat="1" x14ac:dyDescent="0.25">
      <c r="A105" s="68"/>
      <c r="B105" s="69"/>
      <c r="C105" s="69" t="s">
        <v>72</v>
      </c>
      <c r="D105" s="134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</f>
        <v>0</v>
      </c>
      <c r="E105" s="95" t="str">
        <f>IFERROR(D105/D103,"")</f>
        <v/>
      </c>
    </row>
    <row r="106" spans="1:6" s="64" customFormat="1" x14ac:dyDescent="0.25">
      <c r="A106" s="68"/>
      <c r="B106" s="69"/>
      <c r="C106" s="69" t="s">
        <v>62</v>
      </c>
      <c r="D106" s="134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</f>
        <v>0</v>
      </c>
      <c r="E106" s="95" t="str">
        <f>IFERROR(D106/D103,"")</f>
        <v/>
      </c>
    </row>
    <row r="107" spans="1:6" s="64" customFormat="1" x14ac:dyDescent="0.25">
      <c r="A107" s="68"/>
      <c r="B107" s="69"/>
      <c r="C107" s="69" t="s">
        <v>64</v>
      </c>
      <c r="D107" s="134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</f>
        <v>0</v>
      </c>
      <c r="E107" s="95" t="str">
        <f>IFERROR(D107/D103,"")</f>
        <v/>
      </c>
    </row>
    <row r="108" spans="1:6" s="64" customFormat="1" x14ac:dyDescent="0.25">
      <c r="A108" s="68"/>
      <c r="B108" s="69"/>
      <c r="C108" s="69" t="s">
        <v>63</v>
      </c>
      <c r="D108" s="134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</f>
        <v>0</v>
      </c>
      <c r="E108" s="95" t="str">
        <f>IFERROR(D108/D103,"")</f>
        <v/>
      </c>
    </row>
    <row r="109" spans="1:6" s="64" customFormat="1" x14ac:dyDescent="0.25">
      <c r="A109" s="70"/>
      <c r="B109" s="71"/>
      <c r="C109" s="71" t="s">
        <v>148</v>
      </c>
      <c r="D109" s="134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</f>
        <v>0</v>
      </c>
      <c r="E109" s="95" t="str">
        <f>IFERROR(D109/D103,"")</f>
        <v/>
      </c>
    </row>
    <row r="110" spans="1:6" s="64" customFormat="1" x14ac:dyDescent="0.25">
      <c r="A110" s="87" t="s">
        <v>180</v>
      </c>
      <c r="B110" s="88"/>
      <c r="C110" s="93"/>
      <c r="D110" s="120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</f>
        <v>0</v>
      </c>
      <c r="E110" s="77">
        <f>D110/D98</f>
        <v>0</v>
      </c>
    </row>
    <row r="111" spans="1:6" s="64" customFormat="1" x14ac:dyDescent="0.25">
      <c r="A111" s="87" t="s">
        <v>154</v>
      </c>
      <c r="B111" s="88"/>
      <c r="C111" s="93"/>
      <c r="D111" s="120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</f>
        <v>0</v>
      </c>
      <c r="E111" s="77">
        <f>D111/D98</f>
        <v>0</v>
      </c>
    </row>
    <row r="112" spans="1:6" s="64" customFormat="1" x14ac:dyDescent="0.25">
      <c r="A112" s="87" t="s">
        <v>181</v>
      </c>
      <c r="B112" s="88"/>
      <c r="C112" s="93"/>
      <c r="D112" s="120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</f>
        <v>0</v>
      </c>
      <c r="E112" s="77">
        <f>D112/D98</f>
        <v>0</v>
      </c>
    </row>
    <row r="113" spans="1:6" s="64" customFormat="1" x14ac:dyDescent="0.25">
      <c r="A113" s="89" t="s">
        <v>152</v>
      </c>
      <c r="B113" s="90"/>
      <c r="C113" s="94"/>
      <c r="D113" s="125">
        <f>SUM(D114:D115)</f>
        <v>0</v>
      </c>
      <c r="E113" s="77">
        <f>D113/D98</f>
        <v>0</v>
      </c>
    </row>
    <row r="114" spans="1:6" s="64" customFormat="1" x14ac:dyDescent="0.25">
      <c r="A114" s="68"/>
      <c r="B114" s="69"/>
      <c r="C114" s="69" t="s">
        <v>45</v>
      </c>
      <c r="D114" s="134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</f>
        <v>0</v>
      </c>
      <c r="E114" s="95">
        <f>D114/D98</f>
        <v>0</v>
      </c>
    </row>
    <row r="115" spans="1:6" s="64" customFormat="1" ht="15.75" thickBot="1" x14ac:dyDescent="0.3">
      <c r="A115" s="72"/>
      <c r="B115" s="73"/>
      <c r="C115" s="73" t="s">
        <v>151</v>
      </c>
      <c r="D115" s="138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</f>
        <v>0</v>
      </c>
      <c r="E115" s="136">
        <f>D115/D98</f>
        <v>0</v>
      </c>
    </row>
    <row r="116" spans="1:6" s="64" customFormat="1" x14ac:dyDescent="0.25">
      <c r="A116" s="39" t="s">
        <v>168</v>
      </c>
      <c r="B116" s="65"/>
      <c r="C116" s="82"/>
      <c r="D116" s="121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</f>
        <v>44</v>
      </c>
      <c r="E116" s="60">
        <f>D116/D99</f>
        <v>0.29931972789115646</v>
      </c>
    </row>
    <row r="117" spans="1:6" s="64" customFormat="1" x14ac:dyDescent="0.25">
      <c r="A117" s="70" t="s">
        <v>149</v>
      </c>
      <c r="B117" s="71"/>
      <c r="C117" s="71"/>
      <c r="D117" s="300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</f>
        <v>0</v>
      </c>
      <c r="E117" s="77">
        <f>D117/D99</f>
        <v>0</v>
      </c>
    </row>
    <row r="118" spans="1:6" s="64" customFormat="1" x14ac:dyDescent="0.25">
      <c r="A118" s="66" t="s">
        <v>150</v>
      </c>
      <c r="B118" s="67"/>
      <c r="C118" s="67"/>
      <c r="D118" s="200" t="e">
        <f>AVERAGEIF('Données '!BP2:BP148,"&lt;&gt;(Inconnu)")</f>
        <v>#DIV/0!</v>
      </c>
      <c r="E118" s="78"/>
    </row>
    <row r="119" spans="1:6" s="64" customFormat="1" x14ac:dyDescent="0.25">
      <c r="A119" s="66" t="s">
        <v>167</v>
      </c>
      <c r="B119" s="67"/>
      <c r="C119" s="67"/>
      <c r="D119" s="200" t="e">
        <f>AVERAGEIF('Données '!BM2:BM148,"&lt;&gt;(Inconnu)")</f>
        <v>#DIV/0!</v>
      </c>
      <c r="E119" s="78"/>
    </row>
    <row r="120" spans="1:6" s="64" customFormat="1" x14ac:dyDescent="0.25">
      <c r="A120" s="66" t="s">
        <v>221</v>
      </c>
      <c r="B120" s="67"/>
      <c r="C120" s="67"/>
      <c r="D120" s="131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</f>
        <v>0</v>
      </c>
      <c r="E120" s="77">
        <f>D120/141</f>
        <v>0</v>
      </c>
    </row>
    <row r="121" spans="1:6" s="64" customFormat="1" x14ac:dyDescent="0.25">
      <c r="A121" s="40" t="s">
        <v>222</v>
      </c>
      <c r="B121" s="41"/>
      <c r="C121" s="41"/>
      <c r="D121" s="13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</f>
        <v>13</v>
      </c>
      <c r="E121" s="77">
        <f>D121/141</f>
        <v>9.2198581560283682E-2</v>
      </c>
    </row>
    <row r="122" spans="1:6" s="64" customFormat="1" ht="15.75" thickBot="1" x14ac:dyDescent="0.3">
      <c r="A122" s="74" t="s">
        <v>223</v>
      </c>
      <c r="B122" s="75"/>
      <c r="C122" s="75"/>
      <c r="D122" s="202">
        <v>5.6</v>
      </c>
      <c r="E122" s="42"/>
    </row>
    <row r="123" spans="1:6" s="64" customFormat="1" ht="18.75" x14ac:dyDescent="0.3">
      <c r="A123" s="156"/>
      <c r="B123" s="156"/>
      <c r="C123" s="156"/>
      <c r="D123" s="156"/>
      <c r="E123" s="156"/>
    </row>
    <row r="124" spans="1:6" s="64" customFormat="1" ht="18.75" x14ac:dyDescent="0.3">
      <c r="A124" s="156"/>
      <c r="B124" s="156"/>
      <c r="C124" s="156"/>
      <c r="D124" s="156"/>
      <c r="E124" s="156"/>
    </row>
    <row r="125" spans="1:6" s="64" customFormat="1" ht="18.75" x14ac:dyDescent="0.3">
      <c r="A125" s="156"/>
      <c r="B125" s="156"/>
      <c r="C125" s="156"/>
      <c r="D125" s="156"/>
      <c r="E125" s="156"/>
    </row>
    <row r="126" spans="1:6" s="64" customFormat="1" ht="19.5" thickBot="1" x14ac:dyDescent="0.35">
      <c r="A126" s="156"/>
      <c r="B126" s="156"/>
      <c r="C126" s="156"/>
      <c r="D126" s="156"/>
      <c r="E126" s="156"/>
    </row>
    <row r="127" spans="1:6" s="64" customFormat="1" ht="19.5" thickBot="1" x14ac:dyDescent="0.35">
      <c r="A127" s="352" t="s">
        <v>227</v>
      </c>
      <c r="B127" s="353"/>
      <c r="C127" s="354"/>
      <c r="D127" s="157" t="s">
        <v>144</v>
      </c>
      <c r="E127" s="158" t="s">
        <v>145</v>
      </c>
      <c r="F127" s="45"/>
    </row>
    <row r="128" spans="1:6" s="64" customFormat="1" ht="18.75" x14ac:dyDescent="0.3">
      <c r="A128" s="85" t="s">
        <v>184</v>
      </c>
      <c r="B128" s="86"/>
      <c r="C128" s="92"/>
      <c r="D128" s="130">
        <f>COUNTIFS('Données '!$A:$A,"JANVIER")+COUNTIFS('Données '!$A:$A,"FEVRIER")+COUNTIFS('Données '!$A:$A,"MARS")+COUNTIFS('Données '!$A:$A,"AVRIL")+COUNTIFS('Données '!$A:$A,"MAI")+COUNTIFS('Données '!$A:$A,"JUIN")</f>
        <v>168</v>
      </c>
      <c r="E128" s="76"/>
      <c r="F128" s="45"/>
    </row>
    <row r="129" spans="1:6" s="64" customFormat="1" ht="18.75" x14ac:dyDescent="0.3">
      <c r="A129" s="61" t="s">
        <v>176</v>
      </c>
      <c r="B129" s="62"/>
      <c r="C129" s="62"/>
      <c r="D129" s="152">
        <v>168</v>
      </c>
      <c r="E129" s="63"/>
      <c r="F129" s="45"/>
    </row>
    <row r="130" spans="1:6" s="64" customFormat="1" ht="18.75" x14ac:dyDescent="0.3">
      <c r="A130" s="61" t="s">
        <v>220</v>
      </c>
      <c r="B130" s="62"/>
      <c r="C130" s="62"/>
      <c r="D130" s="165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</f>
        <v>0</v>
      </c>
      <c r="E130" s="129">
        <f>D130/D129</f>
        <v>0</v>
      </c>
      <c r="F130" s="203"/>
    </row>
    <row r="131" spans="1:6" s="64" customFormat="1" ht="18.75" x14ac:dyDescent="0.3">
      <c r="A131" s="61" t="s">
        <v>203</v>
      </c>
      <c r="B131" s="62"/>
      <c r="C131" s="62"/>
      <c r="D131" s="166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</f>
        <v>0</v>
      </c>
      <c r="E131" s="129">
        <f>D131/D129</f>
        <v>0</v>
      </c>
      <c r="F131" s="203"/>
    </row>
    <row r="132" spans="1:6" s="64" customFormat="1" x14ac:dyDescent="0.25">
      <c r="A132" s="87" t="s">
        <v>146</v>
      </c>
      <c r="B132" s="88"/>
      <c r="C132" s="88"/>
      <c r="D132" s="120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</f>
        <v>0</v>
      </c>
      <c r="E132" s="77">
        <f>D132/D128</f>
        <v>0</v>
      </c>
    </row>
    <row r="133" spans="1:6" s="64" customFormat="1" x14ac:dyDescent="0.25">
      <c r="A133" s="83" t="s">
        <v>147</v>
      </c>
      <c r="B133" s="84"/>
      <c r="C133" s="84"/>
      <c r="D133" s="125">
        <f>SUM(D134:D139)</f>
        <v>0</v>
      </c>
      <c r="E133" s="77">
        <f>D133/D128</f>
        <v>0</v>
      </c>
    </row>
    <row r="134" spans="1:6" s="64" customFormat="1" x14ac:dyDescent="0.25">
      <c r="A134" s="68"/>
      <c r="B134" s="69"/>
      <c r="C134" s="69" t="s">
        <v>1</v>
      </c>
      <c r="D134" s="134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</f>
        <v>0</v>
      </c>
      <c r="E134" s="95" t="str">
        <f>IFERROR(D134/D133,"")</f>
        <v/>
      </c>
    </row>
    <row r="135" spans="1:6" s="64" customFormat="1" x14ac:dyDescent="0.25">
      <c r="A135" s="68"/>
      <c r="B135" s="69"/>
      <c r="C135" s="69" t="s">
        <v>72</v>
      </c>
      <c r="D135" s="134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</f>
        <v>0</v>
      </c>
      <c r="E135" s="95" t="str">
        <f>IFERROR(D135/D133,"")</f>
        <v/>
      </c>
    </row>
    <row r="136" spans="1:6" s="64" customFormat="1" x14ac:dyDescent="0.25">
      <c r="A136" s="68"/>
      <c r="B136" s="69"/>
      <c r="C136" s="69" t="s">
        <v>62</v>
      </c>
      <c r="D136" s="134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</f>
        <v>0</v>
      </c>
      <c r="E136" s="95" t="str">
        <f>IFERROR(D136/D133,"")</f>
        <v/>
      </c>
    </row>
    <row r="137" spans="1:6" s="64" customFormat="1" x14ac:dyDescent="0.25">
      <c r="A137" s="68"/>
      <c r="B137" s="69"/>
      <c r="C137" s="69" t="s">
        <v>64</v>
      </c>
      <c r="D137" s="134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</f>
        <v>0</v>
      </c>
      <c r="E137" s="95" t="str">
        <f>IFERROR(D137/D133,"")</f>
        <v/>
      </c>
    </row>
    <row r="138" spans="1:6" s="64" customFormat="1" x14ac:dyDescent="0.25">
      <c r="A138" s="68"/>
      <c r="B138" s="69"/>
      <c r="C138" s="69" t="s">
        <v>63</v>
      </c>
      <c r="D138" s="134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</f>
        <v>0</v>
      </c>
      <c r="E138" s="95" t="str">
        <f>IFERROR(D138/D133,"")</f>
        <v/>
      </c>
    </row>
    <row r="139" spans="1:6" s="64" customFormat="1" x14ac:dyDescent="0.25">
      <c r="A139" s="70"/>
      <c r="B139" s="71"/>
      <c r="C139" s="71" t="s">
        <v>148</v>
      </c>
      <c r="D139" s="134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</f>
        <v>0</v>
      </c>
      <c r="E139" s="95" t="str">
        <f>IFERROR(D139/D133,"")</f>
        <v/>
      </c>
    </row>
    <row r="140" spans="1:6" s="64" customFormat="1" x14ac:dyDescent="0.25">
      <c r="A140" s="87" t="s">
        <v>180</v>
      </c>
      <c r="B140" s="88"/>
      <c r="C140" s="93"/>
      <c r="D140" s="120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</f>
        <v>0</v>
      </c>
      <c r="E140" s="77">
        <f>D140/D128</f>
        <v>0</v>
      </c>
    </row>
    <row r="141" spans="1:6" s="64" customFormat="1" x14ac:dyDescent="0.25">
      <c r="A141" s="87" t="s">
        <v>154</v>
      </c>
      <c r="B141" s="88"/>
      <c r="C141" s="93"/>
      <c r="D141" s="120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</f>
        <v>0</v>
      </c>
      <c r="E141" s="77">
        <f>D141/D128</f>
        <v>0</v>
      </c>
    </row>
    <row r="142" spans="1:6" s="64" customFormat="1" x14ac:dyDescent="0.25">
      <c r="A142" s="87" t="s">
        <v>181</v>
      </c>
      <c r="B142" s="88"/>
      <c r="C142" s="93"/>
      <c r="D142" s="120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</f>
        <v>0</v>
      </c>
      <c r="E142" s="77">
        <f>D142/D128</f>
        <v>0</v>
      </c>
    </row>
    <row r="143" spans="1:6" s="64" customFormat="1" x14ac:dyDescent="0.25">
      <c r="A143" s="89" t="s">
        <v>152</v>
      </c>
      <c r="B143" s="90"/>
      <c r="C143" s="94"/>
      <c r="D143" s="125">
        <f>SUM(D144:D145)</f>
        <v>0</v>
      </c>
      <c r="E143" s="77">
        <f>D143/D128</f>
        <v>0</v>
      </c>
    </row>
    <row r="144" spans="1:6" s="64" customFormat="1" x14ac:dyDescent="0.25">
      <c r="A144" s="68"/>
      <c r="B144" s="69"/>
      <c r="C144" s="69" t="s">
        <v>45</v>
      </c>
      <c r="D144" s="134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</f>
        <v>0</v>
      </c>
      <c r="E144" s="95">
        <f>D144/D128</f>
        <v>0</v>
      </c>
    </row>
    <row r="145" spans="1:6" s="64" customFormat="1" ht="15.75" thickBot="1" x14ac:dyDescent="0.3">
      <c r="A145" s="72"/>
      <c r="B145" s="73"/>
      <c r="C145" s="73" t="s">
        <v>151</v>
      </c>
      <c r="D145" s="138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</f>
        <v>0</v>
      </c>
      <c r="E145" s="136">
        <f>D145/D128</f>
        <v>0</v>
      </c>
    </row>
    <row r="146" spans="1:6" s="64" customFormat="1" x14ac:dyDescent="0.25">
      <c r="A146" s="39" t="s">
        <v>168</v>
      </c>
      <c r="B146" s="65"/>
      <c r="C146" s="82"/>
      <c r="D146" s="121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</f>
        <v>44</v>
      </c>
      <c r="E146" s="60">
        <f>D146/D129</f>
        <v>0.26190476190476192</v>
      </c>
    </row>
    <row r="147" spans="1:6" s="64" customFormat="1" x14ac:dyDescent="0.25">
      <c r="A147" s="70" t="s">
        <v>149</v>
      </c>
      <c r="B147" s="71"/>
      <c r="C147" s="71"/>
      <c r="D147" s="300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</f>
        <v>0</v>
      </c>
      <c r="E147" s="77">
        <f>D147/D129</f>
        <v>0</v>
      </c>
    </row>
    <row r="148" spans="1:6" s="64" customFormat="1" x14ac:dyDescent="0.25">
      <c r="A148" s="66" t="s">
        <v>150</v>
      </c>
      <c r="B148" s="67"/>
      <c r="C148" s="67"/>
      <c r="D148" s="200" t="e">
        <f>AVERAGEIF('Données '!BP2:BP169,"&lt;&gt;(Inconnu)")</f>
        <v>#DIV/0!</v>
      </c>
      <c r="E148" s="78"/>
    </row>
    <row r="149" spans="1:6" s="64" customFormat="1" x14ac:dyDescent="0.25">
      <c r="A149" s="66" t="s">
        <v>167</v>
      </c>
      <c r="B149" s="67"/>
      <c r="C149" s="67"/>
      <c r="D149" s="200" t="e">
        <f>AVERAGEIF('Données '!BM2:BM169,"&lt;&gt;(Inconnu)")</f>
        <v>#DIV/0!</v>
      </c>
      <c r="E149" s="78"/>
    </row>
    <row r="150" spans="1:6" s="64" customFormat="1" x14ac:dyDescent="0.25">
      <c r="A150" s="66" t="s">
        <v>286</v>
      </c>
      <c r="B150" s="67"/>
      <c r="C150" s="67"/>
      <c r="D150" s="131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</f>
        <v>0</v>
      </c>
      <c r="E150" s="77">
        <f>D150/160</f>
        <v>0</v>
      </c>
    </row>
    <row r="151" spans="1:6" s="64" customFormat="1" x14ac:dyDescent="0.25">
      <c r="A151" s="66" t="s">
        <v>221</v>
      </c>
      <c r="B151" s="67"/>
      <c r="C151" s="67"/>
      <c r="D151" s="131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</f>
        <v>0</v>
      </c>
      <c r="E151" s="77">
        <f>D151/160</f>
        <v>0</v>
      </c>
    </row>
    <row r="152" spans="1:6" s="64" customFormat="1" x14ac:dyDescent="0.25">
      <c r="A152" s="40" t="s">
        <v>222</v>
      </c>
      <c r="B152" s="41"/>
      <c r="C152" s="41"/>
      <c r="D152" s="13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</f>
        <v>13</v>
      </c>
      <c r="E152" s="77">
        <f>D152/160</f>
        <v>8.1250000000000003E-2</v>
      </c>
    </row>
    <row r="153" spans="1:6" s="64" customFormat="1" ht="15.75" thickBot="1" x14ac:dyDescent="0.3">
      <c r="A153" s="74" t="s">
        <v>223</v>
      </c>
      <c r="B153" s="75"/>
      <c r="C153" s="75"/>
      <c r="D153" s="202">
        <v>5.5</v>
      </c>
      <c r="E153" s="42"/>
    </row>
    <row r="154" spans="1:6" s="64" customFormat="1" ht="18.75" x14ac:dyDescent="0.3">
      <c r="A154" s="156"/>
      <c r="B154" s="156"/>
      <c r="C154" s="156"/>
      <c r="D154" s="156"/>
      <c r="E154" s="156"/>
    </row>
    <row r="155" spans="1:6" s="64" customFormat="1" ht="18.75" x14ac:dyDescent="0.3">
      <c r="A155" s="156"/>
      <c r="B155" s="156"/>
      <c r="C155" s="156"/>
      <c r="D155" s="156"/>
      <c r="E155" s="156"/>
    </row>
    <row r="156" spans="1:6" s="64" customFormat="1" ht="18.75" x14ac:dyDescent="0.3">
      <c r="A156" s="156"/>
      <c r="B156" s="156"/>
      <c r="C156" s="156"/>
      <c r="D156" s="156"/>
      <c r="E156" s="156"/>
    </row>
    <row r="157" spans="1:6" s="64" customFormat="1" ht="19.5" thickBot="1" x14ac:dyDescent="0.35">
      <c r="A157" s="156"/>
      <c r="B157" s="156"/>
      <c r="C157" s="156"/>
      <c r="D157" s="156"/>
      <c r="E157" s="156"/>
    </row>
    <row r="158" spans="1:6" s="64" customFormat="1" ht="19.5" thickBot="1" x14ac:dyDescent="0.35">
      <c r="A158" s="352" t="s">
        <v>226</v>
      </c>
      <c r="B158" s="353"/>
      <c r="C158" s="354"/>
      <c r="D158" s="157" t="s">
        <v>144</v>
      </c>
      <c r="E158" s="158" t="s">
        <v>145</v>
      </c>
      <c r="F158" s="45"/>
    </row>
    <row r="159" spans="1:6" s="64" customFormat="1" ht="18.75" x14ac:dyDescent="0.3">
      <c r="A159" s="85" t="s">
        <v>184</v>
      </c>
      <c r="B159" s="86"/>
      <c r="C159" s="92"/>
      <c r="D159" s="130">
        <f>COUNTIFS('Données '!$A:$A,"JANVIER")+COUNTIFS('Données '!$A:$A,"FEVRIER")+COUNTIFS('Données '!$A:$A,"MARS")+COUNTIFS('Données '!$A:$A,"AVRIL")+COUNTIFS('Données '!$A:$A,"MAI")+COUNTIFS('Données '!$A:$A,"JUIN")+COUNTIFS('Données '!$A:$A,"JUILLET")</f>
        <v>181</v>
      </c>
      <c r="E159" s="76"/>
      <c r="F159" s="45"/>
    </row>
    <row r="160" spans="1:6" s="64" customFormat="1" ht="18.75" x14ac:dyDescent="0.3">
      <c r="A160" s="61" t="s">
        <v>176</v>
      </c>
      <c r="B160" s="62"/>
      <c r="C160" s="62"/>
      <c r="D160" s="152">
        <v>181</v>
      </c>
      <c r="E160" s="63"/>
      <c r="F160" s="45"/>
    </row>
    <row r="161" spans="1:6" s="64" customFormat="1" ht="18.75" x14ac:dyDescent="0.3">
      <c r="A161" s="61" t="s">
        <v>220</v>
      </c>
      <c r="B161" s="62"/>
      <c r="C161" s="62"/>
      <c r="D161" s="165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</f>
        <v>0</v>
      </c>
      <c r="E161" s="129">
        <f>D161/D160</f>
        <v>0</v>
      </c>
      <c r="F161" s="203"/>
    </row>
    <row r="162" spans="1:6" s="64" customFormat="1" ht="18.75" x14ac:dyDescent="0.3">
      <c r="A162" s="61" t="s">
        <v>203</v>
      </c>
      <c r="B162" s="62"/>
      <c r="C162" s="62"/>
      <c r="D162" s="166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</f>
        <v>0</v>
      </c>
      <c r="E162" s="129">
        <f>D162/D160</f>
        <v>0</v>
      </c>
      <c r="F162" s="203"/>
    </row>
    <row r="163" spans="1:6" s="64" customFormat="1" x14ac:dyDescent="0.25">
      <c r="A163" s="87" t="s">
        <v>146</v>
      </c>
      <c r="B163" s="88"/>
      <c r="C163" s="88"/>
      <c r="D163" s="120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</f>
        <v>0</v>
      </c>
      <c r="E163" s="77">
        <f>D163/D159</f>
        <v>0</v>
      </c>
    </row>
    <row r="164" spans="1:6" s="64" customFormat="1" x14ac:dyDescent="0.25">
      <c r="A164" s="83" t="s">
        <v>147</v>
      </c>
      <c r="B164" s="84"/>
      <c r="C164" s="84"/>
      <c r="D164" s="125">
        <f>SUM(D165:D170)</f>
        <v>0</v>
      </c>
      <c r="E164" s="77">
        <f>D164/D159</f>
        <v>0</v>
      </c>
    </row>
    <row r="165" spans="1:6" s="64" customFormat="1" x14ac:dyDescent="0.25">
      <c r="A165" s="68"/>
      <c r="B165" s="69"/>
      <c r="C165" s="69" t="s">
        <v>1</v>
      </c>
      <c r="D165" s="134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</f>
        <v>0</v>
      </c>
      <c r="E165" s="95" t="str">
        <f>IFERROR(D165/D164,"")</f>
        <v/>
      </c>
    </row>
    <row r="166" spans="1:6" s="64" customFormat="1" x14ac:dyDescent="0.25">
      <c r="A166" s="68"/>
      <c r="B166" s="69"/>
      <c r="C166" s="69" t="s">
        <v>72</v>
      </c>
      <c r="D166" s="134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</f>
        <v>0</v>
      </c>
      <c r="E166" s="95" t="str">
        <f>IFERROR(D166/D164,"")</f>
        <v/>
      </c>
    </row>
    <row r="167" spans="1:6" s="64" customFormat="1" x14ac:dyDescent="0.25">
      <c r="A167" s="68"/>
      <c r="B167" s="69"/>
      <c r="C167" s="69" t="s">
        <v>62</v>
      </c>
      <c r="D167" s="134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</f>
        <v>0</v>
      </c>
      <c r="E167" s="95" t="str">
        <f>IFERROR(D167/D164,"")</f>
        <v/>
      </c>
    </row>
    <row r="168" spans="1:6" s="64" customFormat="1" x14ac:dyDescent="0.25">
      <c r="A168" s="68"/>
      <c r="B168" s="69"/>
      <c r="C168" s="69" t="s">
        <v>64</v>
      </c>
      <c r="D168" s="134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</f>
        <v>0</v>
      </c>
      <c r="E168" s="95" t="str">
        <f>IFERROR(D168/D164,"")</f>
        <v/>
      </c>
    </row>
    <row r="169" spans="1:6" s="64" customFormat="1" x14ac:dyDescent="0.25">
      <c r="A169" s="68"/>
      <c r="B169" s="69"/>
      <c r="C169" s="69" t="s">
        <v>63</v>
      </c>
      <c r="D169" s="134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</f>
        <v>0</v>
      </c>
      <c r="E169" s="95" t="str">
        <f>IFERROR(D169/D164,"")</f>
        <v/>
      </c>
    </row>
    <row r="170" spans="1:6" s="64" customFormat="1" x14ac:dyDescent="0.25">
      <c r="A170" s="70"/>
      <c r="B170" s="71"/>
      <c r="C170" s="71" t="s">
        <v>148</v>
      </c>
      <c r="D170" s="134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</f>
        <v>0</v>
      </c>
      <c r="E170" s="95" t="str">
        <f>IFERROR(D170/D164,"")</f>
        <v/>
      </c>
    </row>
    <row r="171" spans="1:6" s="64" customFormat="1" x14ac:dyDescent="0.25">
      <c r="A171" s="87" t="s">
        <v>180</v>
      </c>
      <c r="B171" s="88"/>
      <c r="C171" s="93"/>
      <c r="D171" s="120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</f>
        <v>0</v>
      </c>
      <c r="E171" s="77">
        <f>D171/D159</f>
        <v>0</v>
      </c>
    </row>
    <row r="172" spans="1:6" s="64" customFormat="1" x14ac:dyDescent="0.25">
      <c r="A172" s="87" t="s">
        <v>154</v>
      </c>
      <c r="B172" s="88"/>
      <c r="C172" s="93"/>
      <c r="D172" s="120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</f>
        <v>0</v>
      </c>
      <c r="E172" s="77">
        <f>D172/D159</f>
        <v>0</v>
      </c>
    </row>
    <row r="173" spans="1:6" s="64" customFormat="1" x14ac:dyDescent="0.25">
      <c r="A173" s="87" t="s">
        <v>181</v>
      </c>
      <c r="B173" s="88"/>
      <c r="C173" s="93"/>
      <c r="D173" s="120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</f>
        <v>0</v>
      </c>
      <c r="E173" s="77">
        <f>D173/D159</f>
        <v>0</v>
      </c>
    </row>
    <row r="174" spans="1:6" s="64" customFormat="1" x14ac:dyDescent="0.25">
      <c r="A174" s="89" t="s">
        <v>152</v>
      </c>
      <c r="B174" s="90"/>
      <c r="C174" s="94"/>
      <c r="D174" s="125">
        <f>SUM(D175:D176)</f>
        <v>0</v>
      </c>
      <c r="E174" s="77">
        <f>D174/D159</f>
        <v>0</v>
      </c>
    </row>
    <row r="175" spans="1:6" s="64" customFormat="1" x14ac:dyDescent="0.25">
      <c r="A175" s="68"/>
      <c r="B175" s="69"/>
      <c r="C175" s="69" t="s">
        <v>45</v>
      </c>
      <c r="D175" s="134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</f>
        <v>0</v>
      </c>
      <c r="E175" s="95">
        <f>D175/D159</f>
        <v>0</v>
      </c>
    </row>
    <row r="176" spans="1:6" s="64" customFormat="1" ht="15.75" thickBot="1" x14ac:dyDescent="0.3">
      <c r="A176" s="72"/>
      <c r="B176" s="73"/>
      <c r="C176" s="73" t="s">
        <v>151</v>
      </c>
      <c r="D176" s="138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</f>
        <v>0</v>
      </c>
      <c r="E176" s="136">
        <f>D176/D159</f>
        <v>0</v>
      </c>
    </row>
    <row r="177" spans="1:6" s="64" customFormat="1" x14ac:dyDescent="0.25">
      <c r="A177" s="39" t="s">
        <v>168</v>
      </c>
      <c r="B177" s="65"/>
      <c r="C177" s="82"/>
      <c r="D177" s="121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</f>
        <v>44</v>
      </c>
      <c r="E177" s="60">
        <f>D177/D160</f>
        <v>0.24309392265193369</v>
      </c>
    </row>
    <row r="178" spans="1:6" s="64" customFormat="1" x14ac:dyDescent="0.25">
      <c r="A178" s="70" t="s">
        <v>149</v>
      </c>
      <c r="B178" s="71"/>
      <c r="C178" s="71"/>
      <c r="D178" s="300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</f>
        <v>0</v>
      </c>
      <c r="E178" s="77">
        <f>D178/D160</f>
        <v>0</v>
      </c>
    </row>
    <row r="179" spans="1:6" s="64" customFormat="1" x14ac:dyDescent="0.25">
      <c r="A179" s="66" t="s">
        <v>150</v>
      </c>
      <c r="B179" s="67"/>
      <c r="C179" s="67"/>
      <c r="D179" s="200" t="e">
        <f>AVERAGEIF('Données '!BP2:BP182,"&lt;&gt;(Inconnu)")</f>
        <v>#DIV/0!</v>
      </c>
      <c r="E179" s="78"/>
    </row>
    <row r="180" spans="1:6" s="64" customFormat="1" x14ac:dyDescent="0.25">
      <c r="A180" s="66" t="s">
        <v>167</v>
      </c>
      <c r="B180" s="67"/>
      <c r="C180" s="67"/>
      <c r="D180" s="200" t="e">
        <f>AVERAGEIF('Données '!BM2:BM182,"&lt;&gt;(Inconnu)")</f>
        <v>#DIV/0!</v>
      </c>
      <c r="E180" s="78"/>
    </row>
    <row r="181" spans="1:6" s="64" customFormat="1" x14ac:dyDescent="0.25">
      <c r="A181" s="66" t="s">
        <v>286</v>
      </c>
      <c r="B181" s="67"/>
      <c r="C181" s="67"/>
      <c r="D181" s="201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</f>
        <v>0</v>
      </c>
      <c r="E181" s="77"/>
    </row>
    <row r="182" spans="1:6" s="64" customFormat="1" x14ac:dyDescent="0.25">
      <c r="A182" s="66" t="s">
        <v>221</v>
      </c>
      <c r="B182" s="67"/>
      <c r="C182" s="67"/>
      <c r="D182" s="201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</f>
        <v>0</v>
      </c>
      <c r="E182" s="77">
        <f>D182/173</f>
        <v>0</v>
      </c>
    </row>
    <row r="183" spans="1:6" s="64" customFormat="1" x14ac:dyDescent="0.25">
      <c r="A183" s="40" t="s">
        <v>222</v>
      </c>
      <c r="B183" s="41"/>
      <c r="C183" s="41"/>
      <c r="D183" s="20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</f>
        <v>13</v>
      </c>
      <c r="E183" s="77">
        <f>D183/173</f>
        <v>7.5144508670520235E-2</v>
      </c>
    </row>
    <row r="184" spans="1:6" s="64" customFormat="1" ht="15.75" thickBot="1" x14ac:dyDescent="0.3">
      <c r="A184" s="74" t="s">
        <v>223</v>
      </c>
      <c r="B184" s="75"/>
      <c r="C184" s="75"/>
      <c r="D184" s="202">
        <v>5.5</v>
      </c>
      <c r="E184" s="42"/>
    </row>
    <row r="185" spans="1:6" s="64" customFormat="1" ht="18.75" x14ac:dyDescent="0.3">
      <c r="A185" s="156"/>
      <c r="B185" s="156"/>
      <c r="C185" s="156"/>
      <c r="D185" s="156"/>
      <c r="E185" s="156"/>
    </row>
    <row r="186" spans="1:6" s="64" customFormat="1" ht="18.75" x14ac:dyDescent="0.3">
      <c r="A186" s="156"/>
      <c r="B186" s="156"/>
      <c r="C186" s="156"/>
      <c r="D186" s="156"/>
      <c r="E186" s="156"/>
    </row>
    <row r="187" spans="1:6" s="64" customFormat="1" ht="18.75" x14ac:dyDescent="0.3">
      <c r="A187" s="156"/>
      <c r="B187" s="156"/>
      <c r="C187" s="156"/>
      <c r="D187" s="156"/>
      <c r="E187" s="156"/>
    </row>
    <row r="188" spans="1:6" s="64" customFormat="1" ht="19.5" thickBot="1" x14ac:dyDescent="0.35">
      <c r="A188" s="156"/>
      <c r="B188" s="156"/>
      <c r="C188" s="156"/>
      <c r="D188" s="156"/>
      <c r="E188" s="156"/>
    </row>
    <row r="189" spans="1:6" s="64" customFormat="1" ht="19.5" thickBot="1" x14ac:dyDescent="0.35">
      <c r="A189" s="352" t="s">
        <v>225</v>
      </c>
      <c r="B189" s="353"/>
      <c r="C189" s="354"/>
      <c r="D189" s="157" t="s">
        <v>144</v>
      </c>
      <c r="E189" s="158" t="s">
        <v>145</v>
      </c>
      <c r="F189" s="38"/>
    </row>
    <row r="190" spans="1:6" s="64" customFormat="1" x14ac:dyDescent="0.25">
      <c r="A190" s="85" t="s">
        <v>184</v>
      </c>
      <c r="B190" s="86"/>
      <c r="C190" s="92"/>
      <c r="D190" s="130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</f>
        <v>201</v>
      </c>
      <c r="E190" s="76"/>
    </row>
    <row r="191" spans="1:6" s="64" customFormat="1" x14ac:dyDescent="0.25">
      <c r="A191" s="61" t="s">
        <v>176</v>
      </c>
      <c r="B191" s="62"/>
      <c r="C191" s="62"/>
      <c r="D191" s="152">
        <v>201</v>
      </c>
      <c r="E191" s="63"/>
    </row>
    <row r="192" spans="1:6" s="64" customFormat="1" ht="18.75" x14ac:dyDescent="0.3">
      <c r="A192" s="61" t="s">
        <v>220</v>
      </c>
      <c r="B192" s="62"/>
      <c r="C192" s="62"/>
      <c r="D192" s="165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</f>
        <v>0</v>
      </c>
      <c r="E192" s="129">
        <f>D192/D191</f>
        <v>0</v>
      </c>
      <c r="F192" s="203"/>
    </row>
    <row r="193" spans="1:6" s="64" customFormat="1" ht="18.75" x14ac:dyDescent="0.3">
      <c r="A193" s="61" t="s">
        <v>203</v>
      </c>
      <c r="B193" s="62"/>
      <c r="C193" s="62"/>
      <c r="D193" s="153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</f>
        <v>0</v>
      </c>
      <c r="E193" s="129">
        <f>D193/D191</f>
        <v>0</v>
      </c>
      <c r="F193" s="203"/>
    </row>
    <row r="194" spans="1:6" s="64" customFormat="1" ht="18.75" x14ac:dyDescent="0.3">
      <c r="A194" s="87" t="s">
        <v>146</v>
      </c>
      <c r="B194" s="88"/>
      <c r="C194" s="88"/>
      <c r="D194" s="120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</f>
        <v>0</v>
      </c>
      <c r="E194" s="77">
        <f>D194/D190</f>
        <v>0</v>
      </c>
      <c r="F194" s="45"/>
    </row>
    <row r="195" spans="1:6" s="64" customFormat="1" ht="18.75" x14ac:dyDescent="0.3">
      <c r="A195" s="83" t="s">
        <v>147</v>
      </c>
      <c r="B195" s="84"/>
      <c r="C195" s="84"/>
      <c r="D195" s="125">
        <f>SUM(D196:D201)</f>
        <v>0</v>
      </c>
      <c r="E195" s="77">
        <f>D195/D190</f>
        <v>0</v>
      </c>
      <c r="F195" s="45"/>
    </row>
    <row r="196" spans="1:6" s="64" customFormat="1" ht="18.75" x14ac:dyDescent="0.3">
      <c r="A196" s="68"/>
      <c r="B196" s="69"/>
      <c r="C196" s="69" t="s">
        <v>1</v>
      </c>
      <c r="D196" s="134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</f>
        <v>0</v>
      </c>
      <c r="E196" s="95" t="str">
        <f>IFERROR(D196/D195,"")</f>
        <v/>
      </c>
      <c r="F196" s="45"/>
    </row>
    <row r="197" spans="1:6" s="64" customFormat="1" ht="18.75" x14ac:dyDescent="0.3">
      <c r="A197" s="68"/>
      <c r="B197" s="69"/>
      <c r="C197" s="69" t="s">
        <v>72</v>
      </c>
      <c r="D197" s="134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</f>
        <v>0</v>
      </c>
      <c r="E197" s="95" t="str">
        <f>IFERROR(D197/D195,"")</f>
        <v/>
      </c>
      <c r="F197" s="45"/>
    </row>
    <row r="198" spans="1:6" s="64" customFormat="1" ht="18.75" x14ac:dyDescent="0.3">
      <c r="A198" s="68"/>
      <c r="B198" s="69"/>
      <c r="C198" s="69" t="s">
        <v>62</v>
      </c>
      <c r="D198" s="134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</f>
        <v>0</v>
      </c>
      <c r="E198" s="95" t="str">
        <f>IFERROR(D198/D195,"")</f>
        <v/>
      </c>
      <c r="F198" s="45"/>
    </row>
    <row r="199" spans="1:6" s="64" customFormat="1" ht="18.75" x14ac:dyDescent="0.3">
      <c r="A199" s="68"/>
      <c r="B199" s="69"/>
      <c r="C199" s="69" t="s">
        <v>64</v>
      </c>
      <c r="D199" s="134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</f>
        <v>0</v>
      </c>
      <c r="E199" s="95" t="str">
        <f>IFERROR(D199/D195,"")</f>
        <v/>
      </c>
      <c r="F199" s="45"/>
    </row>
    <row r="200" spans="1:6" s="64" customFormat="1" ht="18.75" x14ac:dyDescent="0.3">
      <c r="A200" s="68"/>
      <c r="B200" s="69"/>
      <c r="C200" s="69" t="s">
        <v>63</v>
      </c>
      <c r="D200" s="134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</f>
        <v>0</v>
      </c>
      <c r="E200" s="95" t="str">
        <f>IFERROR(D200/D195,"")</f>
        <v/>
      </c>
      <c r="F200" s="45"/>
    </row>
    <row r="201" spans="1:6" s="64" customFormat="1" ht="18.75" x14ac:dyDescent="0.3">
      <c r="A201" s="70"/>
      <c r="B201" s="71"/>
      <c r="C201" s="71" t="s">
        <v>148</v>
      </c>
      <c r="D201" s="134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</f>
        <v>0</v>
      </c>
      <c r="E201" s="95" t="str">
        <f>IFERROR(D201/D195,"")</f>
        <v/>
      </c>
      <c r="F201" s="45"/>
    </row>
    <row r="202" spans="1:6" s="64" customFormat="1" ht="18.75" x14ac:dyDescent="0.3">
      <c r="A202" s="87" t="s">
        <v>180</v>
      </c>
      <c r="B202" s="88"/>
      <c r="C202" s="93"/>
      <c r="D202" s="120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</f>
        <v>0</v>
      </c>
      <c r="E202" s="77">
        <f>D202/D190</f>
        <v>0</v>
      </c>
      <c r="F202" s="45"/>
    </row>
    <row r="203" spans="1:6" s="64" customFormat="1" ht="18.75" x14ac:dyDescent="0.3">
      <c r="A203" s="87" t="s">
        <v>154</v>
      </c>
      <c r="B203" s="88"/>
      <c r="C203" s="93"/>
      <c r="D203" s="120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</f>
        <v>0</v>
      </c>
      <c r="E203" s="77">
        <f>D203/D190</f>
        <v>0</v>
      </c>
      <c r="F203" s="45"/>
    </row>
    <row r="204" spans="1:6" s="64" customFormat="1" ht="18.75" x14ac:dyDescent="0.3">
      <c r="A204" s="87" t="s">
        <v>181</v>
      </c>
      <c r="B204" s="88"/>
      <c r="C204" s="93"/>
      <c r="D204" s="120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</f>
        <v>0</v>
      </c>
      <c r="E204" s="77">
        <f>D204/D190</f>
        <v>0</v>
      </c>
      <c r="F204" s="45"/>
    </row>
    <row r="205" spans="1:6" s="64" customFormat="1" ht="18.75" x14ac:dyDescent="0.3">
      <c r="A205" s="89" t="s">
        <v>152</v>
      </c>
      <c r="B205" s="90"/>
      <c r="C205" s="94"/>
      <c r="D205" s="125">
        <f>SUM(D206:D207)</f>
        <v>0</v>
      </c>
      <c r="E205" s="77">
        <f>D205/D190</f>
        <v>0</v>
      </c>
      <c r="F205" s="45"/>
    </row>
    <row r="206" spans="1:6" s="64" customFormat="1" ht="18.75" x14ac:dyDescent="0.3">
      <c r="A206" s="68"/>
      <c r="B206" s="69"/>
      <c r="C206" s="69" t="s">
        <v>45</v>
      </c>
      <c r="D206" s="134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</f>
        <v>0</v>
      </c>
      <c r="E206" s="95">
        <f>D206/D190</f>
        <v>0</v>
      </c>
      <c r="F206" s="45"/>
    </row>
    <row r="207" spans="1:6" s="64" customFormat="1" ht="19.5" thickBot="1" x14ac:dyDescent="0.35">
      <c r="A207" s="72"/>
      <c r="B207" s="73"/>
      <c r="C207" s="73" t="s">
        <v>151</v>
      </c>
      <c r="D207" s="138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</f>
        <v>0</v>
      </c>
      <c r="E207" s="136">
        <f>D207/D190</f>
        <v>0</v>
      </c>
      <c r="F207" s="45"/>
    </row>
    <row r="208" spans="1:6" s="64" customFormat="1" ht="18.75" x14ac:dyDescent="0.3">
      <c r="A208" s="39" t="s">
        <v>168</v>
      </c>
      <c r="B208" s="65"/>
      <c r="C208" s="82"/>
      <c r="D208" s="121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</f>
        <v>44</v>
      </c>
      <c r="E208" s="60">
        <f>D208/D191</f>
        <v>0.21890547263681592</v>
      </c>
      <c r="F208" s="45"/>
    </row>
    <row r="209" spans="1:6" s="64" customFormat="1" ht="18.75" x14ac:dyDescent="0.3">
      <c r="A209" s="70" t="s">
        <v>305</v>
      </c>
      <c r="B209" s="71"/>
      <c r="C209" s="71"/>
      <c r="D209" s="120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</f>
        <v>0</v>
      </c>
      <c r="E209" s="77">
        <f>D209/D190</f>
        <v>0</v>
      </c>
      <c r="F209" s="45"/>
    </row>
    <row r="210" spans="1:6" s="64" customFormat="1" x14ac:dyDescent="0.25">
      <c r="A210" s="66" t="s">
        <v>150</v>
      </c>
      <c r="B210" s="67"/>
      <c r="C210" s="67"/>
      <c r="D210" s="200" t="e">
        <f>AVERAGEIF('Données '!BP2:BP202,"&lt;&gt;(Inconnu)")</f>
        <v>#DIV/0!</v>
      </c>
      <c r="E210" s="78"/>
    </row>
    <row r="211" spans="1:6" s="64" customFormat="1" x14ac:dyDescent="0.25">
      <c r="A211" s="66" t="s">
        <v>167</v>
      </c>
      <c r="B211" s="67"/>
      <c r="C211" s="67"/>
      <c r="D211" s="200" t="e">
        <f>AVERAGEIF('Données '!BM2:BM202,"&lt;&gt;(Inconnu)")</f>
        <v>#DIV/0!</v>
      </c>
      <c r="E211" s="78"/>
    </row>
    <row r="212" spans="1:6" s="64" customFormat="1" x14ac:dyDescent="0.25">
      <c r="A212" s="66" t="s">
        <v>286</v>
      </c>
      <c r="B212" s="67"/>
      <c r="C212" s="67"/>
      <c r="D212" s="131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</f>
        <v>0</v>
      </c>
      <c r="E212" s="77">
        <f>D212/190</f>
        <v>0</v>
      </c>
    </row>
    <row r="213" spans="1:6" s="64" customFormat="1" x14ac:dyDescent="0.25">
      <c r="A213" s="66" t="s">
        <v>221</v>
      </c>
      <c r="B213" s="67"/>
      <c r="C213" s="67"/>
      <c r="D213" s="131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</f>
        <v>0</v>
      </c>
      <c r="E213" s="77">
        <f>D213/190</f>
        <v>0</v>
      </c>
    </row>
    <row r="214" spans="1:6" s="64" customFormat="1" x14ac:dyDescent="0.25">
      <c r="A214" s="40" t="s">
        <v>222</v>
      </c>
      <c r="B214" s="41"/>
      <c r="C214" s="41"/>
      <c r="D214" s="13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</f>
        <v>13</v>
      </c>
      <c r="E214" s="77">
        <f>D214/190</f>
        <v>6.8421052631578952E-2</v>
      </c>
    </row>
    <row r="215" spans="1:6" s="64" customFormat="1" ht="15.75" thickBot="1" x14ac:dyDescent="0.3">
      <c r="A215" s="74" t="s">
        <v>223</v>
      </c>
      <c r="B215" s="75"/>
      <c r="C215" s="75"/>
      <c r="D215" s="202">
        <v>5.4</v>
      </c>
      <c r="E215" s="42"/>
    </row>
    <row r="216" spans="1:6" s="64" customFormat="1" ht="18.75" x14ac:dyDescent="0.3">
      <c r="A216" s="38"/>
      <c r="B216" s="38"/>
      <c r="C216" s="38"/>
      <c r="D216" s="122"/>
      <c r="E216" s="38"/>
    </row>
    <row r="217" spans="1:6" s="64" customFormat="1" ht="18.75" x14ac:dyDescent="0.3">
      <c r="A217" s="37"/>
      <c r="B217" s="37"/>
      <c r="C217" s="37"/>
      <c r="D217" s="123"/>
      <c r="E217" s="38"/>
      <c r="F217" s="45"/>
    </row>
    <row r="218" spans="1:6" s="64" customFormat="1" ht="18.75" x14ac:dyDescent="0.3">
      <c r="D218" s="21"/>
      <c r="F218" s="45"/>
    </row>
    <row r="219" spans="1:6" s="64" customFormat="1" ht="19.5" thickBot="1" x14ac:dyDescent="0.35">
      <c r="A219" s="156"/>
      <c r="B219" s="156"/>
      <c r="C219" s="156"/>
      <c r="D219" s="156"/>
      <c r="E219" s="156"/>
      <c r="F219" s="45"/>
    </row>
    <row r="220" spans="1:6" s="64" customFormat="1" ht="19.5" thickBot="1" x14ac:dyDescent="0.35">
      <c r="A220" s="352" t="s">
        <v>218</v>
      </c>
      <c r="B220" s="353"/>
      <c r="C220" s="354"/>
      <c r="D220" s="157" t="s">
        <v>144</v>
      </c>
      <c r="E220" s="158" t="s">
        <v>145</v>
      </c>
      <c r="F220" s="45"/>
    </row>
    <row r="221" spans="1:6" s="64" customFormat="1" ht="18.75" x14ac:dyDescent="0.3">
      <c r="A221" s="85" t="s">
        <v>184</v>
      </c>
      <c r="B221" s="86"/>
      <c r="C221" s="92"/>
      <c r="D221" s="130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'!$A:$A,"AOUT")+COUNTIFS('Données '!$A:$A,"SEPTEMBRE")</f>
        <v>226</v>
      </c>
      <c r="E221" s="76"/>
      <c r="F221" s="45"/>
    </row>
    <row r="222" spans="1:6" s="64" customFormat="1" ht="18.75" x14ac:dyDescent="0.3">
      <c r="A222" s="61" t="s">
        <v>176</v>
      </c>
      <c r="B222" s="62"/>
      <c r="C222" s="62"/>
      <c r="D222" s="152">
        <v>226</v>
      </c>
      <c r="E222" s="63"/>
      <c r="F222" s="45"/>
    </row>
    <row r="223" spans="1:6" s="64" customFormat="1" ht="18.75" x14ac:dyDescent="0.3">
      <c r="A223" s="61" t="s">
        <v>220</v>
      </c>
      <c r="B223" s="62"/>
      <c r="C223" s="62"/>
      <c r="D223" s="165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'!$BW:$BW,"OUI")+COUNTIFS('Données '!$A:$A,"SEPTEMBRE",'Données '!$BW:$BW,"OUI")</f>
        <v>0</v>
      </c>
      <c r="E223" s="129">
        <f>D223/D222</f>
        <v>0</v>
      </c>
      <c r="F223" s="203"/>
    </row>
    <row r="224" spans="1:6" s="64" customFormat="1" ht="18.75" x14ac:dyDescent="0.3">
      <c r="A224" s="61" t="s">
        <v>203</v>
      </c>
      <c r="B224" s="62"/>
      <c r="C224" s="62"/>
      <c r="D224" s="153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'!$F:$F,1)+COUNTIFS('Données '!$A:$A,"SEPTEMBRE",'Données '!$F:$F,1)</f>
        <v>0</v>
      </c>
      <c r="E224" s="129">
        <f>D224/D222</f>
        <v>0</v>
      </c>
      <c r="F224" s="203"/>
    </row>
    <row r="225" spans="1:5" s="64" customFormat="1" x14ac:dyDescent="0.25">
      <c r="A225" s="87" t="s">
        <v>146</v>
      </c>
      <c r="B225" s="88"/>
      <c r="C225" s="88"/>
      <c r="D225" s="120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'!$O:$O,"CABG")+COUNTIFS('Données '!$A:$A,"SEPTEMBRE",'Données '!$O:$O,"CABG")</f>
        <v>0</v>
      </c>
      <c r="E225" s="77">
        <f>D225/D221</f>
        <v>0</v>
      </c>
    </row>
    <row r="226" spans="1:5" s="64" customFormat="1" x14ac:dyDescent="0.25">
      <c r="A226" s="83" t="s">
        <v>147</v>
      </c>
      <c r="B226" s="84"/>
      <c r="C226" s="84"/>
      <c r="D226" s="125">
        <f>SUM(D227:D232)</f>
        <v>0</v>
      </c>
      <c r="E226" s="77">
        <f>D226/D221</f>
        <v>0</v>
      </c>
    </row>
    <row r="227" spans="1:5" s="64" customFormat="1" x14ac:dyDescent="0.25">
      <c r="A227" s="68"/>
      <c r="B227" s="69"/>
      <c r="C227" s="69" t="s">
        <v>1</v>
      </c>
      <c r="D227" s="134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'!$R:$R,"AVR")+COUNTIFS('Données '!$A:$A,"SEPTEMBRE",'Données '!$R:$R,"AVR")</f>
        <v>0</v>
      </c>
      <c r="E227" s="95" t="str">
        <f>IFERROR(D227/D226,"")</f>
        <v/>
      </c>
    </row>
    <row r="228" spans="1:5" s="64" customFormat="1" x14ac:dyDescent="0.25">
      <c r="A228" s="68"/>
      <c r="B228" s="69"/>
      <c r="C228" s="69" t="s">
        <v>72</v>
      </c>
      <c r="D228" s="134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'!$R:$R,"TVR")+COUNTIFS('Données '!$A:$A,"SEPTEMBRE",'Données '!$R:$R,"TVR")</f>
        <v>0</v>
      </c>
      <c r="E228" s="95" t="str">
        <f>IFERROR(D228/D226,"")</f>
        <v/>
      </c>
    </row>
    <row r="229" spans="1:5" s="64" customFormat="1" x14ac:dyDescent="0.25">
      <c r="A229" s="68"/>
      <c r="B229" s="69"/>
      <c r="C229" s="69" t="s">
        <v>62</v>
      </c>
      <c r="D229" s="134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'!$R:$R,"TVP")+COUNTIFS('Données '!$A:$A,"SEPTEMBRE",'Données '!$R:$R,"TVP")</f>
        <v>0</v>
      </c>
      <c r="E229" s="95" t="str">
        <f>IFERROR(D229/D226,"")</f>
        <v/>
      </c>
    </row>
    <row r="230" spans="1:5" s="64" customFormat="1" x14ac:dyDescent="0.25">
      <c r="A230" s="68"/>
      <c r="B230" s="69"/>
      <c r="C230" s="69" t="s">
        <v>64</v>
      </c>
      <c r="D230" s="134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'!$R:$R,"MVR")+COUNTIFS('Données '!$A:$A,"SEPTEMBRE",'Données '!$R:$R,"MVR")</f>
        <v>0</v>
      </c>
      <c r="E230" s="95" t="str">
        <f>IFERROR(D230/D226,"")</f>
        <v/>
      </c>
    </row>
    <row r="231" spans="1:5" s="64" customFormat="1" x14ac:dyDescent="0.25">
      <c r="A231" s="68"/>
      <c r="B231" s="69"/>
      <c r="C231" s="69" t="s">
        <v>63</v>
      </c>
      <c r="D231" s="134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'!$R:$R,"MVP")+COUNTIFS('Données '!$A:$A,"SEPTEMBRE",'Données '!$R:$R,"MVP")</f>
        <v>0</v>
      </c>
      <c r="E231" s="95" t="str">
        <f>IFERROR(D231/D226,"")</f>
        <v/>
      </c>
    </row>
    <row r="232" spans="1:5" s="64" customFormat="1" x14ac:dyDescent="0.25">
      <c r="A232" s="70"/>
      <c r="B232" s="71"/>
      <c r="C232" s="71" t="s">
        <v>148</v>
      </c>
      <c r="D232" s="134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plus")+COUNTIFS('Données '!$A:$A,"SEPTEMBRE",'Données '!$R:$R,"2 V ou plus")</f>
        <v>0</v>
      </c>
      <c r="E232" s="95" t="str">
        <f>IFERROR(D232/D226,"")</f>
        <v/>
      </c>
    </row>
    <row r="233" spans="1:5" s="64" customFormat="1" x14ac:dyDescent="0.25">
      <c r="A233" s="87" t="s">
        <v>180</v>
      </c>
      <c r="B233" s="88"/>
      <c r="C233" s="93"/>
      <c r="D233" s="120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+*")+COUNTIFS('Données '!$A:$A,"SEPTEMBRE",'Données '!$O:$O,"CABG +*")</f>
        <v>0</v>
      </c>
      <c r="E233" s="77">
        <f>D233/D221</f>
        <v>0</v>
      </c>
    </row>
    <row r="234" spans="1:5" s="64" customFormat="1" x14ac:dyDescent="0.25">
      <c r="A234" s="87" t="s">
        <v>154</v>
      </c>
      <c r="B234" s="88"/>
      <c r="C234" s="93"/>
      <c r="D234" s="120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'!$O:$O,"Aorte")+COUNTIFS('Données '!$A:$A,"SEPTEMBRE",'Données '!$O:$O,"Aorte")</f>
        <v>0</v>
      </c>
      <c r="E234" s="77">
        <f>D234/D221</f>
        <v>0</v>
      </c>
    </row>
    <row r="235" spans="1:5" s="64" customFormat="1" x14ac:dyDescent="0.25">
      <c r="A235" s="87" t="s">
        <v>181</v>
      </c>
      <c r="B235" s="88"/>
      <c r="C235" s="93"/>
      <c r="D235" s="120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'!$O:$O,"Autre")+COUNTIFS('Données '!$A:$A,"SEPTEMBRE",'Données '!$O:$O,"Autre")</f>
        <v>0</v>
      </c>
      <c r="E235" s="77">
        <f>D235/D221</f>
        <v>0</v>
      </c>
    </row>
    <row r="236" spans="1:5" s="64" customFormat="1" x14ac:dyDescent="0.25">
      <c r="A236" s="89" t="s">
        <v>152</v>
      </c>
      <c r="B236" s="90"/>
      <c r="C236" s="94"/>
      <c r="D236" s="125">
        <f>SUM(D237:D238)</f>
        <v>0</v>
      </c>
      <c r="E236" s="77">
        <f>D236/D221</f>
        <v>0</v>
      </c>
    </row>
    <row r="237" spans="1:5" s="64" customFormat="1" x14ac:dyDescent="0.25">
      <c r="A237" s="68"/>
      <c r="B237" s="69"/>
      <c r="C237" s="69" t="s">
        <v>45</v>
      </c>
      <c r="D237" s="134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'!$O:$O,"LVAD")+COUNTIFS('Données '!$A:$A,"SEPTEMBRE",'Données '!$O:$O,"LVAD")</f>
        <v>0</v>
      </c>
      <c r="E237" s="228">
        <f>D237/D221</f>
        <v>0</v>
      </c>
    </row>
    <row r="238" spans="1:5" s="64" customFormat="1" ht="15.75" thickBot="1" x14ac:dyDescent="0.3">
      <c r="A238" s="72"/>
      <c r="B238" s="73"/>
      <c r="C238" s="73" t="s">
        <v>151</v>
      </c>
      <c r="D238" s="138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'!$O:$O,"HTX")+COUNTIFS('Données '!$A:$A,"SEPTEMBRE",'Données '!$O:$O,"HTX")</f>
        <v>0</v>
      </c>
      <c r="E238" s="230">
        <f>D238/D221</f>
        <v>0</v>
      </c>
    </row>
    <row r="239" spans="1:5" s="64" customFormat="1" x14ac:dyDescent="0.25">
      <c r="A239" s="39" t="s">
        <v>168</v>
      </c>
      <c r="B239" s="65"/>
      <c r="C239" s="82"/>
      <c r="D239" s="121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'!$Y:$Y,1)+COUNTIFS('Données '!$A:$A,"SEPTEMBRE",'Données '!$Y:$Y,1)</f>
        <v>44</v>
      </c>
      <c r="E239" s="60">
        <f>D239/D221</f>
        <v>0.19469026548672566</v>
      </c>
    </row>
    <row r="240" spans="1:5" s="64" customFormat="1" x14ac:dyDescent="0.25">
      <c r="A240" s="70" t="s">
        <v>305</v>
      </c>
      <c r="B240" s="71"/>
      <c r="C240" s="71"/>
      <c r="D240" s="120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'!$AN:$AN,"DECEASED")+COUNTIFS('Données '!$A:$A,"SEPTEMBRE",'Données '!$AN:$AN,"DECEASED")</f>
        <v>0</v>
      </c>
      <c r="E240" s="77">
        <f>D240/D222</f>
        <v>0</v>
      </c>
    </row>
    <row r="241" spans="1:6" s="64" customFormat="1" x14ac:dyDescent="0.25">
      <c r="A241" s="66" t="s">
        <v>150</v>
      </c>
      <c r="B241" s="67"/>
      <c r="C241" s="67"/>
      <c r="D241" s="200" t="e">
        <f>AVERAGEIF('Données '!BP2:BP227,"&lt;&gt;(Inconnu)")</f>
        <v>#DIV/0!</v>
      </c>
      <c r="E241" s="78"/>
    </row>
    <row r="242" spans="1:6" s="64" customFormat="1" x14ac:dyDescent="0.25">
      <c r="A242" s="66" t="s">
        <v>167</v>
      </c>
      <c r="B242" s="67"/>
      <c r="C242" s="67"/>
      <c r="D242" s="301" t="e">
        <f>AVERAGEIF('Données '!BM2:BM227,"&lt;&gt;(Inconnu)")</f>
        <v>#DIV/0!</v>
      </c>
      <c r="E242" s="78"/>
    </row>
    <row r="243" spans="1:6" s="64" customFormat="1" x14ac:dyDescent="0.25">
      <c r="A243" s="66" t="s">
        <v>286</v>
      </c>
      <c r="B243" s="67"/>
      <c r="C243" s="67"/>
      <c r="D243" s="131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'!$AB:$AB,1)+COUNTIFS('Données '!$A:$A,"SEPTEMBRE",'Données '!$AB:$AB,1)</f>
        <v>0</v>
      </c>
      <c r="E243" s="77">
        <f>D243/212</f>
        <v>0</v>
      </c>
    </row>
    <row r="244" spans="1:6" s="64" customFormat="1" x14ac:dyDescent="0.25">
      <c r="A244" s="66" t="s">
        <v>221</v>
      </c>
      <c r="B244" s="67"/>
      <c r="C244" s="67"/>
      <c r="D244" s="131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'!$AD:$AD,1)+COUNTIFS('Données '!$A:$A,"SEPTEMBRE",'Données '!$AD:$AD,1)</f>
        <v>0</v>
      </c>
      <c r="E244" s="77">
        <f>D244/212</f>
        <v>0</v>
      </c>
    </row>
    <row r="245" spans="1:6" s="64" customFormat="1" x14ac:dyDescent="0.25">
      <c r="A245" s="40" t="s">
        <v>222</v>
      </c>
      <c r="B245" s="41"/>
      <c r="C245" s="41"/>
      <c r="D245" s="302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'!$O:$O,"&lt;&gt;HTX")+COUNTIFS('Données '!$A:$A,"SEPTEMBRE",'Données '!$AI:$AI,"&lt;&gt;0",'Données '!$O:$O,"&lt;&gt;LVAD",'Données '!$O:$O,"&lt;&gt;HTX")</f>
        <v>13</v>
      </c>
      <c r="E245" s="77">
        <f>D245/212</f>
        <v>6.1320754716981132E-2</v>
      </c>
    </row>
    <row r="246" spans="1:6" s="64" customFormat="1" ht="15.75" thickBot="1" x14ac:dyDescent="0.3">
      <c r="A246" s="74" t="s">
        <v>223</v>
      </c>
      <c r="B246" s="75"/>
      <c r="C246" s="75"/>
      <c r="D246" s="202">
        <v>5.4</v>
      </c>
      <c r="E246" s="42"/>
    </row>
    <row r="247" spans="1:6" s="64" customFormat="1" ht="18.75" x14ac:dyDescent="0.3">
      <c r="A247" s="156"/>
      <c r="B247" s="156"/>
      <c r="C247" s="156"/>
      <c r="D247" s="156"/>
      <c r="E247" s="156"/>
    </row>
    <row r="248" spans="1:6" s="64" customFormat="1" ht="18.75" x14ac:dyDescent="0.3">
      <c r="A248" s="156"/>
      <c r="B248" s="156"/>
      <c r="C248" s="156"/>
      <c r="D248" s="156"/>
      <c r="E248" s="156"/>
    </row>
    <row r="249" spans="1:6" s="64" customFormat="1" ht="19.5" thickBot="1" x14ac:dyDescent="0.35">
      <c r="A249" s="156"/>
      <c r="B249" s="156"/>
      <c r="C249" s="156"/>
      <c r="D249" s="156"/>
      <c r="E249" s="156"/>
    </row>
    <row r="250" spans="1:6" ht="19.5" thickBot="1" x14ac:dyDescent="0.35">
      <c r="A250" s="352" t="s">
        <v>217</v>
      </c>
      <c r="B250" s="353"/>
      <c r="C250" s="354"/>
      <c r="D250" s="157" t="s">
        <v>144</v>
      </c>
      <c r="E250" s="158" t="s">
        <v>145</v>
      </c>
      <c r="F250" s="38"/>
    </row>
    <row r="251" spans="1:6" s="64" customFormat="1" ht="18.75" x14ac:dyDescent="0.3">
      <c r="A251" s="85" t="s">
        <v>184</v>
      </c>
      <c r="B251" s="86"/>
      <c r="C251" s="92"/>
      <c r="D251" s="130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'!$A:$A,"AOUT")+COUNTIFS('Données '!$A:$A,"SEPTEMBRE")+COUNTIFS('Données '!$A:$A,"OCTOBRE")</f>
        <v>258</v>
      </c>
      <c r="E251" s="76"/>
      <c r="F251" s="38"/>
    </row>
    <row r="252" spans="1:6" x14ac:dyDescent="0.25">
      <c r="A252" s="61" t="s">
        <v>176</v>
      </c>
      <c r="B252" s="62"/>
      <c r="C252" s="62"/>
      <c r="D252" s="152">
        <v>258</v>
      </c>
      <c r="E252" s="63"/>
    </row>
    <row r="253" spans="1:6" ht="18.75" x14ac:dyDescent="0.3">
      <c r="A253" s="61" t="s">
        <v>220</v>
      </c>
      <c r="B253" s="62"/>
      <c r="C253" s="62"/>
      <c r="D253" s="165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'!$BW:$BW,"OUI")+COUNTIFS('Données '!$A:$A,"SEPTEMBRE",'Données '!$BW:$BW,"OUI")+COUNTIFS('Données '!$A:$A,"OCTOBRE",'Données '!$BW:$BW,"OUI")</f>
        <v>0</v>
      </c>
      <c r="E253" s="129">
        <f>D253/D252</f>
        <v>0</v>
      </c>
      <c r="F253" s="203"/>
    </row>
    <row r="254" spans="1:6" s="64" customFormat="1" ht="18.75" x14ac:dyDescent="0.3">
      <c r="A254" s="61" t="s">
        <v>203</v>
      </c>
      <c r="B254" s="62"/>
      <c r="C254" s="62"/>
      <c r="D254" s="153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'!$F:$F,1)+COUNTIFS('Données '!$A:$A,"SEPTEMBRE",'Données '!$F:$F,1)+COUNTIFS('Données '!$A:$A,"OCTOBRE",'Données '!$F:$F,1)</f>
        <v>0</v>
      </c>
      <c r="E254" s="129">
        <f>D254/D252</f>
        <v>0</v>
      </c>
      <c r="F254" s="203"/>
    </row>
    <row r="255" spans="1:6" s="64" customFormat="1" x14ac:dyDescent="0.25">
      <c r="A255" s="87" t="s">
        <v>146</v>
      </c>
      <c r="B255" s="88"/>
      <c r="C255" s="88"/>
      <c r="D255" s="120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'!$O:$O,"CABG")+COUNTIFS('Données '!$A:$A,"SEPTEMBRE",'Données '!$O:$O,"CABG")+COUNTIFS('Données '!$A:$A,"OCTOBRE",'Données '!$O:$O,"CABG")</f>
        <v>0</v>
      </c>
      <c r="E255" s="77">
        <f>D255/D251</f>
        <v>0</v>
      </c>
    </row>
    <row r="256" spans="1:6" s="64" customFormat="1" x14ac:dyDescent="0.25">
      <c r="A256" s="83" t="s">
        <v>147</v>
      </c>
      <c r="B256" s="84"/>
      <c r="C256" s="84"/>
      <c r="D256" s="125">
        <f>SUM(D257:D262)</f>
        <v>0</v>
      </c>
      <c r="E256" s="77">
        <f>D256/D251</f>
        <v>0</v>
      </c>
    </row>
    <row r="257" spans="1:5" s="64" customFormat="1" x14ac:dyDescent="0.25">
      <c r="A257" s="68"/>
      <c r="B257" s="69"/>
      <c r="C257" s="69" t="s">
        <v>1</v>
      </c>
      <c r="D257" s="134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'!$R:$R,"AVR")+COUNTIFS('Données '!$A:$A,"SEPTEMBRE",'Données '!$R:$R,"AVR")+COUNTIFS('Données '!$A:$A,"OCTOBRE",'Données '!$R:$R,"AVR")</f>
        <v>0</v>
      </c>
      <c r="E257" s="95" t="str">
        <f>IFERROR(D257/D256,"")</f>
        <v/>
      </c>
    </row>
    <row r="258" spans="1:5" s="64" customFormat="1" x14ac:dyDescent="0.25">
      <c r="A258" s="68"/>
      <c r="B258" s="69"/>
      <c r="C258" s="69" t="s">
        <v>72</v>
      </c>
      <c r="D258" s="134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'!$R:$R,"TVR")+COUNTIFS('Données '!$A:$A,"SEPTEMBRE",'Données '!$R:$R,"TVR")+COUNTIFS('Données '!$A:$A,"OCTOBRE",'Données '!$R:$R,"TVR")</f>
        <v>0</v>
      </c>
      <c r="E258" s="95" t="str">
        <f>IFERROR(D258/D256,"")</f>
        <v/>
      </c>
    </row>
    <row r="259" spans="1:5" s="64" customFormat="1" x14ac:dyDescent="0.25">
      <c r="A259" s="68"/>
      <c r="B259" s="69"/>
      <c r="C259" s="69" t="s">
        <v>62</v>
      </c>
      <c r="D259" s="134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'!$R:$R,"TVP")+COUNTIFS('Données '!$A:$A,"SEPTEMBRE",'Données '!$R:$R,"TVP")+COUNTIFS('Données '!$A:$A,"OCTOBRE",'Données '!$R:$R,"TVP")</f>
        <v>0</v>
      </c>
      <c r="E259" s="95" t="str">
        <f>IFERROR(D259/D256,"")</f>
        <v/>
      </c>
    </row>
    <row r="260" spans="1:5" s="64" customFormat="1" x14ac:dyDescent="0.25">
      <c r="A260" s="68"/>
      <c r="B260" s="69"/>
      <c r="C260" s="69" t="s">
        <v>64</v>
      </c>
      <c r="D260" s="134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'!$R:$R,"MVR")+COUNTIFS('Données '!$A:$A,"SEPTEMBRE",'Données '!$R:$R,"MVR")+COUNTIFS('Données '!$A:$A,"OCTOBRE",'Données '!$R:$R,"MVR")</f>
        <v>0</v>
      </c>
      <c r="E260" s="95" t="str">
        <f>IFERROR(D260/D256,"")</f>
        <v/>
      </c>
    </row>
    <row r="261" spans="1:5" s="64" customFormat="1" x14ac:dyDescent="0.25">
      <c r="A261" s="68"/>
      <c r="B261" s="69"/>
      <c r="C261" s="69" t="s">
        <v>63</v>
      </c>
      <c r="D261" s="134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'!$R:$R,"MVP")+COUNTIFS('Données '!$A:$A,"SEPTEMBRE",'Données '!$R:$R,"MVP")+COUNTIFS('Données '!$A:$A,"OCTOBRE",'Données '!$R:$R,"MVP")</f>
        <v>0</v>
      </c>
      <c r="E261" s="95" t="str">
        <f>IFERROR(D261/D256,"")</f>
        <v/>
      </c>
    </row>
    <row r="262" spans="1:5" s="64" customFormat="1" x14ac:dyDescent="0.25">
      <c r="A262" s="70"/>
      <c r="B262" s="71"/>
      <c r="C262" s="71" t="s">
        <v>148</v>
      </c>
      <c r="D262" s="134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plus")+COUNTIFS('Données '!$A:$A,"SEPTEMBRE",'Données '!$R:$R,"2 V ou plus")+COUNTIFS('Données '!$A:$A,"OCTOBRE",'Données '!$R:$R,"2 V ou plus")</f>
        <v>0</v>
      </c>
      <c r="E262" s="95" t="str">
        <f>IFERROR(D262/D256,"")</f>
        <v/>
      </c>
    </row>
    <row r="263" spans="1:5" s="64" customFormat="1" x14ac:dyDescent="0.25">
      <c r="A263" s="87" t="s">
        <v>180</v>
      </c>
      <c r="B263" s="88"/>
      <c r="C263" s="93"/>
      <c r="D263" s="120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+*")+COUNTIFS('Données '!$A:$A,"SEPTEMBRE",'Données '!$O:$O,"CABG +*")+COUNTIFS('Données '!$A:$A,"OCTOBRE",'Données '!$O:$O,"CABG +*")</f>
        <v>0</v>
      </c>
      <c r="E263" s="77">
        <f>D263/D251</f>
        <v>0</v>
      </c>
    </row>
    <row r="264" spans="1:5" s="64" customFormat="1" x14ac:dyDescent="0.25">
      <c r="A264" s="87" t="s">
        <v>154</v>
      </c>
      <c r="B264" s="88"/>
      <c r="C264" s="93"/>
      <c r="D264" s="120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'!$O:$O,"Aorte")+COUNTIFS('Données '!$A:$A,"SEPTEMBRE",'Données '!$O:$O,"Aorte")+COUNTIFS('Données '!$A:$A,"OCTOBRE",'Données '!$O:$O,"Aorte")</f>
        <v>0</v>
      </c>
      <c r="E264" s="77">
        <f>D264/D251</f>
        <v>0</v>
      </c>
    </row>
    <row r="265" spans="1:5" s="64" customFormat="1" x14ac:dyDescent="0.25">
      <c r="A265" s="87" t="s">
        <v>181</v>
      </c>
      <c r="B265" s="88"/>
      <c r="C265" s="93"/>
      <c r="D265" s="120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'!$O:$O,"Autre")+COUNTIFS('Données '!$A:$A,"SEPTEMBRE",'Données '!$O:$O,"Autre")+COUNTIFS('Données '!$A:$A,"OCTOBRE",'Données '!$O:$O,"Autre")</f>
        <v>0</v>
      </c>
      <c r="E265" s="77">
        <f>D265/D251</f>
        <v>0</v>
      </c>
    </row>
    <row r="266" spans="1:5" s="64" customFormat="1" x14ac:dyDescent="0.25">
      <c r="A266" s="89" t="s">
        <v>152</v>
      </c>
      <c r="B266" s="90"/>
      <c r="C266" s="94"/>
      <c r="D266" s="125">
        <f>SUM(D267:D268)</f>
        <v>0</v>
      </c>
      <c r="E266" s="77">
        <f>D266/D251</f>
        <v>0</v>
      </c>
    </row>
    <row r="267" spans="1:5" s="64" customFormat="1" x14ac:dyDescent="0.25">
      <c r="A267" s="68"/>
      <c r="B267" s="69"/>
      <c r="C267" s="69" t="s">
        <v>45</v>
      </c>
      <c r="D267" s="134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'!$O:$O,"LVAD")+COUNTIFS('Données '!$A:$A,"SEPTEMBRE",'Données '!$O:$O,"LVAD")+COUNTIFS('Données '!$A:$A,"OCTOBRE",'Données '!$O:$O,"LVAD")</f>
        <v>0</v>
      </c>
      <c r="E267" s="95">
        <f>D267/D251</f>
        <v>0</v>
      </c>
    </row>
    <row r="268" spans="1:5" s="64" customFormat="1" ht="15.75" thickBot="1" x14ac:dyDescent="0.3">
      <c r="A268" s="72"/>
      <c r="B268" s="73"/>
      <c r="C268" s="73" t="s">
        <v>151</v>
      </c>
      <c r="D268" s="138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'!$O:$O,"HTX")+COUNTIFS('Données '!$A:$A,"SEPTEMBRE",'Données '!$O:$O,"HTX")+COUNTIFS('Données '!$A:$A,"OCTOBRE",'Données '!$O:$O,"HTX")</f>
        <v>0</v>
      </c>
      <c r="E268" s="136">
        <f>D268/D251</f>
        <v>0</v>
      </c>
    </row>
    <row r="269" spans="1:5" s="64" customFormat="1" x14ac:dyDescent="0.25">
      <c r="A269" s="39" t="s">
        <v>168</v>
      </c>
      <c r="B269" s="65"/>
      <c r="C269" s="82"/>
      <c r="D269" s="121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'!$Y:$Y,1)+COUNTIFS('Données '!$A:$A,"SEPTEMBRE",'Données '!$Y:$Y,1)+COUNTIFS('Données '!$A:$A,"OCTOBRE",'Données '!$Y:$Y,1)</f>
        <v>44</v>
      </c>
      <c r="E269" s="60">
        <f>D269/D251</f>
        <v>0.17054263565891473</v>
      </c>
    </row>
    <row r="270" spans="1:5" s="64" customFormat="1" x14ac:dyDescent="0.25">
      <c r="A270" s="70" t="s">
        <v>305</v>
      </c>
      <c r="B270" s="71"/>
      <c r="C270" s="71"/>
      <c r="D270" s="120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'!$AN:$AN,"DECEASED")+COUNTIFS('Données '!$A:$A,"SEPTEMBRE",'Données '!$AN:$AN,"DECEASED")+COUNTIFS('Données '!$A:$A,"OCTOBRE",'Données '!$AN:$AN,"DECEASED")</f>
        <v>0</v>
      </c>
      <c r="E270" s="77">
        <f>D270/D251</f>
        <v>0</v>
      </c>
    </row>
    <row r="271" spans="1:5" s="64" customFormat="1" x14ac:dyDescent="0.25">
      <c r="A271" s="66" t="s">
        <v>150</v>
      </c>
      <c r="B271" s="67"/>
      <c r="C271" s="67"/>
      <c r="D271" s="200" t="e">
        <f>AVERAGEIF('Données '!BP2:BP259,"&lt;&gt;(Inconnu)")</f>
        <v>#DIV/0!</v>
      </c>
      <c r="E271" s="78"/>
    </row>
    <row r="272" spans="1:5" s="64" customFormat="1" x14ac:dyDescent="0.25">
      <c r="A272" s="66" t="s">
        <v>167</v>
      </c>
      <c r="B272" s="67"/>
      <c r="C272" s="67"/>
      <c r="D272" s="200" t="e">
        <f>AVERAGEIF('Données '!BM2:BM259,"&lt;&gt;(Inconnu)")</f>
        <v>#DIV/0!</v>
      </c>
      <c r="E272" s="78"/>
    </row>
    <row r="273" spans="1:6" s="64" customFormat="1" x14ac:dyDescent="0.25">
      <c r="A273" s="66" t="s">
        <v>286</v>
      </c>
      <c r="B273" s="67"/>
      <c r="C273" s="67"/>
      <c r="D273" s="131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'!$AB:$AB,1)+COUNTIFS('Données '!$A:$A,"SEPTEMBRE",'Données '!$AB:$AB,1)+COUNTIFS('Données '!$A:$A,"OCTOBRE",'Données '!$AB:$AB,1)</f>
        <v>0</v>
      </c>
      <c r="E273" s="77">
        <f>D273/242</f>
        <v>0</v>
      </c>
    </row>
    <row r="274" spans="1:6" s="64" customFormat="1" x14ac:dyDescent="0.25">
      <c r="A274" s="66" t="s">
        <v>221</v>
      </c>
      <c r="B274" s="67"/>
      <c r="C274" s="67"/>
      <c r="D274" s="131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'!$AD:$AD,1)+COUNTIFS('Données '!$A:$A,"SEPTEMBRE",'Données '!$AD:$AD,1)+COUNTIFS('Données '!$A:$A,"OCTOBRE",'Données '!$AD:$AD,1)</f>
        <v>0</v>
      </c>
      <c r="E274" s="77">
        <f>D274/242</f>
        <v>0</v>
      </c>
    </row>
    <row r="275" spans="1:6" s="64" customFormat="1" x14ac:dyDescent="0.25">
      <c r="A275" s="40" t="s">
        <v>222</v>
      </c>
      <c r="B275" s="41"/>
      <c r="C275" s="41"/>
      <c r="D275" s="13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'!$O:$O,"&lt;&gt;HTX")+COUNTIFS('Données '!$A:$A,"SEPTEMBRE",'Données '!$AI:$AI,"&lt;&gt;0",'Données '!$O:$O,"&lt;&gt;LVAD",'Données '!$O:$O,"&lt;&gt;HTX")+COUNTIFS('Données '!$A:$A,"OCTOBRE",'Données '!$AI:$AI,"&lt;&gt;0",'Données '!$O:$O,"&lt;&gt;LVAD",'Données '!$O:$O,"&lt;&gt;HTX")</f>
        <v>13</v>
      </c>
      <c r="E275" s="77">
        <f>D275/242</f>
        <v>5.3719008264462811E-2</v>
      </c>
    </row>
    <row r="276" spans="1:6" s="64" customFormat="1" ht="15.75" thickBot="1" x14ac:dyDescent="0.3">
      <c r="A276" s="74" t="s">
        <v>223</v>
      </c>
      <c r="B276" s="75"/>
      <c r="C276" s="75"/>
      <c r="D276" s="202">
        <v>5.6</v>
      </c>
      <c r="E276" s="42"/>
    </row>
    <row r="277" spans="1:6" s="64" customFormat="1" ht="18.75" x14ac:dyDescent="0.3">
      <c r="A277" s="38"/>
      <c r="B277" s="38"/>
      <c r="C277" s="38"/>
      <c r="D277" s="122"/>
      <c r="E277" s="38"/>
    </row>
    <row r="278" spans="1:6" s="64" customFormat="1" ht="18.75" x14ac:dyDescent="0.3">
      <c r="A278" s="38"/>
      <c r="B278" s="38"/>
      <c r="C278" s="38"/>
      <c r="D278" s="122"/>
      <c r="E278" s="38"/>
    </row>
    <row r="279" spans="1:6" s="64" customFormat="1" ht="18.75" x14ac:dyDescent="0.3">
      <c r="A279" s="37"/>
      <c r="B279" s="37"/>
      <c r="C279" s="37"/>
      <c r="D279" s="123"/>
      <c r="E279" s="38"/>
    </row>
    <row r="280" spans="1:6" s="64" customFormat="1" ht="15.75" thickBot="1" x14ac:dyDescent="0.3">
      <c r="A280"/>
      <c r="B280"/>
      <c r="C280"/>
      <c r="D280" s="21"/>
      <c r="E280"/>
    </row>
    <row r="281" spans="1:6" s="64" customFormat="1" ht="15.75" thickBot="1" x14ac:dyDescent="0.3">
      <c r="A281" s="352" t="s">
        <v>216</v>
      </c>
      <c r="B281" s="353"/>
      <c r="C281" s="354"/>
      <c r="D281" s="124" t="s">
        <v>144</v>
      </c>
      <c r="E281" s="81" t="s">
        <v>145</v>
      </c>
    </row>
    <row r="282" spans="1:6" s="64" customFormat="1" x14ac:dyDescent="0.25">
      <c r="A282" s="85" t="s">
        <v>184</v>
      </c>
      <c r="B282" s="86"/>
      <c r="C282" s="92"/>
      <c r="D282" s="130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'!$A:$A,"AOUT")+COUNTIFS('Données '!$A:$A,"SEPTEMBRE")+COUNTIFS('Données '!$A:$A,"OCTOBRE")+COUNTIFS('Données '!$A:$A,"NOVEMBRE")</f>
        <v>287</v>
      </c>
      <c r="E282" s="76"/>
    </row>
    <row r="283" spans="1:6" s="64" customFormat="1" x14ac:dyDescent="0.25">
      <c r="A283" s="61" t="s">
        <v>176</v>
      </c>
      <c r="B283" s="62"/>
      <c r="C283" s="62"/>
      <c r="D283" s="152"/>
      <c r="E283" s="63"/>
    </row>
    <row r="284" spans="1:6" ht="18.75" x14ac:dyDescent="0.3">
      <c r="A284" s="61" t="s">
        <v>220</v>
      </c>
      <c r="B284" s="62"/>
      <c r="C284" s="62"/>
      <c r="D284" s="165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'!$BW:$BW,"OUI")+COUNTIFS('Données '!$A:$A,"SEPTEMBRE",'Données '!$BW:$BW,"OUI")+COUNTIFS('Données '!$A:$A,"OCTOBRE",'Données '!$BW:$BW,"OUI")+COUNTIFS('Données '!$A:$A,"NOVEMBRE",'Données '!$BW:$BW,"OUI")</f>
        <v>0</v>
      </c>
      <c r="E284" s="129">
        <f>D284/D282</f>
        <v>0</v>
      </c>
      <c r="F284" s="203" t="s">
        <v>269</v>
      </c>
    </row>
    <row r="285" spans="1:6" ht="18.75" x14ac:dyDescent="0.3">
      <c r="A285" s="61" t="s">
        <v>203</v>
      </c>
      <c r="B285" s="62"/>
      <c r="C285" s="62"/>
      <c r="D285" s="153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'!$F:$F,1)+COUNTIFS('Données '!$A:$A,"SEPTEMBRE",'Données '!$F:$F,1)+COUNTIFS('Données '!$A:$A,"OCTOBRE",'Données '!$F:$F,1)+COUNTIFS('Données '!$A:$A,"NOVEMBRE",'Données '!$F:$F,1)</f>
        <v>0</v>
      </c>
      <c r="E285" s="129">
        <f>D285/D282</f>
        <v>0</v>
      </c>
      <c r="F285" s="203" t="s">
        <v>269</v>
      </c>
    </row>
    <row r="286" spans="1:6" x14ac:dyDescent="0.25">
      <c r="A286" s="87" t="s">
        <v>146</v>
      </c>
      <c r="B286" s="88"/>
      <c r="C286" s="88"/>
      <c r="D286" s="120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'!$O:$O,"CABG")+COUNTIFS('Données '!$A:$A,"SEPTEMBRE",'Données '!$O:$O,"CABG")+COUNTIFS('Données '!$A:$A,"OCTOBRE",'Données '!$O:$O,"CABG")+COUNTIFS('Données '!$A:$A,"NOVEMBRE",'Données '!$O:$O,"CABG")</f>
        <v>0</v>
      </c>
      <c r="E286" s="77">
        <f>D286/D282</f>
        <v>0</v>
      </c>
    </row>
    <row r="287" spans="1:6" x14ac:dyDescent="0.25">
      <c r="A287" s="83" t="s">
        <v>147</v>
      </c>
      <c r="B287" s="84"/>
      <c r="C287" s="84"/>
      <c r="D287" s="125">
        <f>SUM(D288:D293)</f>
        <v>0</v>
      </c>
      <c r="E287" s="77">
        <f>D287/D282</f>
        <v>0</v>
      </c>
    </row>
    <row r="288" spans="1:6" s="64" customFormat="1" x14ac:dyDescent="0.25">
      <c r="A288" s="68"/>
      <c r="B288" s="69"/>
      <c r="C288" s="69" t="s">
        <v>1</v>
      </c>
      <c r="D288" s="134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'!$R:$R,"AVR")+COUNTIFS('Données '!$A:$A,"SEPTEMBRE",'Données '!$R:$R,"AVR")+COUNTIFS('Données '!$A:$A,"OCTOBRE",'Données '!$R:$R,"AVR")+COUNTIFS('Données '!$A:$A,"NOVEMBRE",'Données '!$R:$R,"AVR")</f>
        <v>0</v>
      </c>
      <c r="E288" s="95" t="str">
        <f>IFERROR(D288/D287,"")</f>
        <v/>
      </c>
    </row>
    <row r="289" spans="1:6" x14ac:dyDescent="0.25">
      <c r="A289" s="68"/>
      <c r="B289" s="69"/>
      <c r="C289" s="69" t="s">
        <v>72</v>
      </c>
      <c r="D289" s="134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'!$R:$R,"TVR")+COUNTIFS('Données '!$A:$A,"SEPTEMBRE",'Données '!$R:$R,"TVR")+COUNTIFS('Données '!$A:$A,"OCTOBRE",'Données '!$R:$R,"TVR")+COUNTIFS('Données '!$A:$A,"NOVEMBRE",'Données '!$R:$R,"TVR")</f>
        <v>0</v>
      </c>
      <c r="E289" s="95" t="str">
        <f>IFERROR(D289/D287,"")</f>
        <v/>
      </c>
    </row>
    <row r="290" spans="1:6" x14ac:dyDescent="0.25">
      <c r="A290" s="68"/>
      <c r="B290" s="69"/>
      <c r="C290" s="69" t="s">
        <v>62</v>
      </c>
      <c r="D290" s="134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'!$R:$R,"TVP")+COUNTIFS('Données '!$A:$A,"SEPTEMBRE",'Données '!$R:$R,"TVP")+COUNTIFS('Données '!$A:$A,"OCTOBRE",'Données '!$R:$R,"TVP")+COUNTIFS('Données '!$A:$A,"NOVEMBRE",'Données '!$R:$R,"TVP")</f>
        <v>0</v>
      </c>
      <c r="E290" s="95" t="str">
        <f>IFERROR(D290/D287,"")</f>
        <v/>
      </c>
    </row>
    <row r="291" spans="1:6" x14ac:dyDescent="0.25">
      <c r="A291" s="68"/>
      <c r="B291" s="69"/>
      <c r="C291" s="69" t="s">
        <v>64</v>
      </c>
      <c r="D291" s="134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'!$R:$R,"MVR")+COUNTIFS('Données '!$A:$A,"SEPTEMBRE",'Données '!$R:$R,"MVR")+COUNTIFS('Données '!$A:$A,"OCTOBRE",'Données '!$R:$R,"MVR")+COUNTIFS('Données '!$A:$A,"NOVEMBRE",'Données '!$R:$R,"MVR")</f>
        <v>0</v>
      </c>
      <c r="E291" s="95" t="str">
        <f>IFERROR(D291/D287,"")</f>
        <v/>
      </c>
    </row>
    <row r="292" spans="1:6" x14ac:dyDescent="0.25">
      <c r="A292" s="68"/>
      <c r="B292" s="69"/>
      <c r="C292" s="69" t="s">
        <v>63</v>
      </c>
      <c r="D292" s="134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'!$R:$R,"MVP")+COUNTIFS('Données '!$A:$A,"SEPTEMBRE",'Données '!$R:$R,"MVP")+COUNTIFS('Données '!$A:$A,"OCTOBRE",'Données '!$R:$R,"MVP")+COUNTIFS('Données '!$A:$A,"NOVEMBRE",'Données '!$R:$R,"MVP")</f>
        <v>0</v>
      </c>
      <c r="E292" s="95" t="str">
        <f>IFERROR(D292/D287,"")</f>
        <v/>
      </c>
    </row>
    <row r="293" spans="1:6" x14ac:dyDescent="0.25">
      <c r="A293" s="70"/>
      <c r="B293" s="71"/>
      <c r="C293" s="71" t="s">
        <v>148</v>
      </c>
      <c r="D293" s="134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plus")+COUNTIFS('Données '!$A:$A,"SEPTEMBRE",'Données '!$R:$R,"2 V ou plus")+COUNTIFS('Données '!$A:$A,"OCTOBRE",'Données '!$R:$R,"2 V ou plus")+COUNTIFS('Données '!$A:$A,"NOVEMBRE",'Données '!$R:$R,"2 V ou plus")</f>
        <v>0</v>
      </c>
      <c r="E293" s="95" t="str">
        <f>IFERROR(D293/D287,"")</f>
        <v/>
      </c>
    </row>
    <row r="294" spans="1:6" x14ac:dyDescent="0.25">
      <c r="A294" s="87" t="s">
        <v>180</v>
      </c>
      <c r="B294" s="88"/>
      <c r="C294" s="93"/>
      <c r="D294" s="120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+*")+COUNTIFS('Données '!$A:$A,"SEPTEMBRE",'Données '!$O:$O,"CABG +*")+COUNTIFS('Données '!$A:$A,"OCTOBRE",'Données '!$O:$O,"CABG +*")+COUNTIFS('Données '!$A:$A,"NOVEMBRE",'Données '!$O:$O,"CABG +*")</f>
        <v>0</v>
      </c>
      <c r="E294" s="77">
        <f>D294/D282</f>
        <v>0</v>
      </c>
    </row>
    <row r="295" spans="1:6" x14ac:dyDescent="0.25">
      <c r="A295" s="87" t="s">
        <v>154</v>
      </c>
      <c r="B295" s="88"/>
      <c r="C295" s="93"/>
      <c r="D295" s="120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'!$O:$O,"Aorte")+COUNTIFS('Données '!$A:$A,"SEPTEMBRE",'Données '!$O:$O,"Aorte")+COUNTIFS('Données '!$A:$A,"OCTOBRE",'Données '!$O:$O,"Aorte")+COUNTIFS('Données '!$A:$A,"NOVEMBRE",'Données '!$O:$O,"Aorte")</f>
        <v>0</v>
      </c>
      <c r="E295" s="77">
        <f>D295/D282</f>
        <v>0</v>
      </c>
    </row>
    <row r="296" spans="1:6" x14ac:dyDescent="0.25">
      <c r="A296" s="87" t="s">
        <v>181</v>
      </c>
      <c r="B296" s="88"/>
      <c r="C296" s="93"/>
      <c r="D296" s="120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'!$O:$O,"Autre")+COUNTIFS('Données '!$A:$A,"SEPTEMBRE",'Données '!$O:$O,"Autre")+COUNTIFS('Données '!$A:$A,"OCTOBRE",'Données '!$O:$O,"Autre")+COUNTIFS('Données '!$A:$A,"NOVEMBRE",'Données '!$O:$O,"Autre")</f>
        <v>0</v>
      </c>
      <c r="E296" s="77">
        <f>D296/D282</f>
        <v>0</v>
      </c>
    </row>
    <row r="297" spans="1:6" x14ac:dyDescent="0.25">
      <c r="A297" s="89" t="s">
        <v>152</v>
      </c>
      <c r="B297" s="90"/>
      <c r="C297" s="94"/>
      <c r="D297" s="125">
        <f>SUM(D298:D299)</f>
        <v>0</v>
      </c>
      <c r="E297" s="77">
        <f>D297/D282</f>
        <v>0</v>
      </c>
    </row>
    <row r="298" spans="1:6" x14ac:dyDescent="0.25">
      <c r="A298" s="68"/>
      <c r="B298" s="69"/>
      <c r="C298" s="69" t="s">
        <v>45</v>
      </c>
      <c r="D298" s="134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'!$O:$O,"LVAD")+COUNTIFS('Données '!$A:$A,"SEPTEMBRE",'Données '!$O:$O,"LVAD")+COUNTIFS('Données '!$A:$A,"OCTOBRE",'Données '!$O:$O,"LVAD")+COUNTIFS('Données '!$A:$A,"NOVEMBRE",'Données '!$O:$O,"LVAD")</f>
        <v>0</v>
      </c>
      <c r="E298" s="95">
        <f>D298/D282</f>
        <v>0</v>
      </c>
    </row>
    <row r="299" spans="1:6" ht="15.75" thickBot="1" x14ac:dyDescent="0.3">
      <c r="A299" s="72"/>
      <c r="B299" s="73"/>
      <c r="C299" s="73" t="s">
        <v>151</v>
      </c>
      <c r="D299" s="138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'!$O:$O,"HTX")+COUNTIFS('Données '!$A:$A,"SEPTEMBRE",'Données '!$O:$O,"HTX")+COUNTIFS('Données '!$A:$A,"OCTOBRE",'Données '!$O:$O,"HTX")+COUNTIFS('Données '!$A:$A,"NOVEMBRE",'Données '!$O:$O,"HTX")</f>
        <v>0</v>
      </c>
      <c r="E299" s="136">
        <f>D299/D282</f>
        <v>0</v>
      </c>
    </row>
    <row r="300" spans="1:6" x14ac:dyDescent="0.25">
      <c r="A300" s="39" t="s">
        <v>168</v>
      </c>
      <c r="B300" s="65"/>
      <c r="C300" s="82"/>
      <c r="D300" s="121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'!$Y:$Y,1)+COUNTIFS('Données '!$A:$A,"SEPTEMBRE",'Données '!$Y:$Y,1)+COUNTIFS('Données '!$A:$A,"OCTOBRE",'Données '!$Y:$Y,1)+COUNTIFS('Données '!$A:$A,"NOVEMBRE",'Données '!$Y:$Y,1)</f>
        <v>44</v>
      </c>
      <c r="E300" s="60"/>
    </row>
    <row r="301" spans="1:6" x14ac:dyDescent="0.25">
      <c r="A301" s="70" t="s">
        <v>305</v>
      </c>
      <c r="B301" s="71"/>
      <c r="C301" s="71"/>
      <c r="D301" s="120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'!$AN:$AN,"DECEASED")+COUNTIFS('Données '!$A:$A,"SEPTEMBRE",'Données '!$AN:$AN,"DECEASED")+COUNTIFS('Données '!$A:$A,"OCTOBRE",'Données '!$AN:$AN,"DECEASED")+COUNTIFS('Données '!$A:$A,"NOVEMBRE",'Données '!$AN:$AN,"DECEASED")</f>
        <v>0</v>
      </c>
      <c r="E301" s="77"/>
    </row>
    <row r="302" spans="1:6" x14ac:dyDescent="0.25">
      <c r="A302" s="66" t="s">
        <v>150</v>
      </c>
      <c r="B302" s="67"/>
      <c r="C302" s="67"/>
      <c r="D302" s="147" t="e">
        <f>AVERAGEIF('Données '!BP2:BP534,"&lt;&gt;(Inconnu)")</f>
        <v>#DIV/0!</v>
      </c>
      <c r="E302" s="78"/>
      <c r="F302" s="64" t="s">
        <v>268</v>
      </c>
    </row>
    <row r="303" spans="1:6" x14ac:dyDescent="0.25">
      <c r="A303" s="66" t="s">
        <v>167</v>
      </c>
      <c r="B303" s="67"/>
      <c r="C303" s="67"/>
      <c r="D303" s="147" t="e">
        <f>AVERAGEIF('Données '!BM2:BM534,"&lt;&gt;(Inconnu)")</f>
        <v>#DIV/0!</v>
      </c>
      <c r="E303" s="78"/>
      <c r="F303" s="64" t="s">
        <v>268</v>
      </c>
    </row>
    <row r="304" spans="1:6" s="64" customFormat="1" x14ac:dyDescent="0.25">
      <c r="A304" s="66" t="s">
        <v>286</v>
      </c>
      <c r="B304" s="67"/>
      <c r="C304" s="67"/>
      <c r="D304" s="131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'!$AB:$AB,1)+COUNTIFS('Données '!$A:$A,"SEPTEMBRE",'Données '!$AB:$AB,1)+COUNTIFS('Données '!$A:$A,"OCTOBRE",'Données '!$AB:$AB,1)+COUNTIFS('Données '!$A:$A,"NOVEMBRE",'Données '!$AB:$AB,1)</f>
        <v>0</v>
      </c>
      <c r="E304" s="77"/>
    </row>
    <row r="305" spans="1:6" x14ac:dyDescent="0.25">
      <c r="A305" s="66" t="s">
        <v>221</v>
      </c>
      <c r="B305" s="67"/>
      <c r="C305" s="67"/>
      <c r="D305" s="131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'!$AD:$AD,1)+COUNTIFS('Données '!$A:$A,"SEPTEMBRE",'Données '!$AD:$AD,1)+COUNTIFS('Données '!$A:$A,"OCTOBRE",'Données '!$AD:$AD,1)+COUNTIFS('Données '!$A:$A,"NOVEMBRE",'Données '!$AD:$AD,1)</f>
        <v>0</v>
      </c>
      <c r="E305" s="77"/>
      <c r="F305" s="64" t="s">
        <v>267</v>
      </c>
    </row>
    <row r="306" spans="1:6" x14ac:dyDescent="0.25">
      <c r="A306" s="40" t="s">
        <v>222</v>
      </c>
      <c r="B306" s="41"/>
      <c r="C306" s="41"/>
      <c r="D306" s="13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'!$O:$O,"&lt;&gt;HTX")+COUNTIFS('Données '!$A:$A,"SEPTEMBRE",'Données '!$AI:$AI,"&lt;&gt;0",'Données '!$O:$O,"&lt;&gt;LVAD",'Données '!$O:$O,"&lt;&gt;HTX")+COUNTIFS('Données '!$A:$A,"OCTOBRE",'Données '!$AI:$AI,"&lt;&gt;0",'Données '!$O:$O,"&lt;&gt;LVAD",'Données '!$O:$O,"&lt;&gt;HTX")+COUNTIFS('Données '!$A:$A,"NOVEMBRE",'Données '!$AI:$AI,"&lt;&gt;0",'Données '!$O:$O,"&lt;&gt;LVAD",'Données '!$O:$O,"&lt;&gt;HTX")</f>
        <v>13</v>
      </c>
      <c r="E306" s="77"/>
    </row>
    <row r="307" spans="1:6" ht="15.75" thickBot="1" x14ac:dyDescent="0.3">
      <c r="A307" s="74" t="s">
        <v>223</v>
      </c>
      <c r="B307" s="75"/>
      <c r="C307" s="75"/>
      <c r="D307" s="145"/>
      <c r="E307" s="42"/>
    </row>
    <row r="308" spans="1:6" x14ac:dyDescent="0.25">
      <c r="A308" s="69"/>
      <c r="B308" s="69"/>
      <c r="C308" s="69"/>
      <c r="D308" s="155"/>
      <c r="E308" s="144"/>
    </row>
    <row r="309" spans="1:6" x14ac:dyDescent="0.25">
      <c r="A309" s="69"/>
      <c r="B309" s="69"/>
      <c r="C309" s="69"/>
      <c r="D309" s="155"/>
      <c r="E309" s="144"/>
    </row>
    <row r="310" spans="1:6" x14ac:dyDescent="0.25">
      <c r="A310" s="69"/>
      <c r="B310" s="69"/>
      <c r="C310" s="69"/>
      <c r="D310" s="155"/>
      <c r="E310" s="144"/>
    </row>
    <row r="311" spans="1:6" ht="15.75" thickBot="1" x14ac:dyDescent="0.3"/>
    <row r="312" spans="1:6" ht="15.75" thickBot="1" x14ac:dyDescent="0.3">
      <c r="A312" s="352" t="s">
        <v>214</v>
      </c>
      <c r="B312" s="353"/>
      <c r="C312" s="354"/>
      <c r="D312" s="124" t="s">
        <v>144</v>
      </c>
      <c r="E312" s="81" t="s">
        <v>145</v>
      </c>
    </row>
    <row r="313" spans="1:6" x14ac:dyDescent="0.25">
      <c r="A313" s="85" t="s">
        <v>184</v>
      </c>
      <c r="B313" s="86"/>
      <c r="C313" s="92"/>
      <c r="D313" s="130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'!$A:$A,"AOUT")+COUNTIFS('Données '!$A:$A,"SEPTEMBRE")+COUNTIFS('Données '!$A:$A,"OCTOBRE")+COUNTIFS('Données '!$A:$A,"NOVEMBRE")+COUNTIFS('Données '!$A:$A,"DECEMBRE")</f>
        <v>289</v>
      </c>
      <c r="E313" s="76"/>
    </row>
    <row r="314" spans="1:6" x14ac:dyDescent="0.25">
      <c r="A314" s="61" t="s">
        <v>176</v>
      </c>
      <c r="B314" s="62"/>
      <c r="C314" s="62"/>
      <c r="D314" s="152"/>
      <c r="E314" s="63"/>
    </row>
    <row r="315" spans="1:6" ht="18.75" x14ac:dyDescent="0.3">
      <c r="A315" s="61" t="s">
        <v>220</v>
      </c>
      <c r="B315" s="62"/>
      <c r="C315" s="62"/>
      <c r="D315" s="165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'!$BW:$BW,"OUI")+COUNTIFS('Données '!$A:$A,"SEPTEMBRE",'Données '!$BW:$BW,"OUI")+COUNTIFS('Données '!$A:$A,"OCTOBRE",'Données '!$BW:$BW,"OUI")+COUNTIFS('Données '!$A:$A,"NOVEMBRE",'Données '!$BW:$BW,"OUI")+COUNTIFS('Données '!$A:$A,"DECEMBRE",'Données '!$BW:$BW,"OUI")</f>
        <v>0</v>
      </c>
      <c r="E315" s="129">
        <f>D315/D313</f>
        <v>0</v>
      </c>
      <c r="F315" s="203" t="s">
        <v>269</v>
      </c>
    </row>
    <row r="316" spans="1:6" ht="18.75" x14ac:dyDescent="0.3">
      <c r="A316" s="61" t="s">
        <v>203</v>
      </c>
      <c r="B316" s="62"/>
      <c r="C316" s="62"/>
      <c r="D316" s="153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'!$F:$F,1)+COUNTIFS('Données '!$A:$A,"SEPTEMBRE",'Données '!$F:$F,1)+COUNTIFS('Données '!$A:$A,"OCTOBRE",'Données '!$F:$F,1)+COUNTIFS('Données '!$A:$A,"NOVEMBRE",'Données '!$F:$F,1)+COUNTIFS('Données '!$A:$A,"DECEMBRE",'Données '!$F:$F,1)</f>
        <v>0</v>
      </c>
      <c r="E316" s="129">
        <f>D316/D313</f>
        <v>0</v>
      </c>
      <c r="F316" s="203" t="s">
        <v>269</v>
      </c>
    </row>
    <row r="317" spans="1:6" x14ac:dyDescent="0.25">
      <c r="A317" s="87" t="s">
        <v>146</v>
      </c>
      <c r="B317" s="88"/>
      <c r="C317" s="88"/>
      <c r="D317" s="120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'!$O:$O,"CABG")+COUNTIFS('Données '!$A:$A,"SEPTEMBRE",'Données '!$O:$O,"CABG")+COUNTIFS('Données '!$A:$A,"OCTOBRE",'Données '!$O:$O,"CABG")+COUNTIFS('Données '!$A:$A,"NOVEMBRE",'Données '!$O:$O,"CABG")+COUNTIFS('Données '!$A:$A,"DECEMBRE",'Données '!$O:$O,"CABG")</f>
        <v>0</v>
      </c>
      <c r="E317" s="77">
        <f>D317/D313</f>
        <v>0</v>
      </c>
    </row>
    <row r="318" spans="1:6" x14ac:dyDescent="0.25">
      <c r="A318" s="83" t="s">
        <v>147</v>
      </c>
      <c r="B318" s="84"/>
      <c r="C318" s="84"/>
      <c r="D318" s="125">
        <f>SUM(D319:D324)</f>
        <v>0</v>
      </c>
      <c r="E318" s="77">
        <f>D318/D313</f>
        <v>0</v>
      </c>
    </row>
    <row r="319" spans="1:6" x14ac:dyDescent="0.25">
      <c r="A319" s="68"/>
      <c r="B319" s="69"/>
      <c r="C319" s="69" t="s">
        <v>1</v>
      </c>
      <c r="D319" s="134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'!$R:$R,"AVR")+COUNTIFS('Données '!$A:$A,"SEPTEMBRE",'Données '!$R:$R,"AVR")+COUNTIFS('Données '!$A:$A,"OCTOBRE",'Données '!$R:$R,"AVR")+COUNTIFS('Données '!$A:$A,"NOVEMBRE",'Données '!$R:$R,"AVR")+COUNTIFS('Données '!$A:$A,"DECEMBRE",'Données '!$R:$R,"AVR")</f>
        <v>0</v>
      </c>
      <c r="E319" s="95" t="str">
        <f>IFERROR(D319/D318,"")</f>
        <v/>
      </c>
    </row>
    <row r="320" spans="1:6" x14ac:dyDescent="0.25">
      <c r="A320" s="68"/>
      <c r="B320" s="69"/>
      <c r="C320" s="69" t="s">
        <v>72</v>
      </c>
      <c r="D320" s="134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'!$R:$R,"TVR")+COUNTIFS('Données '!$A:$A,"SEPTEMBRE",'Données '!$R:$R,"TVR")+COUNTIFS('Données '!$A:$A,"OCTOBRE",'Données '!$R:$R,"TVR")+COUNTIFS('Données '!$A:$A,"NOVEMBRE",'Données '!$R:$R,"TVR")+COUNTIFS('Données '!$A:$A,"DECEMBRE",'Données '!$R:$R,"TVR")</f>
        <v>0</v>
      </c>
      <c r="E320" s="95" t="str">
        <f>IFERROR(D320/D318,"")</f>
        <v/>
      </c>
    </row>
    <row r="321" spans="1:6" x14ac:dyDescent="0.25">
      <c r="A321" s="68"/>
      <c r="B321" s="69"/>
      <c r="C321" s="69" t="s">
        <v>62</v>
      </c>
      <c r="D321" s="134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'!$R:$R,"TVP")+COUNTIFS('Données '!$A:$A,"SEPTEMBRE",'Données '!$R:$R,"TVP")+COUNTIFS('Données '!$A:$A,"OCTOBRE",'Données '!$R:$R,"TVP")+COUNTIFS('Données '!$A:$A,"NOVEMBRE",'Données '!$R:$R,"TVP")+COUNTIFS('Données '!$A:$A,"DECEMBRE",'Données '!$R:$R,"TVP")</f>
        <v>0</v>
      </c>
      <c r="E321" s="95" t="str">
        <f>IFERROR(D321/D318,"")</f>
        <v/>
      </c>
    </row>
    <row r="322" spans="1:6" x14ac:dyDescent="0.25">
      <c r="A322" s="68"/>
      <c r="B322" s="69"/>
      <c r="C322" s="69" t="s">
        <v>64</v>
      </c>
      <c r="D322" s="134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'!$R:$R,"MVR")+COUNTIFS('Données '!$A:$A,"SEPTEMBRE",'Données '!$R:$R,"MVR")+COUNTIFS('Données '!$A:$A,"OCTOBRE",'Données '!$R:$R,"MVR")+COUNTIFS('Données '!$A:$A,"NOVEMBRE",'Données '!$R:$R,"MVR")+COUNTIFS('Données '!$A:$A,"DECEMBRE",'Données '!$R:$R,"MVR")</f>
        <v>0</v>
      </c>
      <c r="E322" s="95" t="str">
        <f>IFERROR(D322/D318,"")</f>
        <v/>
      </c>
    </row>
    <row r="323" spans="1:6" x14ac:dyDescent="0.25">
      <c r="A323" s="68"/>
      <c r="B323" s="69"/>
      <c r="C323" s="69" t="s">
        <v>63</v>
      </c>
      <c r="D323" s="134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'!$R:$R,"MVP")+COUNTIFS('Données '!$A:$A,"SEPTEMBRE",'Données '!$R:$R,"MVP")+COUNTIFS('Données '!$A:$A,"OCTOBRE",'Données '!$R:$R,"MVP")+COUNTIFS('Données '!$A:$A,"NOVEMBRE",'Données '!$R:$R,"MVP")+COUNTIFS('Données '!$A:$A,"DECEMBRE",'Données '!$R:$R,"MVP")</f>
        <v>0</v>
      </c>
      <c r="E323" s="95" t="str">
        <f>IFERROR(D323/D318,"")</f>
        <v/>
      </c>
    </row>
    <row r="324" spans="1:6" x14ac:dyDescent="0.25">
      <c r="A324" s="70"/>
      <c r="B324" s="71"/>
      <c r="C324" s="71" t="s">
        <v>148</v>
      </c>
      <c r="D324" s="134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plus")+COUNTIFS('Données '!$A:$A,"SEPTEMBRE",'Données '!$R:$R,"2 V ou plus")+COUNTIFS('Données '!$A:$A,"OCTOBRE",'Données '!$R:$R,"2 V ou plus")+COUNTIFS('Données '!$A:$A,"NOVEMBRE",'Données '!$R:$R,"2 V ou plus")+COUNTIFS('Données '!$A:$A,"DECEMBRE",'Données '!$R:$R,"2 V ou plus")</f>
        <v>0</v>
      </c>
      <c r="E324" s="95" t="str">
        <f>IFERROR(D324/D318,"")</f>
        <v/>
      </c>
    </row>
    <row r="325" spans="1:6" x14ac:dyDescent="0.25">
      <c r="A325" s="87" t="s">
        <v>180</v>
      </c>
      <c r="B325" s="88"/>
      <c r="C325" s="93"/>
      <c r="D325" s="120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+*")+COUNTIFS('Données '!$A:$A,"SEPTEMBRE",'Données '!$O:$O,"CABG +*")+COUNTIFS('Données '!$A:$A,"OCTOBRE",'Données '!$O:$O,"CABG +*")+COUNTIFS('Données '!$A:$A,"NOVEMBRE",'Données '!$O:$O,"CABG +*")+COUNTIFS('Données '!$A:$A,"DECEMBRE",'Données '!$O:$O,"CABG +*")</f>
        <v>0</v>
      </c>
      <c r="E325" s="77">
        <f>D325/D313</f>
        <v>0</v>
      </c>
    </row>
    <row r="326" spans="1:6" x14ac:dyDescent="0.25">
      <c r="A326" s="87" t="s">
        <v>154</v>
      </c>
      <c r="B326" s="88"/>
      <c r="C326" s="93"/>
      <c r="D326" s="120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'!$O:$O,"Aorte")+COUNTIFS('Données '!$A:$A,"SEPTEMBRE",'Données '!$O:$O,"Aorte")+COUNTIFS('Données '!$A:$A,"OCTOBRE",'Données '!$O:$O,"Aorte")+COUNTIFS('Données '!$A:$A,"NOVEMBRE",'Données '!$O:$O,"Aorte")+COUNTIFS('Données '!$A:$A,"DECEMBRE",'Données '!$O:$O,"Aorte")</f>
        <v>0</v>
      </c>
      <c r="E326" s="77">
        <f>D326/D313</f>
        <v>0</v>
      </c>
    </row>
    <row r="327" spans="1:6" x14ac:dyDescent="0.25">
      <c r="A327" s="87" t="s">
        <v>181</v>
      </c>
      <c r="B327" s="88"/>
      <c r="C327" s="93"/>
      <c r="D327" s="120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'!$O:$O,"Autre")+COUNTIFS('Données '!$A:$A,"SEPTEMBRE",'Données '!$O:$O,"Autre")+COUNTIFS('Données '!$A:$A,"OCTOBRE",'Données '!$O:$O,"Autre")+COUNTIFS('Données '!$A:$A,"NOVEMBRE",'Données '!$O:$O,"Autre")+COUNTIFS('Données '!$A:$A,"DECEMBRE",'Données '!$O:$O,"Autre")</f>
        <v>0</v>
      </c>
      <c r="E327" s="77">
        <f>D327/D313</f>
        <v>0</v>
      </c>
    </row>
    <row r="328" spans="1:6" x14ac:dyDescent="0.25">
      <c r="A328" s="89" t="s">
        <v>152</v>
      </c>
      <c r="B328" s="90"/>
      <c r="C328" s="94"/>
      <c r="D328" s="125">
        <f>SUM(D329:D330)</f>
        <v>0</v>
      </c>
      <c r="E328" s="77">
        <f>D328/D313</f>
        <v>0</v>
      </c>
    </row>
    <row r="329" spans="1:6" x14ac:dyDescent="0.25">
      <c r="A329" s="68"/>
      <c r="B329" s="69"/>
      <c r="C329" s="69" t="s">
        <v>45</v>
      </c>
      <c r="D329" s="134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'!$O:$O,"LVAD")+COUNTIFS('Données '!$A:$A,"SEPTEMBRE",'Données '!$O:$O,"LVAD")+COUNTIFS('Données '!$A:$A,"OCTOBRE",'Données '!$O:$O,"LVAD")+COUNTIFS('Données '!$A:$A,"NOVEMBRE",'Données '!$O:$O,"LVAD")+COUNTIFS('Données '!$A:$A,"DECEMBRE",'Données '!$O:$O,"LVAD")</f>
        <v>0</v>
      </c>
      <c r="E329" s="95">
        <f>D329/D313</f>
        <v>0</v>
      </c>
    </row>
    <row r="330" spans="1:6" ht="15.75" thickBot="1" x14ac:dyDescent="0.3">
      <c r="A330" s="72"/>
      <c r="B330" s="73"/>
      <c r="C330" s="73" t="s">
        <v>151</v>
      </c>
      <c r="D330" s="138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'!$O:$O,"HTX")+COUNTIFS('Données '!$A:$A,"SEPTEMBRE",'Données '!$O:$O,"HTX")+COUNTIFS('Données '!$A:$A,"OCTOBRE",'Données '!$O:$O,"HTX")+COUNTIFS('Données '!$A:$A,"NOVEMBRE",'Données '!$O:$O,"HTX")+COUNTIFS('Données '!$A:$A,"DECEMBRE",'Données '!$O:$O,"HTX")</f>
        <v>0</v>
      </c>
      <c r="E330" s="136">
        <f>D330/D313</f>
        <v>0</v>
      </c>
    </row>
    <row r="331" spans="1:6" x14ac:dyDescent="0.25">
      <c r="A331" s="39" t="s">
        <v>168</v>
      </c>
      <c r="B331" s="65"/>
      <c r="C331" s="82"/>
      <c r="D331" s="121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'!$Y:$Y,1)+COUNTIFS('Données '!$A:$A,"SEPTEMBRE",'Données '!$Y:$Y,1)+COUNTIFS('Données '!$A:$A,"OCTOBRE",'Données '!$Y:$Y,1)+COUNTIFS('Données '!$A:$A,"NOVEMBRE",'Données '!$Y:$Y,1)+COUNTIFS('Données '!$A:$A,"DECEMBRE",'Données '!$Y:$Y,1)</f>
        <v>44</v>
      </c>
      <c r="E331" s="60"/>
    </row>
    <row r="332" spans="1:6" x14ac:dyDescent="0.25">
      <c r="A332" s="70" t="s">
        <v>305</v>
      </c>
      <c r="B332" s="71"/>
      <c r="C332" s="71"/>
      <c r="D332" s="120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'!$AN:$AN,"DECEASED")+COUNTIFS('Données '!$A:$A,"SEPTEMBRE",'Données '!$AN:$AN,"DECEASED")+COUNTIFS('Données '!$A:$A,"OCTOBRE",'Données '!$AN:$AN,"DECEASED")+COUNTIFS('Données '!$A:$A,"NOVEMBRE",'Données '!$AN:$AN,"DECEASED")+COUNTIFS('Données '!$A:$A,"DECMBRE",'Données '!$AN:$AN,"DECEASED")</f>
        <v>0</v>
      </c>
      <c r="E332" s="77"/>
    </row>
    <row r="333" spans="1:6" x14ac:dyDescent="0.25">
      <c r="A333" s="66" t="s">
        <v>150</v>
      </c>
      <c r="B333" s="67"/>
      <c r="C333" s="67"/>
      <c r="D333" s="147" t="e">
        <f>AVERAGEIF('Données '!BP2:BP565,"&lt;&gt;(Inconnu)")</f>
        <v>#DIV/0!</v>
      </c>
      <c r="E333" s="78"/>
      <c r="F333" s="64" t="s">
        <v>268</v>
      </c>
    </row>
    <row r="334" spans="1:6" x14ac:dyDescent="0.25">
      <c r="A334" s="66" t="s">
        <v>167</v>
      </c>
      <c r="B334" s="67"/>
      <c r="C334" s="67"/>
      <c r="D334" s="147" t="e">
        <f>AVERAGEIF('Données '!BM2:BM565,"&lt;&gt;(Inconnu)")</f>
        <v>#DIV/0!</v>
      </c>
      <c r="E334" s="78"/>
      <c r="F334" s="64" t="s">
        <v>268</v>
      </c>
    </row>
    <row r="335" spans="1:6" s="64" customFormat="1" x14ac:dyDescent="0.25">
      <c r="A335" s="66" t="s">
        <v>286</v>
      </c>
      <c r="B335" s="67"/>
      <c r="C335" s="67"/>
      <c r="D335" s="131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'!$AB:$AB,1)+COUNTIFS('Données '!$A:$A,"SEPTEMBRE",'Données '!$AB:$AB,1)+COUNTIFS('Données '!$A:$A,"OCTOBRE",'Données '!$AB:$AB,1)+COUNTIFS('Données '!$A:$A,"NOVEMBRE",'Données '!$AB:$AB,1)+COUNTIFS('Données '!$A:$A,"DECEMBRE",'Données '!$AB:$AB,1)</f>
        <v>0</v>
      </c>
      <c r="E335" s="77"/>
    </row>
    <row r="336" spans="1:6" x14ac:dyDescent="0.25">
      <c r="A336" s="66" t="s">
        <v>221</v>
      </c>
      <c r="B336" s="67"/>
      <c r="C336" s="67"/>
      <c r="D336" s="131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'!$AD:$AD,1)+COUNTIFS('Données '!$A:$A,"SEPTEMBRE",'Données '!$AD:$AD,1)+COUNTIFS('Données '!$A:$A,"OCTOBRE",'Données '!$AD:$AD,1)+COUNTIFS('Données '!$A:$A,"NOVEMBRE",'Données '!$AD:$AD,1)+COUNTIFS('Données '!$A:$A,"DECEMBRE",'Données '!$AD:$AD,1)</f>
        <v>0</v>
      </c>
      <c r="E336" s="77"/>
      <c r="F336" s="64" t="s">
        <v>267</v>
      </c>
    </row>
    <row r="337" spans="1:5" x14ac:dyDescent="0.25">
      <c r="A337" s="40" t="s">
        <v>222</v>
      </c>
      <c r="B337" s="41"/>
      <c r="C337" s="41"/>
      <c r="D337" s="131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'!$O:$O,"&lt;&gt;HTX")+COUNTIFS('Données '!$A:$A,"SEPTEMBRE",'Données '!$AI:$AI,"&lt;&gt;0",'Données '!$O:$O,"&lt;&gt;LVAD",'Données '!$O:$O,"&lt;&gt;HTX")+COUNTIFS('Données '!$A:$A,"OCTOBRE",'Données '!$AI:$AI,"&lt;&gt;0",'Données '!$O:$O,"&lt;&gt;LVAD",'Données '!$O:$O,"&lt;&gt;HTX")+COUNTIFS('Données '!$A:$A,"NOVEMBRE",'Données '!$AI:$AI,"&lt;&gt;0",'Données '!$O:$O,"&lt;&gt;LVAD",'Données '!$O:$O,"&lt;&gt;HTX")+COUNTIFS('Données '!$A:$A,"DECEMBRE",'Données '!$AI:$AI,"&lt;&gt;0",'Données '!$O:$O,"&lt;&gt;LVAD",'Données '!$O:$O,"&lt;&gt;HTX")</f>
        <v>13</v>
      </c>
      <c r="E337" s="77"/>
    </row>
    <row r="338" spans="1:5" ht="15.75" thickBot="1" x14ac:dyDescent="0.3">
      <c r="A338" s="74" t="s">
        <v>223</v>
      </c>
      <c r="B338" s="75"/>
      <c r="C338" s="75"/>
      <c r="D338" s="145"/>
      <c r="E338" s="42"/>
    </row>
  </sheetData>
  <mergeCells count="14">
    <mergeCell ref="A281:C281"/>
    <mergeCell ref="A250:C250"/>
    <mergeCell ref="A312:C312"/>
    <mergeCell ref="A1:E1"/>
    <mergeCell ref="A2:E2"/>
    <mergeCell ref="A3:E3"/>
    <mergeCell ref="A189:C189"/>
    <mergeCell ref="A220:C220"/>
    <mergeCell ref="A158:C158"/>
    <mergeCell ref="A127:C127"/>
    <mergeCell ref="A97:C97"/>
    <mergeCell ref="A67:C67"/>
    <mergeCell ref="A37:C37"/>
    <mergeCell ref="A7:C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79"/>
  <sheetViews>
    <sheetView workbookViewId="0">
      <pane ySplit="1" topLeftCell="A2" activePane="bottomLeft" state="frozen"/>
      <selection pane="bottomLeft" activeCell="D10" sqref="D10"/>
    </sheetView>
  </sheetViews>
  <sheetFormatPr baseColWidth="10" defaultColWidth="11.42578125" defaultRowHeight="11.25" x14ac:dyDescent="0.2"/>
  <cols>
    <col min="1" max="1" width="16.42578125" style="126" customWidth="1"/>
    <col min="2" max="2" width="15.5703125" style="126" customWidth="1"/>
    <col min="3" max="3" width="20.85546875" style="126" bestFit="1" customWidth="1"/>
    <col min="4" max="4" width="26.5703125" style="126" bestFit="1" customWidth="1"/>
    <col min="5" max="10" width="11.42578125" style="126"/>
    <col min="11" max="11" width="24.140625" style="126" customWidth="1"/>
    <col min="12" max="12" width="23" style="126" customWidth="1"/>
    <col min="13" max="13" width="15.28515625" style="126" bestFit="1" customWidth="1"/>
    <col min="14" max="14" width="13.28515625" style="126" bestFit="1" customWidth="1"/>
    <col min="15" max="16384" width="11.42578125" style="126"/>
  </cols>
  <sheetData>
    <row r="1" spans="1:15" x14ac:dyDescent="0.2">
      <c r="A1" s="127" t="s">
        <v>8</v>
      </c>
      <c r="B1" s="128" t="s">
        <v>193</v>
      </c>
      <c r="C1" s="128" t="s">
        <v>188</v>
      </c>
    </row>
    <row r="2" spans="1:15" ht="15" x14ac:dyDescent="0.25">
      <c r="A2"/>
      <c r="B2"/>
    </row>
    <row r="3" spans="1:15" x14ac:dyDescent="0.2">
      <c r="A3" s="127" t="s">
        <v>189</v>
      </c>
      <c r="B3" s="137" t="s">
        <v>186</v>
      </c>
      <c r="C3" s="126">
        <f>COUNTA(A:A)-2</f>
        <v>1</v>
      </c>
      <c r="D3" s="126" t="s">
        <v>187</v>
      </c>
    </row>
    <row r="4" spans="1:15" x14ac:dyDescent="0.2">
      <c r="A4" s="193" t="s">
        <v>190</v>
      </c>
      <c r="B4" s="194"/>
    </row>
    <row r="5" spans="1:15" x14ac:dyDescent="0.2">
      <c r="A5"/>
      <c r="B5"/>
    </row>
    <row r="6" spans="1:15" ht="26.25" x14ac:dyDescent="0.4">
      <c r="A6"/>
      <c r="B6"/>
      <c r="D6" s="142" t="s">
        <v>224</v>
      </c>
    </row>
    <row r="7" spans="1:15" ht="26.25" x14ac:dyDescent="0.4">
      <c r="A7"/>
      <c r="B7"/>
      <c r="D7" s="142"/>
    </row>
    <row r="8" spans="1:15" ht="26.25" x14ac:dyDescent="0.4">
      <c r="A8"/>
      <c r="B8"/>
      <c r="D8" s="142"/>
      <c r="K8" s="243" t="s">
        <v>326</v>
      </c>
      <c r="L8" s="243" t="s">
        <v>327</v>
      </c>
      <c r="M8" s="243" t="s">
        <v>325</v>
      </c>
      <c r="N8" s="243" t="s">
        <v>328</v>
      </c>
      <c r="O8" s="243"/>
    </row>
    <row r="9" spans="1:15" ht="15.75" x14ac:dyDescent="0.25">
      <c r="A9"/>
      <c r="B9"/>
      <c r="K9" s="243"/>
      <c r="L9" s="243"/>
      <c r="M9" s="243"/>
      <c r="N9" s="243"/>
      <c r="O9" s="243"/>
    </row>
    <row r="10" spans="1:15" ht="15.75" x14ac:dyDescent="0.25">
      <c r="A10"/>
      <c r="B10"/>
      <c r="K10" s="243"/>
      <c r="L10" s="243"/>
      <c r="M10" s="243"/>
      <c r="N10" s="243"/>
      <c r="O10" s="243"/>
    </row>
    <row r="11" spans="1:15" ht="15.75" x14ac:dyDescent="0.25">
      <c r="A11"/>
      <c r="B11"/>
      <c r="K11" s="243" t="s">
        <v>57</v>
      </c>
      <c r="L11" s="243" t="s">
        <v>299</v>
      </c>
      <c r="M11" s="243"/>
      <c r="N11" s="243" t="s">
        <v>57</v>
      </c>
      <c r="O11" s="243"/>
    </row>
    <row r="12" spans="1:15" ht="15.75" x14ac:dyDescent="0.25">
      <c r="A12"/>
      <c r="B12"/>
      <c r="K12" s="243" t="s">
        <v>65</v>
      </c>
      <c r="L12" s="243" t="s">
        <v>58</v>
      </c>
      <c r="M12" s="243"/>
      <c r="N12" s="243" t="s">
        <v>65</v>
      </c>
      <c r="O12" s="243"/>
    </row>
    <row r="13" spans="1:15" ht="15.75" x14ac:dyDescent="0.25">
      <c r="A13"/>
      <c r="B13"/>
      <c r="K13" s="243" t="s">
        <v>58</v>
      </c>
      <c r="L13" s="243" t="s">
        <v>58</v>
      </c>
      <c r="M13" s="243"/>
      <c r="N13" s="243"/>
      <c r="O13" s="243"/>
    </row>
    <row r="14" spans="1:15" ht="15.75" x14ac:dyDescent="0.25">
      <c r="A14"/>
      <c r="B14"/>
      <c r="K14" s="243" t="s">
        <v>0</v>
      </c>
      <c r="L14" s="243" t="s">
        <v>0</v>
      </c>
      <c r="M14" s="243"/>
      <c r="N14" s="243"/>
      <c r="O14" s="243"/>
    </row>
    <row r="15" spans="1:15" ht="15.75" x14ac:dyDescent="0.25">
      <c r="A15"/>
      <c r="B15"/>
      <c r="K15" s="243" t="s">
        <v>56</v>
      </c>
      <c r="L15" s="243" t="s">
        <v>299</v>
      </c>
      <c r="M15" s="243" t="s">
        <v>238</v>
      </c>
      <c r="N15" s="243"/>
      <c r="O15" s="243"/>
    </row>
    <row r="16" spans="1:15" ht="15.75" x14ac:dyDescent="0.25">
      <c r="A16"/>
      <c r="B16"/>
      <c r="K16" s="243" t="s">
        <v>304</v>
      </c>
      <c r="L16" s="243" t="s">
        <v>299</v>
      </c>
      <c r="M16" s="243" t="s">
        <v>238</v>
      </c>
      <c r="N16" s="243"/>
      <c r="O16" s="243"/>
    </row>
    <row r="17" spans="1:15" ht="15.75" x14ac:dyDescent="0.25">
      <c r="A17"/>
      <c r="B17"/>
      <c r="K17" s="243" t="s">
        <v>151</v>
      </c>
      <c r="L17" s="243" t="s">
        <v>151</v>
      </c>
      <c r="M17" s="243" t="s">
        <v>294</v>
      </c>
      <c r="N17" s="243"/>
      <c r="O17" s="243"/>
    </row>
    <row r="18" spans="1:15" ht="15.75" x14ac:dyDescent="0.25">
      <c r="A18"/>
      <c r="B18"/>
      <c r="K18" s="243" t="s">
        <v>45</v>
      </c>
      <c r="L18" s="243" t="s">
        <v>45</v>
      </c>
      <c r="M18" s="243" t="s">
        <v>294</v>
      </c>
      <c r="N18" s="243"/>
      <c r="O18" s="243"/>
    </row>
    <row r="19" spans="1:15" ht="15.75" x14ac:dyDescent="0.25">
      <c r="A19"/>
      <c r="B19"/>
      <c r="K19" s="246" t="s">
        <v>3</v>
      </c>
      <c r="L19" s="242" t="s">
        <v>293</v>
      </c>
      <c r="M19" s="247" t="s">
        <v>63</v>
      </c>
      <c r="N19" s="247" t="s">
        <v>63</v>
      </c>
      <c r="O19" s="243"/>
    </row>
    <row r="20" spans="1:15" ht="12.75" x14ac:dyDescent="0.2">
      <c r="A20"/>
      <c r="B20"/>
      <c r="K20" s="2"/>
      <c r="M20" s="2"/>
      <c r="N20" s="2"/>
      <c r="O20" s="244"/>
    </row>
    <row r="21" spans="1:15" ht="12.75" x14ac:dyDescent="0.2">
      <c r="A21"/>
      <c r="B21"/>
      <c r="K21" s="245"/>
      <c r="L21" s="137"/>
      <c r="M21" s="2"/>
      <c r="N21" s="2"/>
      <c r="O21" s="244"/>
    </row>
    <row r="22" spans="1:15" x14ac:dyDescent="0.2">
      <c r="A22"/>
      <c r="B22"/>
      <c r="O22" s="244"/>
    </row>
    <row r="23" spans="1:15" x14ac:dyDescent="0.2">
      <c r="A23"/>
      <c r="B23"/>
    </row>
    <row r="24" spans="1:15" x14ac:dyDescent="0.2">
      <c r="A24"/>
      <c r="B24"/>
    </row>
    <row r="25" spans="1:15" x14ac:dyDescent="0.2">
      <c r="A25"/>
      <c r="B25"/>
    </row>
    <row r="26" spans="1:15" x14ac:dyDescent="0.2">
      <c r="A26"/>
      <c r="B26"/>
    </row>
    <row r="27" spans="1:15" x14ac:dyDescent="0.2">
      <c r="A27"/>
      <c r="B27"/>
    </row>
    <row r="28" spans="1:15" x14ac:dyDescent="0.2">
      <c r="A28"/>
      <c r="B28"/>
    </row>
    <row r="29" spans="1:15" x14ac:dyDescent="0.2">
      <c r="A29"/>
      <c r="B29"/>
    </row>
    <row r="30" spans="1:15" x14ac:dyDescent="0.2">
      <c r="A30"/>
      <c r="B30"/>
    </row>
    <row r="31" spans="1:15" x14ac:dyDescent="0.2">
      <c r="A31"/>
      <c r="B31"/>
    </row>
    <row r="32" spans="1:15" x14ac:dyDescent="0.2">
      <c r="A32"/>
      <c r="B32"/>
    </row>
    <row r="33" spans="1:2" x14ac:dyDescent="0.2">
      <c r="A33"/>
      <c r="B33"/>
    </row>
    <row r="34" spans="1:2" x14ac:dyDescent="0.2">
      <c r="A34"/>
      <c r="B34"/>
    </row>
    <row r="35" spans="1:2" x14ac:dyDescent="0.2">
      <c r="A35"/>
      <c r="B35"/>
    </row>
    <row r="36" spans="1:2" x14ac:dyDescent="0.2">
      <c r="A36"/>
      <c r="B36"/>
    </row>
    <row r="37" spans="1:2" x14ac:dyDescent="0.2">
      <c r="A37"/>
      <c r="B37"/>
    </row>
    <row r="38" spans="1:2" x14ac:dyDescent="0.2">
      <c r="A38"/>
      <c r="B38"/>
    </row>
    <row r="39" spans="1:2" x14ac:dyDescent="0.2">
      <c r="A39"/>
      <c r="B39"/>
    </row>
    <row r="40" spans="1:2" x14ac:dyDescent="0.2">
      <c r="A40"/>
      <c r="B40"/>
    </row>
    <row r="41" spans="1:2" x14ac:dyDescent="0.2">
      <c r="A41"/>
      <c r="B41"/>
    </row>
    <row r="42" spans="1:2" x14ac:dyDescent="0.2">
      <c r="A42"/>
      <c r="B42"/>
    </row>
    <row r="43" spans="1:2" x14ac:dyDescent="0.2">
      <c r="A43"/>
      <c r="B43"/>
    </row>
    <row r="44" spans="1:2" x14ac:dyDescent="0.2">
      <c r="A44"/>
      <c r="B44"/>
    </row>
    <row r="45" spans="1:2" x14ac:dyDescent="0.2">
      <c r="A45"/>
      <c r="B45"/>
    </row>
    <row r="46" spans="1:2" x14ac:dyDescent="0.2">
      <c r="A46"/>
      <c r="B46"/>
    </row>
    <row r="47" spans="1:2" ht="15" x14ac:dyDescent="0.25">
      <c r="A47"/>
      <c r="B47"/>
    </row>
    <row r="48" spans="1:2" ht="15" x14ac:dyDescent="0.25">
      <c r="A48"/>
      <c r="B48"/>
    </row>
    <row r="49" spans="1:2" ht="15" x14ac:dyDescent="0.25">
      <c r="A49"/>
      <c r="B49"/>
    </row>
    <row r="50" spans="1:2" ht="15" x14ac:dyDescent="0.25">
      <c r="A50"/>
      <c r="B50"/>
    </row>
    <row r="51" spans="1:2" ht="15" x14ac:dyDescent="0.25">
      <c r="A51"/>
      <c r="B51"/>
    </row>
    <row r="52" spans="1:2" ht="15" x14ac:dyDescent="0.25">
      <c r="A52"/>
      <c r="B52"/>
    </row>
    <row r="53" spans="1:2" ht="15" x14ac:dyDescent="0.25">
      <c r="A53"/>
      <c r="B53"/>
    </row>
    <row r="54" spans="1:2" ht="15" x14ac:dyDescent="0.25">
      <c r="A54"/>
      <c r="B54"/>
    </row>
    <row r="55" spans="1:2" ht="15" x14ac:dyDescent="0.25">
      <c r="A55"/>
      <c r="B55"/>
    </row>
    <row r="56" spans="1:2" ht="15" x14ac:dyDescent="0.25">
      <c r="A56"/>
      <c r="B56"/>
    </row>
    <row r="57" spans="1:2" ht="15" x14ac:dyDescent="0.25">
      <c r="A57"/>
      <c r="B57"/>
    </row>
    <row r="58" spans="1:2" ht="15" x14ac:dyDescent="0.25">
      <c r="A58"/>
      <c r="B58"/>
    </row>
    <row r="59" spans="1:2" ht="15" x14ac:dyDescent="0.25">
      <c r="A59"/>
      <c r="B59"/>
    </row>
    <row r="60" spans="1:2" ht="15" x14ac:dyDescent="0.25">
      <c r="A60"/>
      <c r="B60"/>
    </row>
    <row r="61" spans="1:2" ht="15" x14ac:dyDescent="0.25">
      <c r="A61"/>
      <c r="B61"/>
    </row>
    <row r="62" spans="1:2" ht="15" x14ac:dyDescent="0.25">
      <c r="A62"/>
      <c r="B62"/>
    </row>
    <row r="63" spans="1:2" ht="15" x14ac:dyDescent="0.25">
      <c r="A63"/>
      <c r="B63"/>
    </row>
    <row r="64" spans="1:2" ht="15" x14ac:dyDescent="0.25">
      <c r="A64"/>
      <c r="B64"/>
    </row>
    <row r="65" spans="1:2" ht="15" x14ac:dyDescent="0.25">
      <c r="A65"/>
      <c r="B65"/>
    </row>
    <row r="66" spans="1:2" ht="15" x14ac:dyDescent="0.25">
      <c r="A66"/>
      <c r="B66"/>
    </row>
    <row r="67" spans="1:2" ht="15" x14ac:dyDescent="0.25">
      <c r="A67"/>
      <c r="B67"/>
    </row>
    <row r="68" spans="1:2" ht="15" x14ac:dyDescent="0.25">
      <c r="A68"/>
      <c r="B68"/>
    </row>
    <row r="69" spans="1:2" ht="15" x14ac:dyDescent="0.25">
      <c r="A69"/>
      <c r="B69"/>
    </row>
    <row r="70" spans="1:2" ht="15" x14ac:dyDescent="0.25">
      <c r="A70"/>
      <c r="B70"/>
    </row>
    <row r="71" spans="1:2" ht="15" x14ac:dyDescent="0.25">
      <c r="A71"/>
      <c r="B71"/>
    </row>
    <row r="72" spans="1:2" ht="15" x14ac:dyDescent="0.25">
      <c r="A72"/>
      <c r="B72"/>
    </row>
    <row r="73" spans="1:2" ht="15" x14ac:dyDescent="0.25">
      <c r="A73"/>
      <c r="B73"/>
    </row>
    <row r="74" spans="1:2" ht="15" x14ac:dyDescent="0.25">
      <c r="A74"/>
      <c r="B74"/>
    </row>
    <row r="75" spans="1:2" ht="15" x14ac:dyDescent="0.25">
      <c r="A75"/>
      <c r="B75"/>
    </row>
    <row r="76" spans="1:2" ht="15" x14ac:dyDescent="0.25">
      <c r="A76"/>
      <c r="B76"/>
    </row>
    <row r="77" spans="1:2" ht="15" x14ac:dyDescent="0.25">
      <c r="A77"/>
      <c r="B77"/>
    </row>
    <row r="78" spans="1:2" ht="15" x14ac:dyDescent="0.25">
      <c r="A78"/>
      <c r="B78"/>
    </row>
    <row r="79" spans="1:2" ht="15" x14ac:dyDescent="0.25">
      <c r="A79"/>
      <c r="B79"/>
    </row>
    <row r="80" spans="1:2" ht="15" x14ac:dyDescent="0.25">
      <c r="A80"/>
      <c r="B80"/>
    </row>
    <row r="81" spans="1:2" ht="15" x14ac:dyDescent="0.25">
      <c r="A81"/>
      <c r="B81"/>
    </row>
    <row r="82" spans="1:2" ht="15" x14ac:dyDescent="0.25">
      <c r="A82"/>
      <c r="B82"/>
    </row>
    <row r="83" spans="1:2" ht="15" x14ac:dyDescent="0.25">
      <c r="A83"/>
      <c r="B83"/>
    </row>
    <row r="84" spans="1:2" ht="15" x14ac:dyDescent="0.25">
      <c r="A84"/>
      <c r="B84"/>
    </row>
    <row r="85" spans="1:2" ht="15" x14ac:dyDescent="0.25">
      <c r="A85"/>
      <c r="B85"/>
    </row>
    <row r="86" spans="1:2" ht="15" x14ac:dyDescent="0.25">
      <c r="A86"/>
      <c r="B86"/>
    </row>
    <row r="87" spans="1:2" ht="15" x14ac:dyDescent="0.25">
      <c r="A87"/>
      <c r="B87"/>
    </row>
    <row r="88" spans="1:2" ht="15" x14ac:dyDescent="0.25">
      <c r="A88"/>
      <c r="B88"/>
    </row>
    <row r="89" spans="1:2" ht="15" x14ac:dyDescent="0.25">
      <c r="A89"/>
      <c r="B89"/>
    </row>
    <row r="90" spans="1:2" ht="15" x14ac:dyDescent="0.25">
      <c r="A90"/>
      <c r="B90"/>
    </row>
    <row r="91" spans="1:2" ht="15" x14ac:dyDescent="0.25">
      <c r="A91"/>
      <c r="B91"/>
    </row>
    <row r="92" spans="1:2" ht="15" x14ac:dyDescent="0.25">
      <c r="A92"/>
      <c r="B92"/>
    </row>
    <row r="93" spans="1:2" ht="15" x14ac:dyDescent="0.25">
      <c r="A93"/>
      <c r="B93"/>
    </row>
    <row r="94" spans="1:2" ht="15" x14ac:dyDescent="0.25">
      <c r="A94"/>
      <c r="B94"/>
    </row>
    <row r="95" spans="1:2" ht="15" x14ac:dyDescent="0.25">
      <c r="A95"/>
      <c r="B95"/>
    </row>
    <row r="96" spans="1:2" ht="15" x14ac:dyDescent="0.25">
      <c r="A96"/>
      <c r="B96"/>
    </row>
    <row r="97" spans="1:2" ht="15" x14ac:dyDescent="0.25">
      <c r="A97"/>
      <c r="B97"/>
    </row>
    <row r="98" spans="1:2" ht="15" x14ac:dyDescent="0.25">
      <c r="A98"/>
      <c r="B98"/>
    </row>
    <row r="99" spans="1:2" ht="15" x14ac:dyDescent="0.25">
      <c r="A99"/>
      <c r="B99"/>
    </row>
    <row r="100" spans="1:2" ht="15" x14ac:dyDescent="0.25">
      <c r="A100"/>
      <c r="B100"/>
    </row>
    <row r="101" spans="1:2" ht="15" x14ac:dyDescent="0.25">
      <c r="A101"/>
      <c r="B101"/>
    </row>
    <row r="102" spans="1:2" ht="15" x14ac:dyDescent="0.25">
      <c r="A102"/>
      <c r="B102"/>
    </row>
    <row r="103" spans="1:2" ht="15" x14ac:dyDescent="0.25">
      <c r="A103"/>
      <c r="B103"/>
    </row>
    <row r="104" spans="1:2" ht="15" x14ac:dyDescent="0.25">
      <c r="A104"/>
      <c r="B104"/>
    </row>
    <row r="105" spans="1:2" ht="15" x14ac:dyDescent="0.25">
      <c r="A105"/>
      <c r="B105"/>
    </row>
    <row r="106" spans="1:2" ht="15" x14ac:dyDescent="0.25">
      <c r="A106"/>
      <c r="B106"/>
    </row>
    <row r="107" spans="1:2" ht="15" x14ac:dyDescent="0.25">
      <c r="A107"/>
      <c r="B107"/>
    </row>
    <row r="108" spans="1:2" ht="15" x14ac:dyDescent="0.25">
      <c r="A108"/>
      <c r="B108"/>
    </row>
    <row r="109" spans="1:2" ht="15" x14ac:dyDescent="0.25">
      <c r="A109"/>
      <c r="B109"/>
    </row>
    <row r="110" spans="1:2" ht="15" x14ac:dyDescent="0.25">
      <c r="A110"/>
      <c r="B110"/>
    </row>
    <row r="111" spans="1:2" ht="15" x14ac:dyDescent="0.25">
      <c r="A111"/>
      <c r="B111"/>
    </row>
    <row r="112" spans="1:2" ht="15" x14ac:dyDescent="0.25">
      <c r="A112"/>
      <c r="B112"/>
    </row>
    <row r="113" spans="1:2" ht="15" x14ac:dyDescent="0.25">
      <c r="A113"/>
      <c r="B113"/>
    </row>
    <row r="114" spans="1:2" ht="15" x14ac:dyDescent="0.25">
      <c r="A114"/>
      <c r="B114"/>
    </row>
    <row r="115" spans="1:2" ht="15" x14ac:dyDescent="0.25">
      <c r="A115"/>
      <c r="B115"/>
    </row>
    <row r="116" spans="1:2" ht="15" x14ac:dyDescent="0.25">
      <c r="A116"/>
      <c r="B116"/>
    </row>
    <row r="117" spans="1:2" ht="15" x14ac:dyDescent="0.25">
      <c r="A117"/>
      <c r="B117"/>
    </row>
    <row r="118" spans="1:2" ht="15" x14ac:dyDescent="0.25">
      <c r="A118"/>
      <c r="B118"/>
    </row>
    <row r="119" spans="1:2" ht="15" x14ac:dyDescent="0.25">
      <c r="A119"/>
      <c r="B119"/>
    </row>
    <row r="120" spans="1:2" ht="15" x14ac:dyDescent="0.25">
      <c r="A120"/>
      <c r="B120"/>
    </row>
    <row r="121" spans="1:2" ht="15" x14ac:dyDescent="0.25">
      <c r="A121"/>
      <c r="B121"/>
    </row>
    <row r="122" spans="1:2" ht="15" x14ac:dyDescent="0.25">
      <c r="A122"/>
      <c r="B122"/>
    </row>
    <row r="123" spans="1:2" ht="15" x14ac:dyDescent="0.25">
      <c r="A123"/>
      <c r="B123"/>
    </row>
    <row r="124" spans="1:2" ht="15" x14ac:dyDescent="0.25">
      <c r="A124"/>
      <c r="B124"/>
    </row>
    <row r="125" spans="1:2" ht="15" x14ac:dyDescent="0.25">
      <c r="A125"/>
      <c r="B125"/>
    </row>
    <row r="126" spans="1:2" ht="15" x14ac:dyDescent="0.25">
      <c r="A126"/>
      <c r="B126"/>
    </row>
    <row r="127" spans="1:2" ht="15" x14ac:dyDescent="0.25">
      <c r="A127"/>
      <c r="B127"/>
    </row>
    <row r="128" spans="1:2" ht="15" x14ac:dyDescent="0.25">
      <c r="A128"/>
      <c r="B128"/>
    </row>
    <row r="129" spans="1:2" ht="15" x14ac:dyDescent="0.25">
      <c r="A129"/>
      <c r="B129"/>
    </row>
    <row r="130" spans="1:2" ht="15" x14ac:dyDescent="0.25">
      <c r="A130"/>
      <c r="B130"/>
    </row>
    <row r="131" spans="1:2" ht="15" x14ac:dyDescent="0.25">
      <c r="A131"/>
      <c r="B131"/>
    </row>
    <row r="132" spans="1:2" ht="15" x14ac:dyDescent="0.25">
      <c r="A132"/>
      <c r="B132"/>
    </row>
    <row r="133" spans="1:2" ht="15" x14ac:dyDescent="0.25">
      <c r="A133"/>
      <c r="B133"/>
    </row>
    <row r="134" spans="1:2" ht="15" x14ac:dyDescent="0.25">
      <c r="A134"/>
      <c r="B134"/>
    </row>
    <row r="135" spans="1:2" ht="15" x14ac:dyDescent="0.25">
      <c r="A135"/>
      <c r="B135"/>
    </row>
    <row r="136" spans="1:2" ht="15" x14ac:dyDescent="0.25">
      <c r="A136"/>
      <c r="B136"/>
    </row>
    <row r="137" spans="1:2" ht="15" x14ac:dyDescent="0.25">
      <c r="A137"/>
      <c r="B137"/>
    </row>
    <row r="138" spans="1:2" ht="15" x14ac:dyDescent="0.25">
      <c r="A138"/>
      <c r="B138"/>
    </row>
    <row r="139" spans="1:2" ht="15" x14ac:dyDescent="0.25">
      <c r="A139"/>
      <c r="B139"/>
    </row>
    <row r="140" spans="1:2" ht="15" x14ac:dyDescent="0.25">
      <c r="A140"/>
      <c r="B140"/>
    </row>
    <row r="141" spans="1:2" ht="15" x14ac:dyDescent="0.25">
      <c r="A141"/>
      <c r="B141"/>
    </row>
    <row r="142" spans="1:2" ht="15" x14ac:dyDescent="0.25">
      <c r="A142"/>
      <c r="B142"/>
    </row>
    <row r="143" spans="1:2" ht="15" x14ac:dyDescent="0.25">
      <c r="A143"/>
      <c r="B143"/>
    </row>
    <row r="144" spans="1:2" ht="15" x14ac:dyDescent="0.25">
      <c r="A144"/>
      <c r="B144"/>
    </row>
    <row r="145" spans="1:2" ht="15" x14ac:dyDescent="0.25">
      <c r="A145"/>
      <c r="B145"/>
    </row>
    <row r="146" spans="1:2" ht="15" x14ac:dyDescent="0.25">
      <c r="A146"/>
      <c r="B146"/>
    </row>
    <row r="147" spans="1:2" ht="15" x14ac:dyDescent="0.25">
      <c r="A147"/>
      <c r="B147"/>
    </row>
    <row r="148" spans="1:2" ht="15" x14ac:dyDescent="0.25">
      <c r="A148"/>
      <c r="B148"/>
    </row>
    <row r="149" spans="1:2" ht="15" x14ac:dyDescent="0.25">
      <c r="A149"/>
      <c r="B149"/>
    </row>
    <row r="150" spans="1:2" ht="15" x14ac:dyDescent="0.25">
      <c r="A150"/>
      <c r="B150"/>
    </row>
    <row r="151" spans="1:2" ht="15" x14ac:dyDescent="0.25">
      <c r="A151"/>
      <c r="B151"/>
    </row>
    <row r="152" spans="1:2" ht="15" x14ac:dyDescent="0.25">
      <c r="A152"/>
      <c r="B152"/>
    </row>
    <row r="153" spans="1:2" ht="15" x14ac:dyDescent="0.25">
      <c r="A153"/>
      <c r="B153"/>
    </row>
    <row r="154" spans="1:2" ht="15" x14ac:dyDescent="0.25">
      <c r="A154"/>
      <c r="B154"/>
    </row>
    <row r="155" spans="1:2" ht="15" x14ac:dyDescent="0.25">
      <c r="A155"/>
      <c r="B155"/>
    </row>
    <row r="156" spans="1:2" ht="15" x14ac:dyDescent="0.25">
      <c r="A156"/>
      <c r="B156"/>
    </row>
    <row r="157" spans="1:2" ht="15" x14ac:dyDescent="0.25">
      <c r="A157"/>
      <c r="B157"/>
    </row>
    <row r="158" spans="1:2" ht="15" x14ac:dyDescent="0.25">
      <c r="A158"/>
      <c r="B158"/>
    </row>
    <row r="159" spans="1:2" ht="15" x14ac:dyDescent="0.25">
      <c r="A159"/>
      <c r="B159"/>
    </row>
    <row r="160" spans="1:2" ht="15" x14ac:dyDescent="0.25">
      <c r="A160"/>
      <c r="B160"/>
    </row>
    <row r="161" spans="1:2" ht="15" x14ac:dyDescent="0.25">
      <c r="A161"/>
      <c r="B161"/>
    </row>
    <row r="162" spans="1:2" ht="15" x14ac:dyDescent="0.25">
      <c r="A162"/>
      <c r="B162"/>
    </row>
    <row r="163" spans="1:2" ht="15" x14ac:dyDescent="0.25">
      <c r="A163"/>
      <c r="B163"/>
    </row>
    <row r="164" spans="1:2" ht="15" x14ac:dyDescent="0.25">
      <c r="A164"/>
      <c r="B164"/>
    </row>
    <row r="165" spans="1:2" ht="15" x14ac:dyDescent="0.25">
      <c r="A165"/>
      <c r="B165"/>
    </row>
    <row r="166" spans="1:2" ht="15" x14ac:dyDescent="0.25">
      <c r="A166"/>
      <c r="B166"/>
    </row>
    <row r="167" spans="1:2" ht="15" x14ac:dyDescent="0.25">
      <c r="A167"/>
      <c r="B167"/>
    </row>
    <row r="168" spans="1:2" ht="15" x14ac:dyDescent="0.25">
      <c r="A168"/>
      <c r="B168"/>
    </row>
    <row r="169" spans="1:2" ht="15" x14ac:dyDescent="0.25">
      <c r="A169"/>
      <c r="B169"/>
    </row>
    <row r="170" spans="1:2" ht="15" x14ac:dyDescent="0.25">
      <c r="A170"/>
      <c r="B170"/>
    </row>
    <row r="171" spans="1:2" ht="15" x14ac:dyDescent="0.25">
      <c r="A171"/>
      <c r="B171"/>
    </row>
    <row r="172" spans="1:2" ht="15" x14ac:dyDescent="0.25">
      <c r="A172"/>
      <c r="B172"/>
    </row>
    <row r="173" spans="1:2" ht="15" x14ac:dyDescent="0.25">
      <c r="A173"/>
      <c r="B173"/>
    </row>
    <row r="174" spans="1:2" ht="15" x14ac:dyDescent="0.25">
      <c r="A174"/>
      <c r="B174"/>
    </row>
    <row r="175" spans="1:2" ht="15" x14ac:dyDescent="0.25">
      <c r="A175"/>
      <c r="B175"/>
    </row>
    <row r="176" spans="1:2" ht="15" x14ac:dyDescent="0.25">
      <c r="A176"/>
      <c r="B176"/>
    </row>
    <row r="177" spans="1:2" ht="15" x14ac:dyDescent="0.25">
      <c r="A177"/>
      <c r="B177"/>
    </row>
    <row r="178" spans="1:2" ht="15" x14ac:dyDescent="0.25">
      <c r="A178"/>
      <c r="B178"/>
    </row>
    <row r="179" spans="1:2" ht="15" x14ac:dyDescent="0.25">
      <c r="A179"/>
      <c r="B179"/>
    </row>
    <row r="180" spans="1:2" ht="15" x14ac:dyDescent="0.25">
      <c r="A180"/>
      <c r="B180"/>
    </row>
    <row r="181" spans="1:2" ht="15" x14ac:dyDescent="0.25">
      <c r="A181"/>
      <c r="B181"/>
    </row>
    <row r="182" spans="1:2" ht="15" x14ac:dyDescent="0.25">
      <c r="A182"/>
      <c r="B182"/>
    </row>
    <row r="183" spans="1:2" ht="15" x14ac:dyDescent="0.25">
      <c r="A183"/>
      <c r="B183"/>
    </row>
    <row r="184" spans="1:2" ht="15" x14ac:dyDescent="0.25">
      <c r="A184"/>
      <c r="B184"/>
    </row>
    <row r="185" spans="1:2" ht="15" x14ac:dyDescent="0.25">
      <c r="A185"/>
      <c r="B185"/>
    </row>
    <row r="186" spans="1:2" ht="15" x14ac:dyDescent="0.25">
      <c r="A186"/>
      <c r="B186"/>
    </row>
    <row r="187" spans="1:2" ht="15" x14ac:dyDescent="0.25">
      <c r="A187"/>
      <c r="B187"/>
    </row>
    <row r="188" spans="1:2" ht="15" x14ac:dyDescent="0.25">
      <c r="A188"/>
      <c r="B188"/>
    </row>
    <row r="189" spans="1:2" ht="15" x14ac:dyDescent="0.25">
      <c r="A189"/>
      <c r="B189"/>
    </row>
    <row r="190" spans="1:2" ht="15" x14ac:dyDescent="0.25">
      <c r="A190"/>
      <c r="B190"/>
    </row>
    <row r="191" spans="1:2" ht="15" x14ac:dyDescent="0.25">
      <c r="A191"/>
      <c r="B191"/>
    </row>
    <row r="192" spans="1:2" ht="15" x14ac:dyDescent="0.25">
      <c r="A192"/>
      <c r="B192"/>
    </row>
    <row r="193" spans="1:2" ht="15" x14ac:dyDescent="0.25">
      <c r="A193"/>
      <c r="B193"/>
    </row>
    <row r="194" spans="1:2" ht="15" x14ac:dyDescent="0.25">
      <c r="A194"/>
      <c r="B194"/>
    </row>
    <row r="195" spans="1:2" ht="15" x14ac:dyDescent="0.25">
      <c r="A195"/>
      <c r="B195"/>
    </row>
    <row r="196" spans="1:2" ht="15" x14ac:dyDescent="0.25">
      <c r="A196"/>
      <c r="B196"/>
    </row>
    <row r="197" spans="1:2" ht="15" x14ac:dyDescent="0.25">
      <c r="A197"/>
      <c r="B197"/>
    </row>
    <row r="198" spans="1:2" ht="15" x14ac:dyDescent="0.25">
      <c r="A198"/>
      <c r="B198"/>
    </row>
    <row r="199" spans="1:2" ht="15" x14ac:dyDescent="0.25">
      <c r="A199"/>
      <c r="B199"/>
    </row>
    <row r="200" spans="1:2" ht="15" x14ac:dyDescent="0.25">
      <c r="A200"/>
      <c r="B200"/>
    </row>
    <row r="201" spans="1:2" ht="15" x14ac:dyDescent="0.25">
      <c r="A201"/>
      <c r="B201"/>
    </row>
    <row r="202" spans="1:2" ht="15" x14ac:dyDescent="0.25">
      <c r="A202"/>
      <c r="B202"/>
    </row>
    <row r="203" spans="1:2" ht="15" x14ac:dyDescent="0.25">
      <c r="A203"/>
      <c r="B203"/>
    </row>
    <row r="204" spans="1:2" ht="15" x14ac:dyDescent="0.25">
      <c r="A204"/>
      <c r="B204"/>
    </row>
    <row r="205" spans="1:2" ht="15" x14ac:dyDescent="0.25">
      <c r="A205"/>
      <c r="B205"/>
    </row>
    <row r="206" spans="1:2" ht="15" x14ac:dyDescent="0.25">
      <c r="A206"/>
      <c r="B206"/>
    </row>
    <row r="207" spans="1:2" ht="15" x14ac:dyDescent="0.25">
      <c r="A207"/>
      <c r="B207"/>
    </row>
    <row r="208" spans="1:2" ht="15" x14ac:dyDescent="0.25">
      <c r="A208"/>
      <c r="B208"/>
    </row>
    <row r="209" spans="1:2" ht="15" x14ac:dyDescent="0.25">
      <c r="A209"/>
      <c r="B209"/>
    </row>
    <row r="210" spans="1:2" ht="15" x14ac:dyDescent="0.25">
      <c r="A210"/>
      <c r="B210"/>
    </row>
    <row r="211" spans="1:2" ht="15" x14ac:dyDescent="0.25">
      <c r="A211"/>
      <c r="B211"/>
    </row>
    <row r="212" spans="1:2" ht="15" x14ac:dyDescent="0.25">
      <c r="A212"/>
      <c r="B212"/>
    </row>
    <row r="213" spans="1:2" ht="15" x14ac:dyDescent="0.25">
      <c r="A213"/>
      <c r="B213"/>
    </row>
    <row r="214" spans="1:2" ht="15" x14ac:dyDescent="0.25">
      <c r="A214"/>
      <c r="B214"/>
    </row>
    <row r="215" spans="1:2" ht="15" x14ac:dyDescent="0.25">
      <c r="A215"/>
      <c r="B215"/>
    </row>
    <row r="216" spans="1:2" ht="15" x14ac:dyDescent="0.25">
      <c r="A216"/>
      <c r="B216"/>
    </row>
    <row r="217" spans="1:2" ht="15" x14ac:dyDescent="0.25">
      <c r="A217"/>
      <c r="B217"/>
    </row>
    <row r="218" spans="1:2" ht="15" x14ac:dyDescent="0.25">
      <c r="A218"/>
      <c r="B218"/>
    </row>
    <row r="219" spans="1:2" ht="15" x14ac:dyDescent="0.25">
      <c r="A219"/>
      <c r="B219"/>
    </row>
    <row r="220" spans="1:2" ht="15" x14ac:dyDescent="0.25">
      <c r="A220"/>
      <c r="B220"/>
    </row>
    <row r="221" spans="1:2" ht="15" x14ac:dyDescent="0.25">
      <c r="A221"/>
      <c r="B221"/>
    </row>
    <row r="222" spans="1:2" ht="15" x14ac:dyDescent="0.25">
      <c r="A222"/>
      <c r="B222"/>
    </row>
    <row r="223" spans="1:2" ht="15" x14ac:dyDescent="0.25">
      <c r="A223"/>
      <c r="B223"/>
    </row>
    <row r="224" spans="1:2" ht="15" x14ac:dyDescent="0.25">
      <c r="A224"/>
      <c r="B224"/>
    </row>
    <row r="225" spans="1:2" ht="15" x14ac:dyDescent="0.25">
      <c r="A225"/>
      <c r="B225"/>
    </row>
    <row r="226" spans="1:2" ht="15" x14ac:dyDescent="0.25">
      <c r="A226"/>
      <c r="B226"/>
    </row>
    <row r="227" spans="1:2" ht="15" x14ac:dyDescent="0.25">
      <c r="A227"/>
      <c r="B227"/>
    </row>
    <row r="228" spans="1:2" ht="15" x14ac:dyDescent="0.25">
      <c r="A228"/>
      <c r="B228"/>
    </row>
    <row r="229" spans="1:2" ht="15" x14ac:dyDescent="0.25">
      <c r="A229"/>
      <c r="B229"/>
    </row>
    <row r="230" spans="1:2" ht="15" x14ac:dyDescent="0.25">
      <c r="A230"/>
      <c r="B230"/>
    </row>
    <row r="231" spans="1:2" ht="15" x14ac:dyDescent="0.25">
      <c r="A231"/>
      <c r="B231"/>
    </row>
    <row r="232" spans="1:2" ht="15" x14ac:dyDescent="0.25">
      <c r="A232"/>
      <c r="B232"/>
    </row>
    <row r="233" spans="1:2" ht="15" x14ac:dyDescent="0.25">
      <c r="A233"/>
      <c r="B233"/>
    </row>
    <row r="234" spans="1:2" ht="15" x14ac:dyDescent="0.25">
      <c r="A234"/>
      <c r="B234"/>
    </row>
    <row r="235" spans="1:2" ht="15" x14ac:dyDescent="0.25">
      <c r="A235"/>
      <c r="B235"/>
    </row>
    <row r="236" spans="1:2" ht="15" x14ac:dyDescent="0.25">
      <c r="A236"/>
      <c r="B236"/>
    </row>
    <row r="237" spans="1:2" ht="15" x14ac:dyDescent="0.25">
      <c r="A237"/>
      <c r="B237"/>
    </row>
    <row r="238" spans="1:2" ht="15" x14ac:dyDescent="0.25">
      <c r="A238"/>
      <c r="B238"/>
    </row>
    <row r="239" spans="1:2" ht="15" x14ac:dyDescent="0.25">
      <c r="A239"/>
      <c r="B239"/>
    </row>
    <row r="240" spans="1:2" ht="15" x14ac:dyDescent="0.25">
      <c r="A240"/>
      <c r="B240"/>
    </row>
    <row r="241" spans="1:2" ht="15" x14ac:dyDescent="0.25">
      <c r="A241"/>
      <c r="B241"/>
    </row>
    <row r="242" spans="1:2" ht="15" x14ac:dyDescent="0.25">
      <c r="A242"/>
      <c r="B242"/>
    </row>
    <row r="243" spans="1:2" ht="15" x14ac:dyDescent="0.25">
      <c r="A243"/>
      <c r="B243"/>
    </row>
    <row r="244" spans="1:2" ht="15" x14ac:dyDescent="0.25">
      <c r="A244"/>
      <c r="B244"/>
    </row>
    <row r="245" spans="1:2" ht="15" x14ac:dyDescent="0.25">
      <c r="A245"/>
      <c r="B245"/>
    </row>
    <row r="246" spans="1:2" ht="15" x14ac:dyDescent="0.25">
      <c r="A246"/>
      <c r="B246"/>
    </row>
    <row r="247" spans="1:2" ht="15" x14ac:dyDescent="0.25">
      <c r="A247"/>
      <c r="B247"/>
    </row>
    <row r="248" spans="1:2" ht="15" x14ac:dyDescent="0.25">
      <c r="A248"/>
      <c r="B248"/>
    </row>
    <row r="249" spans="1:2" ht="15" x14ac:dyDescent="0.25">
      <c r="A249"/>
      <c r="B249"/>
    </row>
    <row r="250" spans="1:2" ht="15" x14ac:dyDescent="0.25">
      <c r="A250"/>
      <c r="B250"/>
    </row>
    <row r="251" spans="1:2" ht="15" x14ac:dyDescent="0.25">
      <c r="A251"/>
      <c r="B251"/>
    </row>
    <row r="252" spans="1:2" ht="15" x14ac:dyDescent="0.25">
      <c r="A252"/>
      <c r="B252"/>
    </row>
    <row r="253" spans="1:2" ht="15" x14ac:dyDescent="0.25">
      <c r="A253"/>
      <c r="B253"/>
    </row>
    <row r="254" spans="1:2" ht="15" x14ac:dyDescent="0.25">
      <c r="A254"/>
      <c r="B254"/>
    </row>
    <row r="255" spans="1:2" ht="15" x14ac:dyDescent="0.25">
      <c r="A255"/>
      <c r="B255"/>
    </row>
    <row r="256" spans="1:2" ht="15" x14ac:dyDescent="0.25">
      <c r="A256"/>
      <c r="B256"/>
    </row>
    <row r="257" spans="1:2" ht="15" x14ac:dyDescent="0.25">
      <c r="A257"/>
      <c r="B257"/>
    </row>
    <row r="258" spans="1:2" ht="15" x14ac:dyDescent="0.25">
      <c r="A258"/>
      <c r="B258"/>
    </row>
    <row r="259" spans="1:2" ht="15" x14ac:dyDescent="0.25">
      <c r="A259"/>
      <c r="B259"/>
    </row>
    <row r="260" spans="1:2" ht="15" x14ac:dyDescent="0.25">
      <c r="A260"/>
      <c r="B260"/>
    </row>
    <row r="261" spans="1:2" ht="15" x14ac:dyDescent="0.25">
      <c r="A261"/>
      <c r="B261"/>
    </row>
    <row r="262" spans="1:2" ht="15" x14ac:dyDescent="0.25">
      <c r="A262"/>
      <c r="B262"/>
    </row>
    <row r="263" spans="1:2" ht="15" x14ac:dyDescent="0.25">
      <c r="A263"/>
      <c r="B263"/>
    </row>
    <row r="264" spans="1:2" ht="15" x14ac:dyDescent="0.25">
      <c r="A264"/>
      <c r="B264"/>
    </row>
    <row r="265" spans="1:2" ht="15" x14ac:dyDescent="0.25">
      <c r="A265"/>
      <c r="B265"/>
    </row>
    <row r="266" spans="1:2" ht="15" x14ac:dyDescent="0.25">
      <c r="A266"/>
      <c r="B266"/>
    </row>
    <row r="267" spans="1:2" ht="15" x14ac:dyDescent="0.25">
      <c r="A267"/>
      <c r="B267"/>
    </row>
    <row r="268" spans="1:2" ht="15" x14ac:dyDescent="0.25">
      <c r="A268"/>
      <c r="B268"/>
    </row>
    <row r="269" spans="1:2" ht="15" x14ac:dyDescent="0.25">
      <c r="A269"/>
      <c r="B269"/>
    </row>
    <row r="270" spans="1:2" ht="15" x14ac:dyDescent="0.25">
      <c r="A270"/>
      <c r="B270"/>
    </row>
    <row r="271" spans="1:2" ht="15" x14ac:dyDescent="0.25">
      <c r="A271"/>
      <c r="B271"/>
    </row>
    <row r="272" spans="1:2" ht="15" x14ac:dyDescent="0.25">
      <c r="A272"/>
      <c r="B272"/>
    </row>
    <row r="273" spans="1:2" ht="15" x14ac:dyDescent="0.25">
      <c r="A273"/>
      <c r="B273"/>
    </row>
    <row r="274" spans="1:2" ht="15" x14ac:dyDescent="0.25">
      <c r="A274"/>
      <c r="B274"/>
    </row>
    <row r="275" spans="1:2" ht="15" x14ac:dyDescent="0.25">
      <c r="A275"/>
      <c r="B275"/>
    </row>
    <row r="276" spans="1:2" ht="15" x14ac:dyDescent="0.25">
      <c r="A276"/>
      <c r="B276"/>
    </row>
    <row r="277" spans="1:2" ht="15" x14ac:dyDescent="0.25">
      <c r="A277"/>
      <c r="B277"/>
    </row>
    <row r="278" spans="1:2" ht="15" x14ac:dyDescent="0.25">
      <c r="A278"/>
      <c r="B278"/>
    </row>
    <row r="279" spans="1:2" ht="15" x14ac:dyDescent="0.25">
      <c r="A279"/>
      <c r="B27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E0000"/>
  </sheetPr>
  <dimension ref="A1:B300"/>
  <sheetViews>
    <sheetView workbookViewId="0">
      <selection activeCell="A25" sqref="A25"/>
    </sheetView>
  </sheetViews>
  <sheetFormatPr baseColWidth="10" defaultColWidth="9.140625" defaultRowHeight="12.75" x14ac:dyDescent="0.2"/>
  <cols>
    <col min="1" max="1" width="23.28515625" style="1" bestFit="1" customWidth="1"/>
    <col min="2" max="2" width="18.85546875" style="29" bestFit="1" customWidth="1"/>
    <col min="3" max="16384" width="9.140625" style="29"/>
  </cols>
  <sheetData>
    <row r="1" spans="1:2" x14ac:dyDescent="0.2">
      <c r="A1" s="52" t="s">
        <v>14</v>
      </c>
      <c r="B1" s="53" t="s">
        <v>116</v>
      </c>
    </row>
    <row r="2" spans="1:2" x14ac:dyDescent="0.2">
      <c r="A2" s="54" t="s">
        <v>35</v>
      </c>
      <c r="B2" s="55" t="s">
        <v>4</v>
      </c>
    </row>
    <row r="3" spans="1:2" x14ac:dyDescent="0.2">
      <c r="A3" s="54" t="s">
        <v>73</v>
      </c>
      <c r="B3" s="31" t="s">
        <v>73</v>
      </c>
    </row>
    <row r="4" spans="1:2" x14ac:dyDescent="0.2">
      <c r="A4" s="54" t="s">
        <v>36</v>
      </c>
      <c r="B4" s="55" t="s">
        <v>4</v>
      </c>
    </row>
    <row r="5" spans="1:2" x14ac:dyDescent="0.2">
      <c r="A5" s="54" t="s">
        <v>37</v>
      </c>
      <c r="B5" s="55" t="s">
        <v>5</v>
      </c>
    </row>
    <row r="6" spans="1:2" x14ac:dyDescent="0.2">
      <c r="A6" s="54" t="s">
        <v>38</v>
      </c>
      <c r="B6" s="55" t="s">
        <v>4</v>
      </c>
    </row>
    <row r="7" spans="1:2" x14ac:dyDescent="0.2">
      <c r="A7" s="54" t="s">
        <v>39</v>
      </c>
      <c r="B7" s="31" t="s">
        <v>39</v>
      </c>
    </row>
    <row r="8" spans="1:2" x14ac:dyDescent="0.2">
      <c r="A8" s="54" t="s">
        <v>40</v>
      </c>
      <c r="B8" s="31" t="s">
        <v>40</v>
      </c>
    </row>
    <row r="9" spans="1:2" x14ac:dyDescent="0.2">
      <c r="A9" s="54" t="s">
        <v>41</v>
      </c>
      <c r="B9" s="55" t="s">
        <v>4</v>
      </c>
    </row>
    <row r="10" spans="1:2" x14ac:dyDescent="0.2">
      <c r="A10" s="54" t="s">
        <v>42</v>
      </c>
      <c r="B10" s="55" t="s">
        <v>42</v>
      </c>
    </row>
    <row r="11" spans="1:2" x14ac:dyDescent="0.2">
      <c r="A11" s="54" t="s">
        <v>265</v>
      </c>
      <c r="B11" s="55" t="s">
        <v>4</v>
      </c>
    </row>
    <row r="12" spans="1:2" x14ac:dyDescent="0.2">
      <c r="A12" s="54" t="s">
        <v>43</v>
      </c>
      <c r="B12" s="55" t="s">
        <v>4</v>
      </c>
    </row>
    <row r="13" spans="1:2" x14ac:dyDescent="0.2">
      <c r="A13" s="54" t="s">
        <v>155</v>
      </c>
      <c r="B13" s="55" t="s">
        <v>4</v>
      </c>
    </row>
    <row r="14" spans="1:2" x14ac:dyDescent="0.2">
      <c r="A14" s="54" t="s">
        <v>44</v>
      </c>
      <c r="B14" s="55" t="s">
        <v>4</v>
      </c>
    </row>
    <row r="15" spans="1:2" x14ac:dyDescent="0.2">
      <c r="A15" s="54" t="s">
        <v>248</v>
      </c>
      <c r="B15" s="55" t="s">
        <v>4</v>
      </c>
    </row>
    <row r="16" spans="1:2" x14ac:dyDescent="0.2">
      <c r="A16" s="54" t="s">
        <v>46</v>
      </c>
      <c r="B16" s="55" t="s">
        <v>4</v>
      </c>
    </row>
    <row r="17" spans="1:2" x14ac:dyDescent="0.2">
      <c r="A17" s="54" t="s">
        <v>47</v>
      </c>
      <c r="B17" s="55" t="s">
        <v>5</v>
      </c>
    </row>
    <row r="18" spans="1:2" x14ac:dyDescent="0.2">
      <c r="A18" s="54" t="s">
        <v>48</v>
      </c>
      <c r="B18" s="55" t="s">
        <v>48</v>
      </c>
    </row>
    <row r="19" spans="1:2" x14ac:dyDescent="0.2">
      <c r="A19" s="54" t="s">
        <v>49</v>
      </c>
      <c r="B19" s="31" t="s">
        <v>49</v>
      </c>
    </row>
    <row r="20" spans="1:2" x14ac:dyDescent="0.2">
      <c r="A20" s="54" t="s">
        <v>50</v>
      </c>
      <c r="B20" s="31" t="s">
        <v>50</v>
      </c>
    </row>
    <row r="21" spans="1:2" x14ac:dyDescent="0.2">
      <c r="A21" s="54" t="s">
        <v>51</v>
      </c>
      <c r="B21" s="55" t="s">
        <v>5</v>
      </c>
    </row>
    <row r="22" spans="1:2" x14ac:dyDescent="0.2">
      <c r="A22" s="54" t="s">
        <v>52</v>
      </c>
      <c r="B22" s="55" t="s">
        <v>4</v>
      </c>
    </row>
    <row r="23" spans="1:2" x14ac:dyDescent="0.2">
      <c r="A23" s="54" t="s">
        <v>53</v>
      </c>
      <c r="B23" s="55" t="s">
        <v>5</v>
      </c>
    </row>
    <row r="24" spans="1:2" x14ac:dyDescent="0.2">
      <c r="A24" s="54" t="s">
        <v>7</v>
      </c>
      <c r="B24" s="31" t="s">
        <v>7</v>
      </c>
    </row>
    <row r="25" spans="1:2" x14ac:dyDescent="0.2">
      <c r="A25" s="54" t="s">
        <v>54</v>
      </c>
      <c r="B25" s="55" t="s">
        <v>6</v>
      </c>
    </row>
    <row r="26" spans="1:2" x14ac:dyDescent="0.2">
      <c r="A26" s="54" t="s">
        <v>55</v>
      </c>
      <c r="B26" s="55" t="s">
        <v>6</v>
      </c>
    </row>
    <row r="27" spans="1:2" x14ac:dyDescent="0.2">
      <c r="A27" s="51" t="s">
        <v>174</v>
      </c>
      <c r="B27" s="55" t="s">
        <v>4</v>
      </c>
    </row>
    <row r="28" spans="1:2" x14ac:dyDescent="0.2">
      <c r="A28" s="51" t="s">
        <v>264</v>
      </c>
      <c r="B28" s="55" t="s">
        <v>4</v>
      </c>
    </row>
    <row r="29" spans="1:2" x14ac:dyDescent="0.2">
      <c r="A29" s="51" t="s">
        <v>247</v>
      </c>
      <c r="B29" s="55" t="s">
        <v>4</v>
      </c>
    </row>
    <row r="30" spans="1:2" x14ac:dyDescent="0.2">
      <c r="A30" s="51" t="s">
        <v>242</v>
      </c>
      <c r="B30" s="30" t="s">
        <v>242</v>
      </c>
    </row>
    <row r="31" spans="1:2" x14ac:dyDescent="0.2">
      <c r="A31" s="51" t="s">
        <v>245</v>
      </c>
      <c r="B31" s="55" t="s">
        <v>274</v>
      </c>
    </row>
    <row r="32" spans="1:2" x14ac:dyDescent="0.2">
      <c r="A32" s="51" t="s">
        <v>273</v>
      </c>
      <c r="B32" s="55" t="s">
        <v>273</v>
      </c>
    </row>
    <row r="33" spans="1:2" x14ac:dyDescent="0.2">
      <c r="A33" s="54" t="s">
        <v>349</v>
      </c>
      <c r="B33" s="54" t="s">
        <v>349</v>
      </c>
    </row>
    <row r="34" spans="1:2" x14ac:dyDescent="0.2">
      <c r="A34" s="143" t="s">
        <v>276</v>
      </c>
      <c r="B34" s="143" t="s">
        <v>276</v>
      </c>
    </row>
    <row r="35" spans="1:2" x14ac:dyDescent="0.2">
      <c r="A35" s="236" t="s">
        <v>277</v>
      </c>
      <c r="B35" s="237" t="s">
        <v>277</v>
      </c>
    </row>
    <row r="36" spans="1:2" x14ac:dyDescent="0.2">
      <c r="A36" s="236" t="s">
        <v>292</v>
      </c>
      <c r="B36" s="237" t="s">
        <v>292</v>
      </c>
    </row>
    <row r="37" spans="1:2" x14ac:dyDescent="0.2">
      <c r="A37" s="54" t="s">
        <v>302</v>
      </c>
      <c r="B37" s="6" t="s">
        <v>302</v>
      </c>
    </row>
    <row r="38" spans="1:2" x14ac:dyDescent="0.2">
      <c r="A38" s="54" t="s">
        <v>271</v>
      </c>
      <c r="B38" s="55" t="s">
        <v>4</v>
      </c>
    </row>
    <row r="39" spans="1:2" x14ac:dyDescent="0.2">
      <c r="A39" s="51"/>
      <c r="B39" s="55"/>
    </row>
    <row r="40" spans="1:2" x14ac:dyDescent="0.2">
      <c r="A40" s="51"/>
      <c r="B40" s="55"/>
    </row>
    <row r="41" spans="1:2" x14ac:dyDescent="0.2">
      <c r="A41" s="51"/>
      <c r="B41" s="55"/>
    </row>
    <row r="42" spans="1:2" x14ac:dyDescent="0.2">
      <c r="A42" s="51"/>
      <c r="B42" s="55"/>
    </row>
    <row r="43" spans="1:2" x14ac:dyDescent="0.2">
      <c r="A43" s="51"/>
      <c r="B43" s="55"/>
    </row>
    <row r="44" spans="1:2" x14ac:dyDescent="0.2">
      <c r="A44" s="51"/>
      <c r="B44" s="55"/>
    </row>
    <row r="45" spans="1:2" x14ac:dyDescent="0.2">
      <c r="A45" s="50"/>
      <c r="B45" s="30"/>
    </row>
    <row r="46" spans="1:2" x14ac:dyDescent="0.2">
      <c r="A46" s="29"/>
    </row>
    <row r="47" spans="1:2" x14ac:dyDescent="0.2">
      <c r="A47" s="29"/>
    </row>
    <row r="48" spans="1:2" x14ac:dyDescent="0.2">
      <c r="A48" s="29"/>
    </row>
    <row r="49" spans="1:1" x14ac:dyDescent="0.2">
      <c r="A49" s="29"/>
    </row>
    <row r="50" spans="1:1" x14ac:dyDescent="0.2">
      <c r="A50" s="29"/>
    </row>
    <row r="51" spans="1:1" x14ac:dyDescent="0.2">
      <c r="A51" s="29"/>
    </row>
    <row r="52" spans="1:1" x14ac:dyDescent="0.2">
      <c r="A52" s="29"/>
    </row>
    <row r="53" spans="1:1" x14ac:dyDescent="0.2">
      <c r="A53" s="29"/>
    </row>
    <row r="54" spans="1:1" x14ac:dyDescent="0.2">
      <c r="A54" s="29"/>
    </row>
    <row r="55" spans="1:1" x14ac:dyDescent="0.2">
      <c r="A55" s="29"/>
    </row>
    <row r="56" spans="1:1" x14ac:dyDescent="0.2">
      <c r="A56" s="29"/>
    </row>
    <row r="57" spans="1:1" x14ac:dyDescent="0.2">
      <c r="A57" s="29"/>
    </row>
    <row r="58" spans="1:1" x14ac:dyDescent="0.2">
      <c r="A58" s="29"/>
    </row>
    <row r="59" spans="1:1" x14ac:dyDescent="0.2">
      <c r="A59" s="29"/>
    </row>
    <row r="60" spans="1:1" x14ac:dyDescent="0.2">
      <c r="A60" s="29"/>
    </row>
    <row r="61" spans="1:1" x14ac:dyDescent="0.2">
      <c r="A61" s="29"/>
    </row>
    <row r="62" spans="1:1" x14ac:dyDescent="0.2">
      <c r="A62" s="29"/>
    </row>
    <row r="63" spans="1:1" x14ac:dyDescent="0.2">
      <c r="A63" s="29"/>
    </row>
    <row r="64" spans="1:1" x14ac:dyDescent="0.2">
      <c r="A64" s="29"/>
    </row>
    <row r="65" spans="1:1" x14ac:dyDescent="0.2">
      <c r="A65" s="29"/>
    </row>
    <row r="66" spans="1:1" x14ac:dyDescent="0.2">
      <c r="A66" s="29"/>
    </row>
    <row r="67" spans="1:1" x14ac:dyDescent="0.2">
      <c r="A67" s="29"/>
    </row>
    <row r="68" spans="1:1" x14ac:dyDescent="0.2">
      <c r="A68" s="29"/>
    </row>
    <row r="69" spans="1:1" x14ac:dyDescent="0.2">
      <c r="A69" s="29"/>
    </row>
    <row r="70" spans="1:1" x14ac:dyDescent="0.2">
      <c r="A70" s="29"/>
    </row>
    <row r="71" spans="1:1" x14ac:dyDescent="0.2">
      <c r="A71" s="29"/>
    </row>
    <row r="72" spans="1:1" x14ac:dyDescent="0.2">
      <c r="A72" s="29"/>
    </row>
    <row r="73" spans="1:1" x14ac:dyDescent="0.2">
      <c r="A73" s="29"/>
    </row>
    <row r="74" spans="1:1" x14ac:dyDescent="0.2">
      <c r="A74" s="29"/>
    </row>
    <row r="75" spans="1:1" x14ac:dyDescent="0.2">
      <c r="A75" s="29"/>
    </row>
    <row r="76" spans="1:1" x14ac:dyDescent="0.2">
      <c r="A76" s="29"/>
    </row>
    <row r="77" spans="1:1" x14ac:dyDescent="0.2">
      <c r="A77" s="29"/>
    </row>
    <row r="78" spans="1:1" x14ac:dyDescent="0.2">
      <c r="A78" s="29"/>
    </row>
    <row r="79" spans="1:1" x14ac:dyDescent="0.2">
      <c r="A79" s="29"/>
    </row>
    <row r="80" spans="1:1" x14ac:dyDescent="0.2">
      <c r="A80" s="29"/>
    </row>
    <row r="81" spans="1:1" x14ac:dyDescent="0.2">
      <c r="A81" s="29"/>
    </row>
    <row r="82" spans="1:1" x14ac:dyDescent="0.2">
      <c r="A82" s="29"/>
    </row>
    <row r="83" spans="1:1" x14ac:dyDescent="0.2">
      <c r="A83" s="29"/>
    </row>
    <row r="84" spans="1:1" x14ac:dyDescent="0.2">
      <c r="A84" s="29"/>
    </row>
    <row r="85" spans="1:1" x14ac:dyDescent="0.2">
      <c r="A85" s="29"/>
    </row>
    <row r="86" spans="1:1" x14ac:dyDescent="0.2">
      <c r="A86" s="29"/>
    </row>
    <row r="87" spans="1:1" x14ac:dyDescent="0.2">
      <c r="A87" s="29"/>
    </row>
    <row r="88" spans="1:1" x14ac:dyDescent="0.2">
      <c r="A88" s="29"/>
    </row>
    <row r="89" spans="1:1" x14ac:dyDescent="0.2">
      <c r="A89" s="29"/>
    </row>
    <row r="90" spans="1:1" x14ac:dyDescent="0.2">
      <c r="A90" s="29"/>
    </row>
    <row r="91" spans="1:1" x14ac:dyDescent="0.2">
      <c r="A91" s="29"/>
    </row>
    <row r="92" spans="1:1" x14ac:dyDescent="0.2">
      <c r="A92" s="29"/>
    </row>
    <row r="93" spans="1:1" x14ac:dyDescent="0.2">
      <c r="A93" s="29"/>
    </row>
    <row r="94" spans="1:1" x14ac:dyDescent="0.2">
      <c r="A94" s="29"/>
    </row>
    <row r="95" spans="1:1" x14ac:dyDescent="0.2">
      <c r="A95" s="29"/>
    </row>
    <row r="96" spans="1:1" x14ac:dyDescent="0.2">
      <c r="A96" s="29"/>
    </row>
    <row r="97" spans="1:1" x14ac:dyDescent="0.2">
      <c r="A97" s="29"/>
    </row>
    <row r="98" spans="1:1" x14ac:dyDescent="0.2">
      <c r="A98" s="29"/>
    </row>
    <row r="99" spans="1:1" x14ac:dyDescent="0.2">
      <c r="A99" s="29"/>
    </row>
    <row r="100" spans="1:1" x14ac:dyDescent="0.2">
      <c r="A100" s="29"/>
    </row>
    <row r="101" spans="1:1" x14ac:dyDescent="0.2">
      <c r="A101" s="29"/>
    </row>
    <row r="102" spans="1:1" x14ac:dyDescent="0.2">
      <c r="A102" s="29"/>
    </row>
    <row r="103" spans="1:1" x14ac:dyDescent="0.2">
      <c r="A103" s="29"/>
    </row>
    <row r="104" spans="1:1" x14ac:dyDescent="0.2">
      <c r="A104" s="29"/>
    </row>
    <row r="105" spans="1:1" x14ac:dyDescent="0.2">
      <c r="A105" s="29"/>
    </row>
    <row r="106" spans="1:1" x14ac:dyDescent="0.2">
      <c r="A106" s="29"/>
    </row>
    <row r="107" spans="1:1" x14ac:dyDescent="0.2">
      <c r="A107" s="29"/>
    </row>
    <row r="108" spans="1:1" x14ac:dyDescent="0.2">
      <c r="A108" s="29"/>
    </row>
    <row r="109" spans="1:1" x14ac:dyDescent="0.2">
      <c r="A109" s="29"/>
    </row>
    <row r="110" spans="1:1" x14ac:dyDescent="0.2">
      <c r="A110" s="29"/>
    </row>
    <row r="111" spans="1:1" x14ac:dyDescent="0.2">
      <c r="A111" s="29"/>
    </row>
    <row r="112" spans="1:1" x14ac:dyDescent="0.2">
      <c r="A112" s="29"/>
    </row>
    <row r="113" spans="1:1" x14ac:dyDescent="0.2">
      <c r="A113" s="29"/>
    </row>
    <row r="114" spans="1:1" x14ac:dyDescent="0.2">
      <c r="A114" s="29"/>
    </row>
    <row r="115" spans="1:1" x14ac:dyDescent="0.2">
      <c r="A115" s="29"/>
    </row>
    <row r="116" spans="1:1" x14ac:dyDescent="0.2">
      <c r="A116" s="29"/>
    </row>
    <row r="117" spans="1:1" x14ac:dyDescent="0.2">
      <c r="A117" s="29"/>
    </row>
    <row r="118" spans="1:1" x14ac:dyDescent="0.2">
      <c r="A118" s="29"/>
    </row>
    <row r="119" spans="1:1" x14ac:dyDescent="0.2">
      <c r="A119" s="29"/>
    </row>
    <row r="120" spans="1:1" x14ac:dyDescent="0.2">
      <c r="A120" s="29"/>
    </row>
    <row r="121" spans="1:1" x14ac:dyDescent="0.2">
      <c r="A121" s="29"/>
    </row>
    <row r="122" spans="1:1" x14ac:dyDescent="0.2">
      <c r="A122" s="29"/>
    </row>
    <row r="123" spans="1:1" x14ac:dyDescent="0.2">
      <c r="A123" s="29"/>
    </row>
    <row r="124" spans="1:1" x14ac:dyDescent="0.2">
      <c r="A124" s="29"/>
    </row>
    <row r="125" spans="1:1" x14ac:dyDescent="0.2">
      <c r="A125" s="29"/>
    </row>
    <row r="126" spans="1:1" x14ac:dyDescent="0.2">
      <c r="A126" s="29"/>
    </row>
    <row r="127" spans="1:1" x14ac:dyDescent="0.2">
      <c r="A127" s="29"/>
    </row>
    <row r="128" spans="1:1" x14ac:dyDescent="0.2">
      <c r="A128" s="29"/>
    </row>
    <row r="129" spans="1:1" x14ac:dyDescent="0.2">
      <c r="A129" s="29"/>
    </row>
    <row r="130" spans="1:1" x14ac:dyDescent="0.2">
      <c r="A130" s="29"/>
    </row>
    <row r="131" spans="1:1" x14ac:dyDescent="0.2">
      <c r="A131" s="29"/>
    </row>
    <row r="132" spans="1:1" x14ac:dyDescent="0.2">
      <c r="A132" s="29"/>
    </row>
    <row r="133" spans="1:1" x14ac:dyDescent="0.2">
      <c r="A133" s="29"/>
    </row>
    <row r="134" spans="1:1" x14ac:dyDescent="0.2">
      <c r="A134" s="29"/>
    </row>
    <row r="135" spans="1:1" x14ac:dyDescent="0.2">
      <c r="A135" s="29"/>
    </row>
    <row r="136" spans="1:1" x14ac:dyDescent="0.2">
      <c r="A136" s="29"/>
    </row>
    <row r="137" spans="1:1" x14ac:dyDescent="0.2">
      <c r="A137" s="29"/>
    </row>
    <row r="138" spans="1:1" x14ac:dyDescent="0.2">
      <c r="A138" s="29"/>
    </row>
    <row r="139" spans="1:1" x14ac:dyDescent="0.2">
      <c r="A139" s="29"/>
    </row>
    <row r="140" spans="1:1" x14ac:dyDescent="0.2">
      <c r="A140" s="29"/>
    </row>
    <row r="141" spans="1:1" x14ac:dyDescent="0.2">
      <c r="A141" s="29"/>
    </row>
    <row r="142" spans="1:1" x14ac:dyDescent="0.2">
      <c r="A142" s="29"/>
    </row>
    <row r="143" spans="1:1" x14ac:dyDescent="0.2">
      <c r="A143" s="29"/>
    </row>
    <row r="144" spans="1:1" x14ac:dyDescent="0.2">
      <c r="A144" s="29"/>
    </row>
    <row r="145" spans="1:1" x14ac:dyDescent="0.2">
      <c r="A145" s="29"/>
    </row>
    <row r="146" spans="1:1" x14ac:dyDescent="0.2">
      <c r="A146" s="29"/>
    </row>
    <row r="147" spans="1:1" x14ac:dyDescent="0.2">
      <c r="A147" s="29"/>
    </row>
    <row r="148" spans="1:1" x14ac:dyDescent="0.2">
      <c r="A148" s="29"/>
    </row>
    <row r="149" spans="1:1" x14ac:dyDescent="0.2">
      <c r="A149" s="29"/>
    </row>
    <row r="150" spans="1:1" x14ac:dyDescent="0.2">
      <c r="A150" s="29"/>
    </row>
    <row r="151" spans="1:1" x14ac:dyDescent="0.2">
      <c r="A151" s="29"/>
    </row>
    <row r="152" spans="1:1" x14ac:dyDescent="0.2">
      <c r="A152" s="29"/>
    </row>
    <row r="153" spans="1:1" x14ac:dyDescent="0.2">
      <c r="A153" s="29"/>
    </row>
    <row r="154" spans="1:1" x14ac:dyDescent="0.2">
      <c r="A154" s="29"/>
    </row>
    <row r="155" spans="1:1" x14ac:dyDescent="0.2">
      <c r="A155" s="29"/>
    </row>
    <row r="156" spans="1:1" x14ac:dyDescent="0.2">
      <c r="A156" s="29"/>
    </row>
    <row r="157" spans="1:1" x14ac:dyDescent="0.2">
      <c r="A157" s="29"/>
    </row>
    <row r="158" spans="1:1" x14ac:dyDescent="0.2">
      <c r="A158" s="29"/>
    </row>
    <row r="159" spans="1:1" x14ac:dyDescent="0.2">
      <c r="A159" s="29"/>
    </row>
    <row r="160" spans="1:1" x14ac:dyDescent="0.2">
      <c r="A160" s="29"/>
    </row>
    <row r="161" spans="1:1" x14ac:dyDescent="0.2">
      <c r="A161" s="29"/>
    </row>
    <row r="162" spans="1:1" x14ac:dyDescent="0.2">
      <c r="A162" s="29"/>
    </row>
    <row r="163" spans="1:1" x14ac:dyDescent="0.2">
      <c r="A163" s="29"/>
    </row>
    <row r="164" spans="1:1" x14ac:dyDescent="0.2">
      <c r="A164" s="29"/>
    </row>
    <row r="165" spans="1:1" x14ac:dyDescent="0.2">
      <c r="A165" s="29"/>
    </row>
    <row r="166" spans="1:1" x14ac:dyDescent="0.2">
      <c r="A166" s="29"/>
    </row>
    <row r="167" spans="1:1" x14ac:dyDescent="0.2">
      <c r="A167" s="29"/>
    </row>
    <row r="168" spans="1:1" x14ac:dyDescent="0.2">
      <c r="A168" s="29"/>
    </row>
    <row r="169" spans="1:1" x14ac:dyDescent="0.2">
      <c r="A169" s="29"/>
    </row>
    <row r="170" spans="1:1" x14ac:dyDescent="0.2">
      <c r="A170" s="29"/>
    </row>
    <row r="171" spans="1:1" x14ac:dyDescent="0.2">
      <c r="A171" s="29"/>
    </row>
    <row r="172" spans="1:1" x14ac:dyDescent="0.2">
      <c r="A172" s="29"/>
    </row>
    <row r="173" spans="1:1" x14ac:dyDescent="0.2">
      <c r="A173" s="29"/>
    </row>
    <row r="174" spans="1:1" x14ac:dyDescent="0.2">
      <c r="A174" s="29"/>
    </row>
    <row r="175" spans="1:1" x14ac:dyDescent="0.2">
      <c r="A175" s="29"/>
    </row>
    <row r="176" spans="1:1" x14ac:dyDescent="0.2">
      <c r="A176" s="29"/>
    </row>
    <row r="177" spans="1:1" x14ac:dyDescent="0.2">
      <c r="A177" s="29"/>
    </row>
    <row r="178" spans="1:1" x14ac:dyDescent="0.2">
      <c r="A178" s="29"/>
    </row>
    <row r="179" spans="1:1" x14ac:dyDescent="0.2">
      <c r="A179" s="29"/>
    </row>
    <row r="180" spans="1:1" x14ac:dyDescent="0.2">
      <c r="A180" s="29"/>
    </row>
    <row r="181" spans="1:1" x14ac:dyDescent="0.2">
      <c r="A181" s="29"/>
    </row>
    <row r="182" spans="1:1" x14ac:dyDescent="0.2">
      <c r="A182" s="29"/>
    </row>
    <row r="183" spans="1:1" x14ac:dyDescent="0.2">
      <c r="A183" s="29"/>
    </row>
    <row r="184" spans="1:1" x14ac:dyDescent="0.2">
      <c r="A184" s="29"/>
    </row>
    <row r="185" spans="1:1" x14ac:dyDescent="0.2">
      <c r="A185" s="29"/>
    </row>
    <row r="186" spans="1:1" x14ac:dyDescent="0.2">
      <c r="A186" s="29"/>
    </row>
    <row r="187" spans="1:1" x14ac:dyDescent="0.2">
      <c r="A187" s="29"/>
    </row>
    <row r="188" spans="1:1" x14ac:dyDescent="0.2">
      <c r="A188" s="29"/>
    </row>
    <row r="189" spans="1:1" x14ac:dyDescent="0.2">
      <c r="A189" s="29"/>
    </row>
    <row r="190" spans="1:1" x14ac:dyDescent="0.2">
      <c r="A190" s="29"/>
    </row>
    <row r="191" spans="1:1" x14ac:dyDescent="0.2">
      <c r="A191" s="29"/>
    </row>
    <row r="192" spans="1:1" x14ac:dyDescent="0.2">
      <c r="A192" s="29"/>
    </row>
    <row r="193" spans="1:1" x14ac:dyDescent="0.2">
      <c r="A193" s="29"/>
    </row>
    <row r="194" spans="1:1" x14ac:dyDescent="0.2">
      <c r="A194" s="29"/>
    </row>
    <row r="195" spans="1:1" x14ac:dyDescent="0.2">
      <c r="A195" s="29"/>
    </row>
    <row r="196" spans="1:1" x14ac:dyDescent="0.2">
      <c r="A196" s="29"/>
    </row>
    <row r="197" spans="1:1" x14ac:dyDescent="0.2">
      <c r="A197" s="29"/>
    </row>
    <row r="198" spans="1:1" x14ac:dyDescent="0.2">
      <c r="A198" s="29"/>
    </row>
    <row r="199" spans="1:1" x14ac:dyDescent="0.2">
      <c r="A199" s="29"/>
    </row>
    <row r="200" spans="1:1" x14ac:dyDescent="0.2">
      <c r="A200" s="29"/>
    </row>
    <row r="201" spans="1:1" x14ac:dyDescent="0.2">
      <c r="A201" s="29"/>
    </row>
    <row r="202" spans="1:1" x14ac:dyDescent="0.2">
      <c r="A202" s="29"/>
    </row>
    <row r="203" spans="1:1" x14ac:dyDescent="0.2">
      <c r="A203" s="29"/>
    </row>
    <row r="204" spans="1:1" x14ac:dyDescent="0.2">
      <c r="A204" s="29"/>
    </row>
    <row r="205" spans="1:1" x14ac:dyDescent="0.2">
      <c r="A205" s="29"/>
    </row>
    <row r="206" spans="1:1" x14ac:dyDescent="0.2">
      <c r="A206" s="29"/>
    </row>
    <row r="207" spans="1:1" x14ac:dyDescent="0.2">
      <c r="A207" s="29"/>
    </row>
    <row r="208" spans="1:1" x14ac:dyDescent="0.2">
      <c r="A208" s="29"/>
    </row>
    <row r="209" spans="1:1" x14ac:dyDescent="0.2">
      <c r="A209" s="29"/>
    </row>
    <row r="210" spans="1:1" x14ac:dyDescent="0.2">
      <c r="A210" s="29"/>
    </row>
    <row r="211" spans="1:1" x14ac:dyDescent="0.2">
      <c r="A211" s="29"/>
    </row>
    <row r="212" spans="1:1" x14ac:dyDescent="0.2">
      <c r="A212" s="29"/>
    </row>
    <row r="213" spans="1:1" x14ac:dyDescent="0.2">
      <c r="A213" s="29"/>
    </row>
    <row r="214" spans="1:1" x14ac:dyDescent="0.2">
      <c r="A214" s="29"/>
    </row>
    <row r="215" spans="1:1" x14ac:dyDescent="0.2">
      <c r="A215" s="29"/>
    </row>
    <row r="216" spans="1:1" x14ac:dyDescent="0.2">
      <c r="A216" s="29"/>
    </row>
    <row r="217" spans="1:1" x14ac:dyDescent="0.2">
      <c r="A217" s="29"/>
    </row>
    <row r="218" spans="1:1" x14ac:dyDescent="0.2">
      <c r="A218" s="29"/>
    </row>
    <row r="219" spans="1:1" x14ac:dyDescent="0.2">
      <c r="A219" s="29"/>
    </row>
    <row r="220" spans="1:1" x14ac:dyDescent="0.2">
      <c r="A220" s="29"/>
    </row>
    <row r="221" spans="1:1" x14ac:dyDescent="0.2">
      <c r="A221" s="29"/>
    </row>
    <row r="222" spans="1:1" x14ac:dyDescent="0.2">
      <c r="A222" s="29"/>
    </row>
    <row r="223" spans="1:1" x14ac:dyDescent="0.2">
      <c r="A223" s="29"/>
    </row>
    <row r="224" spans="1:1" x14ac:dyDescent="0.2">
      <c r="A224" s="29"/>
    </row>
    <row r="225" spans="1:1" x14ac:dyDescent="0.2">
      <c r="A225" s="29"/>
    </row>
    <row r="226" spans="1:1" x14ac:dyDescent="0.2">
      <c r="A226" s="29"/>
    </row>
    <row r="227" spans="1:1" x14ac:dyDescent="0.2">
      <c r="A227" s="29"/>
    </row>
    <row r="228" spans="1:1" x14ac:dyDescent="0.2">
      <c r="A228" s="29"/>
    </row>
    <row r="229" spans="1:1" x14ac:dyDescent="0.2">
      <c r="A229" s="29"/>
    </row>
    <row r="230" spans="1:1" x14ac:dyDescent="0.2">
      <c r="A230" s="29"/>
    </row>
    <row r="231" spans="1:1" x14ac:dyDescent="0.2">
      <c r="A231" s="29"/>
    </row>
    <row r="232" spans="1:1" x14ac:dyDescent="0.2">
      <c r="A232" s="29"/>
    </row>
    <row r="233" spans="1:1" x14ac:dyDescent="0.2">
      <c r="A233" s="29"/>
    </row>
    <row r="234" spans="1:1" x14ac:dyDescent="0.2">
      <c r="A234" s="29"/>
    </row>
    <row r="235" spans="1:1" x14ac:dyDescent="0.2">
      <c r="A235" s="29"/>
    </row>
    <row r="236" spans="1:1" x14ac:dyDescent="0.2">
      <c r="A236" s="29"/>
    </row>
    <row r="237" spans="1:1" x14ac:dyDescent="0.2">
      <c r="A237" s="29"/>
    </row>
    <row r="238" spans="1:1" x14ac:dyDescent="0.2">
      <c r="A238" s="29"/>
    </row>
    <row r="239" spans="1:1" x14ac:dyDescent="0.2">
      <c r="A239" s="29"/>
    </row>
    <row r="240" spans="1:1" x14ac:dyDescent="0.2">
      <c r="A240" s="29"/>
    </row>
    <row r="241" spans="1:1" x14ac:dyDescent="0.2">
      <c r="A241" s="29"/>
    </row>
    <row r="242" spans="1:1" x14ac:dyDescent="0.2">
      <c r="A242" s="29"/>
    </row>
    <row r="243" spans="1:1" x14ac:dyDescent="0.2">
      <c r="A243" s="29"/>
    </row>
    <row r="244" spans="1:1" x14ac:dyDescent="0.2">
      <c r="A244" s="29"/>
    </row>
    <row r="245" spans="1:1" x14ac:dyDescent="0.2">
      <c r="A245" s="29"/>
    </row>
    <row r="246" spans="1:1" x14ac:dyDescent="0.2">
      <c r="A246" s="29"/>
    </row>
    <row r="247" spans="1:1" x14ac:dyDescent="0.2">
      <c r="A247" s="29"/>
    </row>
    <row r="248" spans="1:1" x14ac:dyDescent="0.2">
      <c r="A248" s="29"/>
    </row>
    <row r="249" spans="1:1" x14ac:dyDescent="0.2">
      <c r="A249" s="29"/>
    </row>
    <row r="250" spans="1:1" x14ac:dyDescent="0.2">
      <c r="A250" s="29"/>
    </row>
    <row r="251" spans="1:1" x14ac:dyDescent="0.2">
      <c r="A251" s="29"/>
    </row>
    <row r="252" spans="1:1" x14ac:dyDescent="0.2">
      <c r="A252" s="29"/>
    </row>
    <row r="253" spans="1:1" x14ac:dyDescent="0.2">
      <c r="A253" s="29"/>
    </row>
    <row r="254" spans="1:1" x14ac:dyDescent="0.2">
      <c r="A254" s="29"/>
    </row>
    <row r="255" spans="1:1" x14ac:dyDescent="0.2">
      <c r="A255" s="29"/>
    </row>
    <row r="256" spans="1:1" x14ac:dyDescent="0.2">
      <c r="A256" s="29"/>
    </row>
    <row r="257" spans="1:1" x14ac:dyDescent="0.2">
      <c r="A257" s="29"/>
    </row>
    <row r="258" spans="1:1" x14ac:dyDescent="0.2">
      <c r="A258" s="29"/>
    </row>
    <row r="259" spans="1:1" x14ac:dyDescent="0.2">
      <c r="A259" s="29"/>
    </row>
    <row r="260" spans="1:1" x14ac:dyDescent="0.2">
      <c r="A260" s="29"/>
    </row>
    <row r="261" spans="1:1" x14ac:dyDescent="0.2">
      <c r="A261" s="29"/>
    </row>
    <row r="262" spans="1:1" x14ac:dyDescent="0.2">
      <c r="A262" s="29"/>
    </row>
    <row r="263" spans="1:1" x14ac:dyDescent="0.2">
      <c r="A263" s="29"/>
    </row>
    <row r="264" spans="1:1" x14ac:dyDescent="0.2">
      <c r="A264" s="29"/>
    </row>
    <row r="265" spans="1:1" x14ac:dyDescent="0.2">
      <c r="A265" s="29"/>
    </row>
    <row r="266" spans="1:1" x14ac:dyDescent="0.2">
      <c r="A266" s="29"/>
    </row>
    <row r="267" spans="1:1" x14ac:dyDescent="0.2">
      <c r="A267" s="29"/>
    </row>
    <row r="268" spans="1:1" x14ac:dyDescent="0.2">
      <c r="A268" s="29"/>
    </row>
    <row r="269" spans="1:1" x14ac:dyDescent="0.2">
      <c r="A269" s="29"/>
    </row>
    <row r="270" spans="1:1" x14ac:dyDescent="0.2">
      <c r="A270" s="29"/>
    </row>
    <row r="271" spans="1:1" x14ac:dyDescent="0.2">
      <c r="A271" s="29"/>
    </row>
    <row r="272" spans="1:1" x14ac:dyDescent="0.2">
      <c r="A272" s="29"/>
    </row>
    <row r="273" spans="1:1" x14ac:dyDescent="0.2">
      <c r="A273" s="29"/>
    </row>
    <row r="274" spans="1:1" x14ac:dyDescent="0.2">
      <c r="A274" s="29"/>
    </row>
    <row r="275" spans="1:1" x14ac:dyDescent="0.2">
      <c r="A275" s="29"/>
    </row>
    <row r="276" spans="1:1" x14ac:dyDescent="0.2">
      <c r="A276" s="29"/>
    </row>
    <row r="277" spans="1:1" x14ac:dyDescent="0.2">
      <c r="A277" s="29"/>
    </row>
    <row r="278" spans="1:1" x14ac:dyDescent="0.2">
      <c r="A278" s="29"/>
    </row>
    <row r="279" spans="1:1" x14ac:dyDescent="0.2">
      <c r="A279" s="29"/>
    </row>
    <row r="280" spans="1:1" x14ac:dyDescent="0.2">
      <c r="A280" s="29"/>
    </row>
    <row r="281" spans="1:1" x14ac:dyDescent="0.2">
      <c r="A281" s="29"/>
    </row>
    <row r="282" spans="1:1" x14ac:dyDescent="0.2">
      <c r="A282" s="29"/>
    </row>
    <row r="283" spans="1:1" x14ac:dyDescent="0.2">
      <c r="A283" s="29"/>
    </row>
    <row r="284" spans="1:1" x14ac:dyDescent="0.2">
      <c r="A284" s="29"/>
    </row>
    <row r="285" spans="1:1" x14ac:dyDescent="0.2">
      <c r="A285" s="29"/>
    </row>
    <row r="286" spans="1:1" x14ac:dyDescent="0.2">
      <c r="A286" s="29"/>
    </row>
    <row r="287" spans="1:1" x14ac:dyDescent="0.2">
      <c r="A287" s="29"/>
    </row>
    <row r="288" spans="1:1" x14ac:dyDescent="0.2">
      <c r="A288" s="29"/>
    </row>
    <row r="289" spans="1:1" x14ac:dyDescent="0.2">
      <c r="A289" s="29"/>
    </row>
    <row r="290" spans="1:1" x14ac:dyDescent="0.2">
      <c r="A290" s="29"/>
    </row>
    <row r="291" spans="1:1" x14ac:dyDescent="0.2">
      <c r="A291" s="29"/>
    </row>
    <row r="292" spans="1:1" x14ac:dyDescent="0.2">
      <c r="A292" s="29"/>
    </row>
    <row r="293" spans="1:1" x14ac:dyDescent="0.2">
      <c r="A293" s="29"/>
    </row>
    <row r="294" spans="1:1" x14ac:dyDescent="0.2">
      <c r="A294" s="29"/>
    </row>
    <row r="295" spans="1:1" x14ac:dyDescent="0.2">
      <c r="A295" s="29"/>
    </row>
    <row r="296" spans="1:1" x14ac:dyDescent="0.2">
      <c r="A296" s="29"/>
    </row>
    <row r="297" spans="1:1" x14ac:dyDescent="0.2">
      <c r="A297" s="29"/>
    </row>
    <row r="298" spans="1:1" x14ac:dyDescent="0.2">
      <c r="A298" s="29"/>
    </row>
    <row r="299" spans="1:1" x14ac:dyDescent="0.2">
      <c r="A299" s="29"/>
    </row>
    <row r="300" spans="1:1" x14ac:dyDescent="0.2">
      <c r="A300" s="29"/>
    </row>
  </sheetData>
  <autoFilter ref="A1:B27"/>
  <conditionalFormatting sqref="A301:A1048576 A1:A26">
    <cfRule type="containsText" dxfId="758" priority="196" operator="containsText" text="BRACOPS">
      <formula>NOT(ISERROR(SEARCH("BRACOPS",A1)))</formula>
    </cfRule>
    <cfRule type="containsText" dxfId="757" priority="197" operator="containsText" text="PRIVE">
      <formula>NOT(ISERROR(SEARCH("PRIVE",A1)))</formula>
    </cfRule>
    <cfRule type="containsText" dxfId="756" priority="198" operator="containsText" text="CHIREC">
      <formula>NOT(ISERROR(SEARCH("CHIREC",A1)))</formula>
    </cfRule>
    <cfRule type="containsText" dxfId="755" priority="199" operator="containsText" text="CHWAPI">
      <formula>NOT(ISERROR(SEARCH("CHWAPI",A1)))</formula>
    </cfRule>
    <cfRule type="containsText" dxfId="754" priority="200" operator="containsText" text="ERASME">
      <formula>NOT(ISERROR(SEARCH("ERASME",A1)))</formula>
    </cfRule>
    <cfRule type="containsText" dxfId="753" priority="201" operator="containsText" text="CHIREC EDITH CAVELL">
      <formula>NOT(ISERROR(SEARCH("CHIREC EDITH CAVELL",A1)))</formula>
    </cfRule>
  </conditionalFormatting>
  <conditionalFormatting sqref="B1">
    <cfRule type="containsText" dxfId="752" priority="70" operator="containsText" text="BRACOPS">
      <formula>NOT(ISERROR(SEARCH("BRACOPS",B1)))</formula>
    </cfRule>
    <cfRule type="containsText" dxfId="751" priority="71" operator="containsText" text="PRIVE">
      <formula>NOT(ISERROR(SEARCH("PRIVE",B1)))</formula>
    </cfRule>
    <cfRule type="containsText" dxfId="750" priority="72" operator="containsText" text="CHIREC">
      <formula>NOT(ISERROR(SEARCH("CHIREC",B1)))</formula>
    </cfRule>
    <cfRule type="containsText" dxfId="749" priority="73" operator="containsText" text="CHWAPI">
      <formula>NOT(ISERROR(SEARCH("CHWAPI",B1)))</formula>
    </cfRule>
    <cfRule type="containsText" dxfId="748" priority="74" operator="containsText" text="ERASME">
      <formula>NOT(ISERROR(SEARCH("ERASME",B1)))</formula>
    </cfRule>
    <cfRule type="containsText" dxfId="747" priority="75" operator="containsText" text="CHIREC EDITH CAVELL">
      <formula>NOT(ISERROR(SEARCH("CHIREC EDITH CAVELL",B1)))</formula>
    </cfRule>
  </conditionalFormatting>
  <conditionalFormatting sqref="B7">
    <cfRule type="containsText" dxfId="746" priority="58" operator="containsText" text="BRACOPS">
      <formula>NOT(ISERROR(SEARCH("BRACOPS",B7)))</formula>
    </cfRule>
    <cfRule type="containsText" dxfId="745" priority="59" operator="containsText" text="PRIVE">
      <formula>NOT(ISERROR(SEARCH("PRIVE",B7)))</formula>
    </cfRule>
    <cfRule type="containsText" dxfId="744" priority="60" operator="containsText" text="CHIREC">
      <formula>NOT(ISERROR(SEARCH("CHIREC",B7)))</formula>
    </cfRule>
    <cfRule type="containsText" dxfId="743" priority="61" operator="containsText" text="CHWAPI">
      <formula>NOT(ISERROR(SEARCH("CHWAPI",B7)))</formula>
    </cfRule>
    <cfRule type="containsText" dxfId="742" priority="62" operator="containsText" text="ERASME">
      <formula>NOT(ISERROR(SEARCH("ERASME",B7)))</formula>
    </cfRule>
    <cfRule type="containsText" dxfId="741" priority="63" operator="containsText" text="CHIREC EDITH CAVELL">
      <formula>NOT(ISERROR(SEARCH("CHIREC EDITH CAVELL",B7)))</formula>
    </cfRule>
  </conditionalFormatting>
  <conditionalFormatting sqref="B8">
    <cfRule type="containsText" dxfId="740" priority="64" operator="containsText" text="BRACOPS">
      <formula>NOT(ISERROR(SEARCH("BRACOPS",B8)))</formula>
    </cfRule>
    <cfRule type="containsText" dxfId="739" priority="65" operator="containsText" text="PRIVE">
      <formula>NOT(ISERROR(SEARCH("PRIVE",B8)))</formula>
    </cfRule>
    <cfRule type="containsText" dxfId="738" priority="66" operator="containsText" text="CHIREC">
      <formula>NOT(ISERROR(SEARCH("CHIREC",B8)))</formula>
    </cfRule>
    <cfRule type="containsText" dxfId="737" priority="67" operator="containsText" text="CHWAPI">
      <formula>NOT(ISERROR(SEARCH("CHWAPI",B8)))</formula>
    </cfRule>
    <cfRule type="containsText" dxfId="736" priority="68" operator="containsText" text="ERASME">
      <formula>NOT(ISERROR(SEARCH("ERASME",B8)))</formula>
    </cfRule>
    <cfRule type="containsText" dxfId="735" priority="69" operator="containsText" text="CHIREC EDITH CAVELL">
      <formula>NOT(ISERROR(SEARCH("CHIREC EDITH CAVELL",B8)))</formula>
    </cfRule>
  </conditionalFormatting>
  <conditionalFormatting sqref="B3">
    <cfRule type="containsText" dxfId="734" priority="52" operator="containsText" text="BRACOPS">
      <formula>NOT(ISERROR(SEARCH("BRACOPS",B3)))</formula>
    </cfRule>
    <cfRule type="containsText" dxfId="733" priority="53" operator="containsText" text="PRIVE">
      <formula>NOT(ISERROR(SEARCH("PRIVE",B3)))</formula>
    </cfRule>
    <cfRule type="containsText" dxfId="732" priority="54" operator="containsText" text="CHIREC">
      <formula>NOT(ISERROR(SEARCH("CHIREC",B3)))</formula>
    </cfRule>
    <cfRule type="containsText" dxfId="731" priority="55" operator="containsText" text="CHWAPI">
      <formula>NOT(ISERROR(SEARCH("CHWAPI",B3)))</formula>
    </cfRule>
    <cfRule type="containsText" dxfId="730" priority="56" operator="containsText" text="ERASME">
      <formula>NOT(ISERROR(SEARCH("ERASME",B3)))</formula>
    </cfRule>
    <cfRule type="containsText" dxfId="729" priority="57" operator="containsText" text="CHIREC EDITH CAVELL">
      <formula>NOT(ISERROR(SEARCH("CHIREC EDITH CAVELL",B3)))</formula>
    </cfRule>
  </conditionalFormatting>
  <conditionalFormatting sqref="B20">
    <cfRule type="containsText" dxfId="728" priority="46" operator="containsText" text="BRACOPS">
      <formula>NOT(ISERROR(SEARCH("BRACOPS",B20)))</formula>
    </cfRule>
    <cfRule type="containsText" dxfId="727" priority="47" operator="containsText" text="PRIVE">
      <formula>NOT(ISERROR(SEARCH("PRIVE",B20)))</formula>
    </cfRule>
    <cfRule type="containsText" dxfId="726" priority="48" operator="containsText" text="CHIREC">
      <formula>NOT(ISERROR(SEARCH("CHIREC",B20)))</formula>
    </cfRule>
    <cfRule type="containsText" dxfId="725" priority="49" operator="containsText" text="CHWAPI">
      <formula>NOT(ISERROR(SEARCH("CHWAPI",B20)))</formula>
    </cfRule>
    <cfRule type="containsText" dxfId="724" priority="50" operator="containsText" text="ERASME">
      <formula>NOT(ISERROR(SEARCH("ERASME",B20)))</formula>
    </cfRule>
    <cfRule type="containsText" dxfId="723" priority="51" operator="containsText" text="CHIREC EDITH CAVELL">
      <formula>NOT(ISERROR(SEARCH("CHIREC EDITH CAVELL",B20)))</formula>
    </cfRule>
  </conditionalFormatting>
  <conditionalFormatting sqref="B19">
    <cfRule type="containsText" dxfId="722" priority="40" operator="containsText" text="BRACOPS">
      <formula>NOT(ISERROR(SEARCH("BRACOPS",B19)))</formula>
    </cfRule>
    <cfRule type="containsText" dxfId="721" priority="41" operator="containsText" text="PRIVE">
      <formula>NOT(ISERROR(SEARCH("PRIVE",B19)))</formula>
    </cfRule>
    <cfRule type="containsText" dxfId="720" priority="42" operator="containsText" text="CHIREC">
      <formula>NOT(ISERROR(SEARCH("CHIREC",B19)))</formula>
    </cfRule>
    <cfRule type="containsText" dxfId="719" priority="43" operator="containsText" text="CHWAPI">
      <formula>NOT(ISERROR(SEARCH("CHWAPI",B19)))</formula>
    </cfRule>
    <cfRule type="containsText" dxfId="718" priority="44" operator="containsText" text="ERASME">
      <formula>NOT(ISERROR(SEARCH("ERASME",B19)))</formula>
    </cfRule>
    <cfRule type="containsText" dxfId="717" priority="45" operator="containsText" text="CHIREC EDITH CAVELL">
      <formula>NOT(ISERROR(SEARCH("CHIREC EDITH CAVELL",B19)))</formula>
    </cfRule>
  </conditionalFormatting>
  <conditionalFormatting sqref="B24">
    <cfRule type="containsText" dxfId="716" priority="34" operator="containsText" text="BRACOPS">
      <formula>NOT(ISERROR(SEARCH("BRACOPS",B24)))</formula>
    </cfRule>
    <cfRule type="containsText" dxfId="715" priority="35" operator="containsText" text="PRIVE">
      <formula>NOT(ISERROR(SEARCH("PRIVE",B24)))</formula>
    </cfRule>
    <cfRule type="containsText" dxfId="714" priority="36" operator="containsText" text="CHIREC">
      <formula>NOT(ISERROR(SEARCH("CHIREC",B24)))</formula>
    </cfRule>
    <cfRule type="containsText" dxfId="713" priority="37" operator="containsText" text="CHWAPI">
      <formula>NOT(ISERROR(SEARCH("CHWAPI",B24)))</formula>
    </cfRule>
    <cfRule type="containsText" dxfId="712" priority="38" operator="containsText" text="ERASME">
      <formula>NOT(ISERROR(SEARCH("ERASME",B24)))</formula>
    </cfRule>
    <cfRule type="containsText" dxfId="711" priority="39" operator="containsText" text="CHIREC EDITH CAVELL">
      <formula>NOT(ISERROR(SEARCH("CHIREC EDITH CAVELL",B24)))</formula>
    </cfRule>
  </conditionalFormatting>
  <conditionalFormatting sqref="A34:A36">
    <cfRule type="containsText" dxfId="710" priority="28" operator="containsText" text="BRACOPS">
      <formula>NOT(ISERROR(SEARCH("BRACOPS",A34)))</formula>
    </cfRule>
    <cfRule type="containsText" dxfId="709" priority="29" operator="containsText" text="PRIVE">
      <formula>NOT(ISERROR(SEARCH("PRIVE",A34)))</formula>
    </cfRule>
    <cfRule type="containsText" dxfId="708" priority="30" operator="containsText" text="CHIREC">
      <formula>NOT(ISERROR(SEARCH("CHIREC",A34)))</formula>
    </cfRule>
    <cfRule type="containsText" dxfId="707" priority="31" operator="containsText" text="CHWAPI">
      <formula>NOT(ISERROR(SEARCH("CHWAPI",A34)))</formula>
    </cfRule>
    <cfRule type="containsText" dxfId="706" priority="32" operator="containsText" text="ERASME">
      <formula>NOT(ISERROR(SEARCH("ERASME",A34)))</formula>
    </cfRule>
    <cfRule type="containsText" dxfId="705" priority="33" operator="containsText" text="CHIREC EDITH CAVELL">
      <formula>NOT(ISERROR(SEARCH("CHIREC EDITH CAVELL",A34)))</formula>
    </cfRule>
  </conditionalFormatting>
  <conditionalFormatting sqref="B34:B36">
    <cfRule type="containsText" dxfId="704" priority="22" operator="containsText" text="BRACOPS">
      <formula>NOT(ISERROR(SEARCH("BRACOPS",B34)))</formula>
    </cfRule>
    <cfRule type="containsText" dxfId="703" priority="23" operator="containsText" text="PRIVE">
      <formula>NOT(ISERROR(SEARCH("PRIVE",B34)))</formula>
    </cfRule>
    <cfRule type="containsText" dxfId="702" priority="24" operator="containsText" text="CHIREC">
      <formula>NOT(ISERROR(SEARCH("CHIREC",B34)))</formula>
    </cfRule>
    <cfRule type="containsText" dxfId="701" priority="25" operator="containsText" text="CHWAPI">
      <formula>NOT(ISERROR(SEARCH("CHWAPI",B34)))</formula>
    </cfRule>
    <cfRule type="containsText" dxfId="700" priority="26" operator="containsText" text="ERASME">
      <formula>NOT(ISERROR(SEARCH("ERASME",B34)))</formula>
    </cfRule>
    <cfRule type="containsText" dxfId="699" priority="27" operator="containsText" text="CHIREC EDITH CAVELL">
      <formula>NOT(ISERROR(SEARCH("CHIREC EDITH CAVELL",B34)))</formula>
    </cfRule>
  </conditionalFormatting>
  <conditionalFormatting sqref="A38">
    <cfRule type="containsText" dxfId="698" priority="16" operator="containsText" text="BRACOPS">
      <formula>NOT(ISERROR(SEARCH("BRACOPS",A38)))</formula>
    </cfRule>
    <cfRule type="containsText" dxfId="697" priority="17" operator="containsText" text="PRIVE">
      <formula>NOT(ISERROR(SEARCH("PRIVE",A38)))</formula>
    </cfRule>
    <cfRule type="containsText" dxfId="696" priority="18" operator="containsText" text="CHIREC">
      <formula>NOT(ISERROR(SEARCH("CHIREC",A38)))</formula>
    </cfRule>
    <cfRule type="containsText" dxfId="695" priority="19" operator="containsText" text="CHWAPI">
      <formula>NOT(ISERROR(SEARCH("CHWAPI",A38)))</formula>
    </cfRule>
    <cfRule type="containsText" dxfId="694" priority="20" operator="containsText" text="ERASME">
      <formula>NOT(ISERROR(SEARCH("ERASME",A38)))</formula>
    </cfRule>
    <cfRule type="containsText" dxfId="693" priority="21" operator="containsText" text="CHIREC EDITH CAVELL">
      <formula>NOT(ISERROR(SEARCH("CHIREC EDITH CAVELL",A38)))</formula>
    </cfRule>
  </conditionalFormatting>
  <conditionalFormatting sqref="A37">
    <cfRule type="containsText" dxfId="692" priority="11" operator="containsText" text="CHWAPI">
      <formula>NOT(ISERROR(SEARCH("CHWAPI",A37)))</formula>
    </cfRule>
    <cfRule type="containsText" dxfId="691" priority="12" operator="containsText" text="ERASME">
      <formula>NOT(ISERROR(SEARCH("ERASME",A37)))</formula>
    </cfRule>
    <cfRule type="containsText" dxfId="690" priority="13" operator="containsText" text="CHR">
      <formula>NOT(ISERROR(SEARCH("CHR",A37)))</formula>
    </cfRule>
    <cfRule type="containsText" dxfId="689" priority="14" operator="containsText" text="ERASME">
      <formula>NOT(ISERROR(SEARCH("ERASME",A37)))</formula>
    </cfRule>
    <cfRule type="containsText" dxfId="688" priority="15" operator="containsText" text="CHIREC">
      <formula>NOT(ISERROR(SEARCH("CHIREC",A37)))</formula>
    </cfRule>
  </conditionalFormatting>
  <conditionalFormatting sqref="B37">
    <cfRule type="containsText" dxfId="687" priority="6" operator="containsText" text="CHWAPI">
      <formula>NOT(ISERROR(SEARCH("CHWAPI",B37)))</formula>
    </cfRule>
    <cfRule type="containsText" dxfId="686" priority="7" operator="containsText" text="ERASME">
      <formula>NOT(ISERROR(SEARCH("ERASME",B37)))</formula>
    </cfRule>
    <cfRule type="containsText" dxfId="685" priority="8" operator="containsText" text="CHR">
      <formula>NOT(ISERROR(SEARCH("CHR",B37)))</formula>
    </cfRule>
    <cfRule type="containsText" dxfId="684" priority="9" operator="containsText" text="ERASME">
      <formula>NOT(ISERROR(SEARCH("ERASME",B37)))</formula>
    </cfRule>
    <cfRule type="containsText" dxfId="683" priority="10" operator="containsText" text="CHIREC">
      <formula>NOT(ISERROR(SEARCH("CHIREC",B37)))</formula>
    </cfRule>
  </conditionalFormatting>
  <conditionalFormatting sqref="A33:B33">
    <cfRule type="containsText" dxfId="682" priority="1" operator="containsText" text="CHWAPI">
      <formula>NOT(ISERROR(SEARCH("CHWAPI",A33)))</formula>
    </cfRule>
    <cfRule type="containsText" dxfId="681" priority="2" operator="containsText" text="ERASME">
      <formula>NOT(ISERROR(SEARCH("ERASME",A33)))</formula>
    </cfRule>
    <cfRule type="containsText" dxfId="680" priority="3" operator="containsText" text="CHR">
      <formula>NOT(ISERROR(SEARCH("CHR",A33)))</formula>
    </cfRule>
    <cfRule type="containsText" dxfId="679" priority="4" operator="containsText" text="ERASME">
      <formula>NOT(ISERROR(SEARCH("ERASME",A33)))</formula>
    </cfRule>
    <cfRule type="containsText" dxfId="678" priority="5" operator="containsText" text="CHIREC">
      <formula>NOT(ISERROR(SEARCH("CHIREC",A33)))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Q55"/>
  <sheetViews>
    <sheetView workbookViewId="0">
      <selection activeCell="D3" sqref="D3:E5"/>
    </sheetView>
  </sheetViews>
  <sheetFormatPr baseColWidth="10" defaultColWidth="11.42578125" defaultRowHeight="15" x14ac:dyDescent="0.25"/>
  <cols>
    <col min="1" max="1" width="21" customWidth="1"/>
    <col min="2" max="2" width="21.85546875" customWidth="1"/>
    <col min="3" max="3" width="25.42578125" customWidth="1"/>
    <col min="4" max="4" width="21" customWidth="1"/>
    <col min="5" max="5" width="23.85546875" customWidth="1"/>
    <col min="6" max="6" width="7.28515625" customWidth="1"/>
    <col min="7" max="7" width="17.28515625" customWidth="1"/>
    <col min="8" max="8" width="17" customWidth="1"/>
    <col min="9" max="9" width="3.140625" customWidth="1"/>
    <col min="10" max="10" width="8.5703125" customWidth="1"/>
    <col min="11" max="11" width="8.140625" customWidth="1"/>
    <col min="12" max="12" width="9" customWidth="1"/>
    <col min="13" max="13" width="8.42578125" customWidth="1"/>
    <col min="14" max="14" width="15" customWidth="1"/>
    <col min="15" max="15" width="9.42578125" customWidth="1"/>
    <col min="16" max="16" width="15.28515625" customWidth="1"/>
    <col min="17" max="17" width="7" customWidth="1"/>
    <col min="18" max="18" width="7.5703125" customWidth="1"/>
    <col min="19" max="19" width="8.42578125" customWidth="1"/>
    <col min="20" max="20" width="10.28515625" customWidth="1"/>
    <col min="21" max="21" width="13.85546875" customWidth="1"/>
    <col min="22" max="22" width="12.5703125" customWidth="1"/>
    <col min="23" max="23" width="23.85546875" bestFit="1" customWidth="1"/>
    <col min="24" max="26" width="23.85546875" customWidth="1"/>
    <col min="27" max="27" width="12.5703125" customWidth="1"/>
    <col min="28" max="28" width="6.28515625" customWidth="1"/>
    <col min="29" max="29" width="18" bestFit="1" customWidth="1"/>
    <col min="30" max="30" width="19.140625" bestFit="1" customWidth="1"/>
    <col min="31" max="31" width="22.28515625" bestFit="1" customWidth="1"/>
    <col min="32" max="32" width="14.28515625" bestFit="1" customWidth="1"/>
    <col min="33" max="33" width="9.28515625" customWidth="1"/>
    <col min="34" max="34" width="7.28515625" customWidth="1"/>
    <col min="35" max="35" width="17.28515625" bestFit="1" customWidth="1"/>
    <col min="36" max="36" width="17" bestFit="1" customWidth="1"/>
    <col min="37" max="37" width="3.140625" customWidth="1"/>
    <col min="38" max="38" width="8.5703125" customWidth="1"/>
    <col min="39" max="39" width="8.140625" customWidth="1"/>
    <col min="40" max="40" width="3.7109375" customWidth="1"/>
    <col min="41" max="41" width="9" customWidth="1"/>
    <col min="42" max="42" width="8.42578125" customWidth="1"/>
    <col min="43" max="43" width="6.28515625" customWidth="1"/>
    <col min="44" max="44" width="13.42578125" bestFit="1" customWidth="1"/>
    <col min="45" max="45" width="14.28515625" bestFit="1" customWidth="1"/>
    <col min="46" max="46" width="9.28515625" customWidth="1"/>
    <col min="47" max="47" width="7.28515625" customWidth="1"/>
    <col min="48" max="48" width="17.28515625" bestFit="1" customWidth="1"/>
    <col min="49" max="49" width="17" bestFit="1" customWidth="1"/>
    <col min="50" max="50" width="3.140625" customWidth="1"/>
    <col min="51" max="51" width="8.5703125" customWidth="1"/>
    <col min="52" max="52" width="8.140625" customWidth="1"/>
    <col min="53" max="53" width="3.7109375" customWidth="1"/>
    <col min="54" max="54" width="9" customWidth="1"/>
    <col min="55" max="55" width="8.42578125" customWidth="1"/>
    <col min="56" max="56" width="6.28515625" customWidth="1"/>
    <col min="57" max="57" width="14.7109375" bestFit="1" customWidth="1"/>
    <col min="58" max="58" width="18.85546875" bestFit="1" customWidth="1"/>
    <col min="59" max="59" width="22" bestFit="1" customWidth="1"/>
    <col min="60" max="60" width="5" customWidth="1"/>
    <col min="61" max="61" width="8" customWidth="1"/>
    <col min="62" max="62" width="14.42578125" bestFit="1" customWidth="1"/>
    <col min="63" max="63" width="17.5703125" bestFit="1" customWidth="1"/>
    <col min="64" max="64" width="17.42578125" bestFit="1" customWidth="1"/>
    <col min="65" max="65" width="20.5703125" bestFit="1" customWidth="1"/>
    <col min="66" max="66" width="17.28515625" bestFit="1" customWidth="1"/>
    <col min="67" max="67" width="20.42578125" bestFit="1" customWidth="1"/>
    <col min="68" max="68" width="18.7109375" bestFit="1" customWidth="1"/>
    <col min="69" max="69" width="21.85546875" bestFit="1" customWidth="1"/>
    <col min="70" max="70" width="19.85546875" bestFit="1" customWidth="1"/>
    <col min="71" max="71" width="23" bestFit="1" customWidth="1"/>
    <col min="72" max="72" width="12.7109375" bestFit="1" customWidth="1"/>
    <col min="73" max="73" width="15.7109375" bestFit="1" customWidth="1"/>
    <col min="74" max="74" width="18.5703125" bestFit="1" customWidth="1"/>
    <col min="75" max="75" width="21.7109375" bestFit="1" customWidth="1"/>
    <col min="76" max="76" width="19.85546875" bestFit="1" customWidth="1"/>
    <col min="77" max="77" width="23" bestFit="1" customWidth="1"/>
    <col min="78" max="78" width="13.28515625" bestFit="1" customWidth="1"/>
    <col min="79" max="79" width="16.42578125" bestFit="1" customWidth="1"/>
    <col min="80" max="80" width="21.42578125" bestFit="1" customWidth="1"/>
    <col min="81" max="81" width="24.5703125" bestFit="1" customWidth="1"/>
    <col min="82" max="82" width="5.5703125" customWidth="1"/>
    <col min="83" max="83" width="8.5703125" customWidth="1"/>
    <col min="84" max="84" width="10.85546875" customWidth="1"/>
    <col min="85" max="85" width="13.85546875" bestFit="1" customWidth="1"/>
    <col min="86" max="86" width="10.28515625" customWidth="1"/>
    <col min="87" max="87" width="13.28515625" bestFit="1" customWidth="1"/>
    <col min="88" max="88" width="12.5703125" bestFit="1" customWidth="1"/>
  </cols>
  <sheetData>
    <row r="1" spans="1:5" x14ac:dyDescent="0.25">
      <c r="A1" s="20" t="s">
        <v>17</v>
      </c>
      <c r="B1" s="64" t="s">
        <v>191</v>
      </c>
    </row>
    <row r="3" spans="1:5" x14ac:dyDescent="0.25">
      <c r="A3" s="20" t="s">
        <v>189</v>
      </c>
      <c r="B3" t="s">
        <v>82</v>
      </c>
      <c r="D3" s="20" t="s">
        <v>82</v>
      </c>
      <c r="E3" s="20" t="s">
        <v>194</v>
      </c>
    </row>
    <row r="4" spans="1:5" x14ac:dyDescent="0.25">
      <c r="A4" s="9" t="s">
        <v>192</v>
      </c>
      <c r="B4" s="21"/>
      <c r="D4" s="20" t="s">
        <v>189</v>
      </c>
      <c r="E4" s="64" t="s">
        <v>192</v>
      </c>
    </row>
    <row r="5" spans="1:5" x14ac:dyDescent="0.25">
      <c r="D5" s="9" t="s">
        <v>192</v>
      </c>
      <c r="E5" s="21"/>
    </row>
    <row r="28" spans="1:17" x14ac:dyDescent="0.25"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1:17" x14ac:dyDescent="0.25">
      <c r="A29" s="97" t="s">
        <v>17</v>
      </c>
      <c r="B29" s="97" t="s">
        <v>191</v>
      </c>
    </row>
    <row r="30" spans="1:17" x14ac:dyDescent="0.25">
      <c r="A30" s="97"/>
      <c r="B30" s="97"/>
    </row>
    <row r="31" spans="1:17" x14ac:dyDescent="0.25">
      <c r="A31" s="97" t="s">
        <v>189</v>
      </c>
      <c r="B31" s="97" t="s">
        <v>82</v>
      </c>
    </row>
    <row r="32" spans="1:17" x14ac:dyDescent="0.25">
      <c r="A32" s="98" t="s">
        <v>192</v>
      </c>
      <c r="B32" s="100" t="e">
        <v>#DIV/0!</v>
      </c>
    </row>
    <row r="52" spans="1:2" x14ac:dyDescent="0.25">
      <c r="A52" s="97" t="s">
        <v>17</v>
      </c>
      <c r="B52" s="97" t="s">
        <v>191</v>
      </c>
    </row>
    <row r="53" spans="1:2" x14ac:dyDescent="0.25">
      <c r="A53" s="97"/>
      <c r="B53" s="97"/>
    </row>
    <row r="54" spans="1:2" x14ac:dyDescent="0.25">
      <c r="A54" s="97" t="s">
        <v>189</v>
      </c>
      <c r="B54" s="97" t="s">
        <v>308</v>
      </c>
    </row>
    <row r="55" spans="1:2" x14ac:dyDescent="0.25">
      <c r="A55" s="98" t="s">
        <v>192</v>
      </c>
      <c r="B55" s="100" t="e">
        <v>#DIV/0!</v>
      </c>
    </row>
  </sheetData>
  <pageMargins left="0.7" right="0.7" top="0.75" bottom="0.75" header="0.3" footer="0.3"/>
  <pageSetup paperSize="9" orientation="portrait" r:id="rId5"/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4:BP3075"/>
  <sheetViews>
    <sheetView topLeftCell="BI1" workbookViewId="0">
      <selection activeCell="BO16" sqref="BO16"/>
    </sheetView>
  </sheetViews>
  <sheetFormatPr baseColWidth="10" defaultColWidth="11.42578125" defaultRowHeight="15" x14ac:dyDescent="0.25"/>
  <cols>
    <col min="1" max="1" width="21" style="64" customWidth="1"/>
    <col min="2" max="2" width="21.85546875" style="64" customWidth="1"/>
    <col min="3" max="3" width="9.28515625" style="64" customWidth="1"/>
    <col min="4" max="4" width="7.28515625" style="64" customWidth="1"/>
    <col min="5" max="5" width="21" style="64" customWidth="1"/>
    <col min="6" max="6" width="23.85546875" style="64" customWidth="1"/>
    <col min="7" max="7" width="5" style="64" customWidth="1"/>
    <col min="8" max="8" width="12.140625" style="64" customWidth="1"/>
    <col min="9" max="9" width="15.28515625" style="64" customWidth="1"/>
    <col min="10" max="10" width="14.28515625" style="64" customWidth="1"/>
    <col min="11" max="11" width="9.28515625" style="64" customWidth="1"/>
    <col min="12" max="12" width="5.85546875" style="64" customWidth="1"/>
    <col min="13" max="13" width="9.28515625" style="64" customWidth="1"/>
    <col min="14" max="14" width="9.5703125" style="64" customWidth="1"/>
    <col min="15" max="15" width="17" style="64" customWidth="1"/>
    <col min="16" max="16" width="14.28515625" style="64" customWidth="1"/>
    <col min="17" max="17" width="12.85546875" style="64" customWidth="1"/>
    <col min="18" max="18" width="19.85546875" style="64" customWidth="1"/>
    <col min="19" max="19" width="12.42578125" style="64" customWidth="1"/>
    <col min="20" max="20" width="21" style="64" customWidth="1"/>
    <col min="21" max="21" width="16.42578125" style="64" customWidth="1"/>
    <col min="22" max="22" width="13" style="64" customWidth="1"/>
    <col min="23" max="23" width="17.28515625" style="64" customWidth="1"/>
    <col min="24" max="24" width="8.5703125" style="64" customWidth="1"/>
    <col min="25" max="25" width="15" style="64" customWidth="1"/>
    <col min="26" max="26" width="9.85546875" style="64" customWidth="1"/>
    <col min="27" max="27" width="17" style="64" customWidth="1"/>
    <col min="28" max="28" width="8.28515625" style="64" customWidth="1"/>
    <col min="29" max="29" width="3.140625" style="64" customWidth="1"/>
    <col min="30" max="30" width="8.85546875" style="64" customWidth="1"/>
    <col min="31" max="31" width="12.5703125" style="64" customWidth="1"/>
    <col min="32" max="32" width="18" style="64" customWidth="1"/>
    <col min="33" max="33" width="15.5703125" style="64" customWidth="1"/>
    <col min="34" max="34" width="15.42578125" style="64" customWidth="1"/>
    <col min="35" max="35" width="16.85546875" style="64" customWidth="1"/>
    <col min="36" max="36" width="18" style="64" customWidth="1"/>
    <col min="37" max="37" width="15.7109375" style="64" customWidth="1"/>
    <col min="38" max="38" width="17.7109375" style="64" customWidth="1"/>
    <col min="39" max="39" width="16.140625" style="64" customWidth="1"/>
    <col min="40" max="40" width="10.85546875" style="64" customWidth="1"/>
    <col min="41" max="41" width="14.85546875" style="64" customWidth="1"/>
    <col min="42" max="42" width="16.7109375" style="64" customWidth="1"/>
    <col min="43" max="43" width="18" style="64" customWidth="1"/>
    <col min="44" max="44" width="11.42578125" style="64" customWidth="1"/>
    <col min="45" max="45" width="12.42578125" style="64" customWidth="1"/>
    <col min="46" max="46" width="19.5703125" style="64" customWidth="1"/>
    <col min="47" max="47" width="11.5703125" style="64" customWidth="1"/>
    <col min="48" max="48" width="9.85546875" style="64" customWidth="1"/>
    <col min="49" max="49" width="5.85546875" style="64" customWidth="1"/>
    <col min="50" max="50" width="8.140625" style="64" customWidth="1"/>
    <col min="51" max="51" width="10.140625" style="64" customWidth="1"/>
    <col min="52" max="52" width="5.7109375" style="64" customWidth="1"/>
    <col min="53" max="53" width="8.28515625" style="64" customWidth="1"/>
    <col min="54" max="54" width="10.28515625" style="64" customWidth="1"/>
    <col min="55" max="55" width="3.7109375" style="64" customWidth="1"/>
    <col min="56" max="56" width="7.140625" style="64" customWidth="1"/>
    <col min="57" max="57" width="9" style="64" customWidth="1"/>
    <col min="58" max="58" width="8.42578125" style="64" customWidth="1"/>
    <col min="59" max="59" width="13.85546875" style="64" customWidth="1"/>
    <col min="60" max="60" width="10.7109375" style="64" customWidth="1"/>
    <col min="61" max="61" width="7" style="64" customWidth="1"/>
    <col min="62" max="62" width="10.28515625" style="64" customWidth="1"/>
    <col min="63" max="63" width="9.7109375" style="64" customWidth="1"/>
    <col min="64" max="64" width="8.42578125" style="64" customWidth="1"/>
    <col min="65" max="65" width="7.5703125" style="64" customWidth="1"/>
    <col min="66" max="66" width="7.28515625" style="64" customWidth="1"/>
    <col min="67" max="67" width="8.85546875" style="64" customWidth="1"/>
    <col min="68" max="68" width="12.5703125" style="64" customWidth="1"/>
    <col min="69" max="69" width="12.7109375" style="64" bestFit="1" customWidth="1"/>
    <col min="70" max="70" width="15.7109375" style="64" bestFit="1" customWidth="1"/>
    <col min="71" max="71" width="18.5703125" style="64" bestFit="1" customWidth="1"/>
    <col min="72" max="72" width="21.7109375" style="64" bestFit="1" customWidth="1"/>
    <col min="73" max="73" width="19.85546875" style="64" bestFit="1" customWidth="1"/>
    <col min="74" max="74" width="23" style="64" bestFit="1" customWidth="1"/>
    <col min="75" max="75" width="13.28515625" style="64" bestFit="1" customWidth="1"/>
    <col min="76" max="76" width="16.42578125" style="64" bestFit="1" customWidth="1"/>
    <col min="77" max="77" width="21.42578125" style="64" bestFit="1" customWidth="1"/>
    <col min="78" max="78" width="24.5703125" style="64" bestFit="1" customWidth="1"/>
    <col min="79" max="79" width="5.5703125" style="64" customWidth="1"/>
    <col min="80" max="80" width="8.5703125" style="64" customWidth="1"/>
    <col min="81" max="81" width="10.85546875" style="64" customWidth="1"/>
    <col min="82" max="82" width="13.85546875" style="64" bestFit="1" customWidth="1"/>
    <col min="83" max="83" width="10.28515625" style="64" customWidth="1"/>
    <col min="84" max="84" width="13.28515625" style="64" bestFit="1" customWidth="1"/>
    <col min="85" max="85" width="12.5703125" style="64" bestFit="1" customWidth="1"/>
    <col min="86" max="16384" width="11.42578125" style="64"/>
  </cols>
  <sheetData>
    <row r="4" spans="1:68" x14ac:dyDescent="0.25">
      <c r="A4" s="97" t="s">
        <v>17</v>
      </c>
      <c r="B4" s="97" t="s">
        <v>191</v>
      </c>
      <c r="E4" s="139" t="s">
        <v>17</v>
      </c>
      <c r="F4" s="139" t="s">
        <v>191</v>
      </c>
    </row>
    <row r="5" spans="1:68" x14ac:dyDescent="0.25">
      <c r="A5" s="97"/>
      <c r="B5" s="97"/>
      <c r="E5" s="139"/>
      <c r="F5" s="139"/>
    </row>
    <row r="6" spans="1:68" x14ac:dyDescent="0.25">
      <c r="A6" s="97" t="s">
        <v>189</v>
      </c>
      <c r="B6" s="97" t="s">
        <v>204</v>
      </c>
      <c r="C6"/>
      <c r="D6"/>
      <c r="E6" s="97" t="s">
        <v>204</v>
      </c>
      <c r="F6" s="97" t="s">
        <v>194</v>
      </c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7"/>
      <c r="BO6" s="97"/>
      <c r="BP6" s="97"/>
    </row>
    <row r="7" spans="1:68" x14ac:dyDescent="0.25">
      <c r="A7" s="98" t="s">
        <v>192</v>
      </c>
      <c r="B7" s="99"/>
      <c r="C7"/>
      <c r="D7"/>
      <c r="E7" s="97" t="s">
        <v>189</v>
      </c>
      <c r="F7" s="97" t="s">
        <v>314</v>
      </c>
      <c r="G7" s="97" t="s">
        <v>315</v>
      </c>
      <c r="H7" s="97" t="s">
        <v>237</v>
      </c>
      <c r="I7" s="97" t="s">
        <v>273</v>
      </c>
      <c r="J7" s="97" t="s">
        <v>40</v>
      </c>
      <c r="K7" s="97" t="s">
        <v>42</v>
      </c>
      <c r="L7" s="97" t="s">
        <v>275</v>
      </c>
      <c r="M7" s="97" t="s">
        <v>272</v>
      </c>
      <c r="N7" s="97" t="s">
        <v>337</v>
      </c>
      <c r="O7" s="97" t="s">
        <v>37</v>
      </c>
      <c r="P7" s="97" t="s">
        <v>53</v>
      </c>
      <c r="Q7" s="97" t="s">
        <v>316</v>
      </c>
      <c r="R7" s="97" t="s">
        <v>51</v>
      </c>
      <c r="S7" s="97" t="s">
        <v>317</v>
      </c>
      <c r="T7" s="97" t="s">
        <v>47</v>
      </c>
      <c r="U7" s="97" t="s">
        <v>318</v>
      </c>
      <c r="V7" s="97" t="s">
        <v>319</v>
      </c>
      <c r="W7" s="97" t="s">
        <v>39</v>
      </c>
      <c r="X7" s="97" t="s">
        <v>320</v>
      </c>
      <c r="Y7" s="97" t="s">
        <v>242</v>
      </c>
      <c r="Z7" s="97" t="s">
        <v>321</v>
      </c>
      <c r="AA7" s="97" t="s">
        <v>48</v>
      </c>
      <c r="AB7" s="97" t="s">
        <v>263</v>
      </c>
      <c r="AC7" s="97" t="s">
        <v>73</v>
      </c>
      <c r="AD7" s="97" t="s">
        <v>244</v>
      </c>
      <c r="AE7" s="97" t="s">
        <v>55</v>
      </c>
      <c r="AF7" s="97" t="s">
        <v>322</v>
      </c>
      <c r="AG7" s="97" t="s">
        <v>54</v>
      </c>
      <c r="AH7" s="97" t="s">
        <v>35</v>
      </c>
      <c r="AI7" s="97" t="s">
        <v>44</v>
      </c>
      <c r="AJ7" s="97" t="s">
        <v>43</v>
      </c>
      <c r="AK7" s="97" t="s">
        <v>323</v>
      </c>
      <c r="AL7" s="97" t="s">
        <v>271</v>
      </c>
      <c r="AM7" s="97" t="s">
        <v>248</v>
      </c>
      <c r="AN7" s="97" t="s">
        <v>38</v>
      </c>
      <c r="AO7" s="97" t="s">
        <v>155</v>
      </c>
      <c r="AP7" s="97" t="s">
        <v>52</v>
      </c>
      <c r="AQ7" s="97" t="s">
        <v>36</v>
      </c>
      <c r="AR7" s="97" t="s">
        <v>46</v>
      </c>
      <c r="AS7" s="97" t="s">
        <v>265</v>
      </c>
      <c r="AT7" s="97" t="s">
        <v>41</v>
      </c>
      <c r="AU7" s="97" t="s">
        <v>235</v>
      </c>
      <c r="AV7" s="97" t="s">
        <v>261</v>
      </c>
      <c r="AW7" s="97" t="s">
        <v>336</v>
      </c>
      <c r="AX7" s="97" t="s">
        <v>249</v>
      </c>
      <c r="AY7" s="97" t="s">
        <v>243</v>
      </c>
      <c r="AZ7" s="97" t="s">
        <v>324</v>
      </c>
      <c r="BA7" s="97" t="s">
        <v>174</v>
      </c>
      <c r="BB7" s="97" t="s">
        <v>236</v>
      </c>
      <c r="BC7" s="97" t="s">
        <v>50</v>
      </c>
      <c r="BD7" s="97" t="s">
        <v>239</v>
      </c>
      <c r="BE7" s="97" t="s">
        <v>7</v>
      </c>
      <c r="BF7" s="97" t="s">
        <v>49</v>
      </c>
      <c r="BG7" s="97" t="s">
        <v>349</v>
      </c>
      <c r="BH7" s="97" t="s">
        <v>350</v>
      </c>
      <c r="BI7" s="97" t="s">
        <v>276</v>
      </c>
      <c r="BJ7" s="97" t="s">
        <v>302</v>
      </c>
      <c r="BK7" s="97" t="s">
        <v>245</v>
      </c>
      <c r="BL7" s="97" t="s">
        <v>292</v>
      </c>
      <c r="BM7" s="97" t="s">
        <v>277</v>
      </c>
      <c r="BN7" s="97" t="s">
        <v>289</v>
      </c>
      <c r="BO7" s="97" t="s">
        <v>240</v>
      </c>
      <c r="BP7" s="97" t="s">
        <v>192</v>
      </c>
    </row>
    <row r="8" spans="1:68" x14ac:dyDescent="0.25">
      <c r="A8"/>
      <c r="B8"/>
      <c r="C8"/>
      <c r="D8"/>
      <c r="E8" s="98" t="s">
        <v>192</v>
      </c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</row>
    <row r="9" spans="1:68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</row>
    <row r="11" spans="1:68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</row>
    <row r="31" spans="1:68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</row>
    <row r="32" spans="1:68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</row>
    <row r="34" spans="1:68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</row>
    <row r="35" spans="1:68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</row>
    <row r="36" spans="1:68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</row>
    <row r="37" spans="1:68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</row>
    <row r="38" spans="1:68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</row>
    <row r="39" spans="1:68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</row>
    <row r="40" spans="1:68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</row>
    <row r="41" spans="1:68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</row>
    <row r="42" spans="1:68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</row>
    <row r="43" spans="1:68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</row>
    <row r="45" spans="1:68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</row>
    <row r="46" spans="1:68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</row>
    <row r="47" spans="1:68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</row>
    <row r="48" spans="1:68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</row>
    <row r="49" spans="1:68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</row>
    <row r="50" spans="1:68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</row>
    <row r="52" spans="1:68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</row>
    <row r="53" spans="1:68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</row>
    <row r="54" spans="1:68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</row>
    <row r="55" spans="1:68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</row>
    <row r="56" spans="1:68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</row>
    <row r="57" spans="1:68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</row>
    <row r="58" spans="1:68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</row>
    <row r="59" spans="1:68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</row>
    <row r="60" spans="1:68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</row>
    <row r="61" spans="1:68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</row>
    <row r="62" spans="1:68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  <row r="63" spans="1:68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</row>
    <row r="64" spans="1:68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</row>
    <row r="65" spans="1:68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</row>
    <row r="66" spans="1:68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</row>
    <row r="67" spans="1:68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</row>
    <row r="68" spans="1:68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</row>
    <row r="69" spans="1:68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</row>
    <row r="70" spans="1:68" x14ac:dyDescent="0.25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68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68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68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68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68" x14ac:dyDescent="0.25">
      <c r="A75"/>
      <c r="B75"/>
      <c r="E75"/>
      <c r="F75"/>
    </row>
    <row r="76" spans="1:68" x14ac:dyDescent="0.25">
      <c r="A76"/>
      <c r="B76"/>
      <c r="E76"/>
      <c r="F76"/>
    </row>
    <row r="77" spans="1:68" x14ac:dyDescent="0.25">
      <c r="A77"/>
      <c r="B77"/>
      <c r="E77"/>
      <c r="F77"/>
    </row>
    <row r="78" spans="1:68" x14ac:dyDescent="0.25">
      <c r="A78"/>
      <c r="B78"/>
      <c r="E78"/>
      <c r="F78"/>
    </row>
    <row r="79" spans="1:68" x14ac:dyDescent="0.25">
      <c r="A79"/>
      <c r="B79"/>
      <c r="E79"/>
      <c r="F79"/>
    </row>
    <row r="80" spans="1:68" x14ac:dyDescent="0.25">
      <c r="A80"/>
      <c r="B80"/>
      <c r="E80"/>
      <c r="F80"/>
    </row>
    <row r="81" spans="1:6" x14ac:dyDescent="0.25">
      <c r="A81"/>
      <c r="B81"/>
      <c r="E81"/>
      <c r="F81"/>
    </row>
    <row r="82" spans="1:6" x14ac:dyDescent="0.25">
      <c r="A82"/>
      <c r="B82"/>
      <c r="E82"/>
      <c r="F82"/>
    </row>
    <row r="83" spans="1:6" x14ac:dyDescent="0.25">
      <c r="A83"/>
      <c r="B83"/>
      <c r="E83"/>
      <c r="F83"/>
    </row>
    <row r="84" spans="1:6" x14ac:dyDescent="0.25">
      <c r="A84"/>
      <c r="B84"/>
      <c r="E84"/>
      <c r="F84"/>
    </row>
    <row r="85" spans="1:6" x14ac:dyDescent="0.25">
      <c r="A85"/>
      <c r="B85"/>
      <c r="E85"/>
      <c r="F85"/>
    </row>
    <row r="86" spans="1:6" x14ac:dyDescent="0.25">
      <c r="A86"/>
      <c r="B86"/>
      <c r="E86"/>
      <c r="F86"/>
    </row>
    <row r="87" spans="1:6" x14ac:dyDescent="0.25">
      <c r="A87"/>
      <c r="B87"/>
      <c r="E87"/>
      <c r="F87"/>
    </row>
    <row r="88" spans="1:6" x14ac:dyDescent="0.25">
      <c r="A88"/>
      <c r="B88"/>
      <c r="E88"/>
      <c r="F88"/>
    </row>
    <row r="89" spans="1:6" x14ac:dyDescent="0.25">
      <c r="A89"/>
      <c r="B89"/>
      <c r="E89"/>
      <c r="F89"/>
    </row>
    <row r="90" spans="1:6" x14ac:dyDescent="0.25">
      <c r="A90"/>
      <c r="B90"/>
      <c r="E90"/>
      <c r="F90"/>
    </row>
    <row r="91" spans="1:6" x14ac:dyDescent="0.25">
      <c r="A91"/>
      <c r="B91"/>
      <c r="E91"/>
      <c r="F91"/>
    </row>
    <row r="92" spans="1:6" x14ac:dyDescent="0.25">
      <c r="A92"/>
      <c r="B92"/>
      <c r="E92"/>
      <c r="F92"/>
    </row>
    <row r="93" spans="1:6" x14ac:dyDescent="0.25">
      <c r="A93"/>
      <c r="B93"/>
      <c r="E93"/>
      <c r="F93"/>
    </row>
    <row r="94" spans="1:6" x14ac:dyDescent="0.25">
      <c r="A94"/>
      <c r="B94"/>
      <c r="E94"/>
      <c r="F94"/>
    </row>
    <row r="95" spans="1:6" x14ac:dyDescent="0.25">
      <c r="A95"/>
      <c r="B95"/>
      <c r="E95"/>
      <c r="F95"/>
    </row>
    <row r="96" spans="1:6" x14ac:dyDescent="0.25">
      <c r="A96"/>
      <c r="B96"/>
      <c r="E96"/>
      <c r="F96"/>
    </row>
    <row r="97" spans="1:6" x14ac:dyDescent="0.25">
      <c r="A97"/>
      <c r="B97"/>
      <c r="E97"/>
      <c r="F97"/>
    </row>
    <row r="98" spans="1:6" x14ac:dyDescent="0.25">
      <c r="A98"/>
      <c r="B98"/>
      <c r="E98"/>
      <c r="F98"/>
    </row>
    <row r="99" spans="1:6" x14ac:dyDescent="0.25">
      <c r="A99"/>
      <c r="B99"/>
      <c r="E99"/>
      <c r="F99"/>
    </row>
    <row r="100" spans="1:6" x14ac:dyDescent="0.25">
      <c r="A100"/>
      <c r="B100"/>
      <c r="E100"/>
      <c r="F100"/>
    </row>
    <row r="101" spans="1:6" x14ac:dyDescent="0.25">
      <c r="A101"/>
      <c r="B101"/>
      <c r="E101"/>
      <c r="F101"/>
    </row>
    <row r="102" spans="1:6" x14ac:dyDescent="0.25">
      <c r="A102"/>
      <c r="B102"/>
      <c r="E102"/>
      <c r="F102"/>
    </row>
    <row r="103" spans="1:6" x14ac:dyDescent="0.25">
      <c r="A103"/>
      <c r="B103"/>
      <c r="E103"/>
      <c r="F103"/>
    </row>
    <row r="104" spans="1:6" x14ac:dyDescent="0.25">
      <c r="A104"/>
      <c r="B104"/>
      <c r="E104"/>
      <c r="F104"/>
    </row>
    <row r="105" spans="1:6" x14ac:dyDescent="0.25">
      <c r="A105"/>
      <c r="B105"/>
      <c r="E105"/>
      <c r="F105"/>
    </row>
    <row r="106" spans="1:6" x14ac:dyDescent="0.25">
      <c r="A106"/>
      <c r="B106"/>
      <c r="E106"/>
      <c r="F106"/>
    </row>
    <row r="107" spans="1:6" x14ac:dyDescent="0.25">
      <c r="A107"/>
      <c r="B107"/>
      <c r="E107"/>
      <c r="F107"/>
    </row>
    <row r="108" spans="1:6" x14ac:dyDescent="0.25">
      <c r="A108"/>
      <c r="B108"/>
      <c r="E108"/>
      <c r="F108"/>
    </row>
    <row r="109" spans="1:6" x14ac:dyDescent="0.25">
      <c r="A109"/>
      <c r="B109"/>
      <c r="E109"/>
      <c r="F109"/>
    </row>
    <row r="110" spans="1:6" x14ac:dyDescent="0.25">
      <c r="A110"/>
      <c r="B110"/>
      <c r="E110"/>
      <c r="F110"/>
    </row>
    <row r="111" spans="1:6" x14ac:dyDescent="0.25">
      <c r="A111"/>
      <c r="B111"/>
      <c r="E111"/>
      <c r="F111"/>
    </row>
    <row r="112" spans="1:6" x14ac:dyDescent="0.25">
      <c r="A112"/>
      <c r="B112"/>
      <c r="E112"/>
      <c r="F112"/>
    </row>
    <row r="113" spans="1:6" x14ac:dyDescent="0.25">
      <c r="A113"/>
      <c r="B113"/>
      <c r="E113"/>
      <c r="F113"/>
    </row>
    <row r="114" spans="1:6" x14ac:dyDescent="0.25">
      <c r="A114"/>
      <c r="B114"/>
      <c r="E114"/>
      <c r="F114"/>
    </row>
    <row r="115" spans="1:6" x14ac:dyDescent="0.25">
      <c r="A115"/>
      <c r="B115"/>
      <c r="E115"/>
      <c r="F115"/>
    </row>
    <row r="116" spans="1:6" x14ac:dyDescent="0.25">
      <c r="A116"/>
      <c r="B116"/>
      <c r="E116"/>
      <c r="F116"/>
    </row>
    <row r="117" spans="1:6" x14ac:dyDescent="0.25">
      <c r="A117"/>
      <c r="B117"/>
      <c r="E117"/>
      <c r="F117"/>
    </row>
    <row r="118" spans="1:6" x14ac:dyDescent="0.25">
      <c r="A118"/>
      <c r="B118"/>
      <c r="E118"/>
      <c r="F118"/>
    </row>
    <row r="119" spans="1:6" x14ac:dyDescent="0.25">
      <c r="A119"/>
      <c r="B119"/>
      <c r="E119"/>
      <c r="F119"/>
    </row>
    <row r="120" spans="1:6" x14ac:dyDescent="0.25">
      <c r="A120"/>
      <c r="B120"/>
      <c r="E120"/>
      <c r="F120"/>
    </row>
    <row r="121" spans="1:6" x14ac:dyDescent="0.25">
      <c r="A121"/>
      <c r="B121"/>
      <c r="E121"/>
      <c r="F121"/>
    </row>
    <row r="122" spans="1:6" x14ac:dyDescent="0.25">
      <c r="A122"/>
      <c r="B122"/>
      <c r="E122"/>
      <c r="F122"/>
    </row>
    <row r="123" spans="1:6" x14ac:dyDescent="0.25">
      <c r="A123"/>
      <c r="B123"/>
      <c r="E123"/>
      <c r="F123"/>
    </row>
    <row r="124" spans="1:6" x14ac:dyDescent="0.25">
      <c r="A124"/>
      <c r="B124"/>
      <c r="E124"/>
      <c r="F124"/>
    </row>
    <row r="125" spans="1:6" x14ac:dyDescent="0.25">
      <c r="A125"/>
      <c r="B125"/>
      <c r="E125"/>
      <c r="F125"/>
    </row>
    <row r="126" spans="1:6" x14ac:dyDescent="0.25">
      <c r="A126"/>
      <c r="B126"/>
      <c r="E126"/>
      <c r="F126"/>
    </row>
    <row r="127" spans="1:6" x14ac:dyDescent="0.25">
      <c r="A127"/>
      <c r="B127"/>
      <c r="E127"/>
      <c r="F127"/>
    </row>
    <row r="128" spans="1:6" x14ac:dyDescent="0.25">
      <c r="A128"/>
      <c r="B128"/>
      <c r="E128"/>
      <c r="F128"/>
    </row>
    <row r="129" spans="1:6" x14ac:dyDescent="0.25">
      <c r="A129"/>
      <c r="B129"/>
      <c r="E129"/>
      <c r="F129"/>
    </row>
    <row r="130" spans="1:6" x14ac:dyDescent="0.25">
      <c r="A130"/>
      <c r="B130"/>
      <c r="E130"/>
      <c r="F130"/>
    </row>
    <row r="131" spans="1:6" x14ac:dyDescent="0.25">
      <c r="A131"/>
      <c r="B131"/>
      <c r="E131"/>
      <c r="F131"/>
    </row>
    <row r="132" spans="1:6" x14ac:dyDescent="0.25">
      <c r="A132"/>
      <c r="B132"/>
      <c r="E132"/>
      <c r="F132"/>
    </row>
    <row r="133" spans="1:6" x14ac:dyDescent="0.25">
      <c r="A133"/>
      <c r="B133"/>
      <c r="E133"/>
      <c r="F133"/>
    </row>
    <row r="134" spans="1:6" x14ac:dyDescent="0.25">
      <c r="A134"/>
      <c r="B134"/>
      <c r="E134"/>
      <c r="F134"/>
    </row>
    <row r="135" spans="1:6" x14ac:dyDescent="0.25">
      <c r="A135"/>
      <c r="B135"/>
      <c r="E135"/>
      <c r="F135"/>
    </row>
    <row r="136" spans="1:6" x14ac:dyDescent="0.25">
      <c r="A136"/>
      <c r="B136"/>
      <c r="E136"/>
      <c r="F136"/>
    </row>
    <row r="137" spans="1:6" x14ac:dyDescent="0.25">
      <c r="A137"/>
      <c r="B137"/>
      <c r="E137"/>
      <c r="F137"/>
    </row>
    <row r="138" spans="1:6" x14ac:dyDescent="0.25">
      <c r="A138"/>
      <c r="B138"/>
      <c r="E138"/>
      <c r="F138"/>
    </row>
    <row r="139" spans="1:6" x14ac:dyDescent="0.25">
      <c r="A139"/>
      <c r="B139"/>
      <c r="E139"/>
      <c r="F139"/>
    </row>
    <row r="140" spans="1:6" x14ac:dyDescent="0.25">
      <c r="A140"/>
      <c r="B140"/>
      <c r="E140"/>
      <c r="F140"/>
    </row>
    <row r="141" spans="1:6" x14ac:dyDescent="0.25">
      <c r="A141"/>
      <c r="B141"/>
      <c r="E141"/>
      <c r="F141"/>
    </row>
    <row r="142" spans="1:6" x14ac:dyDescent="0.25">
      <c r="A142"/>
      <c r="B142"/>
      <c r="E142"/>
      <c r="F142"/>
    </row>
    <row r="143" spans="1:6" x14ac:dyDescent="0.25">
      <c r="A143"/>
      <c r="B143"/>
      <c r="E143"/>
      <c r="F143"/>
    </row>
    <row r="144" spans="1:6" x14ac:dyDescent="0.25">
      <c r="A144"/>
      <c r="B144"/>
      <c r="E144"/>
      <c r="F144"/>
    </row>
    <row r="145" spans="1:6" x14ac:dyDescent="0.25">
      <c r="A145"/>
      <c r="B145"/>
      <c r="E145"/>
      <c r="F145"/>
    </row>
    <row r="146" spans="1:6" x14ac:dyDescent="0.25">
      <c r="A146"/>
      <c r="B146"/>
      <c r="E146"/>
      <c r="F146"/>
    </row>
    <row r="147" spans="1:6" x14ac:dyDescent="0.25">
      <c r="A147"/>
      <c r="B147"/>
      <c r="E147"/>
      <c r="F147"/>
    </row>
    <row r="148" spans="1:6" x14ac:dyDescent="0.25">
      <c r="A148"/>
      <c r="B148"/>
      <c r="E148"/>
      <c r="F148"/>
    </row>
    <row r="149" spans="1:6" x14ac:dyDescent="0.25">
      <c r="A149"/>
      <c r="B149"/>
      <c r="E149"/>
      <c r="F149"/>
    </row>
    <row r="150" spans="1:6" x14ac:dyDescent="0.25">
      <c r="A150"/>
      <c r="B150"/>
      <c r="E150"/>
      <c r="F150"/>
    </row>
    <row r="151" spans="1:6" x14ac:dyDescent="0.25">
      <c r="A151"/>
      <c r="B151"/>
      <c r="E151"/>
      <c r="F151"/>
    </row>
    <row r="152" spans="1:6" x14ac:dyDescent="0.25">
      <c r="A152"/>
      <c r="B152"/>
      <c r="E152"/>
      <c r="F152"/>
    </row>
    <row r="153" spans="1:6" x14ac:dyDescent="0.25">
      <c r="A153"/>
      <c r="B153"/>
      <c r="E153"/>
      <c r="F153"/>
    </row>
    <row r="154" spans="1:6" x14ac:dyDescent="0.25">
      <c r="A154"/>
      <c r="B154"/>
      <c r="E154"/>
      <c r="F154"/>
    </row>
    <row r="155" spans="1:6" x14ac:dyDescent="0.25">
      <c r="A155"/>
      <c r="B155"/>
      <c r="E155"/>
      <c r="F155"/>
    </row>
    <row r="156" spans="1:6" x14ac:dyDescent="0.25">
      <c r="A156"/>
      <c r="B156"/>
      <c r="E156"/>
      <c r="F156"/>
    </row>
    <row r="157" spans="1:6" x14ac:dyDescent="0.25">
      <c r="A157"/>
      <c r="B157"/>
      <c r="E157"/>
      <c r="F157"/>
    </row>
    <row r="158" spans="1:6" x14ac:dyDescent="0.25">
      <c r="A158"/>
      <c r="B158"/>
      <c r="E158"/>
      <c r="F158"/>
    </row>
    <row r="159" spans="1:6" x14ac:dyDescent="0.25">
      <c r="A159"/>
      <c r="B159"/>
      <c r="E159"/>
      <c r="F159"/>
    </row>
    <row r="160" spans="1:6" x14ac:dyDescent="0.25">
      <c r="A160"/>
      <c r="B160"/>
      <c r="E160"/>
      <c r="F160"/>
    </row>
    <row r="161" spans="1:6" x14ac:dyDescent="0.25">
      <c r="A161"/>
      <c r="B161"/>
      <c r="E161"/>
      <c r="F161"/>
    </row>
    <row r="162" spans="1:6" x14ac:dyDescent="0.25">
      <c r="A162"/>
      <c r="B162"/>
      <c r="E162"/>
      <c r="F162"/>
    </row>
    <row r="163" spans="1:6" x14ac:dyDescent="0.25">
      <c r="A163"/>
      <c r="B163"/>
      <c r="E163"/>
      <c r="F163"/>
    </row>
    <row r="164" spans="1:6" x14ac:dyDescent="0.25">
      <c r="A164"/>
      <c r="B164"/>
      <c r="E164"/>
      <c r="F164"/>
    </row>
    <row r="165" spans="1:6" x14ac:dyDescent="0.25">
      <c r="A165"/>
      <c r="B165"/>
      <c r="E165"/>
      <c r="F165"/>
    </row>
    <row r="166" spans="1:6" x14ac:dyDescent="0.25">
      <c r="A166"/>
      <c r="B166"/>
      <c r="E166"/>
      <c r="F166"/>
    </row>
    <row r="167" spans="1:6" x14ac:dyDescent="0.25">
      <c r="A167"/>
      <c r="B167"/>
      <c r="E167"/>
      <c r="F167"/>
    </row>
    <row r="168" spans="1:6" x14ac:dyDescent="0.25">
      <c r="A168"/>
      <c r="B168"/>
      <c r="E168"/>
      <c r="F168"/>
    </row>
    <row r="169" spans="1:6" x14ac:dyDescent="0.25">
      <c r="A169"/>
      <c r="B169"/>
      <c r="E169"/>
      <c r="F169"/>
    </row>
    <row r="170" spans="1:6" x14ac:dyDescent="0.25">
      <c r="A170"/>
      <c r="B170"/>
      <c r="E170"/>
      <c r="F170"/>
    </row>
    <row r="171" spans="1:6" x14ac:dyDescent="0.25">
      <c r="A171"/>
      <c r="B171"/>
      <c r="E171"/>
      <c r="F171"/>
    </row>
    <row r="172" spans="1:6" x14ac:dyDescent="0.25">
      <c r="A172"/>
      <c r="B172"/>
      <c r="E172"/>
      <c r="F172"/>
    </row>
    <row r="173" spans="1:6" x14ac:dyDescent="0.25">
      <c r="A173"/>
      <c r="B173"/>
      <c r="E173"/>
      <c r="F173"/>
    </row>
    <row r="174" spans="1:6" x14ac:dyDescent="0.25">
      <c r="A174"/>
      <c r="B174"/>
      <c r="E174"/>
      <c r="F174"/>
    </row>
    <row r="175" spans="1:6" x14ac:dyDescent="0.25">
      <c r="A175"/>
      <c r="B175"/>
      <c r="E175"/>
      <c r="F175"/>
    </row>
    <row r="176" spans="1:6" x14ac:dyDescent="0.25">
      <c r="A176"/>
      <c r="B176"/>
      <c r="E176"/>
      <c r="F176"/>
    </row>
    <row r="177" spans="1:6" x14ac:dyDescent="0.25">
      <c r="A177"/>
      <c r="B177"/>
      <c r="E177"/>
      <c r="F177"/>
    </row>
    <row r="178" spans="1:6" x14ac:dyDescent="0.25">
      <c r="A178"/>
      <c r="B178"/>
      <c r="E178"/>
      <c r="F178"/>
    </row>
    <row r="179" spans="1:6" x14ac:dyDescent="0.25">
      <c r="A179"/>
      <c r="B179"/>
      <c r="E179"/>
      <c r="F179"/>
    </row>
    <row r="180" spans="1:6" x14ac:dyDescent="0.25">
      <c r="A180"/>
      <c r="B180"/>
      <c r="E180"/>
      <c r="F180"/>
    </row>
    <row r="181" spans="1:6" x14ac:dyDescent="0.25">
      <c r="A181"/>
      <c r="B181"/>
      <c r="E181"/>
      <c r="F181"/>
    </row>
    <row r="182" spans="1:6" x14ac:dyDescent="0.25">
      <c r="A182"/>
      <c r="B182"/>
      <c r="E182"/>
      <c r="F182"/>
    </row>
    <row r="183" spans="1:6" x14ac:dyDescent="0.25">
      <c r="A183"/>
      <c r="B183"/>
      <c r="E183"/>
      <c r="F183"/>
    </row>
    <row r="184" spans="1:6" x14ac:dyDescent="0.25">
      <c r="A184"/>
      <c r="B184"/>
      <c r="E184"/>
      <c r="F184"/>
    </row>
    <row r="185" spans="1:6" x14ac:dyDescent="0.25">
      <c r="A185"/>
      <c r="B185"/>
      <c r="E185"/>
      <c r="F185"/>
    </row>
    <row r="186" spans="1:6" x14ac:dyDescent="0.25">
      <c r="A186"/>
      <c r="B186"/>
      <c r="E186"/>
      <c r="F186"/>
    </row>
    <row r="187" spans="1:6" x14ac:dyDescent="0.25">
      <c r="A187"/>
      <c r="B187"/>
      <c r="E187"/>
      <c r="F187"/>
    </row>
    <row r="188" spans="1:6" x14ac:dyDescent="0.25">
      <c r="A188"/>
      <c r="B188"/>
      <c r="E188"/>
      <c r="F188"/>
    </row>
    <row r="189" spans="1:6" x14ac:dyDescent="0.25">
      <c r="A189"/>
      <c r="B189"/>
      <c r="E189"/>
      <c r="F189"/>
    </row>
    <row r="190" spans="1:6" x14ac:dyDescent="0.25">
      <c r="A190"/>
      <c r="B190"/>
      <c r="E190"/>
      <c r="F190"/>
    </row>
    <row r="191" spans="1:6" x14ac:dyDescent="0.25">
      <c r="A191"/>
      <c r="B191"/>
      <c r="E191"/>
      <c r="F191"/>
    </row>
    <row r="192" spans="1:6" x14ac:dyDescent="0.25">
      <c r="A192"/>
      <c r="B192"/>
      <c r="E192"/>
      <c r="F192"/>
    </row>
    <row r="193" spans="1:6" x14ac:dyDescent="0.25">
      <c r="A193"/>
      <c r="B193"/>
      <c r="E193"/>
      <c r="F193"/>
    </row>
    <row r="194" spans="1:6" x14ac:dyDescent="0.25">
      <c r="A194"/>
      <c r="B194"/>
      <c r="E194"/>
      <c r="F194"/>
    </row>
    <row r="195" spans="1:6" x14ac:dyDescent="0.25">
      <c r="A195"/>
      <c r="B195"/>
      <c r="E195"/>
      <c r="F195"/>
    </row>
    <row r="196" spans="1:6" x14ac:dyDescent="0.25">
      <c r="A196"/>
      <c r="B196"/>
      <c r="E196"/>
      <c r="F196"/>
    </row>
    <row r="197" spans="1:6" x14ac:dyDescent="0.25">
      <c r="A197"/>
      <c r="B197"/>
      <c r="E197"/>
      <c r="F197"/>
    </row>
    <row r="198" spans="1:6" x14ac:dyDescent="0.25">
      <c r="A198"/>
      <c r="B198"/>
      <c r="E198"/>
      <c r="F198"/>
    </row>
    <row r="199" spans="1:6" x14ac:dyDescent="0.25">
      <c r="A199"/>
      <c r="B199"/>
      <c r="E199"/>
      <c r="F199"/>
    </row>
    <row r="200" spans="1:6" x14ac:dyDescent="0.25">
      <c r="A200"/>
      <c r="B200"/>
      <c r="E200"/>
      <c r="F200"/>
    </row>
    <row r="201" spans="1:6" x14ac:dyDescent="0.25">
      <c r="A201"/>
      <c r="B201"/>
      <c r="E201"/>
      <c r="F201"/>
    </row>
    <row r="202" spans="1:6" x14ac:dyDescent="0.25">
      <c r="A202"/>
      <c r="B202"/>
      <c r="E202"/>
      <c r="F202"/>
    </row>
    <row r="203" spans="1:6" x14ac:dyDescent="0.25">
      <c r="A203"/>
      <c r="B203"/>
      <c r="E203"/>
      <c r="F203"/>
    </row>
    <row r="204" spans="1:6" x14ac:dyDescent="0.25">
      <c r="A204"/>
      <c r="B204"/>
      <c r="E204"/>
      <c r="F204"/>
    </row>
    <row r="205" spans="1:6" x14ac:dyDescent="0.25">
      <c r="A205"/>
      <c r="B205"/>
      <c r="E205"/>
      <c r="F205"/>
    </row>
    <row r="206" spans="1:6" x14ac:dyDescent="0.25">
      <c r="A206"/>
      <c r="B206"/>
      <c r="E206"/>
      <c r="F206"/>
    </row>
    <row r="207" spans="1:6" x14ac:dyDescent="0.25">
      <c r="A207"/>
      <c r="B207"/>
      <c r="E207"/>
      <c r="F207"/>
    </row>
    <row r="208" spans="1:6" x14ac:dyDescent="0.25">
      <c r="A208"/>
      <c r="B208"/>
      <c r="E208"/>
      <c r="F208"/>
    </row>
    <row r="209" spans="1:6" x14ac:dyDescent="0.25">
      <c r="A209"/>
      <c r="B209"/>
      <c r="E209"/>
      <c r="F209"/>
    </row>
    <row r="210" spans="1:6" x14ac:dyDescent="0.25">
      <c r="A210"/>
      <c r="B210"/>
      <c r="E210"/>
      <c r="F210"/>
    </row>
    <row r="211" spans="1:6" x14ac:dyDescent="0.25">
      <c r="A211"/>
      <c r="B211"/>
      <c r="E211"/>
      <c r="F211"/>
    </row>
    <row r="212" spans="1:6" x14ac:dyDescent="0.25">
      <c r="A212"/>
      <c r="B212"/>
      <c r="E212"/>
      <c r="F212"/>
    </row>
    <row r="213" spans="1:6" x14ac:dyDescent="0.25">
      <c r="A213"/>
      <c r="B213"/>
      <c r="E213"/>
      <c r="F213"/>
    </row>
    <row r="214" spans="1:6" x14ac:dyDescent="0.25">
      <c r="A214"/>
      <c r="B214"/>
      <c r="E214"/>
      <c r="F214"/>
    </row>
    <row r="215" spans="1:6" x14ac:dyDescent="0.25">
      <c r="A215"/>
      <c r="B215"/>
      <c r="E215"/>
      <c r="F215"/>
    </row>
    <row r="216" spans="1:6" x14ac:dyDescent="0.25">
      <c r="A216"/>
      <c r="B216"/>
      <c r="E216"/>
      <c r="F216"/>
    </row>
    <row r="217" spans="1:6" x14ac:dyDescent="0.25">
      <c r="A217"/>
      <c r="B217"/>
      <c r="E217"/>
      <c r="F217"/>
    </row>
    <row r="218" spans="1:6" x14ac:dyDescent="0.25">
      <c r="A218"/>
      <c r="B218"/>
      <c r="E218"/>
      <c r="F218"/>
    </row>
    <row r="219" spans="1:6" x14ac:dyDescent="0.25">
      <c r="A219"/>
      <c r="B219"/>
      <c r="E219"/>
      <c r="F219"/>
    </row>
    <row r="220" spans="1:6" x14ac:dyDescent="0.25">
      <c r="A220"/>
      <c r="B220"/>
      <c r="E220"/>
      <c r="F220"/>
    </row>
    <row r="221" spans="1:6" x14ac:dyDescent="0.25">
      <c r="A221"/>
      <c r="B221"/>
      <c r="E221"/>
      <c r="F221"/>
    </row>
    <row r="222" spans="1:6" x14ac:dyDescent="0.25">
      <c r="A222"/>
      <c r="B222"/>
      <c r="E222"/>
      <c r="F222"/>
    </row>
    <row r="223" spans="1:6" x14ac:dyDescent="0.25">
      <c r="A223"/>
      <c r="B223"/>
      <c r="E223"/>
      <c r="F223"/>
    </row>
    <row r="224" spans="1:6" x14ac:dyDescent="0.25">
      <c r="A224"/>
      <c r="B224"/>
      <c r="E224"/>
      <c r="F224"/>
    </row>
    <row r="225" spans="1:6" x14ac:dyDescent="0.25">
      <c r="A225"/>
      <c r="B225"/>
      <c r="E225"/>
      <c r="F225"/>
    </row>
    <row r="226" spans="1:6" x14ac:dyDescent="0.25">
      <c r="A226"/>
      <c r="B226"/>
      <c r="E226"/>
      <c r="F226"/>
    </row>
    <row r="227" spans="1:6" x14ac:dyDescent="0.25">
      <c r="A227"/>
      <c r="B227"/>
      <c r="E227"/>
      <c r="F227"/>
    </row>
    <row r="228" spans="1:6" x14ac:dyDescent="0.25">
      <c r="A228"/>
      <c r="B228"/>
      <c r="E228"/>
      <c r="F228"/>
    </row>
    <row r="229" spans="1:6" x14ac:dyDescent="0.25">
      <c r="A229"/>
      <c r="B229"/>
      <c r="E229"/>
      <c r="F229"/>
    </row>
    <row r="230" spans="1:6" x14ac:dyDescent="0.25">
      <c r="A230"/>
      <c r="B230"/>
      <c r="E230"/>
      <c r="F230"/>
    </row>
    <row r="231" spans="1:6" x14ac:dyDescent="0.25">
      <c r="A231"/>
      <c r="B231"/>
      <c r="E231"/>
      <c r="F231"/>
    </row>
    <row r="232" spans="1:6" x14ac:dyDescent="0.25">
      <c r="A232"/>
      <c r="B232"/>
      <c r="E232"/>
      <c r="F232"/>
    </row>
    <row r="233" spans="1:6" x14ac:dyDescent="0.25">
      <c r="A233"/>
      <c r="B233"/>
      <c r="E233"/>
      <c r="F233"/>
    </row>
    <row r="234" spans="1:6" x14ac:dyDescent="0.25">
      <c r="A234"/>
      <c r="B234"/>
      <c r="E234"/>
      <c r="F234"/>
    </row>
    <row r="235" spans="1:6" x14ac:dyDescent="0.25">
      <c r="A235"/>
      <c r="B235"/>
      <c r="E235"/>
      <c r="F235"/>
    </row>
    <row r="236" spans="1:6" x14ac:dyDescent="0.25">
      <c r="A236"/>
      <c r="B236"/>
      <c r="E236"/>
      <c r="F236"/>
    </row>
    <row r="237" spans="1:6" x14ac:dyDescent="0.25">
      <c r="A237"/>
      <c r="B237"/>
      <c r="E237"/>
      <c r="F237"/>
    </row>
    <row r="238" spans="1:6" x14ac:dyDescent="0.25">
      <c r="A238"/>
      <c r="B238"/>
      <c r="E238"/>
      <c r="F238"/>
    </row>
    <row r="239" spans="1:6" x14ac:dyDescent="0.25">
      <c r="A239"/>
      <c r="B239"/>
      <c r="E239"/>
      <c r="F239"/>
    </row>
    <row r="240" spans="1:6" x14ac:dyDescent="0.25">
      <c r="A240"/>
      <c r="B240"/>
      <c r="E240"/>
      <c r="F240"/>
    </row>
    <row r="241" spans="1:6" x14ac:dyDescent="0.25">
      <c r="A241"/>
      <c r="B241"/>
      <c r="E241"/>
      <c r="F241"/>
    </row>
    <row r="242" spans="1:6" x14ac:dyDescent="0.25">
      <c r="A242"/>
      <c r="B242"/>
      <c r="E242"/>
      <c r="F242"/>
    </row>
    <row r="243" spans="1:6" x14ac:dyDescent="0.25">
      <c r="A243"/>
      <c r="B243"/>
      <c r="E243"/>
      <c r="F243"/>
    </row>
    <row r="244" spans="1:6" x14ac:dyDescent="0.25">
      <c r="A244"/>
      <c r="B244"/>
      <c r="E244"/>
      <c r="F244"/>
    </row>
    <row r="245" spans="1:6" x14ac:dyDescent="0.25">
      <c r="A245"/>
      <c r="B245"/>
      <c r="E245"/>
      <c r="F245"/>
    </row>
    <row r="246" spans="1:6" x14ac:dyDescent="0.25">
      <c r="A246"/>
      <c r="B246"/>
      <c r="E246"/>
      <c r="F246"/>
    </row>
    <row r="247" spans="1:6" x14ac:dyDescent="0.25">
      <c r="A247"/>
      <c r="B247"/>
      <c r="E247"/>
      <c r="F247"/>
    </row>
    <row r="248" spans="1:6" x14ac:dyDescent="0.25">
      <c r="A248"/>
      <c r="B248"/>
      <c r="E248"/>
      <c r="F248"/>
    </row>
    <row r="249" spans="1:6" x14ac:dyDescent="0.25">
      <c r="A249"/>
      <c r="B249"/>
      <c r="E249"/>
      <c r="F249"/>
    </row>
    <row r="250" spans="1:6" x14ac:dyDescent="0.25">
      <c r="A250"/>
      <c r="B250"/>
      <c r="E250"/>
      <c r="F250"/>
    </row>
    <row r="251" spans="1:6" x14ac:dyDescent="0.25">
      <c r="A251"/>
      <c r="B251"/>
      <c r="E251"/>
      <c r="F251"/>
    </row>
    <row r="252" spans="1:6" x14ac:dyDescent="0.25">
      <c r="A252"/>
      <c r="B252"/>
      <c r="E252"/>
      <c r="F252"/>
    </row>
    <row r="253" spans="1:6" x14ac:dyDescent="0.25">
      <c r="A253"/>
      <c r="B253"/>
      <c r="E253"/>
      <c r="F253"/>
    </row>
    <row r="254" spans="1:6" x14ac:dyDescent="0.25">
      <c r="A254"/>
      <c r="B254"/>
      <c r="E254"/>
      <c r="F254"/>
    </row>
    <row r="255" spans="1:6" x14ac:dyDescent="0.25">
      <c r="A255"/>
      <c r="B255"/>
      <c r="E255"/>
      <c r="F255"/>
    </row>
    <row r="256" spans="1:6" x14ac:dyDescent="0.25">
      <c r="A256"/>
      <c r="B256"/>
      <c r="E256"/>
      <c r="F256"/>
    </row>
    <row r="257" spans="1:6" x14ac:dyDescent="0.25">
      <c r="A257"/>
      <c r="B257"/>
      <c r="E257"/>
      <c r="F257"/>
    </row>
    <row r="258" spans="1:6" x14ac:dyDescent="0.25">
      <c r="A258"/>
      <c r="B258"/>
      <c r="E258"/>
      <c r="F258"/>
    </row>
    <row r="259" spans="1:6" x14ac:dyDescent="0.25">
      <c r="A259"/>
      <c r="B259"/>
      <c r="E259"/>
      <c r="F259"/>
    </row>
    <row r="260" spans="1:6" x14ac:dyDescent="0.25">
      <c r="A260"/>
      <c r="B260"/>
      <c r="E260"/>
      <c r="F260"/>
    </row>
    <row r="261" spans="1:6" x14ac:dyDescent="0.25">
      <c r="A261"/>
      <c r="B261"/>
      <c r="E261"/>
      <c r="F261"/>
    </row>
    <row r="262" spans="1:6" x14ac:dyDescent="0.25">
      <c r="A262"/>
      <c r="B262"/>
      <c r="E262"/>
      <c r="F262"/>
    </row>
    <row r="263" spans="1:6" x14ac:dyDescent="0.25">
      <c r="A263"/>
      <c r="B263"/>
      <c r="E263"/>
      <c r="F263"/>
    </row>
    <row r="264" spans="1:6" x14ac:dyDescent="0.25">
      <c r="A264"/>
      <c r="B264"/>
      <c r="E264"/>
      <c r="F264"/>
    </row>
    <row r="265" spans="1:6" x14ac:dyDescent="0.25">
      <c r="A265"/>
      <c r="B265"/>
      <c r="E265"/>
      <c r="F265"/>
    </row>
    <row r="266" spans="1:6" x14ac:dyDescent="0.25">
      <c r="A266"/>
      <c r="B266"/>
      <c r="E266"/>
      <c r="F266"/>
    </row>
    <row r="267" spans="1:6" x14ac:dyDescent="0.25">
      <c r="A267"/>
      <c r="B267"/>
      <c r="E267"/>
      <c r="F267"/>
    </row>
    <row r="268" spans="1:6" x14ac:dyDescent="0.25">
      <c r="A268"/>
      <c r="B268"/>
      <c r="E268"/>
      <c r="F268"/>
    </row>
    <row r="269" spans="1:6" x14ac:dyDescent="0.25">
      <c r="A269"/>
      <c r="B269"/>
      <c r="E269"/>
      <c r="F269"/>
    </row>
    <row r="270" spans="1:6" x14ac:dyDescent="0.25">
      <c r="A270"/>
      <c r="B270"/>
      <c r="E270"/>
      <c r="F270"/>
    </row>
    <row r="271" spans="1:6" x14ac:dyDescent="0.25">
      <c r="A271"/>
      <c r="B271"/>
      <c r="E271"/>
      <c r="F271"/>
    </row>
    <row r="272" spans="1:6" x14ac:dyDescent="0.25">
      <c r="A272"/>
      <c r="B272"/>
      <c r="E272"/>
      <c r="F272"/>
    </row>
    <row r="273" spans="1:6" x14ac:dyDescent="0.25">
      <c r="A273"/>
      <c r="B273"/>
      <c r="E273"/>
      <c r="F273"/>
    </row>
    <row r="274" spans="1:6" x14ac:dyDescent="0.25">
      <c r="A274"/>
      <c r="B274"/>
      <c r="E274"/>
      <c r="F274"/>
    </row>
    <row r="275" spans="1:6" x14ac:dyDescent="0.25">
      <c r="A275"/>
      <c r="B275"/>
      <c r="E275"/>
      <c r="F275"/>
    </row>
    <row r="276" spans="1:6" x14ac:dyDescent="0.25">
      <c r="A276"/>
      <c r="B276"/>
      <c r="E276"/>
      <c r="F276"/>
    </row>
    <row r="277" spans="1:6" x14ac:dyDescent="0.25">
      <c r="A277"/>
      <c r="B277"/>
      <c r="E277"/>
      <c r="F277"/>
    </row>
    <row r="278" spans="1:6" x14ac:dyDescent="0.25">
      <c r="A278"/>
      <c r="B278"/>
      <c r="E278"/>
      <c r="F278"/>
    </row>
    <row r="279" spans="1:6" x14ac:dyDescent="0.25">
      <c r="A279"/>
      <c r="B279"/>
      <c r="E279"/>
      <c r="F279"/>
    </row>
    <row r="280" spans="1:6" x14ac:dyDescent="0.25">
      <c r="A280"/>
      <c r="B280"/>
      <c r="E280"/>
      <c r="F280"/>
    </row>
    <row r="281" spans="1:6" x14ac:dyDescent="0.25">
      <c r="A281"/>
      <c r="B281"/>
      <c r="E281"/>
      <c r="F281"/>
    </row>
    <row r="282" spans="1:6" x14ac:dyDescent="0.25">
      <c r="A282"/>
      <c r="B282"/>
      <c r="E282"/>
      <c r="F282"/>
    </row>
    <row r="283" spans="1:6" x14ac:dyDescent="0.25">
      <c r="A283"/>
      <c r="B283"/>
      <c r="E283"/>
      <c r="F283"/>
    </row>
    <row r="284" spans="1:6" x14ac:dyDescent="0.25">
      <c r="A284"/>
      <c r="B284"/>
      <c r="E284"/>
      <c r="F284"/>
    </row>
    <row r="285" spans="1:6" x14ac:dyDescent="0.25">
      <c r="A285"/>
      <c r="B285"/>
      <c r="E285"/>
      <c r="F285"/>
    </row>
    <row r="286" spans="1:6" x14ac:dyDescent="0.25">
      <c r="A286"/>
      <c r="B286"/>
      <c r="E286"/>
      <c r="F286"/>
    </row>
    <row r="287" spans="1:6" x14ac:dyDescent="0.25">
      <c r="A287"/>
      <c r="B287"/>
      <c r="E287"/>
      <c r="F287"/>
    </row>
    <row r="288" spans="1:6" x14ac:dyDescent="0.25">
      <c r="A288"/>
      <c r="B288"/>
      <c r="E288"/>
      <c r="F288"/>
    </row>
    <row r="289" spans="1:6" x14ac:dyDescent="0.25">
      <c r="A289"/>
      <c r="B289"/>
      <c r="E289"/>
      <c r="F289"/>
    </row>
    <row r="290" spans="1:6" x14ac:dyDescent="0.25">
      <c r="A290"/>
      <c r="B290"/>
      <c r="E290"/>
      <c r="F290"/>
    </row>
    <row r="291" spans="1:6" x14ac:dyDescent="0.25">
      <c r="A291"/>
      <c r="B291"/>
      <c r="E291"/>
      <c r="F291"/>
    </row>
    <row r="292" spans="1:6" x14ac:dyDescent="0.25">
      <c r="A292"/>
      <c r="B292"/>
      <c r="E292"/>
      <c r="F292"/>
    </row>
    <row r="293" spans="1:6" x14ac:dyDescent="0.25">
      <c r="A293"/>
      <c r="B293"/>
      <c r="E293"/>
      <c r="F293"/>
    </row>
    <row r="294" spans="1:6" x14ac:dyDescent="0.25">
      <c r="A294"/>
      <c r="B294"/>
      <c r="E294"/>
      <c r="F294"/>
    </row>
    <row r="295" spans="1:6" x14ac:dyDescent="0.25">
      <c r="A295"/>
      <c r="B295"/>
      <c r="E295"/>
      <c r="F295"/>
    </row>
    <row r="296" spans="1:6" x14ac:dyDescent="0.25">
      <c r="A296"/>
      <c r="B296"/>
      <c r="E296"/>
      <c r="F296"/>
    </row>
    <row r="297" spans="1:6" x14ac:dyDescent="0.25">
      <c r="A297"/>
      <c r="B297"/>
      <c r="E297"/>
      <c r="F297"/>
    </row>
    <row r="298" spans="1:6" x14ac:dyDescent="0.25">
      <c r="A298"/>
      <c r="B298"/>
      <c r="E298"/>
      <c r="F298"/>
    </row>
    <row r="299" spans="1:6" x14ac:dyDescent="0.25">
      <c r="A299"/>
      <c r="B299"/>
      <c r="E299"/>
      <c r="F299"/>
    </row>
    <row r="300" spans="1:6" x14ac:dyDescent="0.25">
      <c r="A300"/>
      <c r="B300"/>
      <c r="E300"/>
      <c r="F300"/>
    </row>
    <row r="301" spans="1:6" x14ac:dyDescent="0.25">
      <c r="A301"/>
      <c r="B301"/>
      <c r="E301"/>
      <c r="F301"/>
    </row>
    <row r="302" spans="1:6" x14ac:dyDescent="0.25">
      <c r="A302"/>
      <c r="B302"/>
      <c r="E302"/>
      <c r="F302"/>
    </row>
    <row r="303" spans="1:6" x14ac:dyDescent="0.25">
      <c r="A303"/>
      <c r="B303"/>
      <c r="E303"/>
      <c r="F303"/>
    </row>
    <row r="304" spans="1:6" x14ac:dyDescent="0.25">
      <c r="A304"/>
      <c r="B304"/>
      <c r="E304"/>
      <c r="F304"/>
    </row>
    <row r="305" spans="1:6" x14ac:dyDescent="0.25">
      <c r="A305"/>
      <c r="B305"/>
      <c r="E305"/>
      <c r="F305"/>
    </row>
    <row r="306" spans="1:6" x14ac:dyDescent="0.25">
      <c r="A306"/>
      <c r="B306"/>
      <c r="E306"/>
      <c r="F306"/>
    </row>
    <row r="307" spans="1:6" x14ac:dyDescent="0.25">
      <c r="A307"/>
      <c r="B307"/>
      <c r="E307"/>
      <c r="F307"/>
    </row>
    <row r="308" spans="1:6" x14ac:dyDescent="0.25">
      <c r="A308"/>
      <c r="B308"/>
      <c r="E308"/>
      <c r="F308"/>
    </row>
    <row r="309" spans="1:6" x14ac:dyDescent="0.25">
      <c r="A309"/>
      <c r="B309"/>
      <c r="E309"/>
      <c r="F309"/>
    </row>
    <row r="310" spans="1:6" x14ac:dyDescent="0.25">
      <c r="A310"/>
      <c r="B310"/>
      <c r="E310"/>
      <c r="F310"/>
    </row>
    <row r="311" spans="1:6" x14ac:dyDescent="0.25">
      <c r="A311"/>
      <c r="B311"/>
      <c r="E311"/>
      <c r="F311"/>
    </row>
    <row r="312" spans="1:6" x14ac:dyDescent="0.25">
      <c r="A312"/>
      <c r="B312"/>
      <c r="E312"/>
      <c r="F312"/>
    </row>
    <row r="313" spans="1:6" x14ac:dyDescent="0.25">
      <c r="A313"/>
      <c r="B313"/>
      <c r="E313"/>
      <c r="F313"/>
    </row>
    <row r="314" spans="1:6" x14ac:dyDescent="0.25">
      <c r="A314"/>
      <c r="B314"/>
      <c r="E314"/>
      <c r="F314"/>
    </row>
    <row r="315" spans="1:6" x14ac:dyDescent="0.25">
      <c r="A315"/>
      <c r="B315"/>
      <c r="E315"/>
      <c r="F315"/>
    </row>
    <row r="316" spans="1:6" x14ac:dyDescent="0.25">
      <c r="A316"/>
      <c r="B316"/>
      <c r="E316"/>
      <c r="F316"/>
    </row>
    <row r="317" spans="1:6" x14ac:dyDescent="0.25">
      <c r="A317"/>
      <c r="B317"/>
      <c r="E317"/>
      <c r="F317"/>
    </row>
    <row r="318" spans="1:6" x14ac:dyDescent="0.25">
      <c r="A318"/>
      <c r="B318"/>
      <c r="E318"/>
      <c r="F318"/>
    </row>
    <row r="319" spans="1:6" x14ac:dyDescent="0.25">
      <c r="A319"/>
      <c r="B319"/>
      <c r="E319"/>
      <c r="F319"/>
    </row>
    <row r="320" spans="1:6" x14ac:dyDescent="0.25">
      <c r="A320"/>
      <c r="B320"/>
      <c r="E320"/>
      <c r="F320"/>
    </row>
    <row r="321" spans="1:6" x14ac:dyDescent="0.25">
      <c r="A321"/>
      <c r="B321"/>
      <c r="E321"/>
      <c r="F321"/>
    </row>
    <row r="322" spans="1:6" x14ac:dyDescent="0.25">
      <c r="A322"/>
      <c r="B322"/>
      <c r="E322"/>
      <c r="F322"/>
    </row>
    <row r="323" spans="1:6" x14ac:dyDescent="0.25">
      <c r="A323"/>
      <c r="B323"/>
      <c r="E323"/>
      <c r="F323"/>
    </row>
    <row r="324" spans="1:6" x14ac:dyDescent="0.25">
      <c r="A324"/>
      <c r="B324"/>
      <c r="E324"/>
      <c r="F324"/>
    </row>
    <row r="325" spans="1:6" x14ac:dyDescent="0.25">
      <c r="A325"/>
      <c r="B325"/>
      <c r="E325"/>
      <c r="F325"/>
    </row>
    <row r="326" spans="1:6" x14ac:dyDescent="0.25">
      <c r="A326"/>
      <c r="B326"/>
      <c r="E326"/>
      <c r="F326"/>
    </row>
    <row r="327" spans="1:6" x14ac:dyDescent="0.25">
      <c r="A327"/>
      <c r="B327"/>
      <c r="E327"/>
      <c r="F327"/>
    </row>
    <row r="328" spans="1:6" x14ac:dyDescent="0.25">
      <c r="A328"/>
      <c r="B328"/>
      <c r="E328"/>
      <c r="F328"/>
    </row>
    <row r="329" spans="1:6" x14ac:dyDescent="0.25">
      <c r="A329"/>
      <c r="B329"/>
      <c r="E329"/>
      <c r="F329"/>
    </row>
    <row r="330" spans="1:6" x14ac:dyDescent="0.25">
      <c r="A330"/>
      <c r="B330"/>
      <c r="E330"/>
      <c r="F330"/>
    </row>
    <row r="331" spans="1:6" x14ac:dyDescent="0.25">
      <c r="A331"/>
      <c r="B331"/>
      <c r="E331"/>
      <c r="F331"/>
    </row>
    <row r="332" spans="1:6" x14ac:dyDescent="0.25">
      <c r="A332"/>
      <c r="B332"/>
      <c r="E332"/>
      <c r="F332"/>
    </row>
    <row r="333" spans="1:6" x14ac:dyDescent="0.25">
      <c r="A333"/>
      <c r="B333"/>
      <c r="E333"/>
      <c r="F333"/>
    </row>
    <row r="334" spans="1:6" x14ac:dyDescent="0.25">
      <c r="A334"/>
      <c r="B334"/>
      <c r="E334"/>
      <c r="F334"/>
    </row>
    <row r="335" spans="1:6" x14ac:dyDescent="0.25">
      <c r="A335"/>
      <c r="B335"/>
      <c r="E335"/>
      <c r="F335"/>
    </row>
    <row r="336" spans="1:6" x14ac:dyDescent="0.25">
      <c r="A336"/>
      <c r="B336"/>
      <c r="E336"/>
      <c r="F336"/>
    </row>
    <row r="337" spans="1:6" x14ac:dyDescent="0.25">
      <c r="A337"/>
      <c r="B337"/>
      <c r="E337"/>
      <c r="F337"/>
    </row>
    <row r="338" spans="1:6" x14ac:dyDescent="0.25">
      <c r="A338"/>
      <c r="B338"/>
      <c r="E338"/>
      <c r="F338"/>
    </row>
    <row r="339" spans="1:6" x14ac:dyDescent="0.25">
      <c r="A339"/>
      <c r="B339"/>
      <c r="E339"/>
      <c r="F339"/>
    </row>
    <row r="340" spans="1:6" x14ac:dyDescent="0.25">
      <c r="A340"/>
      <c r="B340"/>
      <c r="E340"/>
      <c r="F340"/>
    </row>
    <row r="341" spans="1:6" x14ac:dyDescent="0.25">
      <c r="A341"/>
      <c r="B341"/>
      <c r="E341"/>
      <c r="F341"/>
    </row>
    <row r="342" spans="1:6" x14ac:dyDescent="0.25">
      <c r="A342"/>
      <c r="B342"/>
      <c r="E342"/>
      <c r="F342"/>
    </row>
    <row r="343" spans="1:6" x14ac:dyDescent="0.25">
      <c r="A343"/>
      <c r="B343"/>
      <c r="E343"/>
      <c r="F343"/>
    </row>
    <row r="344" spans="1:6" x14ac:dyDescent="0.25">
      <c r="A344"/>
      <c r="B344"/>
      <c r="E344"/>
      <c r="F344"/>
    </row>
    <row r="345" spans="1:6" x14ac:dyDescent="0.25">
      <c r="A345"/>
      <c r="B345"/>
      <c r="E345"/>
      <c r="F345"/>
    </row>
    <row r="346" spans="1:6" x14ac:dyDescent="0.25">
      <c r="A346"/>
      <c r="B346"/>
      <c r="E346"/>
      <c r="F346"/>
    </row>
    <row r="347" spans="1:6" x14ac:dyDescent="0.25">
      <c r="A347"/>
      <c r="B347"/>
      <c r="E347"/>
      <c r="F347"/>
    </row>
    <row r="348" spans="1:6" x14ac:dyDescent="0.25">
      <c r="A348"/>
      <c r="B348"/>
      <c r="E348"/>
      <c r="F348"/>
    </row>
    <row r="349" spans="1:6" x14ac:dyDescent="0.25">
      <c r="A349"/>
      <c r="B349"/>
      <c r="E349"/>
      <c r="F349"/>
    </row>
    <row r="350" spans="1:6" x14ac:dyDescent="0.25">
      <c r="A350"/>
      <c r="B350"/>
      <c r="E350"/>
      <c r="F350"/>
    </row>
    <row r="351" spans="1:6" x14ac:dyDescent="0.25">
      <c r="A351"/>
      <c r="B351"/>
      <c r="E351"/>
      <c r="F351"/>
    </row>
    <row r="352" spans="1:6" x14ac:dyDescent="0.25">
      <c r="A352"/>
      <c r="B352"/>
      <c r="E352"/>
      <c r="F352"/>
    </row>
    <row r="353" spans="1:6" x14ac:dyDescent="0.25">
      <c r="A353"/>
      <c r="B353"/>
      <c r="E353"/>
      <c r="F353"/>
    </row>
    <row r="354" spans="1:6" x14ac:dyDescent="0.25">
      <c r="A354"/>
      <c r="B354"/>
      <c r="E354"/>
      <c r="F354"/>
    </row>
    <row r="355" spans="1:6" x14ac:dyDescent="0.25">
      <c r="A355"/>
      <c r="B355"/>
      <c r="E355"/>
      <c r="F355"/>
    </row>
    <row r="356" spans="1:6" x14ac:dyDescent="0.25">
      <c r="A356"/>
      <c r="B356"/>
      <c r="E356"/>
      <c r="F356"/>
    </row>
    <row r="357" spans="1:6" x14ac:dyDescent="0.25">
      <c r="A357"/>
      <c r="B357"/>
      <c r="E357"/>
      <c r="F357"/>
    </row>
    <row r="358" spans="1:6" x14ac:dyDescent="0.25">
      <c r="A358"/>
      <c r="B358"/>
      <c r="E358"/>
      <c r="F358"/>
    </row>
    <row r="359" spans="1:6" x14ac:dyDescent="0.25">
      <c r="A359"/>
      <c r="B359"/>
      <c r="E359"/>
      <c r="F359"/>
    </row>
    <row r="360" spans="1:6" x14ac:dyDescent="0.25">
      <c r="A360"/>
      <c r="B360"/>
      <c r="E360"/>
      <c r="F360"/>
    </row>
    <row r="361" spans="1:6" x14ac:dyDescent="0.25">
      <c r="A361"/>
      <c r="B361"/>
      <c r="E361"/>
      <c r="F361"/>
    </row>
    <row r="362" spans="1:6" x14ac:dyDescent="0.25">
      <c r="A362"/>
      <c r="B362"/>
      <c r="E362"/>
      <c r="F362"/>
    </row>
    <row r="363" spans="1:6" x14ac:dyDescent="0.25">
      <c r="A363"/>
      <c r="B363"/>
      <c r="E363"/>
      <c r="F363"/>
    </row>
    <row r="364" spans="1:6" x14ac:dyDescent="0.25">
      <c r="A364"/>
      <c r="B364"/>
      <c r="E364"/>
      <c r="F364"/>
    </row>
    <row r="365" spans="1:6" x14ac:dyDescent="0.25">
      <c r="A365"/>
      <c r="B365"/>
      <c r="E365"/>
      <c r="F365"/>
    </row>
    <row r="366" spans="1:6" x14ac:dyDescent="0.25">
      <c r="A366"/>
      <c r="B366"/>
      <c r="E366"/>
      <c r="F366"/>
    </row>
    <row r="367" spans="1:6" x14ac:dyDescent="0.25">
      <c r="A367"/>
      <c r="B367"/>
      <c r="E367"/>
      <c r="F367"/>
    </row>
    <row r="368" spans="1:6" x14ac:dyDescent="0.25">
      <c r="A368"/>
      <c r="B368"/>
      <c r="E368"/>
      <c r="F368"/>
    </row>
    <row r="369" spans="1:6" x14ac:dyDescent="0.25">
      <c r="A369"/>
      <c r="B369"/>
      <c r="E369"/>
      <c r="F369"/>
    </row>
    <row r="370" spans="1:6" x14ac:dyDescent="0.25">
      <c r="A370"/>
      <c r="B370"/>
      <c r="E370"/>
      <c r="F370"/>
    </row>
    <row r="371" spans="1:6" x14ac:dyDescent="0.25">
      <c r="A371"/>
      <c r="B371"/>
      <c r="E371"/>
      <c r="F371"/>
    </row>
    <row r="372" spans="1:6" x14ac:dyDescent="0.25">
      <c r="A372"/>
      <c r="B372"/>
      <c r="E372"/>
      <c r="F372"/>
    </row>
    <row r="373" spans="1:6" x14ac:dyDescent="0.25">
      <c r="A373"/>
      <c r="B373"/>
      <c r="E373"/>
      <c r="F373"/>
    </row>
    <row r="374" spans="1:6" x14ac:dyDescent="0.25">
      <c r="A374"/>
      <c r="B374"/>
      <c r="E374"/>
      <c r="F374"/>
    </row>
    <row r="375" spans="1:6" x14ac:dyDescent="0.25">
      <c r="A375"/>
      <c r="B375"/>
      <c r="E375"/>
      <c r="F375"/>
    </row>
    <row r="376" spans="1:6" x14ac:dyDescent="0.25">
      <c r="A376"/>
      <c r="B376"/>
      <c r="E376"/>
      <c r="F376"/>
    </row>
    <row r="377" spans="1:6" x14ac:dyDescent="0.25">
      <c r="A377"/>
      <c r="B377"/>
      <c r="E377"/>
      <c r="F377"/>
    </row>
    <row r="378" spans="1:6" x14ac:dyDescent="0.25">
      <c r="A378"/>
      <c r="B378"/>
      <c r="E378"/>
      <c r="F378"/>
    </row>
    <row r="379" spans="1:6" x14ac:dyDescent="0.25">
      <c r="A379"/>
      <c r="B379"/>
      <c r="E379"/>
      <c r="F379"/>
    </row>
    <row r="380" spans="1:6" x14ac:dyDescent="0.25">
      <c r="A380"/>
      <c r="B380"/>
      <c r="E380"/>
      <c r="F380"/>
    </row>
    <row r="381" spans="1:6" x14ac:dyDescent="0.25">
      <c r="A381"/>
      <c r="B381"/>
      <c r="E381"/>
      <c r="F381"/>
    </row>
    <row r="382" spans="1:6" x14ac:dyDescent="0.25">
      <c r="A382"/>
      <c r="B382"/>
      <c r="E382"/>
      <c r="F382"/>
    </row>
    <row r="383" spans="1:6" x14ac:dyDescent="0.25">
      <c r="A383"/>
      <c r="B383"/>
      <c r="E383"/>
      <c r="F383"/>
    </row>
    <row r="384" spans="1:6" x14ac:dyDescent="0.25">
      <c r="A384"/>
      <c r="B384"/>
      <c r="E384"/>
      <c r="F384"/>
    </row>
    <row r="385" spans="1:6" x14ac:dyDescent="0.25">
      <c r="A385"/>
      <c r="B385"/>
      <c r="E385"/>
      <c r="F385"/>
    </row>
    <row r="386" spans="1:6" x14ac:dyDescent="0.25">
      <c r="A386"/>
      <c r="B386"/>
      <c r="E386"/>
      <c r="F386"/>
    </row>
    <row r="387" spans="1:6" x14ac:dyDescent="0.25">
      <c r="A387"/>
      <c r="B387"/>
      <c r="E387"/>
      <c r="F387"/>
    </row>
    <row r="388" spans="1:6" x14ac:dyDescent="0.25">
      <c r="A388"/>
      <c r="B388"/>
      <c r="E388"/>
      <c r="F388"/>
    </row>
    <row r="389" spans="1:6" x14ac:dyDescent="0.25">
      <c r="A389"/>
      <c r="B389"/>
      <c r="E389"/>
      <c r="F389"/>
    </row>
    <row r="390" spans="1:6" x14ac:dyDescent="0.25">
      <c r="A390"/>
      <c r="B390"/>
      <c r="E390"/>
      <c r="F390"/>
    </row>
    <row r="391" spans="1:6" x14ac:dyDescent="0.25">
      <c r="A391"/>
      <c r="B391"/>
      <c r="E391"/>
      <c r="F391"/>
    </row>
    <row r="392" spans="1:6" x14ac:dyDescent="0.25">
      <c r="A392"/>
      <c r="B392"/>
      <c r="E392"/>
      <c r="F392"/>
    </row>
    <row r="393" spans="1:6" x14ac:dyDescent="0.25">
      <c r="A393"/>
      <c r="B393"/>
      <c r="E393"/>
      <c r="F393"/>
    </row>
    <row r="394" spans="1:6" x14ac:dyDescent="0.25">
      <c r="A394"/>
      <c r="B394"/>
      <c r="E394"/>
      <c r="F394"/>
    </row>
    <row r="395" spans="1:6" x14ac:dyDescent="0.25">
      <c r="A395"/>
      <c r="B395"/>
      <c r="E395"/>
      <c r="F395"/>
    </row>
    <row r="396" spans="1:6" x14ac:dyDescent="0.25">
      <c r="A396"/>
      <c r="B396"/>
      <c r="E396"/>
      <c r="F396"/>
    </row>
    <row r="397" spans="1:6" x14ac:dyDescent="0.25">
      <c r="A397"/>
      <c r="B397"/>
      <c r="E397"/>
      <c r="F397"/>
    </row>
    <row r="398" spans="1:6" x14ac:dyDescent="0.25">
      <c r="A398"/>
      <c r="B398"/>
      <c r="E398"/>
      <c r="F398"/>
    </row>
    <row r="399" spans="1:6" x14ac:dyDescent="0.25">
      <c r="A399"/>
      <c r="B399"/>
      <c r="E399"/>
      <c r="F399"/>
    </row>
    <row r="400" spans="1:6" x14ac:dyDescent="0.25">
      <c r="A400"/>
      <c r="B400"/>
      <c r="E400"/>
      <c r="F400"/>
    </row>
    <row r="401" spans="1:6" x14ac:dyDescent="0.25">
      <c r="A401"/>
      <c r="B401"/>
      <c r="E401"/>
      <c r="F401"/>
    </row>
    <row r="402" spans="1:6" x14ac:dyDescent="0.25">
      <c r="A402"/>
      <c r="B402"/>
      <c r="E402"/>
      <c r="F402"/>
    </row>
    <row r="403" spans="1:6" x14ac:dyDescent="0.25">
      <c r="A403"/>
      <c r="B403"/>
      <c r="E403"/>
      <c r="F403"/>
    </row>
    <row r="404" spans="1:6" x14ac:dyDescent="0.25">
      <c r="A404"/>
      <c r="B404"/>
      <c r="E404"/>
      <c r="F404"/>
    </row>
    <row r="405" spans="1:6" x14ac:dyDescent="0.25">
      <c r="A405"/>
      <c r="B405"/>
      <c r="E405"/>
      <c r="F405"/>
    </row>
    <row r="406" spans="1:6" x14ac:dyDescent="0.25">
      <c r="A406"/>
      <c r="B406"/>
      <c r="E406"/>
      <c r="F406"/>
    </row>
    <row r="407" spans="1:6" x14ac:dyDescent="0.25">
      <c r="A407"/>
      <c r="B407"/>
      <c r="E407"/>
      <c r="F407"/>
    </row>
    <row r="408" spans="1:6" x14ac:dyDescent="0.25">
      <c r="A408"/>
      <c r="B408"/>
      <c r="E408"/>
      <c r="F408"/>
    </row>
    <row r="409" spans="1:6" x14ac:dyDescent="0.25">
      <c r="A409"/>
      <c r="B409"/>
      <c r="E409"/>
      <c r="F409"/>
    </row>
    <row r="410" spans="1:6" x14ac:dyDescent="0.25">
      <c r="A410"/>
      <c r="B410"/>
      <c r="E410"/>
      <c r="F410"/>
    </row>
    <row r="411" spans="1:6" x14ac:dyDescent="0.25">
      <c r="A411"/>
      <c r="B411"/>
      <c r="E411"/>
      <c r="F411"/>
    </row>
    <row r="412" spans="1:6" x14ac:dyDescent="0.25">
      <c r="A412"/>
      <c r="B412"/>
      <c r="E412"/>
      <c r="F412"/>
    </row>
    <row r="413" spans="1:6" x14ac:dyDescent="0.25">
      <c r="A413"/>
      <c r="B413"/>
      <c r="E413"/>
      <c r="F413"/>
    </row>
    <row r="414" spans="1:6" x14ac:dyDescent="0.25">
      <c r="A414"/>
      <c r="B414"/>
      <c r="E414"/>
      <c r="F414"/>
    </row>
    <row r="415" spans="1:6" x14ac:dyDescent="0.25">
      <c r="A415"/>
      <c r="B415"/>
      <c r="E415"/>
      <c r="F415"/>
    </row>
    <row r="416" spans="1:6" x14ac:dyDescent="0.25">
      <c r="A416"/>
      <c r="B416"/>
      <c r="E416"/>
      <c r="F416"/>
    </row>
    <row r="417" spans="1:6" x14ac:dyDescent="0.25">
      <c r="A417"/>
      <c r="B417"/>
      <c r="E417"/>
      <c r="F417"/>
    </row>
    <row r="418" spans="1:6" x14ac:dyDescent="0.25">
      <c r="A418"/>
      <c r="B418"/>
      <c r="E418"/>
      <c r="F418"/>
    </row>
    <row r="419" spans="1:6" x14ac:dyDescent="0.25">
      <c r="A419"/>
      <c r="B419"/>
      <c r="E419"/>
      <c r="F419"/>
    </row>
    <row r="420" spans="1:6" x14ac:dyDescent="0.25">
      <c r="A420"/>
      <c r="B420"/>
      <c r="E420"/>
      <c r="F420"/>
    </row>
    <row r="421" spans="1:6" x14ac:dyDescent="0.25">
      <c r="A421"/>
      <c r="B421"/>
      <c r="E421"/>
      <c r="F421"/>
    </row>
    <row r="422" spans="1:6" x14ac:dyDescent="0.25">
      <c r="A422"/>
      <c r="B422"/>
      <c r="E422"/>
      <c r="F422"/>
    </row>
    <row r="423" spans="1:6" x14ac:dyDescent="0.25">
      <c r="A423"/>
      <c r="B423"/>
      <c r="E423"/>
      <c r="F423"/>
    </row>
    <row r="424" spans="1:6" x14ac:dyDescent="0.25">
      <c r="A424"/>
      <c r="B424"/>
      <c r="E424"/>
      <c r="F424"/>
    </row>
    <row r="425" spans="1:6" x14ac:dyDescent="0.25">
      <c r="A425"/>
      <c r="B425"/>
      <c r="E425"/>
      <c r="F425"/>
    </row>
    <row r="426" spans="1:6" x14ac:dyDescent="0.25">
      <c r="A426"/>
      <c r="B426"/>
      <c r="E426"/>
      <c r="F426"/>
    </row>
    <row r="427" spans="1:6" x14ac:dyDescent="0.25">
      <c r="A427"/>
      <c r="B427"/>
      <c r="E427"/>
      <c r="F427"/>
    </row>
    <row r="428" spans="1:6" x14ac:dyDescent="0.25">
      <c r="A428"/>
      <c r="B428"/>
      <c r="E428"/>
      <c r="F428"/>
    </row>
    <row r="429" spans="1:6" x14ac:dyDescent="0.25">
      <c r="A429"/>
      <c r="B429"/>
      <c r="E429"/>
      <c r="F429"/>
    </row>
    <row r="430" spans="1:6" x14ac:dyDescent="0.25">
      <c r="A430"/>
      <c r="B430"/>
      <c r="E430"/>
      <c r="F430"/>
    </row>
    <row r="431" spans="1:6" x14ac:dyDescent="0.25">
      <c r="A431"/>
      <c r="B431"/>
      <c r="E431"/>
      <c r="F431"/>
    </row>
    <row r="432" spans="1:6" x14ac:dyDescent="0.25">
      <c r="A432"/>
      <c r="B432"/>
      <c r="E432"/>
      <c r="F432"/>
    </row>
    <row r="433" spans="1:6" x14ac:dyDescent="0.25">
      <c r="A433"/>
      <c r="B433"/>
      <c r="E433"/>
      <c r="F433"/>
    </row>
    <row r="434" spans="1:6" x14ac:dyDescent="0.25">
      <c r="A434"/>
      <c r="B434"/>
      <c r="E434"/>
      <c r="F434"/>
    </row>
    <row r="435" spans="1:6" x14ac:dyDescent="0.25">
      <c r="A435"/>
      <c r="B435"/>
      <c r="E435"/>
      <c r="F435"/>
    </row>
    <row r="436" spans="1:6" x14ac:dyDescent="0.25">
      <c r="A436"/>
      <c r="B436"/>
      <c r="E436"/>
      <c r="F436"/>
    </row>
    <row r="437" spans="1:6" x14ac:dyDescent="0.25">
      <c r="A437"/>
      <c r="B437"/>
      <c r="E437"/>
      <c r="F437"/>
    </row>
    <row r="438" spans="1:6" x14ac:dyDescent="0.25">
      <c r="A438"/>
      <c r="B438"/>
      <c r="E438"/>
      <c r="F438"/>
    </row>
    <row r="439" spans="1:6" x14ac:dyDescent="0.25">
      <c r="A439"/>
      <c r="B439"/>
      <c r="E439"/>
      <c r="F439"/>
    </row>
    <row r="440" spans="1:6" x14ac:dyDescent="0.25">
      <c r="A440"/>
      <c r="B440"/>
      <c r="E440"/>
      <c r="F440"/>
    </row>
    <row r="441" spans="1:6" x14ac:dyDescent="0.25">
      <c r="A441"/>
      <c r="B441"/>
      <c r="E441"/>
      <c r="F441"/>
    </row>
    <row r="442" spans="1:6" x14ac:dyDescent="0.25">
      <c r="A442"/>
      <c r="B442"/>
      <c r="E442"/>
      <c r="F442"/>
    </row>
    <row r="443" spans="1:6" x14ac:dyDescent="0.25">
      <c r="A443"/>
      <c r="B443"/>
      <c r="E443"/>
      <c r="F443"/>
    </row>
    <row r="444" spans="1:6" x14ac:dyDescent="0.25">
      <c r="A444"/>
      <c r="B444"/>
      <c r="E444"/>
      <c r="F444"/>
    </row>
    <row r="445" spans="1:6" x14ac:dyDescent="0.25">
      <c r="A445"/>
      <c r="B445"/>
      <c r="E445"/>
      <c r="F445"/>
    </row>
    <row r="446" spans="1:6" x14ac:dyDescent="0.25">
      <c r="A446"/>
      <c r="B446"/>
      <c r="E446"/>
      <c r="F446"/>
    </row>
    <row r="447" spans="1:6" x14ac:dyDescent="0.25">
      <c r="A447"/>
      <c r="B447"/>
      <c r="E447"/>
      <c r="F447"/>
    </row>
    <row r="448" spans="1:6" x14ac:dyDescent="0.25">
      <c r="A448"/>
      <c r="B448"/>
      <c r="E448"/>
      <c r="F448"/>
    </row>
    <row r="449" spans="1:6" x14ac:dyDescent="0.25">
      <c r="A449"/>
      <c r="B449"/>
      <c r="E449"/>
      <c r="F449"/>
    </row>
    <row r="450" spans="1:6" x14ac:dyDescent="0.25">
      <c r="A450"/>
      <c r="B450"/>
      <c r="E450"/>
      <c r="F450"/>
    </row>
    <row r="451" spans="1:6" x14ac:dyDescent="0.25">
      <c r="A451"/>
      <c r="B451"/>
      <c r="E451"/>
      <c r="F451"/>
    </row>
    <row r="452" spans="1:6" x14ac:dyDescent="0.25">
      <c r="A452"/>
      <c r="B452"/>
      <c r="E452"/>
      <c r="F452"/>
    </row>
    <row r="453" spans="1:6" x14ac:dyDescent="0.25">
      <c r="A453"/>
      <c r="B453"/>
      <c r="E453"/>
      <c r="F453"/>
    </row>
    <row r="454" spans="1:6" x14ac:dyDescent="0.25">
      <c r="A454"/>
      <c r="B454"/>
      <c r="E454"/>
      <c r="F454"/>
    </row>
    <row r="455" spans="1:6" x14ac:dyDescent="0.25">
      <c r="A455"/>
      <c r="B455"/>
      <c r="E455"/>
      <c r="F455"/>
    </row>
    <row r="456" spans="1:6" x14ac:dyDescent="0.25">
      <c r="A456"/>
      <c r="B456"/>
      <c r="E456"/>
      <c r="F456"/>
    </row>
    <row r="457" spans="1:6" x14ac:dyDescent="0.25">
      <c r="A457"/>
      <c r="B457"/>
      <c r="E457"/>
      <c r="F457"/>
    </row>
    <row r="458" spans="1:6" x14ac:dyDescent="0.25">
      <c r="A458"/>
      <c r="B458"/>
      <c r="E458"/>
      <c r="F458"/>
    </row>
    <row r="459" spans="1:6" x14ac:dyDescent="0.25">
      <c r="A459"/>
      <c r="B459"/>
      <c r="E459"/>
      <c r="F459"/>
    </row>
    <row r="460" spans="1:6" x14ac:dyDescent="0.25">
      <c r="A460"/>
      <c r="B460"/>
      <c r="E460"/>
      <c r="F460"/>
    </row>
    <row r="461" spans="1:6" x14ac:dyDescent="0.25">
      <c r="A461"/>
      <c r="B461"/>
      <c r="E461"/>
      <c r="F461"/>
    </row>
    <row r="462" spans="1:6" x14ac:dyDescent="0.25">
      <c r="A462"/>
      <c r="B462"/>
      <c r="E462"/>
      <c r="F462"/>
    </row>
    <row r="463" spans="1:6" x14ac:dyDescent="0.25">
      <c r="A463"/>
      <c r="B463"/>
      <c r="E463"/>
      <c r="F463"/>
    </row>
    <row r="464" spans="1:6" x14ac:dyDescent="0.25">
      <c r="A464"/>
      <c r="B464"/>
      <c r="E464"/>
      <c r="F464"/>
    </row>
    <row r="465" spans="1:6" x14ac:dyDescent="0.25">
      <c r="A465"/>
      <c r="B465"/>
      <c r="E465"/>
      <c r="F465"/>
    </row>
    <row r="466" spans="1:6" x14ac:dyDescent="0.25">
      <c r="A466"/>
      <c r="B466"/>
      <c r="E466"/>
      <c r="F466"/>
    </row>
    <row r="467" spans="1:6" x14ac:dyDescent="0.25">
      <c r="A467"/>
      <c r="B467"/>
      <c r="E467"/>
      <c r="F467"/>
    </row>
    <row r="468" spans="1:6" x14ac:dyDescent="0.25">
      <c r="A468"/>
      <c r="B468"/>
      <c r="E468"/>
      <c r="F468"/>
    </row>
    <row r="469" spans="1:6" x14ac:dyDescent="0.25">
      <c r="A469"/>
      <c r="B469"/>
      <c r="E469"/>
      <c r="F469"/>
    </row>
    <row r="470" spans="1:6" x14ac:dyDescent="0.25">
      <c r="A470"/>
      <c r="B470"/>
      <c r="E470"/>
      <c r="F470"/>
    </row>
    <row r="471" spans="1:6" x14ac:dyDescent="0.25">
      <c r="A471"/>
      <c r="B471"/>
      <c r="E471"/>
      <c r="F471"/>
    </row>
    <row r="472" spans="1:6" x14ac:dyDescent="0.25">
      <c r="A472"/>
      <c r="B472"/>
      <c r="E472"/>
      <c r="F472"/>
    </row>
    <row r="473" spans="1:6" x14ac:dyDescent="0.25">
      <c r="A473"/>
      <c r="B473"/>
      <c r="E473"/>
      <c r="F473"/>
    </row>
    <row r="474" spans="1:6" x14ac:dyDescent="0.25">
      <c r="A474"/>
      <c r="B474"/>
      <c r="E474"/>
      <c r="F474"/>
    </row>
    <row r="475" spans="1:6" x14ac:dyDescent="0.25">
      <c r="A475"/>
      <c r="B475"/>
      <c r="E475"/>
      <c r="F475"/>
    </row>
    <row r="476" spans="1:6" x14ac:dyDescent="0.25">
      <c r="A476"/>
      <c r="B476"/>
      <c r="E476"/>
      <c r="F476"/>
    </row>
    <row r="477" spans="1:6" x14ac:dyDescent="0.25">
      <c r="A477"/>
      <c r="B477"/>
      <c r="E477"/>
      <c r="F477"/>
    </row>
    <row r="478" spans="1:6" x14ac:dyDescent="0.25">
      <c r="A478"/>
      <c r="B478"/>
      <c r="E478"/>
      <c r="F478"/>
    </row>
    <row r="479" spans="1:6" x14ac:dyDescent="0.25">
      <c r="A479"/>
      <c r="B479"/>
      <c r="E479"/>
      <c r="F479"/>
    </row>
    <row r="480" spans="1:6" x14ac:dyDescent="0.25">
      <c r="A480"/>
      <c r="B480"/>
      <c r="E480"/>
      <c r="F480"/>
    </row>
    <row r="481" spans="1:6" x14ac:dyDescent="0.25">
      <c r="A481"/>
      <c r="B481"/>
      <c r="E481"/>
      <c r="F481"/>
    </row>
    <row r="482" spans="1:6" x14ac:dyDescent="0.25">
      <c r="A482"/>
      <c r="B482"/>
      <c r="E482"/>
      <c r="F482"/>
    </row>
    <row r="483" spans="1:6" x14ac:dyDescent="0.25">
      <c r="A483"/>
      <c r="B483"/>
      <c r="E483"/>
      <c r="F483"/>
    </row>
    <row r="484" spans="1:6" x14ac:dyDescent="0.25">
      <c r="A484"/>
      <c r="B484"/>
      <c r="E484"/>
      <c r="F484"/>
    </row>
    <row r="485" spans="1:6" x14ac:dyDescent="0.25">
      <c r="A485"/>
      <c r="B485"/>
      <c r="E485"/>
      <c r="F485"/>
    </row>
    <row r="486" spans="1:6" x14ac:dyDescent="0.25">
      <c r="A486"/>
      <c r="B486"/>
      <c r="E486"/>
      <c r="F486"/>
    </row>
    <row r="487" spans="1:6" x14ac:dyDescent="0.25">
      <c r="A487"/>
      <c r="B487"/>
      <c r="E487"/>
      <c r="F487"/>
    </row>
    <row r="488" spans="1:6" x14ac:dyDescent="0.25">
      <c r="A488"/>
      <c r="B488"/>
      <c r="E488"/>
      <c r="F488"/>
    </row>
    <row r="489" spans="1:6" x14ac:dyDescent="0.25">
      <c r="A489"/>
      <c r="B489"/>
      <c r="E489"/>
      <c r="F489"/>
    </row>
    <row r="490" spans="1:6" x14ac:dyDescent="0.25">
      <c r="A490"/>
      <c r="B490"/>
      <c r="E490"/>
      <c r="F490"/>
    </row>
    <row r="491" spans="1:6" x14ac:dyDescent="0.25">
      <c r="A491"/>
      <c r="B491"/>
      <c r="E491"/>
      <c r="F491"/>
    </row>
    <row r="492" spans="1:6" x14ac:dyDescent="0.25">
      <c r="A492"/>
      <c r="B492"/>
      <c r="E492"/>
      <c r="F492"/>
    </row>
    <row r="493" spans="1:6" x14ac:dyDescent="0.25">
      <c r="A493"/>
      <c r="B493"/>
      <c r="E493"/>
      <c r="F493"/>
    </row>
    <row r="494" spans="1:6" x14ac:dyDescent="0.25">
      <c r="A494"/>
      <c r="B494"/>
      <c r="E494"/>
      <c r="F494"/>
    </row>
    <row r="495" spans="1:6" x14ac:dyDescent="0.25">
      <c r="A495"/>
      <c r="B495"/>
      <c r="E495"/>
      <c r="F495"/>
    </row>
    <row r="496" spans="1:6" x14ac:dyDescent="0.25">
      <c r="A496"/>
      <c r="B496"/>
      <c r="E496"/>
      <c r="F496"/>
    </row>
    <row r="497" spans="1:6" x14ac:dyDescent="0.25">
      <c r="A497"/>
      <c r="B497"/>
      <c r="E497"/>
      <c r="F497"/>
    </row>
    <row r="498" spans="1:6" x14ac:dyDescent="0.25">
      <c r="A498"/>
      <c r="B498"/>
      <c r="E498"/>
      <c r="F498"/>
    </row>
    <row r="499" spans="1:6" x14ac:dyDescent="0.25">
      <c r="A499"/>
      <c r="B499"/>
      <c r="E499"/>
      <c r="F499"/>
    </row>
    <row r="500" spans="1:6" x14ac:dyDescent="0.25">
      <c r="A500"/>
      <c r="B500"/>
      <c r="E500"/>
      <c r="F500"/>
    </row>
    <row r="501" spans="1:6" x14ac:dyDescent="0.25">
      <c r="A501"/>
      <c r="B501"/>
      <c r="E501"/>
      <c r="F501"/>
    </row>
    <row r="502" spans="1:6" x14ac:dyDescent="0.25">
      <c r="A502"/>
      <c r="B502"/>
      <c r="E502"/>
      <c r="F502"/>
    </row>
    <row r="503" spans="1:6" x14ac:dyDescent="0.25">
      <c r="A503"/>
      <c r="B503"/>
      <c r="E503"/>
      <c r="F503"/>
    </row>
    <row r="504" spans="1:6" x14ac:dyDescent="0.25">
      <c r="A504"/>
      <c r="B504"/>
      <c r="E504"/>
      <c r="F504"/>
    </row>
    <row r="505" spans="1:6" x14ac:dyDescent="0.25">
      <c r="A505"/>
      <c r="B505"/>
      <c r="E505"/>
      <c r="F505"/>
    </row>
    <row r="506" spans="1:6" x14ac:dyDescent="0.25">
      <c r="A506"/>
      <c r="B506"/>
      <c r="E506"/>
      <c r="F506"/>
    </row>
    <row r="507" spans="1:6" x14ac:dyDescent="0.25">
      <c r="A507"/>
      <c r="B507"/>
      <c r="E507"/>
      <c r="F507"/>
    </row>
    <row r="508" spans="1:6" x14ac:dyDescent="0.25">
      <c r="A508"/>
      <c r="B508"/>
      <c r="E508"/>
      <c r="F508"/>
    </row>
    <row r="509" spans="1:6" x14ac:dyDescent="0.25">
      <c r="A509"/>
      <c r="B509"/>
      <c r="E509"/>
      <c r="F509"/>
    </row>
    <row r="510" spans="1:6" x14ac:dyDescent="0.25">
      <c r="A510"/>
      <c r="B510"/>
      <c r="E510"/>
      <c r="F510"/>
    </row>
    <row r="511" spans="1:6" x14ac:dyDescent="0.25">
      <c r="A511"/>
      <c r="B511"/>
      <c r="E511"/>
      <c r="F511"/>
    </row>
    <row r="512" spans="1:6" x14ac:dyDescent="0.25">
      <c r="A512"/>
      <c r="B512"/>
      <c r="E512"/>
      <c r="F512"/>
    </row>
    <row r="513" spans="1:6" x14ac:dyDescent="0.25">
      <c r="A513"/>
      <c r="B513"/>
      <c r="E513"/>
      <c r="F513"/>
    </row>
    <row r="514" spans="1:6" x14ac:dyDescent="0.25">
      <c r="A514"/>
      <c r="B514"/>
      <c r="E514"/>
      <c r="F514"/>
    </row>
    <row r="515" spans="1:6" x14ac:dyDescent="0.25">
      <c r="A515"/>
      <c r="B515"/>
      <c r="E515"/>
      <c r="F515"/>
    </row>
    <row r="516" spans="1:6" x14ac:dyDescent="0.25">
      <c r="A516"/>
      <c r="B516"/>
      <c r="E516"/>
      <c r="F516"/>
    </row>
    <row r="517" spans="1:6" x14ac:dyDescent="0.25">
      <c r="A517"/>
      <c r="B517"/>
      <c r="E517"/>
      <c r="F517"/>
    </row>
    <row r="518" spans="1:6" x14ac:dyDescent="0.25">
      <c r="A518"/>
      <c r="B518"/>
      <c r="E518"/>
      <c r="F518"/>
    </row>
    <row r="519" spans="1:6" x14ac:dyDescent="0.25">
      <c r="A519"/>
      <c r="B519"/>
      <c r="E519"/>
      <c r="F519"/>
    </row>
    <row r="520" spans="1:6" x14ac:dyDescent="0.25">
      <c r="A520"/>
      <c r="B520"/>
      <c r="E520"/>
      <c r="F520"/>
    </row>
    <row r="521" spans="1:6" x14ac:dyDescent="0.25">
      <c r="A521"/>
      <c r="B521"/>
      <c r="E521"/>
      <c r="F521"/>
    </row>
    <row r="522" spans="1:6" x14ac:dyDescent="0.25">
      <c r="A522"/>
      <c r="B522"/>
      <c r="E522"/>
      <c r="F522"/>
    </row>
    <row r="523" spans="1:6" x14ac:dyDescent="0.25">
      <c r="A523"/>
      <c r="B523"/>
      <c r="E523"/>
      <c r="F523"/>
    </row>
    <row r="524" spans="1:6" x14ac:dyDescent="0.25">
      <c r="A524"/>
      <c r="B524"/>
      <c r="E524"/>
      <c r="F524"/>
    </row>
    <row r="525" spans="1:6" x14ac:dyDescent="0.25">
      <c r="A525"/>
      <c r="B525"/>
      <c r="E525"/>
      <c r="F525"/>
    </row>
    <row r="526" spans="1:6" x14ac:dyDescent="0.25">
      <c r="A526"/>
      <c r="B526"/>
      <c r="E526"/>
      <c r="F526"/>
    </row>
    <row r="527" spans="1:6" x14ac:dyDescent="0.25">
      <c r="A527"/>
      <c r="B527"/>
      <c r="E527"/>
      <c r="F527"/>
    </row>
    <row r="528" spans="1:6" x14ac:dyDescent="0.25">
      <c r="A528"/>
      <c r="B528"/>
      <c r="E528"/>
      <c r="F528"/>
    </row>
    <row r="529" spans="1:6" x14ac:dyDescent="0.25">
      <c r="A529"/>
      <c r="B529"/>
      <c r="E529"/>
      <c r="F529"/>
    </row>
    <row r="530" spans="1:6" x14ac:dyDescent="0.25">
      <c r="A530"/>
      <c r="B530"/>
      <c r="E530"/>
      <c r="F530"/>
    </row>
    <row r="531" spans="1:6" x14ac:dyDescent="0.25">
      <c r="A531"/>
      <c r="B531"/>
      <c r="E531"/>
      <c r="F531"/>
    </row>
    <row r="532" spans="1:6" x14ac:dyDescent="0.25">
      <c r="A532"/>
      <c r="B532"/>
      <c r="E532"/>
      <c r="F532"/>
    </row>
    <row r="533" spans="1:6" x14ac:dyDescent="0.25">
      <c r="A533"/>
      <c r="B533"/>
      <c r="E533"/>
      <c r="F533"/>
    </row>
    <row r="534" spans="1:6" x14ac:dyDescent="0.25">
      <c r="A534"/>
      <c r="B534"/>
      <c r="E534"/>
      <c r="F534"/>
    </row>
    <row r="535" spans="1:6" x14ac:dyDescent="0.25">
      <c r="A535"/>
      <c r="B535"/>
      <c r="E535"/>
      <c r="F535"/>
    </row>
    <row r="536" spans="1:6" x14ac:dyDescent="0.25">
      <c r="A536"/>
      <c r="B536"/>
      <c r="E536"/>
      <c r="F536"/>
    </row>
    <row r="537" spans="1:6" x14ac:dyDescent="0.25">
      <c r="A537"/>
      <c r="B537"/>
      <c r="E537"/>
      <c r="F537"/>
    </row>
    <row r="538" spans="1:6" x14ac:dyDescent="0.25">
      <c r="A538"/>
      <c r="B538"/>
      <c r="E538"/>
      <c r="F538"/>
    </row>
    <row r="539" spans="1:6" x14ac:dyDescent="0.25">
      <c r="A539"/>
      <c r="B539"/>
      <c r="E539"/>
      <c r="F539"/>
    </row>
    <row r="540" spans="1:6" x14ac:dyDescent="0.25">
      <c r="A540"/>
      <c r="B540"/>
      <c r="E540"/>
      <c r="F540"/>
    </row>
    <row r="541" spans="1:6" x14ac:dyDescent="0.25">
      <c r="A541"/>
      <c r="B541"/>
      <c r="E541"/>
      <c r="F541"/>
    </row>
    <row r="542" spans="1:6" x14ac:dyDescent="0.25">
      <c r="A542"/>
      <c r="B542"/>
      <c r="E542"/>
      <c r="F542"/>
    </row>
    <row r="543" spans="1:6" x14ac:dyDescent="0.25">
      <c r="A543"/>
      <c r="B543"/>
      <c r="E543"/>
      <c r="F543"/>
    </row>
    <row r="544" spans="1:6" x14ac:dyDescent="0.25">
      <c r="A544"/>
      <c r="B544"/>
      <c r="E544"/>
      <c r="F544"/>
    </row>
    <row r="545" spans="1:6" x14ac:dyDescent="0.25">
      <c r="A545"/>
      <c r="B545"/>
      <c r="E545"/>
      <c r="F545"/>
    </row>
    <row r="546" spans="1:6" x14ac:dyDescent="0.25">
      <c r="A546"/>
      <c r="B546"/>
      <c r="E546"/>
      <c r="F546"/>
    </row>
    <row r="547" spans="1:6" x14ac:dyDescent="0.25">
      <c r="A547"/>
      <c r="B547"/>
      <c r="E547"/>
      <c r="F547"/>
    </row>
    <row r="548" spans="1:6" x14ac:dyDescent="0.25">
      <c r="A548"/>
      <c r="B548"/>
      <c r="E548"/>
      <c r="F548"/>
    </row>
    <row r="549" spans="1:6" x14ac:dyDescent="0.25">
      <c r="A549"/>
      <c r="B549"/>
      <c r="E549"/>
      <c r="F549"/>
    </row>
    <row r="550" spans="1:6" x14ac:dyDescent="0.25">
      <c r="A550"/>
      <c r="B550"/>
      <c r="E550"/>
      <c r="F550"/>
    </row>
    <row r="551" spans="1:6" x14ac:dyDescent="0.25">
      <c r="A551"/>
      <c r="B551"/>
      <c r="E551"/>
      <c r="F551"/>
    </row>
    <row r="552" spans="1:6" x14ac:dyDescent="0.25">
      <c r="A552"/>
      <c r="B552"/>
      <c r="E552"/>
      <c r="F552"/>
    </row>
    <row r="553" spans="1:6" x14ac:dyDescent="0.25">
      <c r="A553"/>
      <c r="B553"/>
      <c r="E553"/>
      <c r="F553"/>
    </row>
    <row r="554" spans="1:6" x14ac:dyDescent="0.25">
      <c r="A554"/>
      <c r="B554"/>
      <c r="E554"/>
      <c r="F554"/>
    </row>
    <row r="555" spans="1:6" x14ac:dyDescent="0.25">
      <c r="A555"/>
      <c r="B555"/>
      <c r="E555"/>
      <c r="F555"/>
    </row>
    <row r="556" spans="1:6" x14ac:dyDescent="0.25">
      <c r="A556"/>
      <c r="B556"/>
      <c r="E556"/>
      <c r="F556"/>
    </row>
    <row r="557" spans="1:6" x14ac:dyDescent="0.25">
      <c r="A557"/>
      <c r="B557"/>
      <c r="E557"/>
      <c r="F557"/>
    </row>
    <row r="558" spans="1:6" x14ac:dyDescent="0.25">
      <c r="A558"/>
      <c r="B558"/>
      <c r="E558"/>
      <c r="F558"/>
    </row>
    <row r="559" spans="1:6" x14ac:dyDescent="0.25">
      <c r="A559"/>
      <c r="B559"/>
      <c r="E559"/>
      <c r="F559"/>
    </row>
    <row r="560" spans="1:6" x14ac:dyDescent="0.25">
      <c r="A560"/>
      <c r="B560"/>
      <c r="E560"/>
      <c r="F560"/>
    </row>
    <row r="561" spans="1:6" x14ac:dyDescent="0.25">
      <c r="A561"/>
      <c r="B561"/>
      <c r="E561"/>
      <c r="F561"/>
    </row>
    <row r="562" spans="1:6" x14ac:dyDescent="0.25">
      <c r="A562"/>
      <c r="B562"/>
      <c r="E562"/>
      <c r="F562"/>
    </row>
    <row r="563" spans="1:6" x14ac:dyDescent="0.25">
      <c r="A563"/>
      <c r="B563"/>
      <c r="E563"/>
      <c r="F563"/>
    </row>
    <row r="564" spans="1:6" x14ac:dyDescent="0.25">
      <c r="A564"/>
      <c r="B564"/>
      <c r="E564"/>
      <c r="F564"/>
    </row>
    <row r="565" spans="1:6" x14ac:dyDescent="0.25">
      <c r="A565"/>
      <c r="B565"/>
      <c r="E565"/>
      <c r="F565"/>
    </row>
    <row r="566" spans="1:6" x14ac:dyDescent="0.25">
      <c r="A566"/>
      <c r="B566"/>
      <c r="E566"/>
      <c r="F566"/>
    </row>
    <row r="567" spans="1:6" x14ac:dyDescent="0.25">
      <c r="A567"/>
      <c r="B567"/>
      <c r="E567"/>
      <c r="F567"/>
    </row>
    <row r="568" spans="1:6" x14ac:dyDescent="0.25">
      <c r="A568"/>
      <c r="B568"/>
      <c r="E568"/>
      <c r="F568"/>
    </row>
    <row r="569" spans="1:6" x14ac:dyDescent="0.25">
      <c r="A569"/>
      <c r="B569"/>
      <c r="E569"/>
      <c r="F569"/>
    </row>
    <row r="570" spans="1:6" x14ac:dyDescent="0.25">
      <c r="A570"/>
      <c r="B570"/>
      <c r="E570"/>
      <c r="F570"/>
    </row>
    <row r="571" spans="1:6" x14ac:dyDescent="0.25">
      <c r="A571"/>
      <c r="B571"/>
      <c r="E571"/>
      <c r="F571"/>
    </row>
    <row r="572" spans="1:6" x14ac:dyDescent="0.25">
      <c r="A572"/>
      <c r="B572"/>
      <c r="E572"/>
      <c r="F572"/>
    </row>
    <row r="573" spans="1:6" x14ac:dyDescent="0.25">
      <c r="A573"/>
      <c r="B573"/>
      <c r="E573"/>
      <c r="F573"/>
    </row>
    <row r="574" spans="1:6" x14ac:dyDescent="0.25">
      <c r="A574"/>
      <c r="B574"/>
      <c r="E574"/>
      <c r="F574"/>
    </row>
    <row r="575" spans="1:6" x14ac:dyDescent="0.25">
      <c r="A575"/>
      <c r="B575"/>
      <c r="E575"/>
      <c r="F575"/>
    </row>
    <row r="576" spans="1:6" x14ac:dyDescent="0.25">
      <c r="A576"/>
      <c r="B576"/>
      <c r="E576"/>
      <c r="F576"/>
    </row>
    <row r="577" spans="1:6" x14ac:dyDescent="0.25">
      <c r="A577"/>
      <c r="B577"/>
      <c r="E577"/>
      <c r="F577"/>
    </row>
    <row r="578" spans="1:6" x14ac:dyDescent="0.25">
      <c r="A578"/>
      <c r="B578"/>
      <c r="E578"/>
      <c r="F578"/>
    </row>
    <row r="579" spans="1:6" x14ac:dyDescent="0.25">
      <c r="A579"/>
      <c r="B579"/>
      <c r="E579"/>
      <c r="F579"/>
    </row>
    <row r="580" spans="1:6" x14ac:dyDescent="0.25">
      <c r="A580"/>
      <c r="B580"/>
      <c r="E580"/>
      <c r="F580"/>
    </row>
    <row r="581" spans="1:6" x14ac:dyDescent="0.25">
      <c r="A581"/>
      <c r="B581"/>
      <c r="E581"/>
      <c r="F581"/>
    </row>
    <row r="582" spans="1:6" x14ac:dyDescent="0.25">
      <c r="A582"/>
      <c r="B582"/>
      <c r="E582"/>
      <c r="F582"/>
    </row>
    <row r="583" spans="1:6" x14ac:dyDescent="0.25">
      <c r="A583"/>
      <c r="B583"/>
      <c r="E583"/>
      <c r="F583"/>
    </row>
    <row r="584" spans="1:6" x14ac:dyDescent="0.25">
      <c r="A584"/>
      <c r="B584"/>
      <c r="E584"/>
      <c r="F584"/>
    </row>
    <row r="585" spans="1:6" x14ac:dyDescent="0.25">
      <c r="A585"/>
      <c r="B585"/>
      <c r="E585"/>
      <c r="F585"/>
    </row>
    <row r="586" spans="1:6" x14ac:dyDescent="0.25">
      <c r="A586"/>
      <c r="B586"/>
      <c r="E586"/>
      <c r="F586"/>
    </row>
    <row r="587" spans="1:6" x14ac:dyDescent="0.25">
      <c r="A587"/>
      <c r="B587"/>
      <c r="E587"/>
      <c r="F587"/>
    </row>
    <row r="588" spans="1:6" x14ac:dyDescent="0.25">
      <c r="A588"/>
      <c r="B588"/>
      <c r="E588"/>
      <c r="F588"/>
    </row>
    <row r="589" spans="1:6" x14ac:dyDescent="0.25">
      <c r="A589"/>
      <c r="B589"/>
      <c r="E589"/>
      <c r="F589"/>
    </row>
    <row r="590" spans="1:6" x14ac:dyDescent="0.25">
      <c r="A590"/>
      <c r="B590"/>
      <c r="E590"/>
      <c r="F590"/>
    </row>
    <row r="591" spans="1:6" x14ac:dyDescent="0.25">
      <c r="A591"/>
      <c r="B591"/>
      <c r="E591"/>
      <c r="F591"/>
    </row>
    <row r="592" spans="1:6" x14ac:dyDescent="0.25">
      <c r="A592"/>
      <c r="B592"/>
      <c r="E592"/>
      <c r="F592"/>
    </row>
    <row r="593" spans="1:6" x14ac:dyDescent="0.25">
      <c r="A593"/>
      <c r="B593"/>
      <c r="E593"/>
      <c r="F593"/>
    </row>
    <row r="594" spans="1:6" x14ac:dyDescent="0.25">
      <c r="A594"/>
      <c r="B594"/>
      <c r="E594"/>
      <c r="F594"/>
    </row>
    <row r="595" spans="1:6" x14ac:dyDescent="0.25">
      <c r="A595"/>
      <c r="B595"/>
      <c r="E595"/>
      <c r="F595"/>
    </row>
    <row r="596" spans="1:6" x14ac:dyDescent="0.25">
      <c r="A596"/>
      <c r="B596"/>
      <c r="E596"/>
      <c r="F596"/>
    </row>
    <row r="597" spans="1:6" x14ac:dyDescent="0.25">
      <c r="A597"/>
      <c r="B597"/>
      <c r="E597"/>
      <c r="F597"/>
    </row>
    <row r="598" spans="1:6" x14ac:dyDescent="0.25">
      <c r="A598"/>
      <c r="B598"/>
      <c r="E598"/>
      <c r="F598"/>
    </row>
    <row r="599" spans="1:6" x14ac:dyDescent="0.25">
      <c r="A599"/>
      <c r="B599"/>
      <c r="E599"/>
      <c r="F599"/>
    </row>
    <row r="600" spans="1:6" x14ac:dyDescent="0.25">
      <c r="A600"/>
      <c r="B600"/>
      <c r="E600"/>
      <c r="F600"/>
    </row>
    <row r="601" spans="1:6" x14ac:dyDescent="0.25">
      <c r="A601"/>
      <c r="B601"/>
      <c r="E601"/>
      <c r="F601"/>
    </row>
    <row r="602" spans="1:6" x14ac:dyDescent="0.25">
      <c r="A602"/>
      <c r="B602"/>
      <c r="E602"/>
      <c r="F602"/>
    </row>
    <row r="603" spans="1:6" x14ac:dyDescent="0.25">
      <c r="A603"/>
      <c r="B603"/>
      <c r="E603"/>
      <c r="F603"/>
    </row>
    <row r="604" spans="1:6" x14ac:dyDescent="0.25">
      <c r="A604"/>
      <c r="B604"/>
      <c r="E604"/>
      <c r="F604"/>
    </row>
    <row r="605" spans="1:6" x14ac:dyDescent="0.25">
      <c r="A605"/>
      <c r="B605"/>
      <c r="E605"/>
      <c r="F605"/>
    </row>
    <row r="606" spans="1:6" x14ac:dyDescent="0.25">
      <c r="A606"/>
      <c r="B606"/>
      <c r="E606"/>
      <c r="F606"/>
    </row>
    <row r="607" spans="1:6" x14ac:dyDescent="0.25">
      <c r="A607"/>
      <c r="B607"/>
      <c r="E607"/>
      <c r="F607"/>
    </row>
    <row r="608" spans="1:6" x14ac:dyDescent="0.25">
      <c r="A608"/>
      <c r="B608"/>
      <c r="E608"/>
      <c r="F608"/>
    </row>
    <row r="609" spans="1:6" x14ac:dyDescent="0.25">
      <c r="A609"/>
      <c r="B609"/>
      <c r="E609"/>
      <c r="F609"/>
    </row>
    <row r="610" spans="1:6" x14ac:dyDescent="0.25">
      <c r="A610"/>
      <c r="B610"/>
      <c r="E610"/>
      <c r="F610"/>
    </row>
    <row r="611" spans="1:6" x14ac:dyDescent="0.25">
      <c r="A611"/>
      <c r="B611"/>
      <c r="E611"/>
      <c r="F611"/>
    </row>
    <row r="612" spans="1:6" x14ac:dyDescent="0.25">
      <c r="A612"/>
      <c r="B612"/>
      <c r="E612"/>
      <c r="F612"/>
    </row>
    <row r="613" spans="1:6" x14ac:dyDescent="0.25">
      <c r="A613"/>
      <c r="B613"/>
      <c r="E613"/>
      <c r="F613"/>
    </row>
    <row r="614" spans="1:6" x14ac:dyDescent="0.25">
      <c r="A614"/>
      <c r="B614"/>
      <c r="E614"/>
      <c r="F614"/>
    </row>
    <row r="615" spans="1:6" x14ac:dyDescent="0.25">
      <c r="A615"/>
      <c r="B615"/>
      <c r="E615"/>
      <c r="F615"/>
    </row>
    <row r="616" spans="1:6" x14ac:dyDescent="0.25">
      <c r="A616"/>
      <c r="B616"/>
      <c r="E616"/>
      <c r="F616"/>
    </row>
    <row r="617" spans="1:6" x14ac:dyDescent="0.25">
      <c r="A617"/>
      <c r="B617"/>
      <c r="E617"/>
      <c r="F617"/>
    </row>
    <row r="618" spans="1:6" x14ac:dyDescent="0.25">
      <c r="A618"/>
      <c r="B618"/>
      <c r="E618"/>
      <c r="F618"/>
    </row>
    <row r="619" spans="1:6" x14ac:dyDescent="0.25">
      <c r="A619"/>
      <c r="B619"/>
      <c r="E619"/>
      <c r="F619"/>
    </row>
    <row r="620" spans="1:6" x14ac:dyDescent="0.25">
      <c r="A620"/>
      <c r="B620"/>
      <c r="E620"/>
      <c r="F620"/>
    </row>
    <row r="621" spans="1:6" x14ac:dyDescent="0.25">
      <c r="A621"/>
      <c r="B621"/>
      <c r="E621"/>
      <c r="F621"/>
    </row>
    <row r="622" spans="1:6" x14ac:dyDescent="0.25">
      <c r="A622"/>
      <c r="B622"/>
      <c r="E622"/>
      <c r="F622"/>
    </row>
    <row r="623" spans="1:6" x14ac:dyDescent="0.25">
      <c r="A623"/>
      <c r="B623"/>
      <c r="E623"/>
      <c r="F623"/>
    </row>
    <row r="624" spans="1:6" x14ac:dyDescent="0.25">
      <c r="A624"/>
      <c r="B624"/>
      <c r="E624"/>
      <c r="F624"/>
    </row>
    <row r="625" spans="1:6" x14ac:dyDescent="0.25">
      <c r="A625"/>
      <c r="B625"/>
      <c r="E625"/>
      <c r="F625"/>
    </row>
    <row r="626" spans="1:6" x14ac:dyDescent="0.25">
      <c r="A626"/>
      <c r="B626"/>
      <c r="E626"/>
      <c r="F626"/>
    </row>
    <row r="627" spans="1:6" x14ac:dyDescent="0.25">
      <c r="A627"/>
      <c r="B627"/>
      <c r="E627"/>
      <c r="F627"/>
    </row>
    <row r="628" spans="1:6" x14ac:dyDescent="0.25">
      <c r="A628"/>
      <c r="B628"/>
      <c r="E628"/>
      <c r="F628"/>
    </row>
    <row r="629" spans="1:6" x14ac:dyDescent="0.25">
      <c r="A629"/>
      <c r="B629"/>
      <c r="E629"/>
      <c r="F629"/>
    </row>
    <row r="630" spans="1:6" x14ac:dyDescent="0.25">
      <c r="A630"/>
      <c r="B630"/>
      <c r="E630"/>
      <c r="F630"/>
    </row>
    <row r="631" spans="1:6" x14ac:dyDescent="0.25">
      <c r="A631"/>
      <c r="B631"/>
      <c r="E631"/>
      <c r="F631"/>
    </row>
    <row r="632" spans="1:6" x14ac:dyDescent="0.25">
      <c r="A632"/>
      <c r="B632"/>
      <c r="E632"/>
      <c r="F632"/>
    </row>
    <row r="633" spans="1:6" x14ac:dyDescent="0.25">
      <c r="A633"/>
      <c r="B633"/>
      <c r="E633"/>
      <c r="F633"/>
    </row>
    <row r="634" spans="1:6" x14ac:dyDescent="0.25">
      <c r="A634"/>
      <c r="B634"/>
      <c r="E634"/>
      <c r="F634"/>
    </row>
    <row r="635" spans="1:6" x14ac:dyDescent="0.25">
      <c r="A635"/>
      <c r="B635"/>
      <c r="E635"/>
      <c r="F635"/>
    </row>
    <row r="636" spans="1:6" x14ac:dyDescent="0.25">
      <c r="A636"/>
      <c r="B636"/>
      <c r="E636"/>
      <c r="F636"/>
    </row>
    <row r="637" spans="1:6" x14ac:dyDescent="0.25">
      <c r="A637"/>
      <c r="B637"/>
      <c r="E637"/>
      <c r="F637"/>
    </row>
    <row r="638" spans="1:6" x14ac:dyDescent="0.25">
      <c r="A638"/>
      <c r="B638"/>
      <c r="E638"/>
      <c r="F638"/>
    </row>
    <row r="639" spans="1:6" x14ac:dyDescent="0.25">
      <c r="A639"/>
      <c r="B639"/>
      <c r="E639"/>
      <c r="F639"/>
    </row>
    <row r="640" spans="1:6" x14ac:dyDescent="0.25">
      <c r="A640"/>
      <c r="B640"/>
      <c r="E640"/>
      <c r="F640"/>
    </row>
    <row r="641" spans="1:6" x14ac:dyDescent="0.25">
      <c r="A641"/>
      <c r="B641"/>
      <c r="E641"/>
      <c r="F641"/>
    </row>
    <row r="642" spans="1:6" x14ac:dyDescent="0.25">
      <c r="A642"/>
      <c r="B642"/>
      <c r="E642"/>
      <c r="F642"/>
    </row>
    <row r="643" spans="1:6" x14ac:dyDescent="0.25">
      <c r="A643"/>
      <c r="B643"/>
      <c r="E643"/>
      <c r="F643"/>
    </row>
    <row r="644" spans="1:6" x14ac:dyDescent="0.25">
      <c r="A644"/>
      <c r="B644"/>
      <c r="E644"/>
      <c r="F644"/>
    </row>
    <row r="645" spans="1:6" x14ac:dyDescent="0.25">
      <c r="A645"/>
      <c r="B645"/>
      <c r="E645"/>
      <c r="F645"/>
    </row>
    <row r="646" spans="1:6" x14ac:dyDescent="0.25">
      <c r="A646"/>
      <c r="B646"/>
      <c r="E646"/>
      <c r="F646"/>
    </row>
    <row r="647" spans="1:6" x14ac:dyDescent="0.25">
      <c r="A647"/>
      <c r="B647"/>
      <c r="E647"/>
      <c r="F647"/>
    </row>
    <row r="648" spans="1:6" x14ac:dyDescent="0.25">
      <c r="A648"/>
      <c r="B648"/>
      <c r="E648"/>
      <c r="F648"/>
    </row>
    <row r="649" spans="1:6" x14ac:dyDescent="0.25">
      <c r="A649"/>
      <c r="B649"/>
      <c r="E649"/>
      <c r="F649"/>
    </row>
    <row r="650" spans="1:6" x14ac:dyDescent="0.25">
      <c r="A650"/>
      <c r="B650"/>
      <c r="E650"/>
      <c r="F650"/>
    </row>
    <row r="651" spans="1:6" x14ac:dyDescent="0.25">
      <c r="A651"/>
      <c r="B651"/>
      <c r="E651"/>
      <c r="F651"/>
    </row>
    <row r="652" spans="1:6" x14ac:dyDescent="0.25">
      <c r="A652"/>
      <c r="B652"/>
      <c r="E652"/>
      <c r="F652"/>
    </row>
    <row r="653" spans="1:6" x14ac:dyDescent="0.25">
      <c r="A653"/>
      <c r="B653"/>
      <c r="E653"/>
      <c r="F653"/>
    </row>
    <row r="654" spans="1:6" x14ac:dyDescent="0.25">
      <c r="A654"/>
      <c r="B654"/>
      <c r="E654"/>
      <c r="F654"/>
    </row>
    <row r="655" spans="1:6" x14ac:dyDescent="0.25">
      <c r="A655"/>
      <c r="B655"/>
      <c r="E655"/>
      <c r="F655"/>
    </row>
    <row r="656" spans="1:6" x14ac:dyDescent="0.25">
      <c r="A656"/>
      <c r="B656"/>
      <c r="E656"/>
      <c r="F656"/>
    </row>
    <row r="657" spans="1:6" x14ac:dyDescent="0.25">
      <c r="A657"/>
      <c r="B657"/>
      <c r="E657"/>
      <c r="F657"/>
    </row>
    <row r="658" spans="1:6" x14ac:dyDescent="0.25">
      <c r="A658"/>
      <c r="B658"/>
      <c r="E658"/>
      <c r="F658"/>
    </row>
    <row r="659" spans="1:6" x14ac:dyDescent="0.25">
      <c r="A659"/>
      <c r="B659"/>
      <c r="E659"/>
      <c r="F659"/>
    </row>
    <row r="660" spans="1:6" x14ac:dyDescent="0.25">
      <c r="A660"/>
      <c r="B660"/>
      <c r="E660"/>
      <c r="F660"/>
    </row>
    <row r="661" spans="1:6" x14ac:dyDescent="0.25">
      <c r="A661"/>
      <c r="B661"/>
      <c r="E661"/>
      <c r="F661"/>
    </row>
    <row r="662" spans="1:6" x14ac:dyDescent="0.25">
      <c r="A662"/>
      <c r="B662"/>
      <c r="E662"/>
      <c r="F662"/>
    </row>
    <row r="663" spans="1:6" x14ac:dyDescent="0.25">
      <c r="A663"/>
      <c r="B663"/>
      <c r="E663"/>
      <c r="F663"/>
    </row>
    <row r="664" spans="1:6" x14ac:dyDescent="0.25">
      <c r="A664"/>
      <c r="B664"/>
      <c r="E664"/>
      <c r="F664"/>
    </row>
    <row r="665" spans="1:6" x14ac:dyDescent="0.25">
      <c r="A665"/>
      <c r="B665"/>
      <c r="E665"/>
      <c r="F665"/>
    </row>
    <row r="666" spans="1:6" x14ac:dyDescent="0.25">
      <c r="A666"/>
      <c r="B666"/>
      <c r="E666"/>
      <c r="F666"/>
    </row>
    <row r="667" spans="1:6" x14ac:dyDescent="0.25">
      <c r="A667"/>
      <c r="B667"/>
      <c r="E667"/>
      <c r="F667"/>
    </row>
    <row r="668" spans="1:6" x14ac:dyDescent="0.25">
      <c r="A668"/>
      <c r="B668"/>
      <c r="E668"/>
      <c r="F668"/>
    </row>
    <row r="669" spans="1:6" x14ac:dyDescent="0.25">
      <c r="A669"/>
      <c r="B669"/>
      <c r="E669"/>
      <c r="F669"/>
    </row>
    <row r="670" spans="1:6" x14ac:dyDescent="0.25">
      <c r="A670"/>
      <c r="B670"/>
      <c r="E670"/>
      <c r="F670"/>
    </row>
    <row r="671" spans="1:6" x14ac:dyDescent="0.25">
      <c r="A671"/>
      <c r="B671"/>
      <c r="E671"/>
      <c r="F671"/>
    </row>
    <row r="672" spans="1:6" x14ac:dyDescent="0.25">
      <c r="A672"/>
      <c r="B672"/>
      <c r="E672"/>
      <c r="F672"/>
    </row>
    <row r="673" spans="1:6" x14ac:dyDescent="0.25">
      <c r="A673"/>
      <c r="B673"/>
      <c r="E673"/>
      <c r="F673"/>
    </row>
    <row r="674" spans="1:6" x14ac:dyDescent="0.25">
      <c r="A674"/>
      <c r="B674"/>
      <c r="E674"/>
      <c r="F674"/>
    </row>
    <row r="675" spans="1:6" x14ac:dyDescent="0.25">
      <c r="A675"/>
      <c r="B675"/>
      <c r="E675"/>
      <c r="F675"/>
    </row>
    <row r="676" spans="1:6" x14ac:dyDescent="0.25">
      <c r="A676"/>
      <c r="B676"/>
      <c r="E676"/>
      <c r="F676"/>
    </row>
    <row r="677" spans="1:6" x14ac:dyDescent="0.25">
      <c r="A677"/>
      <c r="B677"/>
      <c r="E677"/>
      <c r="F677"/>
    </row>
    <row r="678" spans="1:6" x14ac:dyDescent="0.25">
      <c r="A678"/>
      <c r="B678"/>
      <c r="E678"/>
      <c r="F678"/>
    </row>
    <row r="679" spans="1:6" x14ac:dyDescent="0.25">
      <c r="A679"/>
      <c r="B679"/>
      <c r="E679"/>
      <c r="F679"/>
    </row>
    <row r="680" spans="1:6" x14ac:dyDescent="0.25">
      <c r="A680"/>
      <c r="B680"/>
      <c r="E680"/>
      <c r="F680"/>
    </row>
    <row r="681" spans="1:6" x14ac:dyDescent="0.25">
      <c r="A681"/>
      <c r="B681"/>
      <c r="E681"/>
      <c r="F681"/>
    </row>
    <row r="682" spans="1:6" x14ac:dyDescent="0.25">
      <c r="A682"/>
      <c r="B682"/>
      <c r="E682"/>
      <c r="F682"/>
    </row>
    <row r="683" spans="1:6" x14ac:dyDescent="0.25">
      <c r="A683"/>
      <c r="B683"/>
      <c r="E683"/>
      <c r="F683"/>
    </row>
    <row r="684" spans="1:6" x14ac:dyDescent="0.25">
      <c r="A684"/>
      <c r="B684"/>
      <c r="E684"/>
      <c r="F684"/>
    </row>
    <row r="685" spans="1:6" x14ac:dyDescent="0.25">
      <c r="A685"/>
      <c r="B685"/>
      <c r="E685"/>
      <c r="F685"/>
    </row>
    <row r="686" spans="1:6" x14ac:dyDescent="0.25">
      <c r="A686"/>
      <c r="B686"/>
      <c r="E686"/>
      <c r="F686"/>
    </row>
    <row r="687" spans="1:6" x14ac:dyDescent="0.25">
      <c r="A687"/>
      <c r="B687"/>
      <c r="E687"/>
      <c r="F687"/>
    </row>
    <row r="688" spans="1:6" x14ac:dyDescent="0.25">
      <c r="A688"/>
      <c r="B688"/>
      <c r="E688"/>
      <c r="F688"/>
    </row>
    <row r="689" spans="1:6" x14ac:dyDescent="0.25">
      <c r="A689"/>
      <c r="B689"/>
      <c r="E689"/>
      <c r="F689"/>
    </row>
    <row r="690" spans="1:6" x14ac:dyDescent="0.25">
      <c r="A690"/>
      <c r="B690"/>
      <c r="E690"/>
      <c r="F690"/>
    </row>
    <row r="691" spans="1:6" x14ac:dyDescent="0.25">
      <c r="A691"/>
      <c r="B691"/>
      <c r="E691"/>
      <c r="F691"/>
    </row>
    <row r="692" spans="1:6" x14ac:dyDescent="0.25">
      <c r="A692"/>
      <c r="B692"/>
      <c r="E692"/>
      <c r="F692"/>
    </row>
    <row r="693" spans="1:6" x14ac:dyDescent="0.25">
      <c r="A693"/>
      <c r="B693"/>
      <c r="E693"/>
      <c r="F693"/>
    </row>
    <row r="694" spans="1:6" x14ac:dyDescent="0.25">
      <c r="A694"/>
      <c r="B694"/>
      <c r="E694"/>
      <c r="F694"/>
    </row>
    <row r="695" spans="1:6" x14ac:dyDescent="0.25">
      <c r="A695"/>
      <c r="B695"/>
      <c r="E695"/>
      <c r="F695"/>
    </row>
    <row r="696" spans="1:6" x14ac:dyDescent="0.25">
      <c r="A696"/>
      <c r="B696"/>
      <c r="E696"/>
      <c r="F696"/>
    </row>
    <row r="697" spans="1:6" x14ac:dyDescent="0.25">
      <c r="A697"/>
      <c r="B697"/>
      <c r="E697"/>
      <c r="F697"/>
    </row>
    <row r="698" spans="1:6" x14ac:dyDescent="0.25">
      <c r="A698"/>
      <c r="B698"/>
      <c r="E698"/>
      <c r="F698"/>
    </row>
    <row r="699" spans="1:6" x14ac:dyDescent="0.25">
      <c r="A699"/>
      <c r="B699"/>
      <c r="E699"/>
      <c r="F699"/>
    </row>
    <row r="700" spans="1:6" x14ac:dyDescent="0.25">
      <c r="A700"/>
      <c r="B700"/>
      <c r="E700"/>
      <c r="F700"/>
    </row>
    <row r="701" spans="1:6" x14ac:dyDescent="0.25">
      <c r="A701"/>
      <c r="B701"/>
      <c r="E701"/>
      <c r="F701"/>
    </row>
    <row r="702" spans="1:6" x14ac:dyDescent="0.25">
      <c r="A702"/>
      <c r="B702"/>
      <c r="E702"/>
      <c r="F702"/>
    </row>
    <row r="703" spans="1:6" x14ac:dyDescent="0.25">
      <c r="A703"/>
      <c r="B703"/>
      <c r="E703"/>
      <c r="F703"/>
    </row>
    <row r="704" spans="1:6" x14ac:dyDescent="0.25">
      <c r="A704"/>
      <c r="B704"/>
      <c r="E704"/>
      <c r="F704"/>
    </row>
    <row r="705" spans="1:6" x14ac:dyDescent="0.25">
      <c r="A705"/>
      <c r="B705"/>
      <c r="E705"/>
      <c r="F705"/>
    </row>
    <row r="706" spans="1:6" x14ac:dyDescent="0.25">
      <c r="A706"/>
      <c r="B706"/>
      <c r="E706"/>
      <c r="F706"/>
    </row>
    <row r="707" spans="1:6" x14ac:dyDescent="0.25">
      <c r="A707"/>
      <c r="B707"/>
      <c r="E707"/>
      <c r="F707"/>
    </row>
    <row r="708" spans="1:6" x14ac:dyDescent="0.25">
      <c r="A708"/>
      <c r="B708"/>
      <c r="E708"/>
      <c r="F708"/>
    </row>
    <row r="709" spans="1:6" x14ac:dyDescent="0.25">
      <c r="A709"/>
      <c r="B709"/>
      <c r="E709"/>
      <c r="F709"/>
    </row>
    <row r="710" spans="1:6" x14ac:dyDescent="0.25">
      <c r="A710"/>
      <c r="B710"/>
      <c r="E710"/>
      <c r="F710"/>
    </row>
    <row r="711" spans="1:6" x14ac:dyDescent="0.25">
      <c r="A711"/>
      <c r="B711"/>
      <c r="E711"/>
      <c r="F711"/>
    </row>
    <row r="712" spans="1:6" x14ac:dyDescent="0.25">
      <c r="A712"/>
      <c r="B712"/>
      <c r="E712"/>
      <c r="F712"/>
    </row>
    <row r="713" spans="1:6" x14ac:dyDescent="0.25">
      <c r="A713"/>
      <c r="B713"/>
      <c r="E713"/>
      <c r="F713"/>
    </row>
    <row r="714" spans="1:6" x14ac:dyDescent="0.25">
      <c r="A714"/>
      <c r="B714"/>
      <c r="E714"/>
      <c r="F714"/>
    </row>
    <row r="715" spans="1:6" x14ac:dyDescent="0.25">
      <c r="A715"/>
      <c r="B715"/>
      <c r="E715"/>
      <c r="F715"/>
    </row>
    <row r="716" spans="1:6" x14ac:dyDescent="0.25">
      <c r="A716"/>
      <c r="B716"/>
      <c r="E716"/>
      <c r="F716"/>
    </row>
    <row r="717" spans="1:6" x14ac:dyDescent="0.25">
      <c r="A717"/>
      <c r="B717"/>
      <c r="E717"/>
      <c r="F717"/>
    </row>
    <row r="718" spans="1:6" x14ac:dyDescent="0.25">
      <c r="A718"/>
      <c r="B718"/>
      <c r="E718"/>
      <c r="F718"/>
    </row>
    <row r="719" spans="1:6" x14ac:dyDescent="0.25">
      <c r="A719"/>
      <c r="B719"/>
      <c r="E719"/>
      <c r="F719"/>
    </row>
    <row r="720" spans="1:6" x14ac:dyDescent="0.25">
      <c r="A720"/>
      <c r="B720"/>
      <c r="E720"/>
      <c r="F720"/>
    </row>
    <row r="721" spans="1:6" x14ac:dyDescent="0.25">
      <c r="A721"/>
      <c r="B721"/>
      <c r="E721"/>
      <c r="F721"/>
    </row>
    <row r="722" spans="1:6" x14ac:dyDescent="0.25">
      <c r="A722"/>
      <c r="B722"/>
      <c r="E722"/>
      <c r="F722"/>
    </row>
    <row r="723" spans="1:6" x14ac:dyDescent="0.25">
      <c r="A723"/>
      <c r="B723"/>
      <c r="E723"/>
      <c r="F723"/>
    </row>
    <row r="724" spans="1:6" x14ac:dyDescent="0.25">
      <c r="A724"/>
      <c r="B724"/>
      <c r="E724"/>
      <c r="F724"/>
    </row>
    <row r="725" spans="1:6" x14ac:dyDescent="0.25">
      <c r="A725"/>
      <c r="B725"/>
      <c r="E725"/>
      <c r="F725"/>
    </row>
    <row r="726" spans="1:6" x14ac:dyDescent="0.25">
      <c r="A726"/>
      <c r="B726"/>
      <c r="E726"/>
      <c r="F726"/>
    </row>
    <row r="727" spans="1:6" x14ac:dyDescent="0.25">
      <c r="A727"/>
      <c r="B727"/>
      <c r="E727"/>
      <c r="F727"/>
    </row>
    <row r="728" spans="1:6" x14ac:dyDescent="0.25">
      <c r="A728"/>
      <c r="B728"/>
      <c r="E728"/>
      <c r="F728"/>
    </row>
    <row r="729" spans="1:6" x14ac:dyDescent="0.25">
      <c r="A729"/>
      <c r="B729"/>
      <c r="E729"/>
      <c r="F729"/>
    </row>
    <row r="730" spans="1:6" x14ac:dyDescent="0.25">
      <c r="A730"/>
      <c r="B730"/>
      <c r="E730"/>
      <c r="F730"/>
    </row>
    <row r="731" spans="1:6" x14ac:dyDescent="0.25">
      <c r="A731"/>
      <c r="B731"/>
      <c r="E731"/>
      <c r="F731"/>
    </row>
    <row r="732" spans="1:6" x14ac:dyDescent="0.25">
      <c r="A732"/>
      <c r="B732"/>
      <c r="E732"/>
      <c r="F732"/>
    </row>
    <row r="733" spans="1:6" x14ac:dyDescent="0.25">
      <c r="A733"/>
      <c r="B733"/>
      <c r="E733"/>
      <c r="F733"/>
    </row>
    <row r="734" spans="1:6" x14ac:dyDescent="0.25">
      <c r="A734"/>
      <c r="B734"/>
      <c r="E734"/>
      <c r="F734"/>
    </row>
    <row r="735" spans="1:6" x14ac:dyDescent="0.25">
      <c r="A735"/>
      <c r="B735"/>
      <c r="E735"/>
      <c r="F735"/>
    </row>
    <row r="736" spans="1:6" x14ac:dyDescent="0.25">
      <c r="A736"/>
      <c r="B736"/>
      <c r="E736"/>
      <c r="F736"/>
    </row>
    <row r="737" spans="1:6" x14ac:dyDescent="0.25">
      <c r="A737"/>
      <c r="B737"/>
      <c r="E737"/>
      <c r="F737"/>
    </row>
    <row r="738" spans="1:6" x14ac:dyDescent="0.25">
      <c r="A738"/>
      <c r="B738"/>
      <c r="E738"/>
      <c r="F738"/>
    </row>
    <row r="739" spans="1:6" x14ac:dyDescent="0.25">
      <c r="A739"/>
      <c r="B739"/>
      <c r="E739"/>
      <c r="F739"/>
    </row>
    <row r="740" spans="1:6" x14ac:dyDescent="0.25">
      <c r="A740"/>
      <c r="B740"/>
      <c r="E740"/>
      <c r="F740"/>
    </row>
    <row r="741" spans="1:6" x14ac:dyDescent="0.25">
      <c r="A741"/>
      <c r="B741"/>
      <c r="E741"/>
      <c r="F741"/>
    </row>
    <row r="742" spans="1:6" x14ac:dyDescent="0.25">
      <c r="A742"/>
      <c r="B742"/>
      <c r="E742"/>
      <c r="F742"/>
    </row>
    <row r="743" spans="1:6" x14ac:dyDescent="0.25">
      <c r="A743"/>
      <c r="B743"/>
      <c r="E743"/>
      <c r="F743"/>
    </row>
    <row r="744" spans="1:6" x14ac:dyDescent="0.25">
      <c r="A744"/>
      <c r="B744"/>
      <c r="E744"/>
      <c r="F744"/>
    </row>
    <row r="745" spans="1:6" x14ac:dyDescent="0.25">
      <c r="A745"/>
      <c r="B745"/>
      <c r="E745"/>
      <c r="F745"/>
    </row>
    <row r="746" spans="1:6" x14ac:dyDescent="0.25">
      <c r="A746"/>
      <c r="B746"/>
      <c r="E746"/>
      <c r="F746"/>
    </row>
    <row r="747" spans="1:6" x14ac:dyDescent="0.25">
      <c r="A747"/>
      <c r="B747"/>
      <c r="E747"/>
      <c r="F747"/>
    </row>
    <row r="748" spans="1:6" x14ac:dyDescent="0.25">
      <c r="A748"/>
      <c r="B748"/>
      <c r="E748"/>
      <c r="F748"/>
    </row>
    <row r="749" spans="1:6" x14ac:dyDescent="0.25">
      <c r="A749"/>
      <c r="B749"/>
      <c r="E749"/>
      <c r="F749"/>
    </row>
    <row r="750" spans="1:6" x14ac:dyDescent="0.25">
      <c r="A750"/>
      <c r="B750"/>
      <c r="E750"/>
      <c r="F750"/>
    </row>
    <row r="751" spans="1:6" x14ac:dyDescent="0.25">
      <c r="A751"/>
      <c r="B751"/>
      <c r="E751"/>
      <c r="F751"/>
    </row>
    <row r="752" spans="1:6" x14ac:dyDescent="0.25">
      <c r="A752"/>
      <c r="B752"/>
      <c r="E752"/>
      <c r="F752"/>
    </row>
    <row r="753" spans="1:6" x14ac:dyDescent="0.25">
      <c r="A753"/>
      <c r="B753"/>
      <c r="E753"/>
      <c r="F753"/>
    </row>
    <row r="754" spans="1:6" x14ac:dyDescent="0.25">
      <c r="A754"/>
      <c r="B754"/>
      <c r="E754"/>
      <c r="F754"/>
    </row>
    <row r="755" spans="1:6" x14ac:dyDescent="0.25">
      <c r="A755"/>
      <c r="B755"/>
      <c r="E755"/>
      <c r="F755"/>
    </row>
    <row r="756" spans="1:6" x14ac:dyDescent="0.25">
      <c r="A756"/>
      <c r="B756"/>
      <c r="E756"/>
      <c r="F756"/>
    </row>
    <row r="757" spans="1:6" x14ac:dyDescent="0.25">
      <c r="A757"/>
      <c r="B757"/>
      <c r="E757"/>
      <c r="F757"/>
    </row>
    <row r="758" spans="1:6" x14ac:dyDescent="0.25">
      <c r="A758"/>
      <c r="B758"/>
      <c r="E758"/>
      <c r="F758"/>
    </row>
    <row r="759" spans="1:6" x14ac:dyDescent="0.25">
      <c r="A759"/>
      <c r="B759"/>
      <c r="E759"/>
      <c r="F759"/>
    </row>
    <row r="760" spans="1:6" x14ac:dyDescent="0.25">
      <c r="A760"/>
      <c r="B760"/>
      <c r="E760"/>
      <c r="F760"/>
    </row>
    <row r="761" spans="1:6" x14ac:dyDescent="0.25">
      <c r="A761"/>
      <c r="B761"/>
      <c r="E761"/>
      <c r="F761"/>
    </row>
    <row r="762" spans="1:6" x14ac:dyDescent="0.25">
      <c r="A762"/>
      <c r="B762"/>
      <c r="E762"/>
      <c r="F762"/>
    </row>
    <row r="763" spans="1:6" x14ac:dyDescent="0.25">
      <c r="A763"/>
      <c r="B763"/>
      <c r="E763"/>
      <c r="F763"/>
    </row>
    <row r="764" spans="1:6" x14ac:dyDescent="0.25">
      <c r="A764"/>
      <c r="B764"/>
      <c r="E764"/>
      <c r="F764"/>
    </row>
    <row r="765" spans="1:6" x14ac:dyDescent="0.25">
      <c r="A765"/>
      <c r="B765"/>
      <c r="E765"/>
      <c r="F765"/>
    </row>
    <row r="766" spans="1:6" x14ac:dyDescent="0.25">
      <c r="A766"/>
      <c r="B766"/>
      <c r="E766"/>
      <c r="F766"/>
    </row>
    <row r="767" spans="1:6" x14ac:dyDescent="0.25">
      <c r="A767"/>
      <c r="B767"/>
      <c r="E767"/>
      <c r="F767"/>
    </row>
    <row r="768" spans="1:6" x14ac:dyDescent="0.25">
      <c r="A768"/>
      <c r="B768"/>
      <c r="E768"/>
      <c r="F768"/>
    </row>
    <row r="769" spans="1:6" x14ac:dyDescent="0.25">
      <c r="A769"/>
      <c r="B769"/>
      <c r="E769"/>
      <c r="F769"/>
    </row>
    <row r="770" spans="1:6" x14ac:dyDescent="0.25">
      <c r="A770"/>
      <c r="B770"/>
      <c r="E770"/>
      <c r="F770"/>
    </row>
    <row r="771" spans="1:6" x14ac:dyDescent="0.25">
      <c r="A771"/>
      <c r="B771"/>
      <c r="E771"/>
      <c r="F771"/>
    </row>
    <row r="772" spans="1:6" x14ac:dyDescent="0.25">
      <c r="A772"/>
      <c r="B772"/>
      <c r="E772"/>
      <c r="F772"/>
    </row>
    <row r="773" spans="1:6" x14ac:dyDescent="0.25">
      <c r="A773"/>
      <c r="B773"/>
      <c r="E773"/>
      <c r="F773"/>
    </row>
    <row r="774" spans="1:6" x14ac:dyDescent="0.25">
      <c r="A774"/>
      <c r="B774"/>
      <c r="E774"/>
      <c r="F774"/>
    </row>
    <row r="775" spans="1:6" x14ac:dyDescent="0.25">
      <c r="A775"/>
      <c r="B775"/>
      <c r="E775"/>
      <c r="F775"/>
    </row>
    <row r="776" spans="1:6" x14ac:dyDescent="0.25">
      <c r="A776"/>
      <c r="B776"/>
      <c r="E776"/>
      <c r="F776"/>
    </row>
    <row r="777" spans="1:6" x14ac:dyDescent="0.25">
      <c r="A777"/>
      <c r="B777"/>
      <c r="E777"/>
      <c r="F777"/>
    </row>
    <row r="778" spans="1:6" x14ac:dyDescent="0.25">
      <c r="A778"/>
      <c r="B778"/>
      <c r="E778"/>
      <c r="F778"/>
    </row>
    <row r="779" spans="1:6" x14ac:dyDescent="0.25">
      <c r="A779"/>
      <c r="B779"/>
      <c r="E779"/>
      <c r="F779"/>
    </row>
    <row r="780" spans="1:6" x14ac:dyDescent="0.25">
      <c r="A780"/>
      <c r="B780"/>
      <c r="E780"/>
      <c r="F780"/>
    </row>
    <row r="781" spans="1:6" x14ac:dyDescent="0.25">
      <c r="A781"/>
      <c r="B781"/>
      <c r="E781"/>
      <c r="F781"/>
    </row>
    <row r="782" spans="1:6" x14ac:dyDescent="0.25">
      <c r="A782"/>
      <c r="B782"/>
      <c r="E782"/>
      <c r="F782"/>
    </row>
    <row r="783" spans="1:6" x14ac:dyDescent="0.25">
      <c r="A783"/>
      <c r="B783"/>
      <c r="E783"/>
      <c r="F783"/>
    </row>
    <row r="784" spans="1:6" x14ac:dyDescent="0.25">
      <c r="A784"/>
      <c r="B784"/>
      <c r="E784"/>
      <c r="F784"/>
    </row>
    <row r="785" spans="1:6" x14ac:dyDescent="0.25">
      <c r="A785"/>
      <c r="B785"/>
      <c r="E785"/>
      <c r="F785"/>
    </row>
    <row r="786" spans="1:6" x14ac:dyDescent="0.25">
      <c r="A786"/>
      <c r="B786"/>
      <c r="E786"/>
      <c r="F786"/>
    </row>
    <row r="787" spans="1:6" x14ac:dyDescent="0.25">
      <c r="A787"/>
      <c r="B787"/>
      <c r="E787"/>
      <c r="F787"/>
    </row>
    <row r="788" spans="1:6" x14ac:dyDescent="0.25">
      <c r="A788"/>
      <c r="B788"/>
      <c r="E788"/>
      <c r="F788"/>
    </row>
    <row r="789" spans="1:6" x14ac:dyDescent="0.25">
      <c r="A789"/>
      <c r="B789"/>
      <c r="E789"/>
      <c r="F789"/>
    </row>
    <row r="790" spans="1:6" x14ac:dyDescent="0.25">
      <c r="A790"/>
      <c r="B790"/>
      <c r="E790"/>
      <c r="F790"/>
    </row>
    <row r="791" spans="1:6" x14ac:dyDescent="0.25">
      <c r="A791"/>
      <c r="B791"/>
      <c r="E791"/>
      <c r="F791"/>
    </row>
    <row r="792" spans="1:6" x14ac:dyDescent="0.25">
      <c r="A792"/>
      <c r="B792"/>
      <c r="E792"/>
      <c r="F792"/>
    </row>
    <row r="793" spans="1:6" x14ac:dyDescent="0.25">
      <c r="A793"/>
      <c r="B793"/>
      <c r="E793"/>
      <c r="F793"/>
    </row>
    <row r="794" spans="1:6" x14ac:dyDescent="0.25">
      <c r="A794"/>
      <c r="B794"/>
      <c r="E794"/>
      <c r="F794"/>
    </row>
    <row r="795" spans="1:6" x14ac:dyDescent="0.25">
      <c r="A795"/>
      <c r="B795"/>
      <c r="E795"/>
      <c r="F795"/>
    </row>
    <row r="796" spans="1:6" x14ac:dyDescent="0.25">
      <c r="A796"/>
      <c r="B796"/>
      <c r="E796"/>
      <c r="F796"/>
    </row>
    <row r="797" spans="1:6" x14ac:dyDescent="0.25">
      <c r="A797"/>
      <c r="B797"/>
      <c r="E797"/>
      <c r="F797"/>
    </row>
    <row r="798" spans="1:6" x14ac:dyDescent="0.25">
      <c r="A798"/>
      <c r="B798"/>
      <c r="E798"/>
      <c r="F798"/>
    </row>
    <row r="799" spans="1:6" x14ac:dyDescent="0.25">
      <c r="A799"/>
      <c r="B799"/>
      <c r="E799"/>
      <c r="F799"/>
    </row>
    <row r="800" spans="1:6" x14ac:dyDescent="0.25">
      <c r="A800"/>
      <c r="B800"/>
      <c r="E800"/>
      <c r="F800"/>
    </row>
    <row r="801" spans="1:6" x14ac:dyDescent="0.25">
      <c r="A801"/>
      <c r="B801"/>
      <c r="E801"/>
      <c r="F801"/>
    </row>
    <row r="802" spans="1:6" x14ac:dyDescent="0.25">
      <c r="A802"/>
      <c r="B802"/>
      <c r="E802"/>
      <c r="F802"/>
    </row>
    <row r="803" spans="1:6" x14ac:dyDescent="0.25">
      <c r="A803"/>
      <c r="B803"/>
      <c r="E803"/>
      <c r="F803"/>
    </row>
    <row r="804" spans="1:6" x14ac:dyDescent="0.25">
      <c r="A804"/>
      <c r="B804"/>
      <c r="E804"/>
      <c r="F804"/>
    </row>
    <row r="805" spans="1:6" x14ac:dyDescent="0.25">
      <c r="A805"/>
      <c r="B805"/>
      <c r="E805"/>
      <c r="F805"/>
    </row>
    <row r="806" spans="1:6" x14ac:dyDescent="0.25">
      <c r="A806"/>
      <c r="B806"/>
      <c r="E806"/>
      <c r="F806"/>
    </row>
    <row r="807" spans="1:6" x14ac:dyDescent="0.25">
      <c r="A807"/>
      <c r="B807"/>
      <c r="E807"/>
      <c r="F807"/>
    </row>
    <row r="808" spans="1:6" x14ac:dyDescent="0.25">
      <c r="A808"/>
      <c r="B808"/>
      <c r="E808"/>
      <c r="F808"/>
    </row>
    <row r="809" spans="1:6" x14ac:dyDescent="0.25">
      <c r="A809"/>
      <c r="B809"/>
      <c r="E809"/>
      <c r="F809"/>
    </row>
    <row r="810" spans="1:6" x14ac:dyDescent="0.25">
      <c r="A810"/>
      <c r="B810"/>
      <c r="E810"/>
      <c r="F810"/>
    </row>
    <row r="811" spans="1:6" x14ac:dyDescent="0.25">
      <c r="A811"/>
      <c r="B811"/>
      <c r="E811"/>
      <c r="F811"/>
    </row>
    <row r="812" spans="1:6" x14ac:dyDescent="0.25">
      <c r="A812"/>
      <c r="B812"/>
      <c r="E812"/>
      <c r="F812"/>
    </row>
    <row r="813" spans="1:6" x14ac:dyDescent="0.25">
      <c r="A813"/>
      <c r="B813"/>
      <c r="E813"/>
      <c r="F813"/>
    </row>
    <row r="814" spans="1:6" x14ac:dyDescent="0.25">
      <c r="A814"/>
      <c r="B814"/>
      <c r="E814"/>
      <c r="F814"/>
    </row>
    <row r="815" spans="1:6" x14ac:dyDescent="0.25">
      <c r="A815"/>
      <c r="B815"/>
      <c r="E815"/>
      <c r="F815"/>
    </row>
    <row r="816" spans="1:6" x14ac:dyDescent="0.25">
      <c r="A816"/>
      <c r="B816"/>
      <c r="E816"/>
      <c r="F816"/>
    </row>
    <row r="817" spans="1:6" x14ac:dyDescent="0.25">
      <c r="A817"/>
      <c r="B817"/>
      <c r="E817"/>
      <c r="F817"/>
    </row>
    <row r="818" spans="1:6" x14ac:dyDescent="0.25">
      <c r="A818"/>
      <c r="B818"/>
      <c r="E818"/>
      <c r="F818"/>
    </row>
    <row r="819" spans="1:6" x14ac:dyDescent="0.25">
      <c r="A819"/>
      <c r="B819"/>
      <c r="E819"/>
      <c r="F819"/>
    </row>
    <row r="820" spans="1:6" x14ac:dyDescent="0.25">
      <c r="A820"/>
      <c r="B820"/>
      <c r="E820"/>
      <c r="F820"/>
    </row>
    <row r="821" spans="1:6" x14ac:dyDescent="0.25">
      <c r="A821"/>
      <c r="B821"/>
      <c r="E821"/>
      <c r="F821"/>
    </row>
    <row r="822" spans="1:6" x14ac:dyDescent="0.25">
      <c r="A822"/>
      <c r="B822"/>
      <c r="E822"/>
      <c r="F822"/>
    </row>
    <row r="823" spans="1:6" x14ac:dyDescent="0.25">
      <c r="A823"/>
      <c r="B823"/>
      <c r="E823"/>
      <c r="F823"/>
    </row>
    <row r="824" spans="1:6" x14ac:dyDescent="0.25">
      <c r="A824"/>
      <c r="B824"/>
      <c r="E824"/>
      <c r="F824"/>
    </row>
    <row r="825" spans="1:6" x14ac:dyDescent="0.25">
      <c r="A825"/>
      <c r="B825"/>
      <c r="E825"/>
      <c r="F825"/>
    </row>
    <row r="826" spans="1:6" x14ac:dyDescent="0.25">
      <c r="A826"/>
      <c r="B826"/>
      <c r="E826"/>
      <c r="F826"/>
    </row>
    <row r="827" spans="1:6" x14ac:dyDescent="0.25">
      <c r="A827"/>
      <c r="B827"/>
      <c r="E827"/>
      <c r="F827"/>
    </row>
    <row r="828" spans="1:6" x14ac:dyDescent="0.25">
      <c r="A828"/>
      <c r="B828"/>
      <c r="E828"/>
      <c r="F828"/>
    </row>
    <row r="829" spans="1:6" x14ac:dyDescent="0.25">
      <c r="A829"/>
      <c r="B829"/>
      <c r="E829"/>
      <c r="F829"/>
    </row>
    <row r="830" spans="1:6" x14ac:dyDescent="0.25">
      <c r="A830"/>
      <c r="B830"/>
      <c r="E830"/>
      <c r="F830"/>
    </row>
    <row r="831" spans="1:6" x14ac:dyDescent="0.25">
      <c r="A831"/>
      <c r="B831"/>
      <c r="E831"/>
      <c r="F831"/>
    </row>
    <row r="832" spans="1:6" x14ac:dyDescent="0.25">
      <c r="A832"/>
      <c r="B832"/>
      <c r="E832"/>
      <c r="F832"/>
    </row>
    <row r="833" spans="1:6" x14ac:dyDescent="0.25">
      <c r="A833"/>
      <c r="B833"/>
      <c r="E833"/>
      <c r="F833"/>
    </row>
    <row r="834" spans="1:6" x14ac:dyDescent="0.25">
      <c r="A834"/>
      <c r="B834"/>
      <c r="E834"/>
      <c r="F834"/>
    </row>
    <row r="835" spans="1:6" x14ac:dyDescent="0.25">
      <c r="A835"/>
      <c r="B835"/>
      <c r="E835"/>
      <c r="F835"/>
    </row>
    <row r="836" spans="1:6" x14ac:dyDescent="0.25">
      <c r="A836"/>
      <c r="B836"/>
      <c r="E836"/>
      <c r="F836"/>
    </row>
    <row r="837" spans="1:6" x14ac:dyDescent="0.25">
      <c r="A837"/>
      <c r="B837"/>
      <c r="E837"/>
      <c r="F837"/>
    </row>
    <row r="838" spans="1:6" x14ac:dyDescent="0.25">
      <c r="A838"/>
      <c r="B838"/>
      <c r="E838"/>
      <c r="F838"/>
    </row>
    <row r="839" spans="1:6" x14ac:dyDescent="0.25">
      <c r="A839"/>
      <c r="B839"/>
      <c r="E839"/>
      <c r="F839"/>
    </row>
    <row r="840" spans="1:6" x14ac:dyDescent="0.25">
      <c r="A840"/>
      <c r="B840"/>
      <c r="E840"/>
      <c r="F840"/>
    </row>
    <row r="841" spans="1:6" x14ac:dyDescent="0.25">
      <c r="A841"/>
      <c r="B841"/>
      <c r="E841"/>
      <c r="F841"/>
    </row>
    <row r="842" spans="1:6" x14ac:dyDescent="0.25">
      <c r="A842"/>
      <c r="B842"/>
      <c r="E842"/>
      <c r="F842"/>
    </row>
    <row r="843" spans="1:6" x14ac:dyDescent="0.25">
      <c r="A843"/>
      <c r="B843"/>
      <c r="E843"/>
      <c r="F843"/>
    </row>
    <row r="844" spans="1:6" x14ac:dyDescent="0.25">
      <c r="A844"/>
      <c r="B844"/>
      <c r="E844"/>
      <c r="F844"/>
    </row>
    <row r="845" spans="1:6" x14ac:dyDescent="0.25">
      <c r="A845"/>
      <c r="B845"/>
      <c r="E845"/>
      <c r="F845"/>
    </row>
    <row r="846" spans="1:6" x14ac:dyDescent="0.25">
      <c r="A846"/>
      <c r="B846"/>
      <c r="E846"/>
      <c r="F846"/>
    </row>
    <row r="847" spans="1:6" x14ac:dyDescent="0.25">
      <c r="A847"/>
      <c r="B847"/>
      <c r="E847"/>
      <c r="F847"/>
    </row>
    <row r="848" spans="1:6" x14ac:dyDescent="0.25">
      <c r="A848"/>
      <c r="B848"/>
      <c r="E848"/>
      <c r="F848"/>
    </row>
    <row r="849" spans="1:6" x14ac:dyDescent="0.25">
      <c r="A849"/>
      <c r="B849"/>
      <c r="E849"/>
      <c r="F849"/>
    </row>
    <row r="850" spans="1:6" x14ac:dyDescent="0.25">
      <c r="A850"/>
      <c r="B850"/>
      <c r="E850"/>
      <c r="F850"/>
    </row>
    <row r="851" spans="1:6" x14ac:dyDescent="0.25">
      <c r="A851"/>
      <c r="B851"/>
      <c r="E851"/>
      <c r="F851"/>
    </row>
    <row r="852" spans="1:6" x14ac:dyDescent="0.25">
      <c r="A852"/>
      <c r="B852"/>
      <c r="E852"/>
      <c r="F852"/>
    </row>
    <row r="853" spans="1:6" x14ac:dyDescent="0.25">
      <c r="A853"/>
      <c r="B853"/>
      <c r="E853"/>
      <c r="F853"/>
    </row>
    <row r="854" spans="1:6" x14ac:dyDescent="0.25">
      <c r="A854"/>
      <c r="B854"/>
      <c r="E854"/>
      <c r="F854"/>
    </row>
    <row r="855" spans="1:6" x14ac:dyDescent="0.25">
      <c r="A855"/>
      <c r="B855"/>
      <c r="E855"/>
      <c r="F855"/>
    </row>
    <row r="856" spans="1:6" x14ac:dyDescent="0.25">
      <c r="A856"/>
      <c r="B856"/>
      <c r="E856"/>
      <c r="F856"/>
    </row>
    <row r="857" spans="1:6" x14ac:dyDescent="0.25">
      <c r="A857"/>
      <c r="B857"/>
      <c r="E857"/>
      <c r="F857"/>
    </row>
    <row r="858" spans="1:6" x14ac:dyDescent="0.25">
      <c r="A858"/>
      <c r="B858"/>
      <c r="E858"/>
      <c r="F858"/>
    </row>
    <row r="859" spans="1:6" x14ac:dyDescent="0.25">
      <c r="A859"/>
      <c r="B859"/>
      <c r="E859"/>
      <c r="F859"/>
    </row>
    <row r="860" spans="1:6" x14ac:dyDescent="0.25">
      <c r="A860"/>
      <c r="B860"/>
      <c r="E860"/>
      <c r="F860"/>
    </row>
    <row r="861" spans="1:6" x14ac:dyDescent="0.25">
      <c r="A861"/>
      <c r="B861"/>
      <c r="E861"/>
      <c r="F861"/>
    </row>
    <row r="862" spans="1:6" x14ac:dyDescent="0.25">
      <c r="A862"/>
      <c r="B862"/>
      <c r="E862"/>
      <c r="F862"/>
    </row>
    <row r="863" spans="1:6" x14ac:dyDescent="0.25">
      <c r="A863"/>
      <c r="B863"/>
      <c r="E863"/>
      <c r="F863"/>
    </row>
    <row r="864" spans="1:6" x14ac:dyDescent="0.25">
      <c r="A864"/>
      <c r="B864"/>
      <c r="E864"/>
      <c r="F864"/>
    </row>
    <row r="865" spans="1:6" x14ac:dyDescent="0.25">
      <c r="A865"/>
      <c r="B865"/>
      <c r="E865"/>
      <c r="F865"/>
    </row>
    <row r="866" spans="1:6" x14ac:dyDescent="0.25">
      <c r="A866"/>
      <c r="B866"/>
      <c r="E866"/>
      <c r="F866"/>
    </row>
    <row r="867" spans="1:6" x14ac:dyDescent="0.25">
      <c r="A867"/>
      <c r="B867"/>
      <c r="E867"/>
      <c r="F867"/>
    </row>
    <row r="868" spans="1:6" x14ac:dyDescent="0.25">
      <c r="A868"/>
      <c r="B868"/>
      <c r="E868"/>
      <c r="F868"/>
    </row>
    <row r="869" spans="1:6" x14ac:dyDescent="0.25">
      <c r="A869"/>
      <c r="B869"/>
      <c r="E869"/>
      <c r="F869"/>
    </row>
    <row r="870" spans="1:6" x14ac:dyDescent="0.25">
      <c r="A870"/>
      <c r="B870"/>
      <c r="E870"/>
      <c r="F870"/>
    </row>
    <row r="871" spans="1:6" x14ac:dyDescent="0.25">
      <c r="A871"/>
      <c r="B871"/>
      <c r="E871"/>
      <c r="F871"/>
    </row>
    <row r="872" spans="1:6" x14ac:dyDescent="0.25">
      <c r="A872"/>
      <c r="B872"/>
      <c r="E872"/>
      <c r="F872"/>
    </row>
    <row r="873" spans="1:6" x14ac:dyDescent="0.25">
      <c r="A873"/>
      <c r="B873"/>
      <c r="E873"/>
      <c r="F873"/>
    </row>
    <row r="874" spans="1:6" x14ac:dyDescent="0.25">
      <c r="A874"/>
      <c r="B874"/>
      <c r="E874"/>
      <c r="F874"/>
    </row>
    <row r="875" spans="1:6" x14ac:dyDescent="0.25">
      <c r="A875"/>
      <c r="B875"/>
      <c r="E875"/>
      <c r="F875"/>
    </row>
    <row r="876" spans="1:6" x14ac:dyDescent="0.25">
      <c r="A876"/>
      <c r="B876"/>
      <c r="E876"/>
      <c r="F876"/>
    </row>
    <row r="877" spans="1:6" x14ac:dyDescent="0.25">
      <c r="A877"/>
      <c r="B877"/>
      <c r="E877"/>
      <c r="F877"/>
    </row>
    <row r="878" spans="1:6" x14ac:dyDescent="0.25">
      <c r="A878"/>
      <c r="B878"/>
      <c r="E878"/>
      <c r="F878"/>
    </row>
    <row r="879" spans="1:6" x14ac:dyDescent="0.25">
      <c r="A879"/>
      <c r="B879"/>
      <c r="E879"/>
      <c r="F879"/>
    </row>
    <row r="880" spans="1:6" x14ac:dyDescent="0.25">
      <c r="A880"/>
      <c r="B880"/>
      <c r="E880"/>
      <c r="F880"/>
    </row>
    <row r="881" spans="1:6" x14ac:dyDescent="0.25">
      <c r="A881"/>
      <c r="B881"/>
      <c r="E881"/>
      <c r="F881"/>
    </row>
    <row r="882" spans="1:6" x14ac:dyDescent="0.25">
      <c r="A882"/>
      <c r="B882"/>
      <c r="E882"/>
      <c r="F882"/>
    </row>
    <row r="883" spans="1:6" x14ac:dyDescent="0.25">
      <c r="A883"/>
      <c r="B883"/>
      <c r="E883"/>
      <c r="F883"/>
    </row>
    <row r="884" spans="1:6" x14ac:dyDescent="0.25">
      <c r="A884"/>
      <c r="B884"/>
      <c r="E884"/>
      <c r="F884"/>
    </row>
    <row r="885" spans="1:6" x14ac:dyDescent="0.25">
      <c r="A885"/>
      <c r="B885"/>
      <c r="E885"/>
      <c r="F885"/>
    </row>
    <row r="886" spans="1:6" x14ac:dyDescent="0.25">
      <c r="A886"/>
      <c r="B886"/>
      <c r="E886"/>
      <c r="F886"/>
    </row>
    <row r="887" spans="1:6" x14ac:dyDescent="0.25">
      <c r="A887"/>
      <c r="B887"/>
      <c r="E887"/>
      <c r="F887"/>
    </row>
    <row r="888" spans="1:6" x14ac:dyDescent="0.25">
      <c r="A888"/>
      <c r="B888"/>
      <c r="E888"/>
      <c r="F888"/>
    </row>
    <row r="889" spans="1:6" x14ac:dyDescent="0.25">
      <c r="A889"/>
      <c r="B889"/>
      <c r="E889"/>
      <c r="F889"/>
    </row>
    <row r="890" spans="1:6" x14ac:dyDescent="0.25">
      <c r="A890"/>
      <c r="B890"/>
      <c r="E890"/>
      <c r="F890"/>
    </row>
    <row r="891" spans="1:6" x14ac:dyDescent="0.25">
      <c r="A891"/>
      <c r="B891"/>
      <c r="E891"/>
      <c r="F891"/>
    </row>
    <row r="892" spans="1:6" x14ac:dyDescent="0.25">
      <c r="A892"/>
      <c r="B892"/>
      <c r="E892"/>
      <c r="F892"/>
    </row>
    <row r="893" spans="1:6" x14ac:dyDescent="0.25">
      <c r="A893"/>
      <c r="B893"/>
      <c r="E893"/>
      <c r="F893"/>
    </row>
    <row r="894" spans="1:6" x14ac:dyDescent="0.25">
      <c r="A894"/>
      <c r="B894"/>
      <c r="E894"/>
      <c r="F894"/>
    </row>
    <row r="895" spans="1:6" x14ac:dyDescent="0.25">
      <c r="A895"/>
      <c r="B895"/>
      <c r="E895"/>
      <c r="F895"/>
    </row>
    <row r="896" spans="1:6" x14ac:dyDescent="0.25">
      <c r="A896"/>
      <c r="B896"/>
      <c r="E896"/>
      <c r="F896"/>
    </row>
    <row r="897" spans="1:6" x14ac:dyDescent="0.25">
      <c r="A897"/>
      <c r="B897"/>
      <c r="E897"/>
      <c r="F897"/>
    </row>
    <row r="898" spans="1:6" x14ac:dyDescent="0.25">
      <c r="A898"/>
      <c r="B898"/>
      <c r="E898"/>
      <c r="F898"/>
    </row>
    <row r="899" spans="1:6" x14ac:dyDescent="0.25">
      <c r="A899"/>
      <c r="B899"/>
      <c r="E899"/>
      <c r="F899"/>
    </row>
    <row r="900" spans="1:6" x14ac:dyDescent="0.25">
      <c r="A900"/>
      <c r="B900"/>
      <c r="E900"/>
      <c r="F900"/>
    </row>
    <row r="901" spans="1:6" x14ac:dyDescent="0.25">
      <c r="A901"/>
      <c r="B901"/>
      <c r="E901"/>
      <c r="F901"/>
    </row>
    <row r="902" spans="1:6" x14ac:dyDescent="0.25">
      <c r="A902"/>
      <c r="B902"/>
      <c r="E902"/>
      <c r="F902"/>
    </row>
    <row r="903" spans="1:6" x14ac:dyDescent="0.25">
      <c r="A903"/>
      <c r="B903"/>
      <c r="E903"/>
      <c r="F903"/>
    </row>
    <row r="904" spans="1:6" x14ac:dyDescent="0.25">
      <c r="A904"/>
      <c r="B904"/>
      <c r="E904"/>
      <c r="F904"/>
    </row>
    <row r="905" spans="1:6" x14ac:dyDescent="0.25">
      <c r="A905"/>
      <c r="B905"/>
      <c r="E905"/>
      <c r="F905"/>
    </row>
    <row r="906" spans="1:6" x14ac:dyDescent="0.25">
      <c r="A906"/>
      <c r="B906"/>
      <c r="E906"/>
      <c r="F906"/>
    </row>
    <row r="907" spans="1:6" x14ac:dyDescent="0.25">
      <c r="A907"/>
      <c r="B907"/>
      <c r="E907"/>
      <c r="F907"/>
    </row>
    <row r="908" spans="1:6" x14ac:dyDescent="0.25">
      <c r="A908"/>
      <c r="B908"/>
      <c r="E908"/>
      <c r="F908"/>
    </row>
    <row r="909" spans="1:6" x14ac:dyDescent="0.25">
      <c r="A909"/>
      <c r="B909"/>
      <c r="E909"/>
      <c r="F909"/>
    </row>
    <row r="910" spans="1:6" x14ac:dyDescent="0.25">
      <c r="A910"/>
      <c r="B910"/>
      <c r="E910"/>
      <c r="F910"/>
    </row>
    <row r="911" spans="1:6" x14ac:dyDescent="0.25">
      <c r="A911"/>
      <c r="B911"/>
      <c r="E911"/>
      <c r="F911"/>
    </row>
    <row r="912" spans="1:6" x14ac:dyDescent="0.25">
      <c r="A912"/>
      <c r="B912"/>
      <c r="E912"/>
      <c r="F912"/>
    </row>
    <row r="913" spans="1:6" x14ac:dyDescent="0.25">
      <c r="A913"/>
      <c r="B913"/>
      <c r="E913"/>
      <c r="F913"/>
    </row>
    <row r="914" spans="1:6" x14ac:dyDescent="0.25">
      <c r="A914"/>
      <c r="B914"/>
      <c r="E914"/>
      <c r="F914"/>
    </row>
    <row r="915" spans="1:6" x14ac:dyDescent="0.25">
      <c r="A915"/>
      <c r="B915"/>
      <c r="E915"/>
      <c r="F915"/>
    </row>
    <row r="916" spans="1:6" x14ac:dyDescent="0.25">
      <c r="A916"/>
      <c r="B916"/>
      <c r="E916"/>
      <c r="F916"/>
    </row>
    <row r="917" spans="1:6" x14ac:dyDescent="0.25">
      <c r="A917"/>
      <c r="B917"/>
      <c r="E917"/>
      <c r="F917"/>
    </row>
    <row r="918" spans="1:6" x14ac:dyDescent="0.25">
      <c r="A918"/>
      <c r="B918"/>
      <c r="E918"/>
      <c r="F918"/>
    </row>
    <row r="919" spans="1:6" x14ac:dyDescent="0.25">
      <c r="A919"/>
      <c r="B919"/>
      <c r="E919"/>
      <c r="F919"/>
    </row>
    <row r="920" spans="1:6" x14ac:dyDescent="0.25">
      <c r="A920"/>
      <c r="B920"/>
      <c r="E920"/>
      <c r="F920"/>
    </row>
    <row r="921" spans="1:6" x14ac:dyDescent="0.25">
      <c r="A921"/>
      <c r="B921"/>
      <c r="E921"/>
      <c r="F921"/>
    </row>
    <row r="922" spans="1:6" x14ac:dyDescent="0.25">
      <c r="A922"/>
      <c r="B922"/>
      <c r="E922"/>
      <c r="F922"/>
    </row>
    <row r="923" spans="1:6" x14ac:dyDescent="0.25">
      <c r="A923"/>
      <c r="B923"/>
      <c r="E923"/>
      <c r="F923"/>
    </row>
    <row r="924" spans="1:6" x14ac:dyDescent="0.25">
      <c r="A924"/>
      <c r="B924"/>
      <c r="E924"/>
      <c r="F924"/>
    </row>
    <row r="925" spans="1:6" x14ac:dyDescent="0.25">
      <c r="A925"/>
      <c r="B925"/>
      <c r="E925"/>
      <c r="F925"/>
    </row>
    <row r="926" spans="1:6" x14ac:dyDescent="0.25">
      <c r="A926"/>
      <c r="B926"/>
      <c r="E926"/>
      <c r="F926"/>
    </row>
    <row r="927" spans="1:6" x14ac:dyDescent="0.25">
      <c r="A927"/>
      <c r="B927"/>
      <c r="E927"/>
      <c r="F927"/>
    </row>
    <row r="928" spans="1:6" x14ac:dyDescent="0.25">
      <c r="A928"/>
      <c r="B928"/>
      <c r="E928"/>
      <c r="F928"/>
    </row>
    <row r="929" spans="1:6" x14ac:dyDescent="0.25">
      <c r="A929"/>
      <c r="B929"/>
      <c r="E929"/>
      <c r="F929"/>
    </row>
    <row r="930" spans="1:6" x14ac:dyDescent="0.25">
      <c r="A930"/>
      <c r="B930"/>
      <c r="E930"/>
      <c r="F930"/>
    </row>
    <row r="931" spans="1:6" x14ac:dyDescent="0.25">
      <c r="A931"/>
      <c r="B931"/>
      <c r="E931"/>
      <c r="F931"/>
    </row>
    <row r="932" spans="1:6" x14ac:dyDescent="0.25">
      <c r="A932"/>
      <c r="B932"/>
      <c r="E932"/>
      <c r="F932"/>
    </row>
    <row r="933" spans="1:6" x14ac:dyDescent="0.25">
      <c r="A933"/>
      <c r="B933"/>
      <c r="E933"/>
      <c r="F933"/>
    </row>
    <row r="934" spans="1:6" x14ac:dyDescent="0.25">
      <c r="A934"/>
      <c r="B934"/>
      <c r="E934"/>
      <c r="F934"/>
    </row>
    <row r="935" spans="1:6" x14ac:dyDescent="0.25">
      <c r="A935"/>
      <c r="B935"/>
      <c r="E935"/>
      <c r="F935"/>
    </row>
    <row r="936" spans="1:6" x14ac:dyDescent="0.25">
      <c r="A936"/>
      <c r="B936"/>
      <c r="E936"/>
      <c r="F936"/>
    </row>
    <row r="937" spans="1:6" x14ac:dyDescent="0.25">
      <c r="A937"/>
      <c r="B937"/>
      <c r="E937"/>
      <c r="F937"/>
    </row>
    <row r="938" spans="1:6" x14ac:dyDescent="0.25">
      <c r="A938"/>
      <c r="B938"/>
      <c r="E938"/>
      <c r="F938"/>
    </row>
    <row r="939" spans="1:6" x14ac:dyDescent="0.25">
      <c r="A939"/>
      <c r="B939"/>
      <c r="E939"/>
      <c r="F939"/>
    </row>
    <row r="940" spans="1:6" x14ac:dyDescent="0.25">
      <c r="A940"/>
      <c r="B940"/>
      <c r="E940"/>
      <c r="F940"/>
    </row>
    <row r="941" spans="1:6" x14ac:dyDescent="0.25">
      <c r="A941"/>
      <c r="B941"/>
      <c r="E941"/>
      <c r="F941"/>
    </row>
    <row r="942" spans="1:6" x14ac:dyDescent="0.25">
      <c r="A942"/>
      <c r="B942"/>
      <c r="E942"/>
      <c r="F942"/>
    </row>
    <row r="943" spans="1:6" x14ac:dyDescent="0.25">
      <c r="A943"/>
      <c r="B943"/>
      <c r="E943"/>
      <c r="F943"/>
    </row>
    <row r="944" spans="1:6" x14ac:dyDescent="0.25">
      <c r="A944"/>
      <c r="B944"/>
      <c r="E944"/>
      <c r="F944"/>
    </row>
    <row r="945" spans="1:6" x14ac:dyDescent="0.25">
      <c r="A945"/>
      <c r="B945"/>
      <c r="E945"/>
      <c r="F945"/>
    </row>
    <row r="946" spans="1:6" x14ac:dyDescent="0.25">
      <c r="A946"/>
      <c r="B946"/>
      <c r="E946"/>
      <c r="F946"/>
    </row>
    <row r="947" spans="1:6" x14ac:dyDescent="0.25">
      <c r="A947"/>
      <c r="B947"/>
      <c r="E947"/>
      <c r="F947"/>
    </row>
    <row r="948" spans="1:6" x14ac:dyDescent="0.25">
      <c r="A948"/>
      <c r="B948"/>
      <c r="E948"/>
      <c r="F948"/>
    </row>
    <row r="949" spans="1:6" x14ac:dyDescent="0.25">
      <c r="A949"/>
      <c r="B949"/>
      <c r="E949"/>
      <c r="F949"/>
    </row>
    <row r="950" spans="1:6" x14ac:dyDescent="0.25">
      <c r="A950"/>
      <c r="B950"/>
      <c r="E950"/>
      <c r="F950"/>
    </row>
    <row r="951" spans="1:6" x14ac:dyDescent="0.25">
      <c r="A951"/>
      <c r="B951"/>
      <c r="E951"/>
      <c r="F951"/>
    </row>
    <row r="952" spans="1:6" x14ac:dyDescent="0.25">
      <c r="A952"/>
      <c r="B952"/>
      <c r="E952"/>
      <c r="F952"/>
    </row>
    <row r="953" spans="1:6" x14ac:dyDescent="0.25">
      <c r="A953"/>
      <c r="B953"/>
      <c r="E953"/>
      <c r="F953"/>
    </row>
    <row r="954" spans="1:6" x14ac:dyDescent="0.25">
      <c r="A954"/>
      <c r="B954"/>
      <c r="E954"/>
      <c r="F954"/>
    </row>
    <row r="955" spans="1:6" x14ac:dyDescent="0.25">
      <c r="A955"/>
      <c r="B955"/>
      <c r="E955"/>
      <c r="F955"/>
    </row>
    <row r="956" spans="1:6" x14ac:dyDescent="0.25">
      <c r="A956"/>
      <c r="B956"/>
      <c r="E956"/>
      <c r="F956"/>
    </row>
    <row r="957" spans="1:6" x14ac:dyDescent="0.25">
      <c r="A957"/>
      <c r="B957"/>
      <c r="E957"/>
      <c r="F957"/>
    </row>
    <row r="958" spans="1:6" x14ac:dyDescent="0.25">
      <c r="A958"/>
      <c r="B958"/>
      <c r="E958"/>
      <c r="F958"/>
    </row>
    <row r="959" spans="1:6" x14ac:dyDescent="0.25">
      <c r="A959"/>
      <c r="B959"/>
      <c r="E959"/>
      <c r="F959"/>
    </row>
    <row r="960" spans="1:6" x14ac:dyDescent="0.25">
      <c r="A960"/>
      <c r="B960"/>
      <c r="E960"/>
      <c r="F960"/>
    </row>
    <row r="961" spans="1:6" x14ac:dyDescent="0.25">
      <c r="A961"/>
      <c r="B961"/>
      <c r="E961"/>
      <c r="F961"/>
    </row>
    <row r="962" spans="1:6" x14ac:dyDescent="0.25">
      <c r="A962"/>
      <c r="B962"/>
      <c r="E962"/>
      <c r="F962"/>
    </row>
    <row r="963" spans="1:6" x14ac:dyDescent="0.25">
      <c r="A963"/>
      <c r="B963"/>
      <c r="E963"/>
      <c r="F963"/>
    </row>
    <row r="964" spans="1:6" x14ac:dyDescent="0.25">
      <c r="A964"/>
      <c r="B964"/>
      <c r="E964"/>
      <c r="F964"/>
    </row>
    <row r="965" spans="1:6" x14ac:dyDescent="0.25">
      <c r="A965"/>
      <c r="B965"/>
      <c r="E965"/>
      <c r="F965"/>
    </row>
    <row r="966" spans="1:6" x14ac:dyDescent="0.25">
      <c r="A966"/>
      <c r="B966"/>
      <c r="E966"/>
      <c r="F966"/>
    </row>
    <row r="967" spans="1:6" x14ac:dyDescent="0.25">
      <c r="A967"/>
      <c r="B967"/>
      <c r="E967"/>
      <c r="F967"/>
    </row>
    <row r="968" spans="1:6" x14ac:dyDescent="0.25">
      <c r="A968"/>
      <c r="B968"/>
      <c r="E968"/>
      <c r="F968"/>
    </row>
    <row r="969" spans="1:6" x14ac:dyDescent="0.25">
      <c r="A969"/>
      <c r="B969"/>
      <c r="E969"/>
      <c r="F969"/>
    </row>
    <row r="970" spans="1:6" x14ac:dyDescent="0.25">
      <c r="A970"/>
      <c r="B970"/>
      <c r="E970"/>
      <c r="F970"/>
    </row>
    <row r="971" spans="1:6" x14ac:dyDescent="0.25">
      <c r="A971"/>
      <c r="B971"/>
      <c r="E971"/>
      <c r="F971"/>
    </row>
    <row r="972" spans="1:6" x14ac:dyDescent="0.25">
      <c r="A972"/>
      <c r="B972"/>
      <c r="E972"/>
      <c r="F972"/>
    </row>
    <row r="973" spans="1:6" x14ac:dyDescent="0.25">
      <c r="A973"/>
      <c r="B973"/>
      <c r="E973"/>
      <c r="F973"/>
    </row>
    <row r="974" spans="1:6" x14ac:dyDescent="0.25">
      <c r="A974"/>
      <c r="B974"/>
      <c r="E974"/>
      <c r="F974"/>
    </row>
    <row r="975" spans="1:6" x14ac:dyDescent="0.25">
      <c r="A975"/>
      <c r="B975"/>
      <c r="E975"/>
      <c r="F975"/>
    </row>
    <row r="976" spans="1:6" x14ac:dyDescent="0.25">
      <c r="A976"/>
      <c r="B976"/>
      <c r="E976"/>
      <c r="F976"/>
    </row>
    <row r="977" spans="1:6" x14ac:dyDescent="0.25">
      <c r="A977"/>
      <c r="B977"/>
      <c r="E977"/>
      <c r="F977"/>
    </row>
    <row r="978" spans="1:6" x14ac:dyDescent="0.25">
      <c r="A978"/>
      <c r="B978"/>
      <c r="E978"/>
      <c r="F978"/>
    </row>
    <row r="979" spans="1:6" x14ac:dyDescent="0.25">
      <c r="A979"/>
      <c r="B979"/>
      <c r="E979"/>
      <c r="F979"/>
    </row>
    <row r="980" spans="1:6" x14ac:dyDescent="0.25">
      <c r="A980"/>
      <c r="B980"/>
      <c r="E980"/>
      <c r="F980"/>
    </row>
    <row r="981" spans="1:6" x14ac:dyDescent="0.25">
      <c r="A981"/>
      <c r="B981"/>
      <c r="E981"/>
      <c r="F981"/>
    </row>
    <row r="982" spans="1:6" x14ac:dyDescent="0.25">
      <c r="A982"/>
      <c r="B982"/>
      <c r="E982"/>
      <c r="F982"/>
    </row>
    <row r="983" spans="1:6" x14ac:dyDescent="0.25">
      <c r="A983"/>
      <c r="B983"/>
      <c r="E983"/>
      <c r="F983"/>
    </row>
    <row r="984" spans="1:6" x14ac:dyDescent="0.25">
      <c r="A984"/>
      <c r="B984"/>
      <c r="E984"/>
      <c r="F984"/>
    </row>
    <row r="985" spans="1:6" x14ac:dyDescent="0.25">
      <c r="A985"/>
      <c r="B985"/>
      <c r="E985"/>
      <c r="F985"/>
    </row>
    <row r="986" spans="1:6" x14ac:dyDescent="0.25">
      <c r="A986"/>
      <c r="B986"/>
      <c r="E986"/>
      <c r="F986"/>
    </row>
    <row r="987" spans="1:6" x14ac:dyDescent="0.25">
      <c r="A987"/>
      <c r="B987"/>
      <c r="E987"/>
      <c r="F987"/>
    </row>
    <row r="988" spans="1:6" x14ac:dyDescent="0.25">
      <c r="A988"/>
      <c r="B988"/>
      <c r="E988"/>
      <c r="F988"/>
    </row>
    <row r="989" spans="1:6" x14ac:dyDescent="0.25">
      <c r="A989"/>
      <c r="B989"/>
      <c r="E989"/>
      <c r="F989"/>
    </row>
    <row r="990" spans="1:6" x14ac:dyDescent="0.25">
      <c r="A990"/>
      <c r="B990"/>
      <c r="E990"/>
      <c r="F990"/>
    </row>
    <row r="991" spans="1:6" x14ac:dyDescent="0.25">
      <c r="A991"/>
      <c r="B991"/>
      <c r="E991"/>
      <c r="F991"/>
    </row>
    <row r="992" spans="1:6" x14ac:dyDescent="0.25">
      <c r="A992"/>
      <c r="B992"/>
      <c r="E992"/>
      <c r="F992"/>
    </row>
    <row r="993" spans="1:6" x14ac:dyDescent="0.25">
      <c r="A993"/>
      <c r="B993"/>
      <c r="E993"/>
      <c r="F993"/>
    </row>
    <row r="994" spans="1:6" x14ac:dyDescent="0.25">
      <c r="A994"/>
      <c r="B994"/>
      <c r="E994"/>
      <c r="F994"/>
    </row>
    <row r="995" spans="1:6" x14ac:dyDescent="0.25">
      <c r="A995"/>
      <c r="B995"/>
      <c r="E995"/>
      <c r="F995"/>
    </row>
    <row r="996" spans="1:6" x14ac:dyDescent="0.25">
      <c r="A996"/>
      <c r="B996"/>
      <c r="E996"/>
      <c r="F996"/>
    </row>
    <row r="997" spans="1:6" x14ac:dyDescent="0.25">
      <c r="A997"/>
      <c r="B997"/>
      <c r="E997"/>
      <c r="F997"/>
    </row>
    <row r="998" spans="1:6" x14ac:dyDescent="0.25">
      <c r="A998"/>
      <c r="B998"/>
      <c r="E998"/>
      <c r="F998"/>
    </row>
    <row r="999" spans="1:6" x14ac:dyDescent="0.25">
      <c r="A999"/>
      <c r="B999"/>
      <c r="E999"/>
      <c r="F999"/>
    </row>
    <row r="1000" spans="1:6" x14ac:dyDescent="0.25">
      <c r="A1000"/>
      <c r="B1000"/>
      <c r="E1000"/>
      <c r="F1000"/>
    </row>
    <row r="1001" spans="1:6" x14ac:dyDescent="0.25">
      <c r="A1001"/>
      <c r="B1001"/>
      <c r="E1001"/>
      <c r="F1001"/>
    </row>
    <row r="1002" spans="1:6" x14ac:dyDescent="0.25">
      <c r="A1002"/>
      <c r="B1002"/>
      <c r="E1002"/>
      <c r="F1002"/>
    </row>
    <row r="1003" spans="1:6" x14ac:dyDescent="0.25">
      <c r="A1003"/>
      <c r="B1003"/>
      <c r="E1003"/>
      <c r="F1003"/>
    </row>
    <row r="1004" spans="1:6" x14ac:dyDescent="0.25">
      <c r="A1004"/>
      <c r="B1004"/>
      <c r="E1004"/>
      <c r="F1004"/>
    </row>
    <row r="1005" spans="1:6" x14ac:dyDescent="0.25">
      <c r="A1005"/>
      <c r="B1005"/>
      <c r="E1005"/>
      <c r="F1005"/>
    </row>
    <row r="1006" spans="1:6" x14ac:dyDescent="0.25">
      <c r="A1006"/>
      <c r="B1006"/>
      <c r="E1006"/>
      <c r="F1006"/>
    </row>
    <row r="1007" spans="1:6" x14ac:dyDescent="0.25">
      <c r="A1007"/>
      <c r="B1007"/>
      <c r="E1007"/>
      <c r="F1007"/>
    </row>
    <row r="1008" spans="1:6" x14ac:dyDescent="0.25">
      <c r="A1008"/>
      <c r="B1008"/>
      <c r="E1008"/>
      <c r="F1008"/>
    </row>
    <row r="1009" spans="1:6" x14ac:dyDescent="0.25">
      <c r="A1009"/>
      <c r="B1009"/>
      <c r="E1009"/>
      <c r="F1009"/>
    </row>
    <row r="1010" spans="1:6" x14ac:dyDescent="0.25">
      <c r="A1010"/>
      <c r="B1010"/>
      <c r="E1010"/>
      <c r="F1010"/>
    </row>
    <row r="1011" spans="1:6" x14ac:dyDescent="0.25">
      <c r="A1011"/>
      <c r="B1011"/>
      <c r="E1011"/>
      <c r="F1011"/>
    </row>
    <row r="1012" spans="1:6" x14ac:dyDescent="0.25">
      <c r="A1012"/>
      <c r="B1012"/>
      <c r="E1012"/>
      <c r="F1012"/>
    </row>
    <row r="1013" spans="1:6" x14ac:dyDescent="0.25">
      <c r="A1013"/>
      <c r="B1013"/>
      <c r="E1013"/>
      <c r="F1013"/>
    </row>
    <row r="1014" spans="1:6" x14ac:dyDescent="0.25">
      <c r="A1014"/>
      <c r="B1014"/>
      <c r="E1014"/>
      <c r="F1014"/>
    </row>
    <row r="1015" spans="1:6" x14ac:dyDescent="0.25">
      <c r="A1015"/>
      <c r="B1015"/>
      <c r="E1015"/>
      <c r="F1015"/>
    </row>
    <row r="1016" spans="1:6" x14ac:dyDescent="0.25">
      <c r="A1016"/>
      <c r="B1016"/>
      <c r="E1016"/>
      <c r="F1016"/>
    </row>
    <row r="1017" spans="1:6" x14ac:dyDescent="0.25">
      <c r="A1017"/>
      <c r="B1017"/>
      <c r="E1017"/>
      <c r="F1017"/>
    </row>
    <row r="1018" spans="1:6" x14ac:dyDescent="0.25">
      <c r="A1018"/>
      <c r="B1018"/>
      <c r="E1018"/>
      <c r="F1018"/>
    </row>
    <row r="1019" spans="1:6" x14ac:dyDescent="0.25">
      <c r="A1019"/>
      <c r="B1019"/>
      <c r="E1019"/>
      <c r="F1019"/>
    </row>
    <row r="1020" spans="1:6" x14ac:dyDescent="0.25">
      <c r="A1020"/>
      <c r="B1020"/>
      <c r="E1020"/>
      <c r="F1020"/>
    </row>
    <row r="1021" spans="1:6" x14ac:dyDescent="0.25">
      <c r="A1021"/>
      <c r="B1021"/>
      <c r="E1021"/>
      <c r="F1021"/>
    </row>
    <row r="1022" spans="1:6" x14ac:dyDescent="0.25">
      <c r="A1022"/>
      <c r="B1022"/>
      <c r="E1022"/>
      <c r="F1022"/>
    </row>
    <row r="1023" spans="1:6" x14ac:dyDescent="0.25">
      <c r="A1023"/>
      <c r="B1023"/>
      <c r="E1023"/>
      <c r="F1023"/>
    </row>
    <row r="1024" spans="1:6" x14ac:dyDescent="0.25">
      <c r="A1024"/>
      <c r="B1024"/>
      <c r="E1024"/>
      <c r="F1024"/>
    </row>
    <row r="1025" spans="1:6" x14ac:dyDescent="0.25">
      <c r="A1025"/>
      <c r="B1025"/>
      <c r="E1025"/>
      <c r="F1025"/>
    </row>
    <row r="1026" spans="1:6" x14ac:dyDescent="0.25">
      <c r="A1026"/>
      <c r="B1026"/>
      <c r="E1026"/>
      <c r="F1026"/>
    </row>
    <row r="1027" spans="1:6" x14ac:dyDescent="0.25">
      <c r="A1027"/>
      <c r="B1027"/>
      <c r="E1027"/>
      <c r="F1027"/>
    </row>
    <row r="1028" spans="1:6" x14ac:dyDescent="0.25">
      <c r="A1028"/>
      <c r="B1028"/>
      <c r="E1028"/>
      <c r="F1028"/>
    </row>
    <row r="1029" spans="1:6" x14ac:dyDescent="0.25">
      <c r="A1029"/>
      <c r="B1029"/>
      <c r="E1029"/>
      <c r="F1029"/>
    </row>
    <row r="1030" spans="1:6" x14ac:dyDescent="0.25">
      <c r="A1030"/>
      <c r="B1030"/>
      <c r="E1030"/>
      <c r="F1030"/>
    </row>
    <row r="1031" spans="1:6" x14ac:dyDescent="0.25">
      <c r="A1031"/>
      <c r="B1031"/>
      <c r="E1031"/>
      <c r="F1031"/>
    </row>
    <row r="1032" spans="1:6" x14ac:dyDescent="0.25">
      <c r="A1032"/>
      <c r="B1032"/>
      <c r="E1032"/>
      <c r="F1032"/>
    </row>
    <row r="1033" spans="1:6" x14ac:dyDescent="0.25">
      <c r="A1033"/>
      <c r="B1033"/>
      <c r="E1033"/>
      <c r="F1033"/>
    </row>
    <row r="1034" spans="1:6" x14ac:dyDescent="0.25">
      <c r="A1034"/>
      <c r="B1034"/>
      <c r="E1034"/>
      <c r="F1034"/>
    </row>
    <row r="1035" spans="1:6" x14ac:dyDescent="0.25">
      <c r="A1035"/>
      <c r="B1035"/>
      <c r="E1035"/>
      <c r="F1035"/>
    </row>
    <row r="1036" spans="1:6" x14ac:dyDescent="0.25">
      <c r="A1036"/>
      <c r="B1036"/>
      <c r="E1036"/>
      <c r="F1036"/>
    </row>
    <row r="1037" spans="1:6" x14ac:dyDescent="0.25">
      <c r="A1037"/>
      <c r="B1037"/>
      <c r="E1037"/>
      <c r="F1037"/>
    </row>
    <row r="1038" spans="1:6" x14ac:dyDescent="0.25">
      <c r="A1038"/>
      <c r="B1038"/>
      <c r="E1038"/>
      <c r="F1038"/>
    </row>
    <row r="1039" spans="1:6" x14ac:dyDescent="0.25">
      <c r="A1039"/>
      <c r="B1039"/>
      <c r="E1039"/>
      <c r="F1039"/>
    </row>
    <row r="1040" spans="1:6" x14ac:dyDescent="0.25">
      <c r="A1040"/>
      <c r="B1040"/>
      <c r="E1040"/>
      <c r="F1040"/>
    </row>
    <row r="1041" spans="1:6" x14ac:dyDescent="0.25">
      <c r="A1041"/>
      <c r="B1041"/>
      <c r="E1041"/>
      <c r="F1041"/>
    </row>
    <row r="1042" spans="1:6" x14ac:dyDescent="0.25">
      <c r="A1042"/>
      <c r="B1042"/>
      <c r="E1042"/>
      <c r="F1042"/>
    </row>
    <row r="1043" spans="1:6" x14ac:dyDescent="0.25">
      <c r="A1043"/>
      <c r="B1043"/>
      <c r="E1043"/>
      <c r="F1043"/>
    </row>
    <row r="1044" spans="1:6" x14ac:dyDescent="0.25">
      <c r="A1044"/>
      <c r="B1044"/>
      <c r="E1044"/>
      <c r="F1044"/>
    </row>
    <row r="1045" spans="1:6" x14ac:dyDescent="0.25">
      <c r="A1045"/>
      <c r="B1045"/>
      <c r="E1045"/>
      <c r="F1045"/>
    </row>
    <row r="1046" spans="1:6" x14ac:dyDescent="0.25">
      <c r="A1046"/>
      <c r="B1046"/>
      <c r="E1046"/>
      <c r="F1046"/>
    </row>
    <row r="1047" spans="1:6" x14ac:dyDescent="0.25">
      <c r="A1047"/>
      <c r="B1047"/>
      <c r="E1047"/>
      <c r="F1047"/>
    </row>
    <row r="1048" spans="1:6" x14ac:dyDescent="0.25">
      <c r="A1048"/>
      <c r="B1048"/>
      <c r="E1048"/>
      <c r="F1048"/>
    </row>
    <row r="1049" spans="1:6" x14ac:dyDescent="0.25">
      <c r="A1049"/>
      <c r="B1049"/>
      <c r="E1049"/>
      <c r="F1049"/>
    </row>
    <row r="1050" spans="1:6" x14ac:dyDescent="0.25">
      <c r="A1050"/>
      <c r="B1050"/>
      <c r="E1050"/>
      <c r="F1050"/>
    </row>
    <row r="1051" spans="1:6" x14ac:dyDescent="0.25">
      <c r="A1051"/>
      <c r="B1051"/>
      <c r="E1051"/>
      <c r="F1051"/>
    </row>
    <row r="1052" spans="1:6" x14ac:dyDescent="0.25">
      <c r="A1052"/>
      <c r="B1052"/>
      <c r="E1052"/>
      <c r="F1052"/>
    </row>
    <row r="1053" spans="1:6" x14ac:dyDescent="0.25">
      <c r="A1053"/>
      <c r="B1053"/>
      <c r="E1053"/>
      <c r="F1053"/>
    </row>
    <row r="1054" spans="1:6" x14ac:dyDescent="0.25">
      <c r="A1054"/>
      <c r="B1054"/>
      <c r="E1054"/>
      <c r="F1054"/>
    </row>
    <row r="1055" spans="1:6" x14ac:dyDescent="0.25">
      <c r="A1055"/>
      <c r="B1055"/>
      <c r="E1055"/>
      <c r="F1055"/>
    </row>
    <row r="1056" spans="1:6" x14ac:dyDescent="0.25">
      <c r="A1056"/>
      <c r="B1056"/>
      <c r="E1056"/>
      <c r="F1056"/>
    </row>
    <row r="1057" spans="1:6" x14ac:dyDescent="0.25">
      <c r="A1057"/>
      <c r="B1057"/>
      <c r="E1057"/>
      <c r="F1057"/>
    </row>
    <row r="1058" spans="1:6" x14ac:dyDescent="0.25">
      <c r="A1058"/>
      <c r="B1058"/>
      <c r="E1058"/>
      <c r="F1058"/>
    </row>
    <row r="1059" spans="1:6" x14ac:dyDescent="0.25">
      <c r="A1059"/>
      <c r="B1059"/>
      <c r="E1059"/>
      <c r="F1059"/>
    </row>
    <row r="1060" spans="1:6" x14ac:dyDescent="0.25">
      <c r="A1060"/>
      <c r="B1060"/>
      <c r="E1060"/>
      <c r="F1060"/>
    </row>
    <row r="1061" spans="1:6" x14ac:dyDescent="0.25">
      <c r="A1061"/>
      <c r="B1061"/>
      <c r="E1061"/>
      <c r="F1061"/>
    </row>
    <row r="1062" spans="1:6" x14ac:dyDescent="0.25">
      <c r="A1062"/>
      <c r="B1062"/>
      <c r="E1062"/>
      <c r="F1062"/>
    </row>
    <row r="1063" spans="1:6" x14ac:dyDescent="0.25">
      <c r="A1063"/>
      <c r="B1063"/>
      <c r="E1063"/>
      <c r="F1063"/>
    </row>
    <row r="1064" spans="1:6" x14ac:dyDescent="0.25">
      <c r="A1064"/>
      <c r="B1064"/>
      <c r="E1064"/>
      <c r="F1064"/>
    </row>
    <row r="1065" spans="1:6" x14ac:dyDescent="0.25">
      <c r="A1065"/>
      <c r="B1065"/>
      <c r="E1065"/>
      <c r="F1065"/>
    </row>
    <row r="1066" spans="1:6" x14ac:dyDescent="0.25">
      <c r="A1066"/>
      <c r="B1066"/>
      <c r="E1066"/>
      <c r="F1066"/>
    </row>
    <row r="1067" spans="1:6" x14ac:dyDescent="0.25">
      <c r="A1067"/>
      <c r="B1067"/>
      <c r="E1067"/>
      <c r="F1067"/>
    </row>
    <row r="1068" spans="1:6" x14ac:dyDescent="0.25">
      <c r="A1068"/>
      <c r="B1068"/>
      <c r="E1068"/>
      <c r="F1068"/>
    </row>
    <row r="1069" spans="1:6" x14ac:dyDescent="0.25">
      <c r="A1069"/>
      <c r="B1069"/>
      <c r="E1069"/>
      <c r="F1069"/>
    </row>
    <row r="1070" spans="1:6" x14ac:dyDescent="0.25">
      <c r="A1070"/>
      <c r="B1070"/>
      <c r="E1070"/>
      <c r="F1070"/>
    </row>
    <row r="1071" spans="1:6" x14ac:dyDescent="0.25">
      <c r="A1071"/>
      <c r="B1071"/>
      <c r="E1071"/>
      <c r="F1071"/>
    </row>
    <row r="1072" spans="1:6" x14ac:dyDescent="0.25">
      <c r="A1072"/>
      <c r="B1072"/>
      <c r="E1072"/>
      <c r="F1072"/>
    </row>
    <row r="1073" spans="1:6" x14ac:dyDescent="0.25">
      <c r="A1073"/>
      <c r="B1073"/>
      <c r="E1073"/>
      <c r="F1073"/>
    </row>
    <row r="1074" spans="1:6" x14ac:dyDescent="0.25">
      <c r="A1074"/>
      <c r="B1074"/>
      <c r="E1074"/>
      <c r="F1074"/>
    </row>
    <row r="1075" spans="1:6" x14ac:dyDescent="0.25">
      <c r="A1075"/>
      <c r="B1075"/>
      <c r="E1075"/>
      <c r="F1075"/>
    </row>
    <row r="1076" spans="1:6" x14ac:dyDescent="0.25">
      <c r="A1076"/>
      <c r="B1076"/>
      <c r="E1076"/>
      <c r="F1076"/>
    </row>
    <row r="1077" spans="1:6" x14ac:dyDescent="0.25">
      <c r="A1077"/>
      <c r="B1077"/>
      <c r="E1077"/>
      <c r="F1077"/>
    </row>
    <row r="1078" spans="1:6" x14ac:dyDescent="0.25">
      <c r="A1078"/>
      <c r="B1078"/>
      <c r="E1078"/>
      <c r="F1078"/>
    </row>
    <row r="1079" spans="1:6" x14ac:dyDescent="0.25">
      <c r="A1079"/>
      <c r="B1079"/>
      <c r="E1079"/>
      <c r="F1079"/>
    </row>
    <row r="1080" spans="1:6" x14ac:dyDescent="0.25">
      <c r="A1080"/>
      <c r="B1080"/>
      <c r="E1080"/>
      <c r="F1080"/>
    </row>
    <row r="1081" spans="1:6" x14ac:dyDescent="0.25">
      <c r="A1081"/>
      <c r="B1081"/>
      <c r="E1081"/>
      <c r="F1081"/>
    </row>
    <row r="1082" spans="1:6" x14ac:dyDescent="0.25">
      <c r="A1082"/>
      <c r="B1082"/>
      <c r="E1082"/>
      <c r="F1082"/>
    </row>
    <row r="1083" spans="1:6" x14ac:dyDescent="0.25">
      <c r="A1083"/>
      <c r="B1083"/>
      <c r="E1083"/>
      <c r="F1083"/>
    </row>
    <row r="1084" spans="1:6" x14ac:dyDescent="0.25">
      <c r="A1084"/>
      <c r="B1084"/>
      <c r="E1084"/>
      <c r="F1084"/>
    </row>
    <row r="1085" spans="1:6" x14ac:dyDescent="0.25">
      <c r="A1085"/>
      <c r="B1085"/>
      <c r="E1085"/>
      <c r="F1085"/>
    </row>
    <row r="1086" spans="1:6" x14ac:dyDescent="0.25">
      <c r="A1086"/>
      <c r="B1086"/>
      <c r="E1086"/>
      <c r="F1086"/>
    </row>
    <row r="1087" spans="1:6" x14ac:dyDescent="0.25">
      <c r="A1087"/>
      <c r="B1087"/>
      <c r="E1087"/>
      <c r="F1087"/>
    </row>
    <row r="1088" spans="1:6" x14ac:dyDescent="0.25">
      <c r="A1088"/>
      <c r="B1088"/>
      <c r="E1088"/>
      <c r="F1088"/>
    </row>
    <row r="1089" spans="1:6" x14ac:dyDescent="0.25">
      <c r="A1089"/>
      <c r="B1089"/>
      <c r="E1089"/>
      <c r="F1089"/>
    </row>
    <row r="1090" spans="1:6" x14ac:dyDescent="0.25">
      <c r="A1090"/>
      <c r="B1090"/>
      <c r="E1090"/>
      <c r="F1090"/>
    </row>
    <row r="1091" spans="1:6" x14ac:dyDescent="0.25">
      <c r="A1091"/>
      <c r="B1091"/>
      <c r="E1091"/>
      <c r="F1091"/>
    </row>
    <row r="1092" spans="1:6" x14ac:dyDescent="0.25">
      <c r="A1092"/>
      <c r="B1092"/>
      <c r="E1092"/>
      <c r="F1092"/>
    </row>
    <row r="1093" spans="1:6" x14ac:dyDescent="0.25">
      <c r="A1093"/>
      <c r="B1093"/>
      <c r="E1093"/>
      <c r="F1093"/>
    </row>
    <row r="1094" spans="1:6" x14ac:dyDescent="0.25">
      <c r="A1094"/>
      <c r="B1094"/>
      <c r="E1094"/>
      <c r="F1094"/>
    </row>
    <row r="1095" spans="1:6" x14ac:dyDescent="0.25">
      <c r="A1095"/>
      <c r="B1095"/>
      <c r="E1095"/>
      <c r="F1095"/>
    </row>
    <row r="1096" spans="1:6" x14ac:dyDescent="0.25">
      <c r="A1096"/>
      <c r="B1096"/>
      <c r="E1096"/>
      <c r="F1096"/>
    </row>
    <row r="1097" spans="1:6" x14ac:dyDescent="0.25">
      <c r="A1097"/>
      <c r="B1097"/>
      <c r="E1097"/>
      <c r="F1097"/>
    </row>
    <row r="1098" spans="1:6" x14ac:dyDescent="0.25">
      <c r="A1098"/>
      <c r="B1098"/>
      <c r="E1098"/>
      <c r="F1098"/>
    </row>
    <row r="1099" spans="1:6" x14ac:dyDescent="0.25">
      <c r="A1099"/>
      <c r="B1099"/>
      <c r="E1099"/>
      <c r="F1099"/>
    </row>
    <row r="1100" spans="1:6" x14ac:dyDescent="0.25">
      <c r="A1100"/>
      <c r="B1100"/>
      <c r="E1100"/>
      <c r="F1100"/>
    </row>
    <row r="1101" spans="1:6" x14ac:dyDescent="0.25">
      <c r="A1101"/>
      <c r="B1101"/>
      <c r="E1101"/>
      <c r="F1101"/>
    </row>
    <row r="1102" spans="1:6" x14ac:dyDescent="0.25">
      <c r="A1102"/>
      <c r="B1102"/>
      <c r="E1102"/>
      <c r="F1102"/>
    </row>
    <row r="1103" spans="1:6" x14ac:dyDescent="0.25">
      <c r="A1103"/>
      <c r="B1103"/>
      <c r="E1103"/>
      <c r="F1103"/>
    </row>
    <row r="1104" spans="1:6" x14ac:dyDescent="0.25">
      <c r="A1104"/>
      <c r="B1104"/>
      <c r="E1104"/>
      <c r="F1104"/>
    </row>
    <row r="1105" spans="1:6" x14ac:dyDescent="0.25">
      <c r="A1105"/>
      <c r="B1105"/>
      <c r="E1105"/>
      <c r="F1105"/>
    </row>
    <row r="1106" spans="1:6" x14ac:dyDescent="0.25">
      <c r="A1106"/>
      <c r="B1106"/>
      <c r="E1106"/>
      <c r="F1106"/>
    </row>
    <row r="1107" spans="1:6" x14ac:dyDescent="0.25">
      <c r="A1107"/>
      <c r="B1107"/>
      <c r="E1107"/>
      <c r="F1107"/>
    </row>
    <row r="1108" spans="1:6" x14ac:dyDescent="0.25">
      <c r="A1108"/>
      <c r="B1108"/>
      <c r="E1108"/>
      <c r="F1108"/>
    </row>
    <row r="1109" spans="1:6" x14ac:dyDescent="0.25">
      <c r="A1109"/>
      <c r="B1109"/>
      <c r="E1109"/>
      <c r="F1109"/>
    </row>
    <row r="1110" spans="1:6" x14ac:dyDescent="0.25">
      <c r="A1110"/>
      <c r="B1110"/>
      <c r="E1110"/>
      <c r="F1110"/>
    </row>
    <row r="1111" spans="1:6" x14ac:dyDescent="0.25">
      <c r="A1111"/>
      <c r="B1111"/>
      <c r="E1111"/>
      <c r="F1111"/>
    </row>
    <row r="1112" spans="1:6" x14ac:dyDescent="0.25">
      <c r="A1112"/>
      <c r="B1112"/>
      <c r="E1112"/>
      <c r="F1112"/>
    </row>
    <row r="1113" spans="1:6" x14ac:dyDescent="0.25">
      <c r="A1113"/>
      <c r="B1113"/>
      <c r="E1113"/>
      <c r="F1113"/>
    </row>
    <row r="1114" spans="1:6" x14ac:dyDescent="0.25">
      <c r="A1114"/>
      <c r="B1114"/>
      <c r="E1114"/>
      <c r="F1114"/>
    </row>
    <row r="1115" spans="1:6" x14ac:dyDescent="0.25">
      <c r="A1115"/>
      <c r="B1115"/>
      <c r="E1115"/>
      <c r="F1115"/>
    </row>
    <row r="1116" spans="1:6" x14ac:dyDescent="0.25">
      <c r="A1116"/>
      <c r="B1116"/>
      <c r="E1116"/>
      <c r="F1116"/>
    </row>
    <row r="1117" spans="1:6" x14ac:dyDescent="0.25">
      <c r="A1117"/>
      <c r="B1117"/>
      <c r="E1117"/>
      <c r="F1117"/>
    </row>
    <row r="1118" spans="1:6" x14ac:dyDescent="0.25">
      <c r="A1118"/>
      <c r="B1118"/>
      <c r="E1118"/>
      <c r="F1118"/>
    </row>
    <row r="1119" spans="1:6" x14ac:dyDescent="0.25">
      <c r="A1119"/>
      <c r="B1119"/>
      <c r="E1119"/>
      <c r="F1119"/>
    </row>
    <row r="1120" spans="1:6" x14ac:dyDescent="0.25">
      <c r="A1120"/>
      <c r="B1120"/>
      <c r="E1120"/>
      <c r="F1120"/>
    </row>
    <row r="1121" spans="1:6" x14ac:dyDescent="0.25">
      <c r="A1121"/>
      <c r="B1121"/>
      <c r="E1121"/>
      <c r="F1121"/>
    </row>
    <row r="1122" spans="1:6" x14ac:dyDescent="0.25">
      <c r="A1122"/>
      <c r="B1122"/>
      <c r="E1122"/>
      <c r="F1122"/>
    </row>
    <row r="1123" spans="1:6" x14ac:dyDescent="0.25">
      <c r="A1123"/>
      <c r="B1123"/>
      <c r="E1123"/>
      <c r="F1123"/>
    </row>
    <row r="1124" spans="1:6" x14ac:dyDescent="0.25">
      <c r="A1124"/>
      <c r="B1124"/>
      <c r="E1124"/>
      <c r="F1124"/>
    </row>
    <row r="1125" spans="1:6" x14ac:dyDescent="0.25">
      <c r="A1125"/>
      <c r="B1125"/>
      <c r="E1125"/>
      <c r="F1125"/>
    </row>
    <row r="1126" spans="1:6" x14ac:dyDescent="0.25">
      <c r="A1126"/>
      <c r="B1126"/>
      <c r="E1126"/>
      <c r="F1126"/>
    </row>
    <row r="1127" spans="1:6" x14ac:dyDescent="0.25">
      <c r="A1127"/>
      <c r="B1127"/>
      <c r="E1127"/>
      <c r="F1127"/>
    </row>
    <row r="1128" spans="1:6" x14ac:dyDescent="0.25">
      <c r="A1128"/>
      <c r="B1128"/>
      <c r="E1128"/>
      <c r="F1128"/>
    </row>
    <row r="1129" spans="1:6" x14ac:dyDescent="0.25">
      <c r="A1129"/>
      <c r="B1129"/>
      <c r="E1129"/>
      <c r="F1129"/>
    </row>
    <row r="1130" spans="1:6" x14ac:dyDescent="0.25">
      <c r="A1130"/>
      <c r="B1130"/>
      <c r="E1130"/>
      <c r="F1130"/>
    </row>
    <row r="1131" spans="1:6" x14ac:dyDescent="0.25">
      <c r="A1131"/>
      <c r="B1131"/>
      <c r="E1131"/>
      <c r="F1131"/>
    </row>
    <row r="1132" spans="1:6" x14ac:dyDescent="0.25">
      <c r="A1132"/>
      <c r="B1132"/>
      <c r="E1132"/>
      <c r="F1132"/>
    </row>
    <row r="1133" spans="1:6" x14ac:dyDescent="0.25">
      <c r="A1133"/>
      <c r="B1133"/>
      <c r="E1133"/>
      <c r="F1133"/>
    </row>
    <row r="1134" spans="1:6" x14ac:dyDescent="0.25">
      <c r="A1134"/>
      <c r="B1134"/>
      <c r="E1134"/>
      <c r="F1134"/>
    </row>
    <row r="1135" spans="1:6" x14ac:dyDescent="0.25">
      <c r="A1135"/>
      <c r="B1135"/>
      <c r="E1135"/>
      <c r="F1135"/>
    </row>
    <row r="1136" spans="1:6" x14ac:dyDescent="0.25">
      <c r="A1136"/>
      <c r="B1136"/>
      <c r="E1136"/>
      <c r="F1136"/>
    </row>
    <row r="1137" spans="1:6" x14ac:dyDescent="0.25">
      <c r="A1137"/>
      <c r="B1137"/>
      <c r="E1137"/>
      <c r="F1137"/>
    </row>
    <row r="1138" spans="1:6" x14ac:dyDescent="0.25">
      <c r="A1138"/>
      <c r="B1138"/>
      <c r="E1138"/>
      <c r="F1138"/>
    </row>
    <row r="1139" spans="1:6" x14ac:dyDescent="0.25">
      <c r="A1139"/>
      <c r="B1139"/>
      <c r="E1139"/>
      <c r="F1139"/>
    </row>
    <row r="1140" spans="1:6" x14ac:dyDescent="0.25">
      <c r="A1140"/>
      <c r="B1140"/>
      <c r="E1140"/>
      <c r="F1140"/>
    </row>
    <row r="1141" spans="1:6" x14ac:dyDescent="0.25">
      <c r="A1141"/>
      <c r="B1141"/>
      <c r="E1141"/>
      <c r="F1141"/>
    </row>
    <row r="1142" spans="1:6" x14ac:dyDescent="0.25">
      <c r="A1142"/>
      <c r="B1142"/>
      <c r="E1142"/>
      <c r="F1142"/>
    </row>
    <row r="1143" spans="1:6" x14ac:dyDescent="0.25">
      <c r="A1143"/>
      <c r="B1143"/>
      <c r="E1143"/>
      <c r="F1143"/>
    </row>
    <row r="1144" spans="1:6" x14ac:dyDescent="0.25">
      <c r="A1144"/>
      <c r="B1144"/>
      <c r="E1144"/>
      <c r="F1144"/>
    </row>
    <row r="1145" spans="1:6" x14ac:dyDescent="0.25">
      <c r="A1145"/>
      <c r="B1145"/>
      <c r="E1145"/>
      <c r="F1145"/>
    </row>
    <row r="1146" spans="1:6" x14ac:dyDescent="0.25">
      <c r="A1146"/>
      <c r="B1146"/>
      <c r="E1146"/>
      <c r="F1146"/>
    </row>
    <row r="1147" spans="1:6" x14ac:dyDescent="0.25">
      <c r="A1147"/>
      <c r="B1147"/>
      <c r="E1147"/>
      <c r="F1147"/>
    </row>
    <row r="1148" spans="1:6" x14ac:dyDescent="0.25">
      <c r="A1148"/>
      <c r="B1148"/>
      <c r="E1148"/>
      <c r="F1148"/>
    </row>
    <row r="1149" spans="1:6" x14ac:dyDescent="0.25">
      <c r="A1149"/>
      <c r="B1149"/>
      <c r="E1149"/>
      <c r="F1149"/>
    </row>
    <row r="1150" spans="1:6" x14ac:dyDescent="0.25">
      <c r="A1150"/>
      <c r="B1150"/>
      <c r="E1150"/>
      <c r="F1150"/>
    </row>
    <row r="1151" spans="1:6" x14ac:dyDescent="0.25">
      <c r="A1151"/>
      <c r="B1151"/>
      <c r="E1151"/>
      <c r="F1151"/>
    </row>
    <row r="1152" spans="1:6" x14ac:dyDescent="0.25">
      <c r="A1152"/>
      <c r="B1152"/>
      <c r="E1152"/>
      <c r="F1152"/>
    </row>
    <row r="1153" spans="1:6" x14ac:dyDescent="0.25">
      <c r="A1153"/>
      <c r="B1153"/>
      <c r="E1153"/>
      <c r="F1153"/>
    </row>
    <row r="1154" spans="1:6" x14ac:dyDescent="0.25">
      <c r="A1154"/>
      <c r="B1154"/>
      <c r="E1154"/>
      <c r="F1154"/>
    </row>
    <row r="1155" spans="1:6" x14ac:dyDescent="0.25">
      <c r="A1155"/>
      <c r="B1155"/>
      <c r="E1155"/>
      <c r="F1155"/>
    </row>
    <row r="1156" spans="1:6" x14ac:dyDescent="0.25">
      <c r="A1156"/>
      <c r="B1156"/>
      <c r="E1156"/>
      <c r="F1156"/>
    </row>
    <row r="1157" spans="1:6" x14ac:dyDescent="0.25">
      <c r="A1157"/>
      <c r="B1157"/>
      <c r="E1157"/>
      <c r="F1157"/>
    </row>
    <row r="1158" spans="1:6" x14ac:dyDescent="0.25">
      <c r="A1158"/>
      <c r="B1158"/>
      <c r="E1158"/>
      <c r="F1158"/>
    </row>
    <row r="1159" spans="1:6" x14ac:dyDescent="0.25">
      <c r="A1159"/>
      <c r="B1159"/>
      <c r="E1159"/>
      <c r="F1159"/>
    </row>
    <row r="1160" spans="1:6" x14ac:dyDescent="0.25">
      <c r="A1160"/>
      <c r="B1160"/>
      <c r="E1160"/>
      <c r="F1160"/>
    </row>
    <row r="1161" spans="1:6" x14ac:dyDescent="0.25">
      <c r="A1161"/>
      <c r="B1161"/>
      <c r="E1161"/>
      <c r="F1161"/>
    </row>
    <row r="1162" spans="1:6" x14ac:dyDescent="0.25">
      <c r="A1162"/>
      <c r="B1162"/>
      <c r="E1162"/>
      <c r="F1162"/>
    </row>
    <row r="1163" spans="1:6" x14ac:dyDescent="0.25">
      <c r="A1163"/>
      <c r="B1163"/>
      <c r="E1163"/>
      <c r="F1163"/>
    </row>
    <row r="1164" spans="1:6" x14ac:dyDescent="0.25">
      <c r="A1164"/>
      <c r="B1164"/>
      <c r="E1164"/>
      <c r="F1164"/>
    </row>
    <row r="1165" spans="1:6" x14ac:dyDescent="0.25">
      <c r="A1165"/>
      <c r="B1165"/>
      <c r="E1165"/>
      <c r="F1165"/>
    </row>
    <row r="1166" spans="1:6" x14ac:dyDescent="0.25">
      <c r="A1166"/>
      <c r="B1166"/>
      <c r="E1166"/>
      <c r="F1166"/>
    </row>
    <row r="1167" spans="1:6" x14ac:dyDescent="0.25">
      <c r="A1167"/>
      <c r="B1167"/>
      <c r="E1167"/>
      <c r="F1167"/>
    </row>
    <row r="1168" spans="1:6" x14ac:dyDescent="0.25">
      <c r="A1168"/>
      <c r="B1168"/>
      <c r="E1168"/>
      <c r="F1168"/>
    </row>
    <row r="1169" spans="1:6" x14ac:dyDescent="0.25">
      <c r="A1169"/>
      <c r="B1169"/>
      <c r="E1169"/>
      <c r="F1169"/>
    </row>
    <row r="1170" spans="1:6" x14ac:dyDescent="0.25">
      <c r="A1170"/>
      <c r="B1170"/>
      <c r="E1170"/>
      <c r="F1170"/>
    </row>
    <row r="1171" spans="1:6" x14ac:dyDescent="0.25">
      <c r="A1171"/>
      <c r="B1171"/>
      <c r="E1171"/>
      <c r="F1171"/>
    </row>
    <row r="1172" spans="1:6" x14ac:dyDescent="0.25">
      <c r="A1172"/>
      <c r="B1172"/>
      <c r="E1172"/>
      <c r="F1172"/>
    </row>
    <row r="1173" spans="1:6" x14ac:dyDescent="0.25">
      <c r="A1173"/>
      <c r="B1173"/>
      <c r="E1173"/>
      <c r="F1173"/>
    </row>
    <row r="1174" spans="1:6" x14ac:dyDescent="0.25">
      <c r="A1174"/>
      <c r="B1174"/>
      <c r="E1174"/>
      <c r="F1174"/>
    </row>
    <row r="1175" spans="1:6" x14ac:dyDescent="0.25">
      <c r="A1175"/>
      <c r="B1175"/>
      <c r="E1175"/>
      <c r="F1175"/>
    </row>
    <row r="1176" spans="1:6" x14ac:dyDescent="0.25">
      <c r="A1176"/>
      <c r="B1176"/>
      <c r="E1176"/>
      <c r="F1176"/>
    </row>
    <row r="1177" spans="1:6" x14ac:dyDescent="0.25">
      <c r="A1177"/>
      <c r="B1177"/>
      <c r="E1177"/>
      <c r="F1177"/>
    </row>
    <row r="1178" spans="1:6" x14ac:dyDescent="0.25">
      <c r="A1178"/>
      <c r="B1178"/>
      <c r="E1178"/>
      <c r="F1178"/>
    </row>
    <row r="1179" spans="1:6" x14ac:dyDescent="0.25">
      <c r="A1179"/>
      <c r="B1179"/>
      <c r="E1179"/>
      <c r="F1179"/>
    </row>
    <row r="1180" spans="1:6" x14ac:dyDescent="0.25">
      <c r="A1180"/>
      <c r="B1180"/>
      <c r="E1180"/>
      <c r="F1180"/>
    </row>
    <row r="1181" spans="1:6" x14ac:dyDescent="0.25">
      <c r="A1181"/>
      <c r="B1181"/>
      <c r="E1181"/>
      <c r="F1181"/>
    </row>
    <row r="1182" spans="1:6" x14ac:dyDescent="0.25">
      <c r="A1182"/>
      <c r="B1182"/>
      <c r="E1182"/>
      <c r="F1182"/>
    </row>
    <row r="1183" spans="1:6" x14ac:dyDescent="0.25">
      <c r="A1183"/>
      <c r="B1183"/>
      <c r="E1183"/>
      <c r="F1183"/>
    </row>
    <row r="1184" spans="1:6" x14ac:dyDescent="0.25">
      <c r="A1184"/>
      <c r="B1184"/>
      <c r="E1184"/>
      <c r="F1184"/>
    </row>
    <row r="1185" spans="1:6" x14ac:dyDescent="0.25">
      <c r="A1185"/>
      <c r="B1185"/>
      <c r="E1185"/>
      <c r="F1185"/>
    </row>
    <row r="1186" spans="1:6" x14ac:dyDescent="0.25">
      <c r="A1186"/>
      <c r="B1186"/>
      <c r="E1186"/>
      <c r="F1186"/>
    </row>
    <row r="1187" spans="1:6" x14ac:dyDescent="0.25">
      <c r="A1187"/>
      <c r="B1187"/>
      <c r="E1187"/>
      <c r="F1187"/>
    </row>
    <row r="1188" spans="1:6" x14ac:dyDescent="0.25">
      <c r="A1188"/>
      <c r="B1188"/>
      <c r="E1188"/>
      <c r="F1188"/>
    </row>
    <row r="1189" spans="1:6" x14ac:dyDescent="0.25">
      <c r="A1189"/>
      <c r="B1189"/>
      <c r="E1189"/>
      <c r="F1189"/>
    </row>
    <row r="1190" spans="1:6" x14ac:dyDescent="0.25">
      <c r="A1190"/>
      <c r="B1190"/>
      <c r="E1190"/>
      <c r="F1190"/>
    </row>
    <row r="1191" spans="1:6" x14ac:dyDescent="0.25">
      <c r="A1191"/>
      <c r="B1191"/>
      <c r="E1191"/>
      <c r="F1191"/>
    </row>
    <row r="1192" spans="1:6" x14ac:dyDescent="0.25">
      <c r="A1192"/>
      <c r="B1192"/>
      <c r="E1192"/>
      <c r="F1192"/>
    </row>
    <row r="1193" spans="1:6" x14ac:dyDescent="0.25">
      <c r="A1193"/>
      <c r="B1193"/>
      <c r="E1193"/>
      <c r="F1193"/>
    </row>
    <row r="1194" spans="1:6" x14ac:dyDescent="0.25">
      <c r="A1194"/>
      <c r="B1194"/>
      <c r="E1194"/>
      <c r="F1194"/>
    </row>
    <row r="1195" spans="1:6" x14ac:dyDescent="0.25">
      <c r="A1195"/>
      <c r="B1195"/>
      <c r="E1195"/>
      <c r="F1195"/>
    </row>
    <row r="1196" spans="1:6" x14ac:dyDescent="0.25">
      <c r="A1196"/>
      <c r="B1196"/>
      <c r="E1196"/>
      <c r="F1196"/>
    </row>
    <row r="1197" spans="1:6" x14ac:dyDescent="0.25">
      <c r="A1197"/>
      <c r="B1197"/>
      <c r="E1197"/>
      <c r="F1197"/>
    </row>
    <row r="1198" spans="1:6" x14ac:dyDescent="0.25">
      <c r="A1198"/>
      <c r="B1198"/>
      <c r="E1198"/>
      <c r="F1198"/>
    </row>
    <row r="1199" spans="1:6" x14ac:dyDescent="0.25">
      <c r="A1199"/>
      <c r="B1199"/>
      <c r="E1199"/>
      <c r="F1199"/>
    </row>
    <row r="1200" spans="1:6" x14ac:dyDescent="0.25">
      <c r="A1200"/>
      <c r="B1200"/>
      <c r="E1200"/>
      <c r="F1200"/>
    </row>
    <row r="1201" spans="1:6" x14ac:dyDescent="0.25">
      <c r="A1201"/>
      <c r="B1201"/>
      <c r="E1201"/>
      <c r="F1201"/>
    </row>
    <row r="1202" spans="1:6" x14ac:dyDescent="0.25">
      <c r="A1202"/>
      <c r="B1202"/>
      <c r="E1202"/>
      <c r="F1202"/>
    </row>
    <row r="1203" spans="1:6" x14ac:dyDescent="0.25">
      <c r="A1203"/>
      <c r="B1203"/>
      <c r="E1203"/>
      <c r="F1203"/>
    </row>
    <row r="1204" spans="1:6" x14ac:dyDescent="0.25">
      <c r="A1204"/>
      <c r="B1204"/>
      <c r="E1204"/>
      <c r="F1204"/>
    </row>
    <row r="1205" spans="1:6" x14ac:dyDescent="0.25">
      <c r="A1205"/>
      <c r="B1205"/>
      <c r="E1205"/>
      <c r="F1205"/>
    </row>
    <row r="1206" spans="1:6" x14ac:dyDescent="0.25">
      <c r="A1206"/>
      <c r="B1206"/>
      <c r="E1206"/>
      <c r="F1206"/>
    </row>
    <row r="1207" spans="1:6" x14ac:dyDescent="0.25">
      <c r="A1207"/>
      <c r="B1207"/>
      <c r="E1207"/>
      <c r="F1207"/>
    </row>
    <row r="1208" spans="1:6" x14ac:dyDescent="0.25">
      <c r="A1208"/>
      <c r="B1208"/>
      <c r="E1208"/>
      <c r="F1208"/>
    </row>
    <row r="1209" spans="1:6" x14ac:dyDescent="0.25">
      <c r="A1209"/>
      <c r="B1209"/>
      <c r="E1209"/>
      <c r="F1209"/>
    </row>
    <row r="1210" spans="1:6" x14ac:dyDescent="0.25">
      <c r="A1210"/>
      <c r="B1210"/>
      <c r="E1210"/>
      <c r="F1210"/>
    </row>
    <row r="1211" spans="1:6" x14ac:dyDescent="0.25">
      <c r="A1211"/>
      <c r="B1211"/>
      <c r="E1211"/>
      <c r="F1211"/>
    </row>
    <row r="1212" spans="1:6" x14ac:dyDescent="0.25">
      <c r="A1212"/>
      <c r="B1212"/>
      <c r="E1212"/>
      <c r="F1212"/>
    </row>
    <row r="1213" spans="1:6" x14ac:dyDescent="0.25">
      <c r="A1213"/>
      <c r="B1213"/>
      <c r="E1213"/>
      <c r="F1213"/>
    </row>
    <row r="1214" spans="1:6" x14ac:dyDescent="0.25">
      <c r="A1214"/>
      <c r="B1214"/>
      <c r="E1214"/>
      <c r="F1214"/>
    </row>
    <row r="1215" spans="1:6" x14ac:dyDescent="0.25">
      <c r="A1215"/>
      <c r="B1215"/>
      <c r="E1215"/>
      <c r="F1215"/>
    </row>
    <row r="1216" spans="1:6" x14ac:dyDescent="0.25">
      <c r="A1216"/>
      <c r="B1216"/>
      <c r="E1216"/>
      <c r="F1216"/>
    </row>
    <row r="1217" spans="1:6" x14ac:dyDescent="0.25">
      <c r="A1217"/>
      <c r="B1217"/>
      <c r="E1217"/>
      <c r="F1217"/>
    </row>
    <row r="1218" spans="1:6" x14ac:dyDescent="0.25">
      <c r="A1218"/>
      <c r="B1218"/>
      <c r="E1218"/>
      <c r="F1218"/>
    </row>
    <row r="1219" spans="1:6" x14ac:dyDescent="0.25">
      <c r="A1219"/>
      <c r="B1219"/>
      <c r="E1219"/>
      <c r="F1219"/>
    </row>
    <row r="1220" spans="1:6" x14ac:dyDescent="0.25">
      <c r="A1220"/>
      <c r="B1220"/>
      <c r="E1220"/>
      <c r="F1220"/>
    </row>
    <row r="1221" spans="1:6" x14ac:dyDescent="0.25">
      <c r="A1221"/>
      <c r="B1221"/>
      <c r="E1221"/>
      <c r="F1221"/>
    </row>
    <row r="1222" spans="1:6" x14ac:dyDescent="0.25">
      <c r="A1222"/>
      <c r="B1222"/>
      <c r="E1222"/>
      <c r="F1222"/>
    </row>
    <row r="1223" spans="1:6" x14ac:dyDescent="0.25">
      <c r="A1223"/>
      <c r="B1223"/>
      <c r="E1223"/>
      <c r="F1223"/>
    </row>
    <row r="1224" spans="1:6" x14ac:dyDescent="0.25">
      <c r="A1224"/>
      <c r="B1224"/>
      <c r="E1224"/>
      <c r="F1224"/>
    </row>
    <row r="1225" spans="1:6" x14ac:dyDescent="0.25">
      <c r="A1225"/>
      <c r="B1225"/>
      <c r="E1225"/>
      <c r="F1225"/>
    </row>
    <row r="1226" spans="1:6" x14ac:dyDescent="0.25">
      <c r="A1226"/>
      <c r="B1226"/>
      <c r="E1226"/>
      <c r="F1226"/>
    </row>
    <row r="1227" spans="1:6" x14ac:dyDescent="0.25">
      <c r="A1227"/>
      <c r="B1227"/>
      <c r="E1227"/>
      <c r="F1227"/>
    </row>
    <row r="1228" spans="1:6" x14ac:dyDescent="0.25">
      <c r="A1228"/>
      <c r="B1228"/>
      <c r="E1228"/>
      <c r="F1228"/>
    </row>
    <row r="1229" spans="1:6" x14ac:dyDescent="0.25">
      <c r="A1229"/>
      <c r="B1229"/>
      <c r="E1229"/>
      <c r="F1229"/>
    </row>
    <row r="1230" spans="1:6" x14ac:dyDescent="0.25">
      <c r="A1230"/>
      <c r="B1230"/>
      <c r="E1230"/>
      <c r="F1230"/>
    </row>
    <row r="1231" spans="1:6" x14ac:dyDescent="0.25">
      <c r="A1231"/>
      <c r="B1231"/>
      <c r="E1231"/>
      <c r="F1231"/>
    </row>
    <row r="1232" spans="1:6" x14ac:dyDescent="0.25">
      <c r="A1232"/>
      <c r="B1232"/>
      <c r="E1232"/>
      <c r="F1232"/>
    </row>
    <row r="1233" spans="1:6" x14ac:dyDescent="0.25">
      <c r="A1233"/>
      <c r="B1233"/>
      <c r="E1233"/>
      <c r="F1233"/>
    </row>
    <row r="1234" spans="1:6" x14ac:dyDescent="0.25">
      <c r="A1234"/>
      <c r="B1234"/>
      <c r="E1234"/>
      <c r="F1234"/>
    </row>
    <row r="1235" spans="1:6" x14ac:dyDescent="0.25">
      <c r="A1235"/>
      <c r="B1235"/>
      <c r="E1235"/>
      <c r="F1235"/>
    </row>
    <row r="1236" spans="1:6" x14ac:dyDescent="0.25">
      <c r="A1236"/>
      <c r="B1236"/>
      <c r="E1236"/>
      <c r="F1236"/>
    </row>
    <row r="1237" spans="1:6" x14ac:dyDescent="0.25">
      <c r="A1237"/>
      <c r="B1237"/>
      <c r="E1237"/>
      <c r="F1237"/>
    </row>
    <row r="1238" spans="1:6" x14ac:dyDescent="0.25">
      <c r="A1238"/>
      <c r="B1238"/>
      <c r="E1238"/>
      <c r="F1238"/>
    </row>
    <row r="1239" spans="1:6" x14ac:dyDescent="0.25">
      <c r="A1239"/>
      <c r="B1239"/>
      <c r="E1239"/>
      <c r="F1239"/>
    </row>
    <row r="1240" spans="1:6" x14ac:dyDescent="0.25">
      <c r="A1240"/>
      <c r="B1240"/>
      <c r="E1240"/>
      <c r="F1240"/>
    </row>
    <row r="1241" spans="1:6" x14ac:dyDescent="0.25">
      <c r="A1241"/>
      <c r="B1241"/>
      <c r="E1241"/>
      <c r="F1241"/>
    </row>
    <row r="1242" spans="1:6" x14ac:dyDescent="0.25">
      <c r="A1242"/>
      <c r="B1242"/>
      <c r="E1242"/>
      <c r="F1242"/>
    </row>
    <row r="1243" spans="1:6" x14ac:dyDescent="0.25">
      <c r="A1243"/>
      <c r="B1243"/>
      <c r="E1243"/>
      <c r="F1243"/>
    </row>
    <row r="1244" spans="1:6" x14ac:dyDescent="0.25">
      <c r="A1244"/>
      <c r="B1244"/>
      <c r="E1244"/>
      <c r="F1244"/>
    </row>
    <row r="1245" spans="1:6" x14ac:dyDescent="0.25">
      <c r="A1245"/>
      <c r="B1245"/>
      <c r="E1245"/>
      <c r="F1245"/>
    </row>
    <row r="1246" spans="1:6" x14ac:dyDescent="0.25">
      <c r="A1246"/>
      <c r="B1246"/>
      <c r="E1246"/>
      <c r="F1246"/>
    </row>
    <row r="1247" spans="1:6" x14ac:dyDescent="0.25">
      <c r="A1247"/>
      <c r="B1247"/>
      <c r="E1247"/>
      <c r="F1247"/>
    </row>
    <row r="1248" spans="1:6" x14ac:dyDescent="0.25">
      <c r="A1248"/>
      <c r="B1248"/>
      <c r="E1248"/>
      <c r="F1248"/>
    </row>
    <row r="1249" spans="1:6" x14ac:dyDescent="0.25">
      <c r="A1249"/>
      <c r="B1249"/>
      <c r="E1249"/>
      <c r="F1249"/>
    </row>
    <row r="1250" spans="1:6" x14ac:dyDescent="0.25">
      <c r="A1250"/>
      <c r="B1250"/>
      <c r="E1250"/>
      <c r="F1250"/>
    </row>
    <row r="1251" spans="1:6" x14ac:dyDescent="0.25">
      <c r="A1251"/>
      <c r="B1251"/>
      <c r="E1251"/>
      <c r="F1251"/>
    </row>
    <row r="1252" spans="1:6" x14ac:dyDescent="0.25">
      <c r="A1252"/>
      <c r="B1252"/>
      <c r="E1252"/>
      <c r="F1252"/>
    </row>
    <row r="1253" spans="1:6" x14ac:dyDescent="0.25">
      <c r="A1253"/>
      <c r="B1253"/>
      <c r="E1253"/>
      <c r="F1253"/>
    </row>
    <row r="1254" spans="1:6" x14ac:dyDescent="0.25">
      <c r="A1254"/>
      <c r="B1254"/>
      <c r="E1254"/>
      <c r="F1254"/>
    </row>
    <row r="1255" spans="1:6" x14ac:dyDescent="0.25">
      <c r="A1255"/>
      <c r="B1255"/>
      <c r="E1255"/>
      <c r="F1255"/>
    </row>
    <row r="1256" spans="1:6" x14ac:dyDescent="0.25">
      <c r="A1256"/>
      <c r="B1256"/>
      <c r="E1256"/>
      <c r="F1256"/>
    </row>
    <row r="1257" spans="1:6" x14ac:dyDescent="0.25">
      <c r="A1257"/>
      <c r="B1257"/>
      <c r="E1257"/>
      <c r="F1257"/>
    </row>
    <row r="1258" spans="1:6" x14ac:dyDescent="0.25">
      <c r="A1258"/>
      <c r="B1258"/>
      <c r="E1258"/>
      <c r="F1258"/>
    </row>
    <row r="1259" spans="1:6" x14ac:dyDescent="0.25">
      <c r="A1259"/>
      <c r="B1259"/>
      <c r="E1259"/>
      <c r="F1259"/>
    </row>
    <row r="1260" spans="1:6" x14ac:dyDescent="0.25">
      <c r="A1260"/>
      <c r="B1260"/>
      <c r="E1260"/>
      <c r="F1260"/>
    </row>
    <row r="1261" spans="1:6" x14ac:dyDescent="0.25">
      <c r="A1261"/>
      <c r="B1261"/>
      <c r="E1261"/>
      <c r="F1261"/>
    </row>
    <row r="1262" spans="1:6" x14ac:dyDescent="0.25">
      <c r="A1262"/>
      <c r="B1262"/>
      <c r="E1262"/>
      <c r="F1262"/>
    </row>
    <row r="1263" spans="1:6" x14ac:dyDescent="0.25">
      <c r="A1263"/>
      <c r="B1263"/>
      <c r="E1263"/>
      <c r="F1263"/>
    </row>
    <row r="1264" spans="1:6" x14ac:dyDescent="0.25">
      <c r="A1264"/>
      <c r="B1264"/>
      <c r="E1264"/>
      <c r="F1264"/>
    </row>
    <row r="1265" spans="1:6" x14ac:dyDescent="0.25">
      <c r="A1265"/>
      <c r="B1265"/>
      <c r="E1265"/>
      <c r="F1265"/>
    </row>
    <row r="1266" spans="1:6" x14ac:dyDescent="0.25">
      <c r="A1266"/>
      <c r="B1266"/>
      <c r="E1266"/>
      <c r="F1266"/>
    </row>
    <row r="1267" spans="1:6" x14ac:dyDescent="0.25">
      <c r="A1267"/>
      <c r="B1267"/>
      <c r="E1267"/>
      <c r="F1267"/>
    </row>
    <row r="1268" spans="1:6" x14ac:dyDescent="0.25">
      <c r="A1268"/>
      <c r="B1268"/>
      <c r="E1268"/>
      <c r="F1268"/>
    </row>
    <row r="1269" spans="1:6" x14ac:dyDescent="0.25">
      <c r="A1269"/>
      <c r="B1269"/>
      <c r="E1269"/>
      <c r="F1269"/>
    </row>
    <row r="1270" spans="1:6" x14ac:dyDescent="0.25">
      <c r="A1270"/>
      <c r="B1270"/>
      <c r="E1270"/>
      <c r="F1270"/>
    </row>
    <row r="1271" spans="1:6" x14ac:dyDescent="0.25">
      <c r="A1271"/>
      <c r="B1271"/>
      <c r="E1271"/>
      <c r="F1271"/>
    </row>
    <row r="1272" spans="1:6" x14ac:dyDescent="0.25">
      <c r="A1272"/>
      <c r="B1272"/>
      <c r="E1272"/>
      <c r="F1272"/>
    </row>
    <row r="1273" spans="1:6" x14ac:dyDescent="0.25">
      <c r="A1273"/>
      <c r="B1273"/>
      <c r="E1273"/>
      <c r="F1273"/>
    </row>
    <row r="1274" spans="1:6" x14ac:dyDescent="0.25">
      <c r="A1274"/>
      <c r="B1274"/>
      <c r="E1274"/>
      <c r="F1274"/>
    </row>
    <row r="1275" spans="1:6" x14ac:dyDescent="0.25">
      <c r="A1275"/>
      <c r="B1275"/>
      <c r="E1275"/>
      <c r="F1275"/>
    </row>
    <row r="1276" spans="1:6" x14ac:dyDescent="0.25">
      <c r="A1276"/>
      <c r="B1276"/>
      <c r="E1276"/>
      <c r="F1276"/>
    </row>
    <row r="1277" spans="1:6" x14ac:dyDescent="0.25">
      <c r="A1277"/>
      <c r="B1277"/>
      <c r="E1277"/>
      <c r="F1277"/>
    </row>
    <row r="1278" spans="1:6" x14ac:dyDescent="0.25">
      <c r="A1278"/>
      <c r="B1278"/>
      <c r="E1278"/>
      <c r="F1278"/>
    </row>
    <row r="1279" spans="1:6" x14ac:dyDescent="0.25">
      <c r="A1279"/>
      <c r="B1279"/>
      <c r="E1279"/>
      <c r="F1279"/>
    </row>
    <row r="1280" spans="1:6" x14ac:dyDescent="0.25">
      <c r="A1280"/>
      <c r="B1280"/>
      <c r="E1280"/>
      <c r="F1280"/>
    </row>
    <row r="1281" spans="1:6" x14ac:dyDescent="0.25">
      <c r="A1281"/>
      <c r="B1281"/>
      <c r="E1281"/>
      <c r="F1281"/>
    </row>
    <row r="1282" spans="1:6" x14ac:dyDescent="0.25">
      <c r="A1282"/>
      <c r="B1282"/>
      <c r="E1282"/>
      <c r="F1282"/>
    </row>
    <row r="1283" spans="1:6" x14ac:dyDescent="0.25">
      <c r="A1283"/>
      <c r="B1283"/>
      <c r="E1283"/>
      <c r="F1283"/>
    </row>
    <row r="1284" spans="1:6" x14ac:dyDescent="0.25">
      <c r="A1284"/>
      <c r="B1284"/>
      <c r="E1284"/>
      <c r="F1284"/>
    </row>
    <row r="1285" spans="1:6" x14ac:dyDescent="0.25">
      <c r="A1285"/>
      <c r="B1285"/>
      <c r="E1285"/>
      <c r="F1285"/>
    </row>
    <row r="1286" spans="1:6" x14ac:dyDescent="0.25">
      <c r="A1286"/>
      <c r="B1286"/>
      <c r="E1286"/>
      <c r="F1286"/>
    </row>
    <row r="1287" spans="1:6" x14ac:dyDescent="0.25">
      <c r="A1287"/>
      <c r="B1287"/>
      <c r="E1287"/>
      <c r="F1287"/>
    </row>
    <row r="1288" spans="1:6" x14ac:dyDescent="0.25">
      <c r="A1288"/>
      <c r="B1288"/>
      <c r="E1288"/>
      <c r="F1288"/>
    </row>
    <row r="1289" spans="1:6" x14ac:dyDescent="0.25">
      <c r="A1289"/>
      <c r="B1289"/>
      <c r="E1289"/>
      <c r="F1289"/>
    </row>
    <row r="1290" spans="1:6" x14ac:dyDescent="0.25">
      <c r="A1290"/>
      <c r="B1290"/>
      <c r="E1290"/>
      <c r="F1290"/>
    </row>
    <row r="1291" spans="1:6" x14ac:dyDescent="0.25">
      <c r="A1291"/>
      <c r="B1291"/>
      <c r="E1291"/>
      <c r="F1291"/>
    </row>
    <row r="1292" spans="1:6" x14ac:dyDescent="0.25">
      <c r="A1292"/>
      <c r="B1292"/>
      <c r="E1292"/>
      <c r="F1292"/>
    </row>
    <row r="1293" spans="1:6" x14ac:dyDescent="0.25">
      <c r="A1293"/>
      <c r="B1293"/>
      <c r="E1293"/>
      <c r="F1293"/>
    </row>
    <row r="1294" spans="1:6" x14ac:dyDescent="0.25">
      <c r="A1294"/>
      <c r="B1294"/>
      <c r="E1294"/>
      <c r="F1294"/>
    </row>
    <row r="1295" spans="1:6" x14ac:dyDescent="0.25">
      <c r="A1295"/>
      <c r="B1295"/>
      <c r="E1295"/>
      <c r="F1295"/>
    </row>
    <row r="1296" spans="1:6" x14ac:dyDescent="0.25">
      <c r="A1296"/>
      <c r="B1296"/>
      <c r="E1296"/>
      <c r="F1296"/>
    </row>
    <row r="1297" spans="1:6" x14ac:dyDescent="0.25">
      <c r="A1297"/>
      <c r="B1297"/>
      <c r="E1297"/>
      <c r="F1297"/>
    </row>
    <row r="1298" spans="1:6" x14ac:dyDescent="0.25">
      <c r="A1298"/>
      <c r="B1298"/>
      <c r="E1298"/>
      <c r="F1298"/>
    </row>
    <row r="1299" spans="1:6" x14ac:dyDescent="0.25">
      <c r="A1299"/>
      <c r="B1299"/>
      <c r="E1299"/>
      <c r="F1299"/>
    </row>
    <row r="1300" spans="1:6" x14ac:dyDescent="0.25">
      <c r="A1300"/>
      <c r="B1300"/>
      <c r="E1300"/>
      <c r="F1300"/>
    </row>
    <row r="1301" spans="1:6" x14ac:dyDescent="0.25">
      <c r="A1301"/>
      <c r="B1301"/>
      <c r="E1301"/>
      <c r="F1301"/>
    </row>
    <row r="1302" spans="1:6" x14ac:dyDescent="0.25">
      <c r="A1302"/>
      <c r="B1302"/>
      <c r="E1302"/>
      <c r="F1302"/>
    </row>
    <row r="1303" spans="1:6" x14ac:dyDescent="0.25">
      <c r="A1303"/>
      <c r="B1303"/>
      <c r="E1303"/>
      <c r="F1303"/>
    </row>
    <row r="1304" spans="1:6" x14ac:dyDescent="0.25">
      <c r="A1304"/>
      <c r="B1304"/>
      <c r="E1304"/>
      <c r="F1304"/>
    </row>
    <row r="1305" spans="1:6" x14ac:dyDescent="0.25">
      <c r="A1305"/>
      <c r="B1305"/>
      <c r="E1305"/>
      <c r="F1305"/>
    </row>
    <row r="1306" spans="1:6" x14ac:dyDescent="0.25">
      <c r="A1306"/>
      <c r="B1306"/>
      <c r="E1306"/>
      <c r="F1306"/>
    </row>
    <row r="1307" spans="1:6" x14ac:dyDescent="0.25">
      <c r="A1307"/>
      <c r="B1307"/>
      <c r="E1307"/>
      <c r="F1307"/>
    </row>
    <row r="1308" spans="1:6" x14ac:dyDescent="0.25">
      <c r="A1308"/>
      <c r="B1308"/>
      <c r="E1308"/>
      <c r="F1308"/>
    </row>
    <row r="1309" spans="1:6" x14ac:dyDescent="0.25">
      <c r="A1309"/>
      <c r="B1309"/>
      <c r="E1309"/>
      <c r="F1309"/>
    </row>
    <row r="1310" spans="1:6" x14ac:dyDescent="0.25">
      <c r="A1310"/>
      <c r="B1310"/>
      <c r="E1310"/>
      <c r="F1310"/>
    </row>
    <row r="1311" spans="1:6" x14ac:dyDescent="0.25">
      <c r="A1311"/>
      <c r="B1311"/>
      <c r="E1311"/>
      <c r="F1311"/>
    </row>
    <row r="1312" spans="1:6" x14ac:dyDescent="0.25">
      <c r="A1312"/>
      <c r="B1312"/>
      <c r="E1312"/>
      <c r="F1312"/>
    </row>
    <row r="1313" spans="1:6" x14ac:dyDescent="0.25">
      <c r="A1313"/>
      <c r="B1313"/>
      <c r="E1313"/>
      <c r="F1313"/>
    </row>
    <row r="1314" spans="1:6" x14ac:dyDescent="0.25">
      <c r="A1314"/>
      <c r="B1314"/>
      <c r="E1314"/>
      <c r="F1314"/>
    </row>
    <row r="1315" spans="1:6" x14ac:dyDescent="0.25">
      <c r="A1315"/>
      <c r="B1315"/>
      <c r="E1315"/>
      <c r="F1315"/>
    </row>
    <row r="1316" spans="1:6" x14ac:dyDescent="0.25">
      <c r="A1316"/>
      <c r="B1316"/>
      <c r="E1316"/>
      <c r="F1316"/>
    </row>
    <row r="1317" spans="1:6" x14ac:dyDescent="0.25">
      <c r="A1317"/>
      <c r="B1317"/>
      <c r="E1317"/>
      <c r="F1317"/>
    </row>
    <row r="1318" spans="1:6" x14ac:dyDescent="0.25">
      <c r="A1318"/>
      <c r="B1318"/>
      <c r="E1318"/>
      <c r="F1318"/>
    </row>
    <row r="1319" spans="1:6" x14ac:dyDescent="0.25">
      <c r="A1319"/>
      <c r="B1319"/>
      <c r="E1319"/>
      <c r="F1319"/>
    </row>
    <row r="1320" spans="1:6" x14ac:dyDescent="0.25">
      <c r="A1320"/>
      <c r="B1320"/>
      <c r="E1320"/>
      <c r="F1320"/>
    </row>
    <row r="1321" spans="1:6" x14ac:dyDescent="0.25">
      <c r="A1321"/>
      <c r="B1321"/>
      <c r="E1321"/>
      <c r="F1321"/>
    </row>
    <row r="1322" spans="1:6" x14ac:dyDescent="0.25">
      <c r="A1322"/>
      <c r="B1322"/>
      <c r="E1322"/>
      <c r="F1322"/>
    </row>
    <row r="1323" spans="1:6" x14ac:dyDescent="0.25">
      <c r="A1323"/>
      <c r="B1323"/>
      <c r="E1323"/>
      <c r="F1323"/>
    </row>
    <row r="1324" spans="1:6" x14ac:dyDescent="0.25">
      <c r="A1324"/>
      <c r="B1324"/>
      <c r="E1324"/>
      <c r="F1324"/>
    </row>
    <row r="1325" spans="1:6" x14ac:dyDescent="0.25">
      <c r="A1325"/>
      <c r="B1325"/>
      <c r="E1325"/>
      <c r="F1325"/>
    </row>
    <row r="1326" spans="1:6" x14ac:dyDescent="0.25">
      <c r="A1326"/>
      <c r="B1326"/>
      <c r="E1326"/>
      <c r="F1326"/>
    </row>
    <row r="1327" spans="1:6" x14ac:dyDescent="0.25">
      <c r="A1327"/>
      <c r="B1327"/>
      <c r="E1327"/>
      <c r="F1327"/>
    </row>
    <row r="1328" spans="1:6" x14ac:dyDescent="0.25">
      <c r="A1328"/>
      <c r="B1328"/>
      <c r="E1328"/>
      <c r="F1328"/>
    </row>
    <row r="1329" spans="1:6" x14ac:dyDescent="0.25">
      <c r="A1329"/>
      <c r="B1329"/>
      <c r="E1329"/>
      <c r="F1329"/>
    </row>
    <row r="1330" spans="1:6" x14ac:dyDescent="0.25">
      <c r="A1330"/>
      <c r="B1330"/>
      <c r="E1330"/>
      <c r="F1330"/>
    </row>
    <row r="1331" spans="1:6" x14ac:dyDescent="0.25">
      <c r="A1331"/>
      <c r="B1331"/>
      <c r="E1331"/>
      <c r="F1331"/>
    </row>
    <row r="1332" spans="1:6" x14ac:dyDescent="0.25">
      <c r="A1332"/>
      <c r="B1332"/>
      <c r="E1332"/>
      <c r="F1332"/>
    </row>
    <row r="1333" spans="1:6" x14ac:dyDescent="0.25">
      <c r="A1333"/>
      <c r="B1333"/>
      <c r="E1333"/>
      <c r="F1333"/>
    </row>
    <row r="1334" spans="1:6" x14ac:dyDescent="0.25">
      <c r="A1334"/>
      <c r="B1334"/>
      <c r="E1334"/>
      <c r="F1334"/>
    </row>
    <row r="1335" spans="1:6" x14ac:dyDescent="0.25">
      <c r="A1335"/>
      <c r="B1335"/>
      <c r="E1335"/>
      <c r="F1335"/>
    </row>
    <row r="1336" spans="1:6" x14ac:dyDescent="0.25">
      <c r="A1336"/>
      <c r="B1336"/>
      <c r="E1336"/>
      <c r="F1336"/>
    </row>
    <row r="1337" spans="1:6" x14ac:dyDescent="0.25">
      <c r="A1337"/>
      <c r="B1337"/>
      <c r="E1337"/>
      <c r="F1337"/>
    </row>
    <row r="1338" spans="1:6" x14ac:dyDescent="0.25">
      <c r="A1338"/>
      <c r="B1338"/>
      <c r="E1338"/>
      <c r="F1338"/>
    </row>
    <row r="1339" spans="1:6" x14ac:dyDescent="0.25">
      <c r="A1339"/>
      <c r="B1339"/>
      <c r="E1339"/>
      <c r="F1339"/>
    </row>
    <row r="1340" spans="1:6" x14ac:dyDescent="0.25">
      <c r="A1340"/>
      <c r="B1340"/>
      <c r="E1340"/>
      <c r="F1340"/>
    </row>
    <row r="1341" spans="1:6" x14ac:dyDescent="0.25">
      <c r="A1341"/>
      <c r="B1341"/>
      <c r="E1341"/>
      <c r="F1341"/>
    </row>
    <row r="1342" spans="1:6" x14ac:dyDescent="0.25">
      <c r="A1342"/>
      <c r="B1342"/>
      <c r="E1342"/>
      <c r="F1342"/>
    </row>
    <row r="1343" spans="1:6" x14ac:dyDescent="0.25">
      <c r="A1343"/>
      <c r="B1343"/>
      <c r="E1343"/>
      <c r="F1343"/>
    </row>
    <row r="1344" spans="1:6" x14ac:dyDescent="0.25">
      <c r="A1344"/>
      <c r="B1344"/>
      <c r="E1344"/>
      <c r="F1344"/>
    </row>
    <row r="1345" spans="1:6" x14ac:dyDescent="0.25">
      <c r="A1345"/>
      <c r="B1345"/>
      <c r="E1345"/>
      <c r="F1345"/>
    </row>
    <row r="1346" spans="1:6" x14ac:dyDescent="0.25">
      <c r="A1346"/>
      <c r="B1346"/>
      <c r="E1346"/>
      <c r="F1346"/>
    </row>
    <row r="1347" spans="1:6" x14ac:dyDescent="0.25">
      <c r="A1347"/>
      <c r="B1347"/>
      <c r="E1347"/>
      <c r="F1347"/>
    </row>
    <row r="1348" spans="1:6" x14ac:dyDescent="0.25">
      <c r="A1348"/>
      <c r="B1348"/>
      <c r="E1348"/>
      <c r="F1348"/>
    </row>
    <row r="1349" spans="1:6" x14ac:dyDescent="0.25">
      <c r="A1349"/>
      <c r="B1349"/>
      <c r="E1349"/>
      <c r="F1349"/>
    </row>
    <row r="1350" spans="1:6" x14ac:dyDescent="0.25">
      <c r="A1350"/>
      <c r="B1350"/>
      <c r="E1350"/>
      <c r="F1350"/>
    </row>
    <row r="1351" spans="1:6" x14ac:dyDescent="0.25">
      <c r="A1351"/>
      <c r="B1351"/>
      <c r="E1351"/>
      <c r="F1351"/>
    </row>
    <row r="1352" spans="1:6" x14ac:dyDescent="0.25">
      <c r="A1352"/>
      <c r="B1352"/>
      <c r="E1352"/>
      <c r="F1352"/>
    </row>
    <row r="1353" spans="1:6" x14ac:dyDescent="0.25">
      <c r="A1353"/>
      <c r="B1353"/>
      <c r="E1353"/>
      <c r="F1353"/>
    </row>
    <row r="1354" spans="1:6" x14ac:dyDescent="0.25">
      <c r="A1354"/>
      <c r="B1354"/>
      <c r="E1354"/>
      <c r="F1354"/>
    </row>
    <row r="1355" spans="1:6" x14ac:dyDescent="0.25">
      <c r="A1355"/>
      <c r="B1355"/>
      <c r="E1355"/>
      <c r="F1355"/>
    </row>
    <row r="1356" spans="1:6" x14ac:dyDescent="0.25">
      <c r="A1356"/>
      <c r="B1356"/>
      <c r="E1356"/>
      <c r="F1356"/>
    </row>
    <row r="1357" spans="1:6" x14ac:dyDescent="0.25">
      <c r="A1357"/>
      <c r="B1357"/>
      <c r="E1357"/>
      <c r="F1357"/>
    </row>
    <row r="1358" spans="1:6" x14ac:dyDescent="0.25">
      <c r="A1358"/>
      <c r="B1358"/>
      <c r="E1358"/>
      <c r="F1358"/>
    </row>
    <row r="1359" spans="1:6" x14ac:dyDescent="0.25">
      <c r="A1359"/>
      <c r="B1359"/>
      <c r="E1359"/>
      <c r="F1359"/>
    </row>
    <row r="1360" spans="1:6" x14ac:dyDescent="0.25">
      <c r="A1360"/>
      <c r="B1360"/>
      <c r="E1360"/>
      <c r="F1360"/>
    </row>
    <row r="1361" spans="1:6" x14ac:dyDescent="0.25">
      <c r="A1361"/>
      <c r="B1361"/>
      <c r="E1361"/>
      <c r="F1361"/>
    </row>
    <row r="1362" spans="1:6" x14ac:dyDescent="0.25">
      <c r="A1362"/>
      <c r="B1362"/>
      <c r="E1362"/>
      <c r="F1362"/>
    </row>
    <row r="1363" spans="1:6" x14ac:dyDescent="0.25">
      <c r="A1363"/>
      <c r="B1363"/>
      <c r="E1363"/>
      <c r="F1363"/>
    </row>
    <row r="1364" spans="1:6" x14ac:dyDescent="0.25">
      <c r="A1364"/>
      <c r="B1364"/>
      <c r="E1364"/>
      <c r="F1364"/>
    </row>
    <row r="1365" spans="1:6" x14ac:dyDescent="0.25">
      <c r="A1365"/>
      <c r="B1365"/>
      <c r="E1365"/>
      <c r="F1365"/>
    </row>
    <row r="1366" spans="1:6" x14ac:dyDescent="0.25">
      <c r="A1366"/>
      <c r="B1366"/>
      <c r="E1366"/>
      <c r="F1366"/>
    </row>
    <row r="1367" spans="1:6" x14ac:dyDescent="0.25">
      <c r="A1367"/>
      <c r="B1367"/>
      <c r="E1367"/>
      <c r="F1367"/>
    </row>
    <row r="1368" spans="1:6" x14ac:dyDescent="0.25">
      <c r="A1368"/>
      <c r="B1368"/>
      <c r="E1368"/>
      <c r="F1368"/>
    </row>
    <row r="1369" spans="1:6" x14ac:dyDescent="0.25">
      <c r="A1369"/>
      <c r="B1369"/>
      <c r="E1369"/>
      <c r="F1369"/>
    </row>
    <row r="1370" spans="1:6" x14ac:dyDescent="0.25">
      <c r="A1370"/>
      <c r="B1370"/>
      <c r="E1370"/>
      <c r="F1370"/>
    </row>
    <row r="1371" spans="1:6" x14ac:dyDescent="0.25">
      <c r="A1371"/>
      <c r="B1371"/>
      <c r="E1371"/>
      <c r="F1371"/>
    </row>
    <row r="1372" spans="1:6" x14ac:dyDescent="0.25">
      <c r="A1372"/>
      <c r="B1372"/>
      <c r="E1372"/>
      <c r="F1372"/>
    </row>
    <row r="1373" spans="1:6" x14ac:dyDescent="0.25">
      <c r="A1373"/>
      <c r="B1373"/>
      <c r="E1373"/>
      <c r="F1373"/>
    </row>
    <row r="1374" spans="1:6" x14ac:dyDescent="0.25">
      <c r="A1374"/>
      <c r="B1374"/>
      <c r="E1374"/>
      <c r="F1374"/>
    </row>
    <row r="1375" spans="1:6" x14ac:dyDescent="0.25">
      <c r="A1375"/>
      <c r="B1375"/>
      <c r="E1375"/>
      <c r="F1375"/>
    </row>
    <row r="1376" spans="1:6" x14ac:dyDescent="0.25">
      <c r="A1376"/>
      <c r="B1376"/>
      <c r="E1376"/>
      <c r="F1376"/>
    </row>
    <row r="1377" spans="1:6" x14ac:dyDescent="0.25">
      <c r="A1377"/>
      <c r="B1377"/>
      <c r="E1377"/>
      <c r="F1377"/>
    </row>
    <row r="1378" spans="1:6" x14ac:dyDescent="0.25">
      <c r="A1378"/>
      <c r="B1378"/>
      <c r="E1378"/>
      <c r="F1378"/>
    </row>
    <row r="1379" spans="1:6" x14ac:dyDescent="0.25">
      <c r="A1379"/>
      <c r="B1379"/>
      <c r="E1379"/>
      <c r="F1379"/>
    </row>
    <row r="1380" spans="1:6" x14ac:dyDescent="0.25">
      <c r="A1380"/>
      <c r="B1380"/>
      <c r="E1380"/>
      <c r="F1380"/>
    </row>
    <row r="1381" spans="1:6" x14ac:dyDescent="0.25">
      <c r="A1381"/>
      <c r="B1381"/>
      <c r="E1381"/>
      <c r="F1381"/>
    </row>
    <row r="1382" spans="1:6" x14ac:dyDescent="0.25">
      <c r="A1382"/>
      <c r="B1382"/>
      <c r="E1382"/>
      <c r="F1382"/>
    </row>
    <row r="1383" spans="1:6" x14ac:dyDescent="0.25">
      <c r="A1383"/>
      <c r="B1383"/>
      <c r="E1383"/>
      <c r="F1383"/>
    </row>
    <row r="1384" spans="1:6" x14ac:dyDescent="0.25">
      <c r="A1384"/>
      <c r="B1384"/>
      <c r="E1384"/>
      <c r="F1384"/>
    </row>
    <row r="1385" spans="1:6" x14ac:dyDescent="0.25">
      <c r="A1385"/>
      <c r="B1385"/>
      <c r="E1385"/>
      <c r="F1385"/>
    </row>
    <row r="1386" spans="1:6" x14ac:dyDescent="0.25">
      <c r="A1386"/>
      <c r="B1386"/>
      <c r="E1386"/>
      <c r="F1386"/>
    </row>
    <row r="1387" spans="1:6" x14ac:dyDescent="0.25">
      <c r="A1387"/>
      <c r="B1387"/>
      <c r="E1387"/>
      <c r="F1387"/>
    </row>
    <row r="1388" spans="1:6" x14ac:dyDescent="0.25">
      <c r="A1388"/>
      <c r="B1388"/>
      <c r="E1388"/>
      <c r="F1388"/>
    </row>
    <row r="1389" spans="1:6" x14ac:dyDescent="0.25">
      <c r="A1389"/>
      <c r="B1389"/>
      <c r="E1389"/>
      <c r="F1389"/>
    </row>
    <row r="1390" spans="1:6" x14ac:dyDescent="0.25">
      <c r="A1390"/>
      <c r="B1390"/>
      <c r="E1390"/>
      <c r="F1390"/>
    </row>
    <row r="1391" spans="1:6" x14ac:dyDescent="0.25">
      <c r="A1391"/>
      <c r="B1391"/>
      <c r="E1391"/>
      <c r="F1391"/>
    </row>
    <row r="1392" spans="1:6" x14ac:dyDescent="0.25">
      <c r="A1392"/>
      <c r="B1392"/>
      <c r="E1392"/>
      <c r="F1392"/>
    </row>
    <row r="1393" spans="1:6" x14ac:dyDescent="0.25">
      <c r="A1393"/>
      <c r="B1393"/>
      <c r="E1393"/>
      <c r="F1393"/>
    </row>
    <row r="1394" spans="1:6" x14ac:dyDescent="0.25">
      <c r="A1394"/>
      <c r="B1394"/>
      <c r="E1394"/>
      <c r="F1394"/>
    </row>
    <row r="1395" spans="1:6" x14ac:dyDescent="0.25">
      <c r="A1395"/>
      <c r="B1395"/>
      <c r="E1395"/>
      <c r="F1395"/>
    </row>
    <row r="1396" spans="1:6" x14ac:dyDescent="0.25">
      <c r="A1396"/>
      <c r="B1396"/>
      <c r="E1396"/>
      <c r="F1396"/>
    </row>
    <row r="1397" spans="1:6" x14ac:dyDescent="0.25">
      <c r="A1397"/>
      <c r="B1397"/>
      <c r="E1397"/>
      <c r="F1397"/>
    </row>
    <row r="1398" spans="1:6" x14ac:dyDescent="0.25">
      <c r="A1398"/>
      <c r="B1398"/>
      <c r="E1398"/>
      <c r="F1398"/>
    </row>
    <row r="1399" spans="1:6" x14ac:dyDescent="0.25">
      <c r="A1399"/>
      <c r="B1399"/>
      <c r="E1399"/>
      <c r="F1399"/>
    </row>
    <row r="1400" spans="1:6" x14ac:dyDescent="0.25">
      <c r="A1400"/>
      <c r="B1400"/>
      <c r="E1400"/>
      <c r="F1400"/>
    </row>
    <row r="1401" spans="1:6" x14ac:dyDescent="0.25">
      <c r="A1401"/>
      <c r="B1401"/>
      <c r="E1401"/>
      <c r="F1401"/>
    </row>
    <row r="1402" spans="1:6" x14ac:dyDescent="0.25">
      <c r="A1402"/>
      <c r="B1402"/>
      <c r="E1402"/>
      <c r="F1402"/>
    </row>
    <row r="1403" spans="1:6" x14ac:dyDescent="0.25">
      <c r="A1403"/>
      <c r="B1403"/>
      <c r="E1403"/>
      <c r="F1403"/>
    </row>
    <row r="1404" spans="1:6" x14ac:dyDescent="0.25">
      <c r="A1404"/>
      <c r="B1404"/>
      <c r="E1404"/>
      <c r="F1404"/>
    </row>
    <row r="1405" spans="1:6" x14ac:dyDescent="0.25">
      <c r="A1405"/>
      <c r="B1405"/>
      <c r="E1405"/>
      <c r="F1405"/>
    </row>
    <row r="1406" spans="1:6" x14ac:dyDescent="0.25">
      <c r="A1406"/>
      <c r="B1406"/>
      <c r="E1406"/>
      <c r="F1406"/>
    </row>
    <row r="1407" spans="1:6" x14ac:dyDescent="0.25">
      <c r="A1407"/>
      <c r="B1407"/>
      <c r="E1407"/>
      <c r="F1407"/>
    </row>
    <row r="1408" spans="1:6" x14ac:dyDescent="0.25">
      <c r="A1408"/>
      <c r="B1408"/>
      <c r="E1408"/>
      <c r="F1408"/>
    </row>
    <row r="1409" spans="1:6" x14ac:dyDescent="0.25">
      <c r="A1409"/>
      <c r="B1409"/>
      <c r="E1409"/>
      <c r="F1409"/>
    </row>
    <row r="1410" spans="1:6" x14ac:dyDescent="0.25">
      <c r="A1410"/>
      <c r="B1410"/>
      <c r="E1410"/>
      <c r="F1410"/>
    </row>
    <row r="1411" spans="1:6" x14ac:dyDescent="0.25">
      <c r="A1411"/>
      <c r="B1411"/>
      <c r="E1411"/>
      <c r="F1411"/>
    </row>
    <row r="1412" spans="1:6" x14ac:dyDescent="0.25">
      <c r="A1412"/>
      <c r="B1412"/>
      <c r="E1412"/>
      <c r="F1412"/>
    </row>
    <row r="1413" spans="1:6" x14ac:dyDescent="0.25">
      <c r="A1413"/>
      <c r="B1413"/>
      <c r="E1413"/>
      <c r="F1413"/>
    </row>
    <row r="1414" spans="1:6" x14ac:dyDescent="0.25">
      <c r="A1414"/>
      <c r="B1414"/>
      <c r="E1414"/>
      <c r="F1414"/>
    </row>
    <row r="1415" spans="1:6" x14ac:dyDescent="0.25">
      <c r="A1415"/>
      <c r="B1415"/>
      <c r="E1415"/>
      <c r="F1415"/>
    </row>
    <row r="1416" spans="1:6" x14ac:dyDescent="0.25">
      <c r="A1416"/>
      <c r="B1416"/>
      <c r="E1416"/>
      <c r="F1416"/>
    </row>
    <row r="1417" spans="1:6" x14ac:dyDescent="0.25">
      <c r="A1417"/>
      <c r="B1417"/>
      <c r="E1417"/>
      <c r="F1417"/>
    </row>
    <row r="1418" spans="1:6" x14ac:dyDescent="0.25">
      <c r="A1418"/>
      <c r="B1418"/>
      <c r="E1418"/>
      <c r="F1418"/>
    </row>
    <row r="1419" spans="1:6" x14ac:dyDescent="0.25">
      <c r="A1419"/>
      <c r="B1419"/>
      <c r="E1419"/>
      <c r="F1419"/>
    </row>
    <row r="1420" spans="1:6" x14ac:dyDescent="0.25">
      <c r="A1420"/>
      <c r="B1420"/>
      <c r="E1420"/>
      <c r="F1420"/>
    </row>
    <row r="1421" spans="1:6" x14ac:dyDescent="0.25">
      <c r="A1421"/>
      <c r="B1421"/>
      <c r="E1421"/>
      <c r="F1421"/>
    </row>
    <row r="1422" spans="1:6" x14ac:dyDescent="0.25">
      <c r="A1422"/>
      <c r="B1422"/>
      <c r="E1422"/>
      <c r="F1422"/>
    </row>
    <row r="1423" spans="1:6" x14ac:dyDescent="0.25">
      <c r="A1423"/>
      <c r="B1423"/>
      <c r="E1423"/>
      <c r="F1423"/>
    </row>
    <row r="1424" spans="1:6" x14ac:dyDescent="0.25">
      <c r="A1424"/>
      <c r="B1424"/>
      <c r="E1424"/>
      <c r="F1424"/>
    </row>
    <row r="1425" spans="1:6" x14ac:dyDescent="0.25">
      <c r="A1425"/>
      <c r="B1425"/>
      <c r="E1425"/>
      <c r="F1425"/>
    </row>
    <row r="1426" spans="1:6" x14ac:dyDescent="0.25">
      <c r="A1426"/>
      <c r="B1426"/>
      <c r="E1426"/>
      <c r="F1426"/>
    </row>
    <row r="1427" spans="1:6" x14ac:dyDescent="0.25">
      <c r="A1427"/>
      <c r="B1427"/>
      <c r="E1427"/>
      <c r="F1427"/>
    </row>
    <row r="1428" spans="1:6" x14ac:dyDescent="0.25">
      <c r="A1428"/>
      <c r="B1428"/>
      <c r="E1428"/>
      <c r="F1428"/>
    </row>
    <row r="1429" spans="1:6" x14ac:dyDescent="0.25">
      <c r="A1429"/>
      <c r="B1429"/>
      <c r="E1429"/>
      <c r="F1429"/>
    </row>
    <row r="1430" spans="1:6" x14ac:dyDescent="0.25">
      <c r="A1430"/>
      <c r="B1430"/>
      <c r="E1430"/>
      <c r="F1430"/>
    </row>
    <row r="1431" spans="1:6" x14ac:dyDescent="0.25">
      <c r="A1431"/>
      <c r="B1431"/>
      <c r="E1431"/>
      <c r="F1431"/>
    </row>
    <row r="1432" spans="1:6" x14ac:dyDescent="0.25">
      <c r="A1432"/>
      <c r="B1432"/>
      <c r="E1432"/>
      <c r="F1432"/>
    </row>
    <row r="1433" spans="1:6" x14ac:dyDescent="0.25">
      <c r="A1433"/>
      <c r="B1433"/>
      <c r="E1433"/>
      <c r="F1433"/>
    </row>
    <row r="1434" spans="1:6" x14ac:dyDescent="0.25">
      <c r="A1434"/>
      <c r="B1434"/>
      <c r="E1434"/>
      <c r="F1434"/>
    </row>
    <row r="1435" spans="1:6" x14ac:dyDescent="0.25">
      <c r="A1435"/>
      <c r="B1435"/>
      <c r="E1435"/>
      <c r="F1435"/>
    </row>
    <row r="1436" spans="1:6" x14ac:dyDescent="0.25">
      <c r="A1436"/>
      <c r="B1436"/>
      <c r="E1436"/>
      <c r="F1436"/>
    </row>
    <row r="1437" spans="1:6" x14ac:dyDescent="0.25">
      <c r="A1437"/>
      <c r="B1437"/>
      <c r="E1437"/>
      <c r="F1437"/>
    </row>
    <row r="1438" spans="1:6" x14ac:dyDescent="0.25">
      <c r="A1438"/>
      <c r="B1438"/>
      <c r="E1438"/>
      <c r="F1438"/>
    </row>
    <row r="1439" spans="1:6" x14ac:dyDescent="0.25">
      <c r="A1439"/>
      <c r="B1439"/>
      <c r="E1439"/>
      <c r="F1439"/>
    </row>
    <row r="1440" spans="1:6" x14ac:dyDescent="0.25">
      <c r="A1440"/>
      <c r="B1440"/>
      <c r="E1440"/>
      <c r="F1440"/>
    </row>
    <row r="1441" spans="1:6" x14ac:dyDescent="0.25">
      <c r="A1441"/>
      <c r="B1441"/>
      <c r="E1441"/>
      <c r="F1441"/>
    </row>
    <row r="1442" spans="1:6" x14ac:dyDescent="0.25">
      <c r="A1442"/>
      <c r="B1442"/>
      <c r="E1442"/>
      <c r="F1442"/>
    </row>
    <row r="1443" spans="1:6" x14ac:dyDescent="0.25">
      <c r="A1443"/>
      <c r="B1443"/>
      <c r="E1443"/>
      <c r="F1443"/>
    </row>
    <row r="1444" spans="1:6" x14ac:dyDescent="0.25">
      <c r="A1444"/>
      <c r="B1444"/>
      <c r="E1444"/>
      <c r="F1444"/>
    </row>
    <row r="1445" spans="1:6" x14ac:dyDescent="0.25">
      <c r="A1445"/>
      <c r="B1445"/>
      <c r="E1445"/>
      <c r="F1445"/>
    </row>
    <row r="1446" spans="1:6" x14ac:dyDescent="0.25">
      <c r="A1446"/>
      <c r="B1446"/>
      <c r="E1446"/>
      <c r="F1446"/>
    </row>
    <row r="1447" spans="1:6" x14ac:dyDescent="0.25">
      <c r="A1447"/>
      <c r="B1447"/>
      <c r="E1447"/>
      <c r="F1447"/>
    </row>
    <row r="1448" spans="1:6" x14ac:dyDescent="0.25">
      <c r="A1448"/>
      <c r="B1448"/>
      <c r="E1448"/>
      <c r="F1448"/>
    </row>
    <row r="1449" spans="1:6" x14ac:dyDescent="0.25">
      <c r="A1449"/>
      <c r="B1449"/>
      <c r="E1449"/>
      <c r="F1449"/>
    </row>
    <row r="1450" spans="1:6" x14ac:dyDescent="0.25">
      <c r="A1450"/>
      <c r="B1450"/>
      <c r="E1450"/>
      <c r="F1450"/>
    </row>
    <row r="1451" spans="1:6" x14ac:dyDescent="0.25">
      <c r="A1451"/>
      <c r="B1451"/>
      <c r="E1451"/>
      <c r="F1451"/>
    </row>
    <row r="1452" spans="1:6" x14ac:dyDescent="0.25">
      <c r="A1452"/>
      <c r="B1452"/>
      <c r="E1452"/>
      <c r="F1452"/>
    </row>
    <row r="1453" spans="1:6" x14ac:dyDescent="0.25">
      <c r="A1453"/>
      <c r="B1453"/>
      <c r="E1453"/>
      <c r="F1453"/>
    </row>
    <row r="1454" spans="1:6" x14ac:dyDescent="0.25">
      <c r="A1454"/>
      <c r="B1454"/>
      <c r="E1454"/>
      <c r="F1454"/>
    </row>
    <row r="1455" spans="1:6" x14ac:dyDescent="0.25">
      <c r="A1455"/>
      <c r="B1455"/>
      <c r="E1455"/>
      <c r="F1455"/>
    </row>
    <row r="1456" spans="1:6" x14ac:dyDescent="0.25">
      <c r="A1456"/>
      <c r="B1456"/>
      <c r="E1456"/>
      <c r="F1456"/>
    </row>
    <row r="1457" spans="1:6" x14ac:dyDescent="0.25">
      <c r="A1457"/>
      <c r="B1457"/>
      <c r="E1457"/>
      <c r="F1457"/>
    </row>
    <row r="1458" spans="1:6" x14ac:dyDescent="0.25">
      <c r="A1458"/>
      <c r="B1458"/>
      <c r="E1458"/>
      <c r="F1458"/>
    </row>
    <row r="1459" spans="1:6" x14ac:dyDescent="0.25">
      <c r="A1459"/>
      <c r="B1459"/>
      <c r="E1459"/>
      <c r="F1459"/>
    </row>
    <row r="1460" spans="1:6" x14ac:dyDescent="0.25">
      <c r="A1460"/>
      <c r="B1460"/>
      <c r="E1460"/>
      <c r="F1460"/>
    </row>
    <row r="1461" spans="1:6" x14ac:dyDescent="0.25">
      <c r="A1461"/>
      <c r="B1461"/>
      <c r="E1461"/>
      <c r="F1461"/>
    </row>
    <row r="1462" spans="1:6" x14ac:dyDescent="0.25">
      <c r="A1462"/>
      <c r="B1462"/>
      <c r="E1462"/>
      <c r="F1462"/>
    </row>
    <row r="1463" spans="1:6" x14ac:dyDescent="0.25">
      <c r="A1463"/>
      <c r="B1463"/>
      <c r="E1463"/>
      <c r="F1463"/>
    </row>
    <row r="1464" spans="1:6" x14ac:dyDescent="0.25">
      <c r="A1464"/>
      <c r="B1464"/>
      <c r="E1464"/>
      <c r="F1464"/>
    </row>
    <row r="1465" spans="1:6" x14ac:dyDescent="0.25">
      <c r="A1465"/>
      <c r="B1465"/>
      <c r="E1465"/>
      <c r="F1465"/>
    </row>
    <row r="1466" spans="1:6" x14ac:dyDescent="0.25">
      <c r="A1466"/>
      <c r="B1466"/>
      <c r="E1466"/>
      <c r="F1466"/>
    </row>
    <row r="1467" spans="1:6" x14ac:dyDescent="0.25">
      <c r="A1467"/>
      <c r="B1467"/>
      <c r="E1467"/>
      <c r="F1467"/>
    </row>
    <row r="1468" spans="1:6" x14ac:dyDescent="0.25">
      <c r="A1468"/>
      <c r="B1468"/>
      <c r="E1468"/>
      <c r="F1468"/>
    </row>
    <row r="1469" spans="1:6" x14ac:dyDescent="0.25">
      <c r="A1469"/>
      <c r="B1469"/>
      <c r="E1469"/>
      <c r="F1469"/>
    </row>
    <row r="1470" spans="1:6" x14ac:dyDescent="0.25">
      <c r="A1470"/>
      <c r="B1470"/>
      <c r="E1470"/>
      <c r="F1470"/>
    </row>
    <row r="1471" spans="1:6" x14ac:dyDescent="0.25">
      <c r="A1471"/>
      <c r="B1471"/>
      <c r="E1471"/>
      <c r="F1471"/>
    </row>
    <row r="1472" spans="1:6" x14ac:dyDescent="0.25">
      <c r="A1472"/>
      <c r="B1472"/>
      <c r="E1472"/>
      <c r="F1472"/>
    </row>
    <row r="1473" spans="1:6" x14ac:dyDescent="0.25">
      <c r="A1473"/>
      <c r="B1473"/>
      <c r="E1473"/>
      <c r="F1473"/>
    </row>
    <row r="1474" spans="1:6" x14ac:dyDescent="0.25">
      <c r="A1474"/>
      <c r="B1474"/>
      <c r="E1474"/>
      <c r="F1474"/>
    </row>
    <row r="1475" spans="1:6" x14ac:dyDescent="0.25">
      <c r="A1475"/>
      <c r="B1475"/>
      <c r="E1475"/>
      <c r="F1475"/>
    </row>
    <row r="1476" spans="1:6" x14ac:dyDescent="0.25">
      <c r="A1476"/>
      <c r="B1476"/>
      <c r="E1476"/>
      <c r="F1476"/>
    </row>
    <row r="1477" spans="1:6" x14ac:dyDescent="0.25">
      <c r="A1477"/>
      <c r="B1477"/>
      <c r="E1477"/>
      <c r="F1477"/>
    </row>
    <row r="1478" spans="1:6" x14ac:dyDescent="0.25">
      <c r="A1478"/>
      <c r="B1478"/>
      <c r="E1478"/>
      <c r="F1478"/>
    </row>
    <row r="1479" spans="1:6" x14ac:dyDescent="0.25">
      <c r="A1479"/>
      <c r="B1479"/>
      <c r="E1479"/>
      <c r="F1479"/>
    </row>
    <row r="1480" spans="1:6" x14ac:dyDescent="0.25">
      <c r="A1480"/>
      <c r="B1480"/>
      <c r="E1480"/>
      <c r="F1480"/>
    </row>
    <row r="1481" spans="1:6" x14ac:dyDescent="0.25">
      <c r="A1481"/>
      <c r="B1481"/>
      <c r="E1481"/>
      <c r="F1481"/>
    </row>
    <row r="1482" spans="1:6" x14ac:dyDescent="0.25">
      <c r="A1482"/>
      <c r="B1482"/>
      <c r="E1482"/>
      <c r="F1482"/>
    </row>
    <row r="1483" spans="1:6" x14ac:dyDescent="0.25">
      <c r="A1483"/>
      <c r="B1483"/>
      <c r="E1483"/>
      <c r="F1483"/>
    </row>
    <row r="1484" spans="1:6" x14ac:dyDescent="0.25">
      <c r="A1484"/>
      <c r="B1484"/>
      <c r="E1484"/>
      <c r="F1484"/>
    </row>
    <row r="1485" spans="1:6" x14ac:dyDescent="0.25">
      <c r="A1485"/>
      <c r="B1485"/>
      <c r="E1485"/>
      <c r="F1485"/>
    </row>
    <row r="1486" spans="1:6" x14ac:dyDescent="0.25">
      <c r="A1486"/>
      <c r="B1486"/>
      <c r="E1486"/>
      <c r="F1486"/>
    </row>
    <row r="1487" spans="1:6" x14ac:dyDescent="0.25">
      <c r="A1487"/>
      <c r="B1487"/>
      <c r="E1487"/>
      <c r="F1487"/>
    </row>
    <row r="1488" spans="1:6" x14ac:dyDescent="0.25">
      <c r="A1488"/>
      <c r="B1488"/>
      <c r="E1488"/>
      <c r="F1488"/>
    </row>
    <row r="1489" spans="1:6" x14ac:dyDescent="0.25">
      <c r="A1489"/>
      <c r="B1489"/>
      <c r="E1489"/>
      <c r="F1489"/>
    </row>
    <row r="1490" spans="1:6" x14ac:dyDescent="0.25">
      <c r="A1490"/>
      <c r="B1490"/>
      <c r="E1490"/>
      <c r="F1490"/>
    </row>
    <row r="1491" spans="1:6" x14ac:dyDescent="0.25">
      <c r="A1491"/>
      <c r="B1491"/>
      <c r="E1491"/>
      <c r="F1491"/>
    </row>
    <row r="1492" spans="1:6" x14ac:dyDescent="0.25">
      <c r="A1492"/>
      <c r="B1492"/>
      <c r="E1492"/>
      <c r="F1492"/>
    </row>
    <row r="1493" spans="1:6" x14ac:dyDescent="0.25">
      <c r="A1493"/>
      <c r="B1493"/>
      <c r="E1493"/>
      <c r="F1493"/>
    </row>
    <row r="1494" spans="1:6" x14ac:dyDescent="0.25">
      <c r="A1494"/>
      <c r="B1494"/>
      <c r="E1494"/>
      <c r="F1494"/>
    </row>
    <row r="1495" spans="1:6" x14ac:dyDescent="0.25">
      <c r="A1495"/>
      <c r="B1495"/>
      <c r="E1495"/>
      <c r="F1495"/>
    </row>
    <row r="1496" spans="1:6" x14ac:dyDescent="0.25">
      <c r="A1496"/>
      <c r="B1496"/>
      <c r="E1496"/>
      <c r="F1496"/>
    </row>
    <row r="1497" spans="1:6" x14ac:dyDescent="0.25">
      <c r="A1497"/>
      <c r="B1497"/>
      <c r="E1497"/>
      <c r="F1497"/>
    </row>
    <row r="1498" spans="1:6" x14ac:dyDescent="0.25">
      <c r="A1498"/>
      <c r="B1498"/>
      <c r="E1498"/>
      <c r="F1498"/>
    </row>
    <row r="1499" spans="1:6" x14ac:dyDescent="0.25">
      <c r="A1499"/>
      <c r="B1499"/>
      <c r="E1499"/>
      <c r="F1499"/>
    </row>
    <row r="1500" spans="1:6" x14ac:dyDescent="0.25">
      <c r="A1500"/>
      <c r="B1500"/>
      <c r="E1500"/>
      <c r="F1500"/>
    </row>
    <row r="1501" spans="1:6" x14ac:dyDescent="0.25">
      <c r="A1501"/>
      <c r="B1501"/>
      <c r="E1501"/>
      <c r="F1501"/>
    </row>
    <row r="1502" spans="1:6" x14ac:dyDescent="0.25">
      <c r="A1502"/>
      <c r="B1502"/>
      <c r="E1502"/>
      <c r="F1502"/>
    </row>
    <row r="1503" spans="1:6" x14ac:dyDescent="0.25">
      <c r="A1503"/>
      <c r="B1503"/>
      <c r="E1503"/>
      <c r="F1503"/>
    </row>
    <row r="1504" spans="1:6" x14ac:dyDescent="0.25">
      <c r="A1504"/>
      <c r="B1504"/>
      <c r="E1504"/>
      <c r="F1504"/>
    </row>
    <row r="1505" spans="1:6" x14ac:dyDescent="0.25">
      <c r="A1505"/>
      <c r="B1505"/>
      <c r="E1505"/>
      <c r="F1505"/>
    </row>
    <row r="1506" spans="1:6" x14ac:dyDescent="0.25">
      <c r="A1506"/>
      <c r="B1506"/>
      <c r="E1506"/>
      <c r="F1506"/>
    </row>
    <row r="1507" spans="1:6" x14ac:dyDescent="0.25">
      <c r="A1507"/>
      <c r="B1507"/>
      <c r="E1507"/>
      <c r="F1507"/>
    </row>
    <row r="1508" spans="1:6" x14ac:dyDescent="0.25">
      <c r="A1508"/>
      <c r="B1508"/>
      <c r="E1508"/>
      <c r="F1508"/>
    </row>
    <row r="1509" spans="1:6" x14ac:dyDescent="0.25">
      <c r="A1509"/>
      <c r="B1509"/>
      <c r="E1509"/>
      <c r="F1509"/>
    </row>
    <row r="1510" spans="1:6" x14ac:dyDescent="0.25">
      <c r="A1510"/>
      <c r="B1510"/>
      <c r="E1510"/>
      <c r="F1510"/>
    </row>
    <row r="1511" spans="1:6" x14ac:dyDescent="0.25">
      <c r="A1511"/>
      <c r="B1511"/>
      <c r="E1511"/>
      <c r="F1511"/>
    </row>
    <row r="1512" spans="1:6" x14ac:dyDescent="0.25">
      <c r="A1512"/>
      <c r="B1512"/>
      <c r="E1512"/>
      <c r="F1512"/>
    </row>
    <row r="1513" spans="1:6" x14ac:dyDescent="0.25">
      <c r="A1513"/>
      <c r="B1513"/>
      <c r="E1513"/>
      <c r="F1513"/>
    </row>
    <row r="1514" spans="1:6" x14ac:dyDescent="0.25">
      <c r="A1514"/>
      <c r="B1514"/>
      <c r="E1514"/>
      <c r="F1514"/>
    </row>
    <row r="1515" spans="1:6" x14ac:dyDescent="0.25">
      <c r="A1515"/>
      <c r="B1515"/>
      <c r="E1515"/>
      <c r="F1515"/>
    </row>
    <row r="1516" spans="1:6" x14ac:dyDescent="0.25">
      <c r="A1516"/>
      <c r="B1516"/>
      <c r="E1516"/>
      <c r="F1516"/>
    </row>
    <row r="1517" spans="1:6" x14ac:dyDescent="0.25">
      <c r="A1517"/>
      <c r="B1517"/>
      <c r="E1517"/>
      <c r="F1517"/>
    </row>
    <row r="1518" spans="1:6" x14ac:dyDescent="0.25">
      <c r="A1518"/>
      <c r="B1518"/>
      <c r="E1518"/>
      <c r="F1518"/>
    </row>
    <row r="1519" spans="1:6" x14ac:dyDescent="0.25">
      <c r="A1519"/>
      <c r="B1519"/>
      <c r="E1519"/>
      <c r="F1519"/>
    </row>
    <row r="1520" spans="1:6" x14ac:dyDescent="0.25">
      <c r="A1520"/>
      <c r="B1520"/>
      <c r="E1520"/>
      <c r="F1520"/>
    </row>
    <row r="1521" spans="1:6" x14ac:dyDescent="0.25">
      <c r="A1521"/>
      <c r="B1521"/>
      <c r="E1521"/>
      <c r="F1521"/>
    </row>
    <row r="1522" spans="1:6" x14ac:dyDescent="0.25">
      <c r="A1522"/>
      <c r="B1522"/>
      <c r="E1522"/>
      <c r="F1522"/>
    </row>
    <row r="1523" spans="1:6" x14ac:dyDescent="0.25">
      <c r="A1523"/>
      <c r="B1523"/>
      <c r="E1523"/>
      <c r="F1523"/>
    </row>
    <row r="1524" spans="1:6" x14ac:dyDescent="0.25">
      <c r="A1524"/>
      <c r="B1524"/>
      <c r="E1524"/>
      <c r="F1524"/>
    </row>
    <row r="1525" spans="1:6" x14ac:dyDescent="0.25">
      <c r="A1525"/>
      <c r="B1525"/>
      <c r="E1525"/>
      <c r="F1525"/>
    </row>
    <row r="1526" spans="1:6" x14ac:dyDescent="0.25">
      <c r="A1526"/>
      <c r="B1526"/>
      <c r="E1526"/>
      <c r="F1526"/>
    </row>
    <row r="1527" spans="1:6" x14ac:dyDescent="0.25">
      <c r="A1527"/>
      <c r="B1527"/>
      <c r="E1527"/>
      <c r="F1527"/>
    </row>
    <row r="1528" spans="1:6" x14ac:dyDescent="0.25">
      <c r="A1528"/>
      <c r="B1528"/>
      <c r="E1528"/>
      <c r="F1528"/>
    </row>
    <row r="1529" spans="1:6" x14ac:dyDescent="0.25">
      <c r="A1529"/>
      <c r="B1529"/>
      <c r="E1529"/>
      <c r="F1529"/>
    </row>
    <row r="1530" spans="1:6" x14ac:dyDescent="0.25">
      <c r="A1530"/>
      <c r="B1530"/>
      <c r="E1530"/>
      <c r="F1530"/>
    </row>
    <row r="1531" spans="1:6" x14ac:dyDescent="0.25">
      <c r="A1531"/>
      <c r="B1531"/>
      <c r="E1531"/>
      <c r="F1531"/>
    </row>
    <row r="1532" spans="1:6" x14ac:dyDescent="0.25">
      <c r="A1532"/>
      <c r="B1532"/>
      <c r="E1532"/>
      <c r="F1532"/>
    </row>
    <row r="1533" spans="1:6" x14ac:dyDescent="0.25">
      <c r="A1533"/>
      <c r="B1533"/>
      <c r="E1533"/>
      <c r="F1533"/>
    </row>
    <row r="1534" spans="1:6" x14ac:dyDescent="0.25">
      <c r="A1534"/>
      <c r="B1534"/>
      <c r="E1534"/>
      <c r="F1534"/>
    </row>
    <row r="1535" spans="1:6" x14ac:dyDescent="0.25">
      <c r="A1535"/>
      <c r="B1535"/>
      <c r="E1535"/>
      <c r="F1535"/>
    </row>
    <row r="1536" spans="1:6" x14ac:dyDescent="0.25">
      <c r="A1536"/>
      <c r="B1536"/>
      <c r="E1536"/>
      <c r="F1536"/>
    </row>
    <row r="1537" spans="1:6" x14ac:dyDescent="0.25">
      <c r="A1537"/>
      <c r="B1537"/>
      <c r="E1537"/>
      <c r="F1537"/>
    </row>
    <row r="1538" spans="1:6" x14ac:dyDescent="0.25">
      <c r="A1538"/>
      <c r="B1538"/>
      <c r="E1538"/>
      <c r="F1538"/>
    </row>
    <row r="1539" spans="1:6" x14ac:dyDescent="0.25">
      <c r="A1539"/>
      <c r="B1539"/>
      <c r="E1539"/>
      <c r="F1539"/>
    </row>
    <row r="1540" spans="1:6" x14ac:dyDescent="0.25">
      <c r="A1540"/>
      <c r="B1540"/>
      <c r="E1540"/>
      <c r="F1540"/>
    </row>
    <row r="1541" spans="1:6" x14ac:dyDescent="0.25">
      <c r="A1541"/>
      <c r="B1541"/>
      <c r="E1541"/>
      <c r="F1541"/>
    </row>
    <row r="1542" spans="1:6" x14ac:dyDescent="0.25">
      <c r="A1542"/>
      <c r="B1542"/>
      <c r="E1542"/>
      <c r="F1542"/>
    </row>
    <row r="1543" spans="1:6" x14ac:dyDescent="0.25">
      <c r="A1543"/>
      <c r="B1543"/>
      <c r="E1543"/>
      <c r="F1543"/>
    </row>
    <row r="1544" spans="1:6" x14ac:dyDescent="0.25">
      <c r="A1544"/>
      <c r="B1544"/>
      <c r="E1544"/>
      <c r="F1544"/>
    </row>
    <row r="1545" spans="1:6" x14ac:dyDescent="0.25">
      <c r="A1545"/>
      <c r="B1545"/>
      <c r="E1545"/>
      <c r="F1545"/>
    </row>
    <row r="1546" spans="1:6" x14ac:dyDescent="0.25">
      <c r="A1546"/>
      <c r="B1546"/>
      <c r="E1546"/>
      <c r="F1546"/>
    </row>
    <row r="1547" spans="1:6" x14ac:dyDescent="0.25">
      <c r="A1547"/>
      <c r="B1547"/>
      <c r="E1547"/>
      <c r="F1547"/>
    </row>
    <row r="1548" spans="1:6" x14ac:dyDescent="0.25">
      <c r="A1548"/>
      <c r="B1548"/>
      <c r="E1548"/>
      <c r="F1548"/>
    </row>
    <row r="1549" spans="1:6" x14ac:dyDescent="0.25">
      <c r="A1549"/>
      <c r="B1549"/>
      <c r="E1549"/>
      <c r="F1549"/>
    </row>
    <row r="1550" spans="1:6" x14ac:dyDescent="0.25">
      <c r="A1550"/>
      <c r="B1550"/>
      <c r="E1550"/>
      <c r="F1550"/>
    </row>
    <row r="1551" spans="1:6" x14ac:dyDescent="0.25">
      <c r="A1551"/>
      <c r="B1551"/>
      <c r="E1551"/>
      <c r="F1551"/>
    </row>
    <row r="1552" spans="1:6" x14ac:dyDescent="0.25">
      <c r="A1552"/>
      <c r="B1552"/>
      <c r="E1552"/>
      <c r="F1552"/>
    </row>
    <row r="1553" spans="1:6" x14ac:dyDescent="0.25">
      <c r="A1553"/>
      <c r="B1553"/>
      <c r="E1553"/>
      <c r="F1553"/>
    </row>
    <row r="1554" spans="1:6" x14ac:dyDescent="0.25">
      <c r="A1554"/>
      <c r="B1554"/>
      <c r="E1554"/>
      <c r="F1554"/>
    </row>
    <row r="1555" spans="1:6" x14ac:dyDescent="0.25">
      <c r="A1555"/>
      <c r="B1555"/>
      <c r="E1555"/>
      <c r="F1555"/>
    </row>
    <row r="1556" spans="1:6" x14ac:dyDescent="0.25">
      <c r="A1556"/>
      <c r="B1556"/>
      <c r="E1556"/>
      <c r="F1556"/>
    </row>
    <row r="1557" spans="1:6" x14ac:dyDescent="0.25">
      <c r="A1557"/>
      <c r="B1557"/>
      <c r="E1557"/>
      <c r="F1557"/>
    </row>
    <row r="1558" spans="1:6" x14ac:dyDescent="0.25">
      <c r="A1558"/>
      <c r="B1558"/>
      <c r="E1558"/>
      <c r="F1558"/>
    </row>
    <row r="1559" spans="1:6" x14ac:dyDescent="0.25">
      <c r="A1559"/>
      <c r="B1559"/>
      <c r="E1559"/>
      <c r="F1559"/>
    </row>
    <row r="1560" spans="1:6" x14ac:dyDescent="0.25">
      <c r="A1560"/>
      <c r="B1560"/>
      <c r="E1560"/>
      <c r="F1560"/>
    </row>
    <row r="1561" spans="1:6" x14ac:dyDescent="0.25">
      <c r="A1561"/>
      <c r="B1561"/>
      <c r="E1561"/>
      <c r="F1561"/>
    </row>
    <row r="1562" spans="1:6" x14ac:dyDescent="0.25">
      <c r="A1562"/>
      <c r="B1562"/>
      <c r="E1562"/>
      <c r="F1562"/>
    </row>
    <row r="1563" spans="1:6" x14ac:dyDescent="0.25">
      <c r="A1563"/>
      <c r="B1563"/>
      <c r="E1563"/>
      <c r="F1563"/>
    </row>
    <row r="1564" spans="1:6" x14ac:dyDescent="0.25">
      <c r="A1564"/>
      <c r="B1564"/>
      <c r="E1564"/>
      <c r="F1564"/>
    </row>
    <row r="1565" spans="1:6" x14ac:dyDescent="0.25">
      <c r="A1565"/>
      <c r="B1565"/>
      <c r="E1565"/>
      <c r="F1565"/>
    </row>
    <row r="1566" spans="1:6" x14ac:dyDescent="0.25">
      <c r="A1566"/>
      <c r="B1566"/>
      <c r="E1566"/>
      <c r="F1566"/>
    </row>
    <row r="1567" spans="1:6" x14ac:dyDescent="0.25">
      <c r="A1567"/>
      <c r="B1567"/>
      <c r="E1567"/>
      <c r="F1567"/>
    </row>
    <row r="1568" spans="1:6" x14ac:dyDescent="0.25">
      <c r="A1568"/>
      <c r="B1568"/>
      <c r="E1568"/>
      <c r="F1568"/>
    </row>
    <row r="1569" spans="1:6" x14ac:dyDescent="0.25">
      <c r="A1569"/>
      <c r="B1569"/>
      <c r="E1569"/>
      <c r="F1569"/>
    </row>
    <row r="1570" spans="1:6" x14ac:dyDescent="0.25">
      <c r="A1570"/>
      <c r="B1570"/>
      <c r="E1570"/>
      <c r="F1570"/>
    </row>
    <row r="1571" spans="1:6" x14ac:dyDescent="0.25">
      <c r="A1571"/>
      <c r="B1571"/>
      <c r="E1571"/>
      <c r="F1571"/>
    </row>
    <row r="1572" spans="1:6" x14ac:dyDescent="0.25">
      <c r="A1572"/>
      <c r="B1572"/>
      <c r="E1572"/>
      <c r="F1572"/>
    </row>
    <row r="1573" spans="1:6" x14ac:dyDescent="0.25">
      <c r="A1573"/>
      <c r="B1573"/>
      <c r="E1573"/>
      <c r="F1573"/>
    </row>
    <row r="1574" spans="1:6" x14ac:dyDescent="0.25">
      <c r="A1574"/>
      <c r="B1574"/>
      <c r="E1574"/>
      <c r="F1574"/>
    </row>
    <row r="1575" spans="1:6" x14ac:dyDescent="0.25">
      <c r="A1575"/>
      <c r="B1575"/>
      <c r="E1575"/>
      <c r="F1575"/>
    </row>
    <row r="1576" spans="1:6" x14ac:dyDescent="0.25">
      <c r="A1576"/>
      <c r="B1576"/>
      <c r="E1576"/>
      <c r="F1576"/>
    </row>
    <row r="1577" spans="1:6" x14ac:dyDescent="0.25">
      <c r="A1577"/>
      <c r="B1577"/>
      <c r="E1577"/>
      <c r="F1577"/>
    </row>
    <row r="1578" spans="1:6" x14ac:dyDescent="0.25">
      <c r="A1578"/>
      <c r="B1578"/>
      <c r="E1578"/>
      <c r="F1578"/>
    </row>
    <row r="1579" spans="1:6" x14ac:dyDescent="0.25">
      <c r="A1579"/>
      <c r="B1579"/>
      <c r="E1579"/>
      <c r="F1579"/>
    </row>
    <row r="1580" spans="1:6" x14ac:dyDescent="0.25">
      <c r="A1580"/>
      <c r="B1580"/>
      <c r="E1580"/>
      <c r="F1580"/>
    </row>
    <row r="1581" spans="1:6" x14ac:dyDescent="0.25">
      <c r="A1581"/>
      <c r="B1581"/>
      <c r="E1581"/>
      <c r="F1581"/>
    </row>
    <row r="1582" spans="1:6" x14ac:dyDescent="0.25">
      <c r="A1582"/>
      <c r="B1582"/>
      <c r="E1582"/>
      <c r="F1582"/>
    </row>
    <row r="1583" spans="1:6" x14ac:dyDescent="0.25">
      <c r="A1583"/>
      <c r="B1583"/>
      <c r="E1583"/>
      <c r="F1583"/>
    </row>
    <row r="1584" spans="1:6" x14ac:dyDescent="0.25">
      <c r="A1584"/>
      <c r="B1584"/>
      <c r="E1584"/>
      <c r="F1584"/>
    </row>
    <row r="1585" spans="1:6" x14ac:dyDescent="0.25">
      <c r="A1585"/>
      <c r="B1585"/>
      <c r="E1585"/>
      <c r="F1585"/>
    </row>
    <row r="1586" spans="1:6" x14ac:dyDescent="0.25">
      <c r="A1586"/>
      <c r="B1586"/>
      <c r="E1586"/>
      <c r="F1586"/>
    </row>
    <row r="1587" spans="1:6" x14ac:dyDescent="0.25">
      <c r="A1587"/>
      <c r="B1587"/>
      <c r="E1587"/>
      <c r="F1587"/>
    </row>
    <row r="1588" spans="1:6" x14ac:dyDescent="0.25">
      <c r="A1588"/>
      <c r="B1588"/>
      <c r="E1588"/>
      <c r="F1588"/>
    </row>
    <row r="1589" spans="1:6" x14ac:dyDescent="0.25">
      <c r="A1589"/>
      <c r="B1589"/>
      <c r="E1589"/>
      <c r="F1589"/>
    </row>
    <row r="1590" spans="1:6" x14ac:dyDescent="0.25">
      <c r="A1590"/>
      <c r="B1590"/>
      <c r="E1590"/>
      <c r="F1590"/>
    </row>
    <row r="1591" spans="1:6" x14ac:dyDescent="0.25">
      <c r="A1591"/>
      <c r="B1591"/>
      <c r="E1591"/>
      <c r="F1591"/>
    </row>
    <row r="1592" spans="1:6" x14ac:dyDescent="0.25">
      <c r="A1592"/>
      <c r="B1592"/>
      <c r="E1592"/>
      <c r="F1592"/>
    </row>
    <row r="1593" spans="1:6" x14ac:dyDescent="0.25">
      <c r="A1593"/>
      <c r="B1593"/>
      <c r="E1593"/>
      <c r="F1593"/>
    </row>
    <row r="1594" spans="1:6" x14ac:dyDescent="0.25">
      <c r="A1594"/>
      <c r="B1594"/>
      <c r="E1594"/>
      <c r="F1594"/>
    </row>
    <row r="1595" spans="1:6" x14ac:dyDescent="0.25">
      <c r="A1595"/>
      <c r="B1595"/>
      <c r="E1595"/>
      <c r="F1595"/>
    </row>
    <row r="1596" spans="1:6" x14ac:dyDescent="0.25">
      <c r="A1596"/>
      <c r="B1596"/>
      <c r="E1596"/>
      <c r="F1596"/>
    </row>
    <row r="1597" spans="1:6" x14ac:dyDescent="0.25">
      <c r="A1597"/>
      <c r="B1597"/>
      <c r="E1597"/>
      <c r="F1597"/>
    </row>
    <row r="1598" spans="1:6" x14ac:dyDescent="0.25">
      <c r="A1598"/>
      <c r="B1598"/>
      <c r="E1598"/>
      <c r="F1598"/>
    </row>
    <row r="1599" spans="1:6" x14ac:dyDescent="0.25">
      <c r="A1599"/>
      <c r="B1599"/>
      <c r="E1599"/>
      <c r="F1599"/>
    </row>
    <row r="1600" spans="1:6" x14ac:dyDescent="0.25">
      <c r="A1600"/>
      <c r="B1600"/>
      <c r="E1600"/>
      <c r="F1600"/>
    </row>
    <row r="1601" spans="1:6" x14ac:dyDescent="0.25">
      <c r="A1601"/>
      <c r="B1601"/>
      <c r="E1601"/>
      <c r="F1601"/>
    </row>
    <row r="1602" spans="1:6" x14ac:dyDescent="0.25">
      <c r="A1602"/>
      <c r="B1602"/>
      <c r="E1602"/>
      <c r="F1602"/>
    </row>
    <row r="1603" spans="1:6" x14ac:dyDescent="0.25">
      <c r="A1603"/>
      <c r="B1603"/>
      <c r="E1603"/>
      <c r="F1603"/>
    </row>
    <row r="1604" spans="1:6" x14ac:dyDescent="0.25">
      <c r="A1604"/>
      <c r="B1604"/>
      <c r="E1604"/>
      <c r="F1604"/>
    </row>
    <row r="1605" spans="1:6" x14ac:dyDescent="0.25">
      <c r="A1605"/>
      <c r="B1605"/>
      <c r="E1605"/>
      <c r="F1605"/>
    </row>
    <row r="1606" spans="1:6" x14ac:dyDescent="0.25">
      <c r="A1606"/>
      <c r="B1606"/>
      <c r="E1606"/>
      <c r="F1606"/>
    </row>
    <row r="1607" spans="1:6" x14ac:dyDescent="0.25">
      <c r="A1607"/>
      <c r="B1607"/>
      <c r="E1607"/>
      <c r="F1607"/>
    </row>
    <row r="1608" spans="1:6" x14ac:dyDescent="0.25">
      <c r="A1608"/>
      <c r="B1608"/>
      <c r="E1608"/>
      <c r="F1608"/>
    </row>
    <row r="1609" spans="1:6" x14ac:dyDescent="0.25">
      <c r="A1609"/>
      <c r="B1609"/>
      <c r="E1609"/>
      <c r="F1609"/>
    </row>
    <row r="1610" spans="1:6" x14ac:dyDescent="0.25">
      <c r="A1610"/>
      <c r="B1610"/>
      <c r="E1610"/>
      <c r="F1610"/>
    </row>
    <row r="1611" spans="1:6" x14ac:dyDescent="0.25">
      <c r="A1611"/>
      <c r="B1611"/>
      <c r="E1611"/>
      <c r="F1611"/>
    </row>
    <row r="1612" spans="1:6" x14ac:dyDescent="0.25">
      <c r="A1612"/>
      <c r="B1612"/>
      <c r="E1612"/>
      <c r="F1612"/>
    </row>
    <row r="1613" spans="1:6" x14ac:dyDescent="0.25">
      <c r="A1613"/>
      <c r="B1613"/>
      <c r="E1613"/>
      <c r="F1613"/>
    </row>
    <row r="1614" spans="1:6" x14ac:dyDescent="0.25">
      <c r="A1614"/>
      <c r="B1614"/>
      <c r="E1614"/>
      <c r="F1614"/>
    </row>
    <row r="1615" spans="1:6" x14ac:dyDescent="0.25">
      <c r="A1615"/>
      <c r="B1615"/>
      <c r="E1615"/>
      <c r="F1615"/>
    </row>
    <row r="1616" spans="1:6" x14ac:dyDescent="0.25">
      <c r="A1616"/>
      <c r="B1616"/>
      <c r="E1616"/>
      <c r="F1616"/>
    </row>
    <row r="1617" spans="1:6" x14ac:dyDescent="0.25">
      <c r="A1617"/>
      <c r="B1617"/>
      <c r="E1617"/>
      <c r="F1617"/>
    </row>
    <row r="1618" spans="1:6" x14ac:dyDescent="0.25">
      <c r="A1618"/>
      <c r="B1618"/>
      <c r="E1618"/>
      <c r="F1618"/>
    </row>
    <row r="1619" spans="1:6" x14ac:dyDescent="0.25">
      <c r="A1619"/>
      <c r="B1619"/>
      <c r="E1619"/>
      <c r="F1619"/>
    </row>
    <row r="1620" spans="1:6" x14ac:dyDescent="0.25">
      <c r="A1620"/>
      <c r="B1620"/>
      <c r="E1620"/>
      <c r="F1620"/>
    </row>
    <row r="1621" spans="1:6" x14ac:dyDescent="0.25">
      <c r="A1621"/>
      <c r="B1621"/>
      <c r="E1621"/>
      <c r="F1621"/>
    </row>
    <row r="1622" spans="1:6" x14ac:dyDescent="0.25">
      <c r="A1622"/>
      <c r="B1622"/>
      <c r="E1622"/>
      <c r="F1622"/>
    </row>
    <row r="1623" spans="1:6" x14ac:dyDescent="0.25">
      <c r="A1623"/>
      <c r="B1623"/>
      <c r="E1623"/>
      <c r="F1623"/>
    </row>
    <row r="1624" spans="1:6" x14ac:dyDescent="0.25">
      <c r="A1624"/>
      <c r="B1624"/>
      <c r="E1624"/>
      <c r="F1624"/>
    </row>
    <row r="1625" spans="1:6" x14ac:dyDescent="0.25">
      <c r="A1625"/>
      <c r="B1625"/>
      <c r="E1625"/>
      <c r="F1625"/>
    </row>
    <row r="1626" spans="1:6" x14ac:dyDescent="0.25">
      <c r="A1626"/>
      <c r="B1626"/>
      <c r="E1626"/>
      <c r="F1626"/>
    </row>
    <row r="1627" spans="1:6" x14ac:dyDescent="0.25">
      <c r="A1627"/>
      <c r="B1627"/>
      <c r="E1627"/>
      <c r="F1627"/>
    </row>
    <row r="1628" spans="1:6" x14ac:dyDescent="0.25">
      <c r="A1628"/>
      <c r="B1628"/>
      <c r="E1628"/>
      <c r="F1628"/>
    </row>
    <row r="1629" spans="1:6" x14ac:dyDescent="0.25">
      <c r="A1629"/>
      <c r="B1629"/>
      <c r="E1629"/>
      <c r="F1629"/>
    </row>
    <row r="1630" spans="1:6" x14ac:dyDescent="0.25">
      <c r="A1630"/>
      <c r="B1630"/>
      <c r="E1630"/>
      <c r="F1630"/>
    </row>
    <row r="1631" spans="1:6" x14ac:dyDescent="0.25">
      <c r="A1631"/>
      <c r="B1631"/>
      <c r="E1631"/>
      <c r="F1631"/>
    </row>
    <row r="1632" spans="1:6" x14ac:dyDescent="0.25">
      <c r="A1632"/>
      <c r="B1632"/>
      <c r="E1632"/>
      <c r="F1632"/>
    </row>
    <row r="1633" spans="1:6" x14ac:dyDescent="0.25">
      <c r="A1633"/>
      <c r="B1633"/>
      <c r="E1633"/>
      <c r="F1633"/>
    </row>
    <row r="1634" spans="1:6" x14ac:dyDescent="0.25">
      <c r="A1634"/>
      <c r="B1634"/>
      <c r="E1634"/>
      <c r="F1634"/>
    </row>
    <row r="1635" spans="1:6" x14ac:dyDescent="0.25">
      <c r="A1635"/>
      <c r="B1635"/>
      <c r="E1635"/>
      <c r="F1635"/>
    </row>
    <row r="1636" spans="1:6" x14ac:dyDescent="0.25">
      <c r="A1636"/>
      <c r="B1636"/>
      <c r="E1636"/>
      <c r="F1636"/>
    </row>
    <row r="1637" spans="1:6" x14ac:dyDescent="0.25">
      <c r="A1637"/>
      <c r="B1637"/>
      <c r="E1637"/>
      <c r="F1637"/>
    </row>
    <row r="1638" spans="1:6" x14ac:dyDescent="0.25">
      <c r="A1638"/>
      <c r="B1638"/>
      <c r="E1638"/>
      <c r="F1638"/>
    </row>
    <row r="1639" spans="1:6" x14ac:dyDescent="0.25">
      <c r="A1639"/>
      <c r="B1639"/>
      <c r="E1639"/>
      <c r="F1639"/>
    </row>
    <row r="1640" spans="1:6" x14ac:dyDescent="0.25">
      <c r="A1640"/>
      <c r="B1640"/>
      <c r="E1640"/>
      <c r="F1640"/>
    </row>
    <row r="1641" spans="1:6" x14ac:dyDescent="0.25">
      <c r="A1641"/>
      <c r="B1641"/>
      <c r="E1641"/>
      <c r="F1641"/>
    </row>
    <row r="1642" spans="1:6" x14ac:dyDescent="0.25">
      <c r="A1642"/>
      <c r="B1642"/>
      <c r="E1642"/>
      <c r="F1642"/>
    </row>
    <row r="1643" spans="1:6" x14ac:dyDescent="0.25">
      <c r="A1643"/>
      <c r="B1643"/>
      <c r="E1643"/>
      <c r="F1643"/>
    </row>
    <row r="1644" spans="1:6" x14ac:dyDescent="0.25">
      <c r="A1644"/>
      <c r="B1644"/>
      <c r="E1644"/>
      <c r="F1644"/>
    </row>
    <row r="1645" spans="1:6" x14ac:dyDescent="0.25">
      <c r="A1645"/>
      <c r="B1645"/>
      <c r="E1645"/>
      <c r="F1645"/>
    </row>
    <row r="1646" spans="1:6" x14ac:dyDescent="0.25">
      <c r="A1646"/>
      <c r="B1646"/>
      <c r="E1646"/>
      <c r="F1646"/>
    </row>
    <row r="1647" spans="1:6" x14ac:dyDescent="0.25">
      <c r="A1647"/>
      <c r="B1647"/>
      <c r="E1647"/>
      <c r="F1647"/>
    </row>
    <row r="1648" spans="1:6" x14ac:dyDescent="0.25">
      <c r="A1648"/>
      <c r="B1648"/>
      <c r="E1648"/>
      <c r="F1648"/>
    </row>
    <row r="1649" spans="1:6" x14ac:dyDescent="0.25">
      <c r="A1649"/>
      <c r="B1649"/>
      <c r="E1649"/>
      <c r="F1649"/>
    </row>
    <row r="1650" spans="1:6" x14ac:dyDescent="0.25">
      <c r="A1650"/>
      <c r="B1650"/>
      <c r="E1650"/>
      <c r="F1650"/>
    </row>
    <row r="1651" spans="1:6" x14ac:dyDescent="0.25">
      <c r="A1651"/>
      <c r="B1651"/>
      <c r="E1651"/>
      <c r="F1651"/>
    </row>
    <row r="1652" spans="1:6" x14ac:dyDescent="0.25">
      <c r="A1652"/>
      <c r="B1652"/>
      <c r="E1652"/>
      <c r="F1652"/>
    </row>
    <row r="1653" spans="1:6" x14ac:dyDescent="0.25">
      <c r="A1653"/>
      <c r="B1653"/>
      <c r="E1653"/>
      <c r="F1653"/>
    </row>
    <row r="1654" spans="1:6" x14ac:dyDescent="0.25">
      <c r="A1654"/>
      <c r="B1654"/>
      <c r="E1654"/>
      <c r="F1654"/>
    </row>
    <row r="1655" spans="1:6" x14ac:dyDescent="0.25">
      <c r="A1655"/>
      <c r="B1655"/>
      <c r="E1655"/>
      <c r="F1655"/>
    </row>
    <row r="1656" spans="1:6" x14ac:dyDescent="0.25">
      <c r="A1656"/>
      <c r="B1656"/>
      <c r="E1656"/>
      <c r="F1656"/>
    </row>
    <row r="1657" spans="1:6" x14ac:dyDescent="0.25">
      <c r="A1657"/>
      <c r="B1657"/>
      <c r="E1657"/>
      <c r="F1657"/>
    </row>
    <row r="1658" spans="1:6" x14ac:dyDescent="0.25">
      <c r="A1658"/>
      <c r="B1658"/>
      <c r="E1658"/>
      <c r="F1658"/>
    </row>
    <row r="1659" spans="1:6" x14ac:dyDescent="0.25">
      <c r="A1659"/>
      <c r="B1659"/>
      <c r="E1659"/>
      <c r="F1659"/>
    </row>
    <row r="1660" spans="1:6" x14ac:dyDescent="0.25">
      <c r="A1660"/>
      <c r="B1660"/>
      <c r="E1660"/>
      <c r="F1660"/>
    </row>
    <row r="1661" spans="1:6" x14ac:dyDescent="0.25">
      <c r="A1661"/>
      <c r="B1661"/>
      <c r="E1661"/>
      <c r="F1661"/>
    </row>
    <row r="1662" spans="1:6" x14ac:dyDescent="0.25">
      <c r="A1662"/>
      <c r="B1662"/>
      <c r="E1662"/>
      <c r="F1662"/>
    </row>
    <row r="1663" spans="1:6" x14ac:dyDescent="0.25">
      <c r="A1663"/>
      <c r="B1663"/>
      <c r="E1663"/>
      <c r="F1663"/>
    </row>
    <row r="1664" spans="1:6" x14ac:dyDescent="0.25">
      <c r="A1664"/>
      <c r="B1664"/>
      <c r="E1664"/>
      <c r="F1664"/>
    </row>
    <row r="1665" spans="1:6" x14ac:dyDescent="0.25">
      <c r="A1665"/>
      <c r="B1665"/>
      <c r="E1665"/>
      <c r="F1665"/>
    </row>
    <row r="1666" spans="1:6" x14ac:dyDescent="0.25">
      <c r="A1666"/>
      <c r="B1666"/>
      <c r="E1666"/>
      <c r="F1666"/>
    </row>
    <row r="1667" spans="1:6" x14ac:dyDescent="0.25">
      <c r="A1667"/>
      <c r="B1667"/>
      <c r="E1667"/>
      <c r="F1667"/>
    </row>
    <row r="1668" spans="1:6" x14ac:dyDescent="0.25">
      <c r="A1668"/>
      <c r="B1668"/>
      <c r="E1668"/>
      <c r="F1668"/>
    </row>
    <row r="1669" spans="1:6" x14ac:dyDescent="0.25">
      <c r="A1669"/>
      <c r="B1669"/>
      <c r="E1669"/>
      <c r="F1669"/>
    </row>
    <row r="1670" spans="1:6" x14ac:dyDescent="0.25">
      <c r="A1670"/>
      <c r="B1670"/>
      <c r="E1670"/>
      <c r="F1670"/>
    </row>
    <row r="1671" spans="1:6" x14ac:dyDescent="0.25">
      <c r="A1671"/>
      <c r="B1671"/>
      <c r="E1671"/>
      <c r="F1671"/>
    </row>
    <row r="1672" spans="1:6" x14ac:dyDescent="0.25">
      <c r="A1672"/>
      <c r="B1672"/>
      <c r="E1672"/>
      <c r="F1672"/>
    </row>
    <row r="1673" spans="1:6" x14ac:dyDescent="0.25">
      <c r="A1673"/>
      <c r="B1673"/>
      <c r="E1673"/>
      <c r="F1673"/>
    </row>
    <row r="1674" spans="1:6" x14ac:dyDescent="0.25">
      <c r="A1674"/>
      <c r="B1674"/>
      <c r="E1674"/>
      <c r="F1674"/>
    </row>
    <row r="1675" spans="1:6" x14ac:dyDescent="0.25">
      <c r="A1675"/>
      <c r="B1675"/>
      <c r="E1675"/>
      <c r="F1675"/>
    </row>
    <row r="1676" spans="1:6" x14ac:dyDescent="0.25">
      <c r="A1676"/>
      <c r="B1676"/>
      <c r="E1676"/>
      <c r="F1676"/>
    </row>
    <row r="1677" spans="1:6" x14ac:dyDescent="0.25">
      <c r="A1677"/>
      <c r="B1677"/>
      <c r="E1677"/>
      <c r="F1677"/>
    </row>
    <row r="1678" spans="1:6" x14ac:dyDescent="0.25">
      <c r="A1678"/>
      <c r="B1678"/>
      <c r="E1678"/>
      <c r="F1678"/>
    </row>
    <row r="1679" spans="1:6" x14ac:dyDescent="0.25">
      <c r="A1679"/>
      <c r="B1679"/>
      <c r="E1679"/>
      <c r="F1679"/>
    </row>
    <row r="1680" spans="1:6" x14ac:dyDescent="0.25">
      <c r="A1680"/>
      <c r="B1680"/>
      <c r="E1680"/>
      <c r="F1680"/>
    </row>
    <row r="1681" spans="1:6" x14ac:dyDescent="0.25">
      <c r="A1681"/>
      <c r="B1681"/>
      <c r="E1681"/>
      <c r="F1681"/>
    </row>
    <row r="1682" spans="1:6" x14ac:dyDescent="0.25">
      <c r="A1682"/>
      <c r="B1682"/>
      <c r="E1682"/>
      <c r="F1682"/>
    </row>
    <row r="1683" spans="1:6" x14ac:dyDescent="0.25">
      <c r="A1683"/>
      <c r="B1683"/>
      <c r="E1683"/>
      <c r="F1683"/>
    </row>
    <row r="1684" spans="1:6" x14ac:dyDescent="0.25">
      <c r="A1684"/>
      <c r="B1684"/>
      <c r="E1684"/>
      <c r="F1684"/>
    </row>
    <row r="1685" spans="1:6" x14ac:dyDescent="0.25">
      <c r="A1685"/>
      <c r="B1685"/>
      <c r="E1685"/>
      <c r="F1685"/>
    </row>
    <row r="1686" spans="1:6" x14ac:dyDescent="0.25">
      <c r="A1686"/>
      <c r="B1686"/>
      <c r="E1686"/>
      <c r="F1686"/>
    </row>
    <row r="1687" spans="1:6" x14ac:dyDescent="0.25">
      <c r="A1687"/>
      <c r="B1687"/>
      <c r="E1687"/>
      <c r="F1687"/>
    </row>
    <row r="1688" spans="1:6" x14ac:dyDescent="0.25">
      <c r="A1688"/>
      <c r="B1688"/>
      <c r="E1688"/>
      <c r="F1688"/>
    </row>
    <row r="1689" spans="1:6" x14ac:dyDescent="0.25">
      <c r="A1689"/>
      <c r="B1689"/>
      <c r="E1689"/>
      <c r="F1689"/>
    </row>
    <row r="1690" spans="1:6" x14ac:dyDescent="0.25">
      <c r="A1690"/>
      <c r="B1690"/>
      <c r="E1690"/>
      <c r="F1690"/>
    </row>
    <row r="1691" spans="1:6" x14ac:dyDescent="0.25">
      <c r="A1691"/>
      <c r="B1691"/>
      <c r="E1691"/>
      <c r="F1691"/>
    </row>
    <row r="1692" spans="1:6" x14ac:dyDescent="0.25">
      <c r="A1692"/>
      <c r="B1692"/>
      <c r="E1692"/>
      <c r="F1692"/>
    </row>
    <row r="1693" spans="1:6" x14ac:dyDescent="0.25">
      <c r="A1693"/>
      <c r="B1693"/>
      <c r="E1693"/>
      <c r="F1693"/>
    </row>
    <row r="1694" spans="1:6" x14ac:dyDescent="0.25">
      <c r="A1694"/>
      <c r="B1694"/>
      <c r="E1694"/>
      <c r="F1694"/>
    </row>
    <row r="1695" spans="1:6" x14ac:dyDescent="0.25">
      <c r="A1695"/>
      <c r="B1695"/>
      <c r="E1695"/>
      <c r="F1695"/>
    </row>
    <row r="1696" spans="1:6" x14ac:dyDescent="0.25">
      <c r="A1696"/>
      <c r="B1696"/>
      <c r="E1696"/>
      <c r="F1696"/>
    </row>
    <row r="1697" spans="1:6" x14ac:dyDescent="0.25">
      <c r="A1697"/>
      <c r="B1697"/>
      <c r="E1697"/>
      <c r="F1697"/>
    </row>
    <row r="1698" spans="1:6" x14ac:dyDescent="0.25">
      <c r="A1698"/>
      <c r="B1698"/>
      <c r="E1698"/>
      <c r="F1698"/>
    </row>
    <row r="1699" spans="1:6" x14ac:dyDescent="0.25">
      <c r="A1699"/>
      <c r="B1699"/>
      <c r="E1699"/>
      <c r="F1699"/>
    </row>
    <row r="1700" spans="1:6" x14ac:dyDescent="0.25">
      <c r="A1700"/>
      <c r="B1700"/>
      <c r="E1700"/>
      <c r="F1700"/>
    </row>
    <row r="1701" spans="1:6" x14ac:dyDescent="0.25">
      <c r="A1701"/>
      <c r="B1701"/>
      <c r="E1701"/>
      <c r="F1701"/>
    </row>
    <row r="1702" spans="1:6" x14ac:dyDescent="0.25">
      <c r="A1702"/>
      <c r="B1702"/>
      <c r="E1702"/>
      <c r="F1702"/>
    </row>
    <row r="1703" spans="1:6" x14ac:dyDescent="0.25">
      <c r="A1703"/>
      <c r="B1703"/>
      <c r="E1703"/>
      <c r="F1703"/>
    </row>
    <row r="1704" spans="1:6" x14ac:dyDescent="0.25">
      <c r="A1704"/>
      <c r="B1704"/>
      <c r="E1704"/>
      <c r="F1704"/>
    </row>
    <row r="1705" spans="1:6" x14ac:dyDescent="0.25">
      <c r="A1705"/>
      <c r="B1705"/>
      <c r="E1705"/>
      <c r="F1705"/>
    </row>
    <row r="1706" spans="1:6" x14ac:dyDescent="0.25">
      <c r="A1706"/>
      <c r="B1706"/>
      <c r="E1706"/>
      <c r="F1706"/>
    </row>
    <row r="1707" spans="1:6" x14ac:dyDescent="0.25">
      <c r="A1707"/>
      <c r="B1707"/>
      <c r="E1707"/>
      <c r="F1707"/>
    </row>
    <row r="1708" spans="1:6" x14ac:dyDescent="0.25">
      <c r="A1708"/>
      <c r="B1708"/>
      <c r="E1708"/>
      <c r="F1708"/>
    </row>
    <row r="1709" spans="1:6" x14ac:dyDescent="0.25">
      <c r="A1709"/>
      <c r="B1709"/>
      <c r="E1709"/>
      <c r="F1709"/>
    </row>
    <row r="1710" spans="1:6" x14ac:dyDescent="0.25">
      <c r="A1710"/>
      <c r="B1710"/>
      <c r="E1710"/>
      <c r="F1710"/>
    </row>
    <row r="1711" spans="1:6" x14ac:dyDescent="0.25">
      <c r="A1711"/>
      <c r="B1711"/>
      <c r="E1711"/>
      <c r="F1711"/>
    </row>
    <row r="1712" spans="1:6" x14ac:dyDescent="0.25">
      <c r="A1712"/>
      <c r="B1712"/>
      <c r="E1712"/>
      <c r="F1712"/>
    </row>
    <row r="1713" spans="1:6" x14ac:dyDescent="0.25">
      <c r="A1713"/>
      <c r="B1713"/>
      <c r="E1713"/>
      <c r="F1713"/>
    </row>
    <row r="1714" spans="1:6" x14ac:dyDescent="0.25">
      <c r="A1714"/>
      <c r="B1714"/>
      <c r="E1714"/>
      <c r="F1714"/>
    </row>
    <row r="1715" spans="1:6" x14ac:dyDescent="0.25">
      <c r="A1715"/>
      <c r="B1715"/>
      <c r="E1715"/>
      <c r="F1715"/>
    </row>
    <row r="1716" spans="1:6" x14ac:dyDescent="0.25">
      <c r="A1716"/>
      <c r="B1716"/>
      <c r="E1716"/>
      <c r="F1716"/>
    </row>
    <row r="1717" spans="1:6" x14ac:dyDescent="0.25">
      <c r="A1717"/>
      <c r="B1717"/>
      <c r="E1717"/>
      <c r="F1717"/>
    </row>
    <row r="1718" spans="1:6" x14ac:dyDescent="0.25">
      <c r="A1718"/>
      <c r="B1718"/>
      <c r="E1718"/>
      <c r="F1718"/>
    </row>
    <row r="1719" spans="1:6" x14ac:dyDescent="0.25">
      <c r="A1719"/>
      <c r="B1719"/>
      <c r="E1719"/>
      <c r="F1719"/>
    </row>
    <row r="1720" spans="1:6" x14ac:dyDescent="0.25">
      <c r="A1720"/>
      <c r="B1720"/>
      <c r="E1720"/>
      <c r="F1720"/>
    </row>
    <row r="1721" spans="1:6" x14ac:dyDescent="0.25">
      <c r="A1721"/>
      <c r="B1721"/>
      <c r="E1721"/>
      <c r="F1721"/>
    </row>
    <row r="1722" spans="1:6" x14ac:dyDescent="0.25">
      <c r="A1722"/>
      <c r="B1722"/>
      <c r="E1722"/>
      <c r="F1722"/>
    </row>
    <row r="1723" spans="1:6" x14ac:dyDescent="0.25">
      <c r="A1723"/>
      <c r="B1723"/>
      <c r="E1723"/>
      <c r="F1723"/>
    </row>
    <row r="1724" spans="1:6" x14ac:dyDescent="0.25">
      <c r="A1724"/>
      <c r="B1724"/>
      <c r="E1724"/>
      <c r="F1724"/>
    </row>
    <row r="1725" spans="1:6" x14ac:dyDescent="0.25">
      <c r="A1725"/>
      <c r="B1725"/>
      <c r="E1725"/>
      <c r="F1725"/>
    </row>
    <row r="1726" spans="1:6" x14ac:dyDescent="0.25">
      <c r="A1726"/>
      <c r="B1726"/>
      <c r="E1726"/>
      <c r="F1726"/>
    </row>
    <row r="1727" spans="1:6" x14ac:dyDescent="0.25">
      <c r="A1727"/>
      <c r="B1727"/>
      <c r="E1727"/>
      <c r="F1727"/>
    </row>
    <row r="1728" spans="1:6" x14ac:dyDescent="0.25">
      <c r="A1728"/>
      <c r="B1728"/>
      <c r="E1728"/>
      <c r="F1728"/>
    </row>
    <row r="1729" spans="1:6" x14ac:dyDescent="0.25">
      <c r="A1729"/>
      <c r="B1729"/>
      <c r="E1729"/>
      <c r="F1729"/>
    </row>
    <row r="1730" spans="1:6" x14ac:dyDescent="0.25">
      <c r="A1730"/>
      <c r="B1730"/>
      <c r="E1730"/>
      <c r="F1730"/>
    </row>
    <row r="1731" spans="1:6" x14ac:dyDescent="0.25">
      <c r="A1731"/>
      <c r="B1731"/>
      <c r="E1731"/>
      <c r="F1731"/>
    </row>
    <row r="1732" spans="1:6" x14ac:dyDescent="0.25">
      <c r="A1732"/>
      <c r="B1732"/>
      <c r="E1732"/>
      <c r="F1732"/>
    </row>
    <row r="1733" spans="1:6" x14ac:dyDescent="0.25">
      <c r="A1733"/>
      <c r="B1733"/>
      <c r="E1733"/>
      <c r="F1733"/>
    </row>
    <row r="1734" spans="1:6" x14ac:dyDescent="0.25">
      <c r="A1734"/>
      <c r="B1734"/>
      <c r="E1734"/>
      <c r="F1734"/>
    </row>
    <row r="1735" spans="1:6" x14ac:dyDescent="0.25">
      <c r="A1735"/>
      <c r="B1735"/>
      <c r="E1735"/>
      <c r="F1735"/>
    </row>
    <row r="1736" spans="1:6" x14ac:dyDescent="0.25">
      <c r="A1736"/>
      <c r="B1736"/>
      <c r="E1736"/>
      <c r="F1736"/>
    </row>
    <row r="1737" spans="1:6" x14ac:dyDescent="0.25">
      <c r="A1737"/>
      <c r="B1737"/>
      <c r="E1737"/>
      <c r="F1737"/>
    </row>
    <row r="1738" spans="1:6" x14ac:dyDescent="0.25">
      <c r="A1738"/>
      <c r="B1738"/>
      <c r="E1738"/>
      <c r="F1738"/>
    </row>
    <row r="1739" spans="1:6" x14ac:dyDescent="0.25">
      <c r="A1739"/>
      <c r="B1739"/>
      <c r="E1739"/>
      <c r="F1739"/>
    </row>
    <row r="1740" spans="1:6" x14ac:dyDescent="0.25">
      <c r="A1740"/>
      <c r="B1740"/>
      <c r="E1740"/>
      <c r="F1740"/>
    </row>
    <row r="1741" spans="1:6" x14ac:dyDescent="0.25">
      <c r="A1741"/>
      <c r="B1741"/>
      <c r="E1741"/>
      <c r="F1741"/>
    </row>
    <row r="1742" spans="1:6" x14ac:dyDescent="0.25">
      <c r="A1742"/>
      <c r="B1742"/>
      <c r="E1742"/>
      <c r="F1742"/>
    </row>
    <row r="1743" spans="1:6" x14ac:dyDescent="0.25">
      <c r="A1743"/>
      <c r="B1743"/>
      <c r="E1743"/>
      <c r="F1743"/>
    </row>
    <row r="1744" spans="1:6" x14ac:dyDescent="0.25">
      <c r="A1744"/>
      <c r="B1744"/>
      <c r="E1744"/>
      <c r="F1744"/>
    </row>
    <row r="1745" spans="1:6" x14ac:dyDescent="0.25">
      <c r="A1745"/>
      <c r="B1745"/>
      <c r="E1745"/>
      <c r="F1745"/>
    </row>
    <row r="1746" spans="1:6" x14ac:dyDescent="0.25">
      <c r="A1746"/>
      <c r="B1746"/>
      <c r="E1746"/>
      <c r="F1746"/>
    </row>
    <row r="1747" spans="1:6" x14ac:dyDescent="0.25">
      <c r="A1747"/>
      <c r="B1747"/>
      <c r="E1747"/>
      <c r="F1747"/>
    </row>
    <row r="1748" spans="1:6" x14ac:dyDescent="0.25">
      <c r="A1748"/>
      <c r="B1748"/>
      <c r="E1748"/>
      <c r="F1748"/>
    </row>
    <row r="1749" spans="1:6" x14ac:dyDescent="0.25">
      <c r="A1749"/>
      <c r="B1749"/>
      <c r="E1749"/>
      <c r="F1749"/>
    </row>
    <row r="1750" spans="1:6" x14ac:dyDescent="0.25">
      <c r="A1750"/>
      <c r="B1750"/>
      <c r="E1750"/>
      <c r="F1750"/>
    </row>
    <row r="1751" spans="1:6" x14ac:dyDescent="0.25">
      <c r="A1751"/>
      <c r="B1751"/>
      <c r="E1751"/>
      <c r="F1751"/>
    </row>
    <row r="1752" spans="1:6" x14ac:dyDescent="0.25">
      <c r="A1752"/>
      <c r="B1752"/>
      <c r="E1752"/>
      <c r="F1752"/>
    </row>
    <row r="1753" spans="1:6" x14ac:dyDescent="0.25">
      <c r="A1753"/>
      <c r="B1753"/>
      <c r="E1753"/>
      <c r="F1753"/>
    </row>
    <row r="1754" spans="1:6" x14ac:dyDescent="0.25">
      <c r="A1754"/>
      <c r="B1754"/>
      <c r="E1754"/>
      <c r="F1754"/>
    </row>
    <row r="1755" spans="1:6" x14ac:dyDescent="0.25">
      <c r="A1755"/>
      <c r="B1755"/>
      <c r="E1755"/>
      <c r="F1755"/>
    </row>
    <row r="1756" spans="1:6" x14ac:dyDescent="0.25">
      <c r="A1756"/>
      <c r="B1756"/>
      <c r="E1756"/>
      <c r="F1756"/>
    </row>
    <row r="1757" spans="1:6" x14ac:dyDescent="0.25">
      <c r="A1757"/>
      <c r="B1757"/>
      <c r="E1757"/>
      <c r="F1757"/>
    </row>
    <row r="1758" spans="1:6" x14ac:dyDescent="0.25">
      <c r="A1758"/>
      <c r="B1758"/>
      <c r="E1758"/>
      <c r="F1758"/>
    </row>
    <row r="1759" spans="1:6" x14ac:dyDescent="0.25">
      <c r="A1759"/>
      <c r="B1759"/>
      <c r="E1759"/>
      <c r="F1759"/>
    </row>
    <row r="1760" spans="1:6" x14ac:dyDescent="0.25">
      <c r="A1760"/>
      <c r="B1760"/>
      <c r="E1760"/>
      <c r="F1760"/>
    </row>
    <row r="1761" spans="1:6" x14ac:dyDescent="0.25">
      <c r="A1761"/>
      <c r="B1761"/>
      <c r="E1761"/>
      <c r="F1761"/>
    </row>
    <row r="1762" spans="1:6" x14ac:dyDescent="0.25">
      <c r="A1762"/>
      <c r="B1762"/>
      <c r="E1762"/>
      <c r="F1762"/>
    </row>
    <row r="1763" spans="1:6" x14ac:dyDescent="0.25">
      <c r="A1763"/>
      <c r="B1763"/>
      <c r="E1763"/>
      <c r="F1763"/>
    </row>
    <row r="1764" spans="1:6" x14ac:dyDescent="0.25">
      <c r="A1764"/>
      <c r="B1764"/>
      <c r="E1764"/>
      <c r="F1764"/>
    </row>
    <row r="1765" spans="1:6" x14ac:dyDescent="0.25">
      <c r="A1765"/>
      <c r="B1765"/>
      <c r="E1765"/>
      <c r="F1765"/>
    </row>
    <row r="1766" spans="1:6" x14ac:dyDescent="0.25">
      <c r="A1766"/>
      <c r="B1766"/>
      <c r="E1766"/>
      <c r="F1766"/>
    </row>
    <row r="1767" spans="1:6" x14ac:dyDescent="0.25">
      <c r="A1767"/>
      <c r="B1767"/>
      <c r="E1767"/>
      <c r="F1767"/>
    </row>
    <row r="1768" spans="1:6" x14ac:dyDescent="0.25">
      <c r="A1768"/>
      <c r="B1768"/>
      <c r="E1768"/>
      <c r="F1768"/>
    </row>
    <row r="1769" spans="1:6" x14ac:dyDescent="0.25">
      <c r="A1769"/>
      <c r="B1769"/>
      <c r="E1769"/>
      <c r="F1769"/>
    </row>
    <row r="1770" spans="1:6" x14ac:dyDescent="0.25">
      <c r="A1770"/>
      <c r="B1770"/>
      <c r="E1770"/>
      <c r="F1770"/>
    </row>
    <row r="1771" spans="1:6" x14ac:dyDescent="0.25">
      <c r="A1771"/>
      <c r="B1771"/>
      <c r="E1771"/>
      <c r="F1771"/>
    </row>
    <row r="1772" spans="1:6" x14ac:dyDescent="0.25">
      <c r="A1772"/>
      <c r="B1772"/>
      <c r="E1772"/>
      <c r="F1772"/>
    </row>
    <row r="1773" spans="1:6" x14ac:dyDescent="0.25">
      <c r="A1773"/>
      <c r="B1773"/>
      <c r="E1773"/>
      <c r="F1773"/>
    </row>
    <row r="1774" spans="1:6" x14ac:dyDescent="0.25">
      <c r="A1774"/>
      <c r="B1774"/>
      <c r="E1774"/>
      <c r="F1774"/>
    </row>
    <row r="1775" spans="1:6" x14ac:dyDescent="0.25">
      <c r="A1775"/>
      <c r="B1775"/>
      <c r="E1775"/>
      <c r="F1775"/>
    </row>
    <row r="1776" spans="1:6" x14ac:dyDescent="0.25">
      <c r="A1776"/>
      <c r="B1776"/>
      <c r="E1776"/>
      <c r="F1776"/>
    </row>
    <row r="1777" spans="1:6" x14ac:dyDescent="0.25">
      <c r="A1777"/>
      <c r="B1777"/>
      <c r="E1777"/>
      <c r="F1777"/>
    </row>
    <row r="1778" spans="1:6" x14ac:dyDescent="0.25">
      <c r="A1778"/>
      <c r="B1778"/>
      <c r="E1778"/>
      <c r="F1778"/>
    </row>
    <row r="1779" spans="1:6" x14ac:dyDescent="0.25">
      <c r="A1779"/>
      <c r="B1779"/>
      <c r="E1779"/>
      <c r="F1779"/>
    </row>
    <row r="1780" spans="1:6" x14ac:dyDescent="0.25">
      <c r="A1780"/>
      <c r="B1780"/>
      <c r="E1780"/>
      <c r="F1780"/>
    </row>
    <row r="1781" spans="1:6" x14ac:dyDescent="0.25">
      <c r="A1781"/>
      <c r="B1781"/>
      <c r="E1781"/>
      <c r="F1781"/>
    </row>
    <row r="1782" spans="1:6" x14ac:dyDescent="0.25">
      <c r="A1782"/>
      <c r="B1782"/>
      <c r="E1782"/>
      <c r="F1782"/>
    </row>
    <row r="1783" spans="1:6" x14ac:dyDescent="0.25">
      <c r="A1783"/>
      <c r="B1783"/>
      <c r="E1783"/>
      <c r="F1783"/>
    </row>
    <row r="1784" spans="1:6" x14ac:dyDescent="0.25">
      <c r="A1784"/>
      <c r="B1784"/>
      <c r="E1784"/>
      <c r="F1784"/>
    </row>
    <row r="1785" spans="1:6" x14ac:dyDescent="0.25">
      <c r="A1785"/>
      <c r="B1785"/>
      <c r="E1785"/>
      <c r="F1785"/>
    </row>
    <row r="1786" spans="1:6" x14ac:dyDescent="0.25">
      <c r="A1786"/>
      <c r="B1786"/>
      <c r="E1786"/>
      <c r="F1786"/>
    </row>
    <row r="1787" spans="1:6" x14ac:dyDescent="0.25">
      <c r="A1787"/>
      <c r="B1787"/>
      <c r="E1787"/>
      <c r="F1787"/>
    </row>
    <row r="1788" spans="1:6" x14ac:dyDescent="0.25">
      <c r="A1788"/>
      <c r="B1788"/>
      <c r="E1788"/>
      <c r="F1788"/>
    </row>
    <row r="1789" spans="1:6" x14ac:dyDescent="0.25">
      <c r="A1789"/>
      <c r="B1789"/>
      <c r="E1789"/>
      <c r="F1789"/>
    </row>
    <row r="1790" spans="1:6" x14ac:dyDescent="0.25">
      <c r="A1790"/>
      <c r="B1790"/>
      <c r="E1790"/>
      <c r="F1790"/>
    </row>
    <row r="1791" spans="1:6" x14ac:dyDescent="0.25">
      <c r="A1791"/>
      <c r="B1791"/>
      <c r="E1791"/>
      <c r="F1791"/>
    </row>
    <row r="1792" spans="1:6" x14ac:dyDescent="0.25">
      <c r="A1792"/>
      <c r="B1792"/>
      <c r="E1792"/>
      <c r="F1792"/>
    </row>
    <row r="1793" spans="1:6" x14ac:dyDescent="0.25">
      <c r="A1793"/>
      <c r="B1793"/>
      <c r="E1793"/>
      <c r="F1793"/>
    </row>
    <row r="1794" spans="1:6" x14ac:dyDescent="0.25">
      <c r="A1794"/>
      <c r="B1794"/>
      <c r="E1794"/>
      <c r="F1794"/>
    </row>
    <row r="1795" spans="1:6" x14ac:dyDescent="0.25">
      <c r="A1795"/>
      <c r="B1795"/>
      <c r="E1795"/>
      <c r="F1795"/>
    </row>
    <row r="1796" spans="1:6" x14ac:dyDescent="0.25">
      <c r="A1796"/>
      <c r="B1796"/>
      <c r="E1796"/>
      <c r="F1796"/>
    </row>
    <row r="1797" spans="1:6" x14ac:dyDescent="0.25">
      <c r="A1797"/>
      <c r="B1797"/>
      <c r="E1797"/>
      <c r="F1797"/>
    </row>
    <row r="1798" spans="1:6" x14ac:dyDescent="0.25">
      <c r="A1798"/>
      <c r="B1798"/>
      <c r="E1798"/>
      <c r="F1798"/>
    </row>
    <row r="1799" spans="1:6" x14ac:dyDescent="0.25">
      <c r="A1799"/>
      <c r="B1799"/>
      <c r="E1799"/>
      <c r="F1799"/>
    </row>
    <row r="1800" spans="1:6" x14ac:dyDescent="0.25">
      <c r="A1800"/>
      <c r="B1800"/>
      <c r="E1800"/>
      <c r="F1800"/>
    </row>
    <row r="1801" spans="1:6" x14ac:dyDescent="0.25">
      <c r="A1801"/>
      <c r="B1801"/>
      <c r="E1801"/>
      <c r="F1801"/>
    </row>
    <row r="1802" spans="1:6" x14ac:dyDescent="0.25">
      <c r="A1802"/>
      <c r="B1802"/>
      <c r="E1802"/>
      <c r="F1802"/>
    </row>
    <row r="1803" spans="1:6" x14ac:dyDescent="0.25">
      <c r="A1803"/>
      <c r="B1803"/>
      <c r="E1803"/>
      <c r="F1803"/>
    </row>
    <row r="1804" spans="1:6" x14ac:dyDescent="0.25">
      <c r="A1804"/>
      <c r="B1804"/>
      <c r="E1804"/>
      <c r="F1804"/>
    </row>
    <row r="1805" spans="1:6" x14ac:dyDescent="0.25">
      <c r="A1805"/>
      <c r="B1805"/>
      <c r="E1805"/>
      <c r="F1805"/>
    </row>
    <row r="1806" spans="1:6" x14ac:dyDescent="0.25">
      <c r="A1806"/>
      <c r="B1806"/>
      <c r="E1806"/>
      <c r="F1806"/>
    </row>
    <row r="1807" spans="1:6" x14ac:dyDescent="0.25">
      <c r="A1807"/>
      <c r="B1807"/>
      <c r="E1807"/>
      <c r="F1807"/>
    </row>
    <row r="1808" spans="1:6" x14ac:dyDescent="0.25">
      <c r="A1808"/>
      <c r="B1808"/>
      <c r="E1808"/>
      <c r="F1808"/>
    </row>
    <row r="1809" spans="1:6" x14ac:dyDescent="0.25">
      <c r="A1809"/>
      <c r="B1809"/>
      <c r="E1809"/>
      <c r="F1809"/>
    </row>
    <row r="1810" spans="1:6" x14ac:dyDescent="0.25">
      <c r="A1810"/>
      <c r="B1810"/>
      <c r="E1810"/>
      <c r="F1810"/>
    </row>
    <row r="1811" spans="1:6" x14ac:dyDescent="0.25">
      <c r="A1811"/>
      <c r="B1811"/>
      <c r="E1811"/>
      <c r="F1811"/>
    </row>
    <row r="1812" spans="1:6" x14ac:dyDescent="0.25">
      <c r="A1812"/>
      <c r="B1812"/>
      <c r="E1812"/>
      <c r="F1812"/>
    </row>
    <row r="1813" spans="1:6" x14ac:dyDescent="0.25">
      <c r="A1813"/>
      <c r="B1813"/>
      <c r="E1813"/>
      <c r="F1813"/>
    </row>
    <row r="1814" spans="1:6" x14ac:dyDescent="0.25">
      <c r="A1814"/>
      <c r="B1814"/>
      <c r="E1814"/>
      <c r="F1814"/>
    </row>
    <row r="1815" spans="1:6" x14ac:dyDescent="0.25">
      <c r="A1815"/>
      <c r="B1815"/>
      <c r="E1815"/>
      <c r="F1815"/>
    </row>
    <row r="1816" spans="1:6" x14ac:dyDescent="0.25">
      <c r="A1816"/>
      <c r="B1816"/>
      <c r="E1816"/>
      <c r="F1816"/>
    </row>
    <row r="1817" spans="1:6" x14ac:dyDescent="0.25">
      <c r="A1817"/>
      <c r="B1817"/>
      <c r="E1817"/>
      <c r="F1817"/>
    </row>
    <row r="1818" spans="1:6" x14ac:dyDescent="0.25">
      <c r="A1818"/>
      <c r="B1818"/>
      <c r="E1818"/>
      <c r="F1818"/>
    </row>
    <row r="1819" spans="1:6" x14ac:dyDescent="0.25">
      <c r="A1819"/>
      <c r="B1819"/>
      <c r="E1819"/>
      <c r="F1819"/>
    </row>
    <row r="1820" spans="1:6" x14ac:dyDescent="0.25">
      <c r="A1820"/>
      <c r="B1820"/>
      <c r="E1820"/>
      <c r="F1820"/>
    </row>
    <row r="1821" spans="1:6" x14ac:dyDescent="0.25">
      <c r="A1821"/>
      <c r="B1821"/>
      <c r="E1821"/>
      <c r="F1821"/>
    </row>
    <row r="1822" spans="1:6" x14ac:dyDescent="0.25">
      <c r="A1822"/>
      <c r="B1822"/>
      <c r="E1822"/>
      <c r="F1822"/>
    </row>
    <row r="1823" spans="1:6" x14ac:dyDescent="0.25">
      <c r="A1823"/>
      <c r="B1823"/>
      <c r="E1823"/>
      <c r="F1823"/>
    </row>
    <row r="1824" spans="1:6" x14ac:dyDescent="0.25">
      <c r="A1824"/>
      <c r="B1824"/>
      <c r="E1824"/>
      <c r="F1824"/>
    </row>
    <row r="1825" spans="1:6" x14ac:dyDescent="0.25">
      <c r="A1825"/>
      <c r="B1825"/>
      <c r="E1825"/>
      <c r="F1825"/>
    </row>
    <row r="1826" spans="1:6" x14ac:dyDescent="0.25">
      <c r="A1826"/>
      <c r="B1826"/>
      <c r="E1826"/>
      <c r="F1826"/>
    </row>
    <row r="1827" spans="1:6" x14ac:dyDescent="0.25">
      <c r="A1827"/>
      <c r="B1827"/>
      <c r="E1827"/>
      <c r="F1827"/>
    </row>
    <row r="1828" spans="1:6" x14ac:dyDescent="0.25">
      <c r="A1828"/>
      <c r="B1828"/>
      <c r="E1828"/>
      <c r="F1828"/>
    </row>
    <row r="1829" spans="1:6" x14ac:dyDescent="0.25">
      <c r="A1829"/>
      <c r="B1829"/>
      <c r="E1829"/>
      <c r="F1829"/>
    </row>
    <row r="1830" spans="1:6" x14ac:dyDescent="0.25">
      <c r="A1830"/>
      <c r="B1830"/>
      <c r="E1830"/>
      <c r="F1830"/>
    </row>
    <row r="1831" spans="1:6" x14ac:dyDescent="0.25">
      <c r="A1831"/>
      <c r="B1831"/>
      <c r="E1831"/>
      <c r="F1831"/>
    </row>
    <row r="1832" spans="1:6" x14ac:dyDescent="0.25">
      <c r="A1832"/>
      <c r="B1832"/>
      <c r="E1832"/>
      <c r="F1832"/>
    </row>
    <row r="1833" spans="1:6" x14ac:dyDescent="0.25">
      <c r="A1833"/>
      <c r="B1833"/>
      <c r="E1833"/>
      <c r="F1833"/>
    </row>
    <row r="1834" spans="1:6" x14ac:dyDescent="0.25">
      <c r="A1834"/>
      <c r="B1834"/>
      <c r="E1834"/>
      <c r="F1834"/>
    </row>
    <row r="1835" spans="1:6" x14ac:dyDescent="0.25">
      <c r="A1835"/>
      <c r="B1835"/>
      <c r="E1835"/>
      <c r="F1835"/>
    </row>
    <row r="1836" spans="1:6" x14ac:dyDescent="0.25">
      <c r="A1836"/>
      <c r="B1836"/>
      <c r="E1836"/>
      <c r="F1836"/>
    </row>
    <row r="1837" spans="1:6" x14ac:dyDescent="0.25">
      <c r="A1837"/>
      <c r="B1837"/>
      <c r="E1837"/>
      <c r="F1837"/>
    </row>
    <row r="1838" spans="1:6" x14ac:dyDescent="0.25">
      <c r="A1838"/>
      <c r="B1838"/>
      <c r="E1838"/>
      <c r="F1838"/>
    </row>
    <row r="1839" spans="1:6" x14ac:dyDescent="0.25">
      <c r="A1839"/>
      <c r="B1839"/>
      <c r="E1839"/>
      <c r="F1839"/>
    </row>
    <row r="1840" spans="1:6" x14ac:dyDescent="0.25">
      <c r="A1840"/>
      <c r="B1840"/>
      <c r="E1840"/>
      <c r="F1840"/>
    </row>
    <row r="1841" spans="1:6" x14ac:dyDescent="0.25">
      <c r="A1841"/>
      <c r="B1841"/>
      <c r="E1841"/>
      <c r="F1841"/>
    </row>
    <row r="1842" spans="1:6" x14ac:dyDescent="0.25">
      <c r="A1842"/>
      <c r="B1842"/>
      <c r="E1842"/>
      <c r="F1842"/>
    </row>
    <row r="1843" spans="1:6" x14ac:dyDescent="0.25">
      <c r="A1843"/>
      <c r="B1843"/>
      <c r="E1843"/>
      <c r="F1843"/>
    </row>
    <row r="1844" spans="1:6" x14ac:dyDescent="0.25">
      <c r="A1844"/>
      <c r="B1844"/>
      <c r="E1844"/>
      <c r="F1844"/>
    </row>
    <row r="1845" spans="1:6" x14ac:dyDescent="0.25">
      <c r="A1845"/>
      <c r="B1845"/>
      <c r="E1845"/>
      <c r="F1845"/>
    </row>
    <row r="1846" spans="1:6" x14ac:dyDescent="0.25">
      <c r="A1846"/>
      <c r="B1846"/>
      <c r="E1846"/>
      <c r="F1846"/>
    </row>
    <row r="1847" spans="1:6" x14ac:dyDescent="0.25">
      <c r="A1847"/>
      <c r="B1847"/>
      <c r="E1847"/>
      <c r="F1847"/>
    </row>
    <row r="1848" spans="1:6" x14ac:dyDescent="0.25">
      <c r="A1848"/>
      <c r="B1848"/>
      <c r="E1848"/>
      <c r="F1848"/>
    </row>
    <row r="1849" spans="1:6" x14ac:dyDescent="0.25">
      <c r="A1849"/>
      <c r="B1849"/>
      <c r="E1849"/>
      <c r="F1849"/>
    </row>
    <row r="1850" spans="1:6" x14ac:dyDescent="0.25">
      <c r="A1850"/>
      <c r="B1850"/>
      <c r="E1850"/>
      <c r="F1850"/>
    </row>
    <row r="1851" spans="1:6" x14ac:dyDescent="0.25">
      <c r="A1851"/>
      <c r="B1851"/>
      <c r="E1851"/>
      <c r="F1851"/>
    </row>
    <row r="1852" spans="1:6" x14ac:dyDescent="0.25">
      <c r="A1852"/>
      <c r="B1852"/>
      <c r="E1852"/>
      <c r="F1852"/>
    </row>
    <row r="1853" spans="1:6" x14ac:dyDescent="0.25">
      <c r="A1853"/>
      <c r="B1853"/>
      <c r="E1853"/>
      <c r="F1853"/>
    </row>
    <row r="1854" spans="1:6" x14ac:dyDescent="0.25">
      <c r="A1854"/>
      <c r="B1854"/>
      <c r="E1854"/>
      <c r="F1854"/>
    </row>
    <row r="1855" spans="1:6" x14ac:dyDescent="0.25">
      <c r="A1855"/>
      <c r="B1855"/>
      <c r="E1855"/>
      <c r="F1855"/>
    </row>
    <row r="1856" spans="1:6" x14ac:dyDescent="0.25">
      <c r="A1856"/>
      <c r="B1856"/>
      <c r="E1856"/>
      <c r="F1856"/>
    </row>
    <row r="1857" spans="1:6" x14ac:dyDescent="0.25">
      <c r="A1857"/>
      <c r="B1857"/>
      <c r="E1857"/>
      <c r="F1857"/>
    </row>
    <row r="1858" spans="1:6" x14ac:dyDescent="0.25">
      <c r="A1858"/>
      <c r="B1858"/>
      <c r="E1858"/>
      <c r="F1858"/>
    </row>
    <row r="1859" spans="1:6" x14ac:dyDescent="0.25">
      <c r="A1859"/>
      <c r="B1859"/>
      <c r="E1859"/>
      <c r="F1859"/>
    </row>
    <row r="1860" spans="1:6" x14ac:dyDescent="0.25">
      <c r="A1860"/>
      <c r="B1860"/>
      <c r="E1860"/>
      <c r="F1860"/>
    </row>
    <row r="1861" spans="1:6" x14ac:dyDescent="0.25">
      <c r="A1861"/>
      <c r="B1861"/>
      <c r="E1861"/>
      <c r="F1861"/>
    </row>
    <row r="1862" spans="1:6" x14ac:dyDescent="0.25">
      <c r="A1862"/>
      <c r="B1862"/>
      <c r="E1862"/>
      <c r="F1862"/>
    </row>
    <row r="1863" spans="1:6" x14ac:dyDescent="0.25">
      <c r="A1863"/>
      <c r="B1863"/>
      <c r="E1863"/>
      <c r="F1863"/>
    </row>
    <row r="1864" spans="1:6" x14ac:dyDescent="0.25">
      <c r="A1864"/>
      <c r="B1864"/>
      <c r="E1864"/>
      <c r="F1864"/>
    </row>
    <row r="1865" spans="1:6" x14ac:dyDescent="0.25">
      <c r="A1865"/>
      <c r="B1865"/>
      <c r="E1865"/>
      <c r="F1865"/>
    </row>
    <row r="1866" spans="1:6" x14ac:dyDescent="0.25">
      <c r="A1866"/>
      <c r="B1866"/>
      <c r="E1866"/>
      <c r="F1866"/>
    </row>
    <row r="1867" spans="1:6" x14ac:dyDescent="0.25">
      <c r="A1867"/>
      <c r="B1867"/>
      <c r="E1867"/>
      <c r="F1867"/>
    </row>
    <row r="1868" spans="1:6" x14ac:dyDescent="0.25">
      <c r="A1868"/>
      <c r="B1868"/>
      <c r="E1868"/>
      <c r="F1868"/>
    </row>
    <row r="1869" spans="1:6" x14ac:dyDescent="0.25">
      <c r="A1869"/>
      <c r="B1869"/>
      <c r="E1869"/>
      <c r="F1869"/>
    </row>
    <row r="1870" spans="1:6" x14ac:dyDescent="0.25">
      <c r="A1870"/>
      <c r="B1870"/>
      <c r="E1870"/>
      <c r="F1870"/>
    </row>
    <row r="1871" spans="1:6" x14ac:dyDescent="0.25">
      <c r="A1871"/>
      <c r="B1871"/>
      <c r="E1871"/>
      <c r="F1871"/>
    </row>
    <row r="1872" spans="1:6" x14ac:dyDescent="0.25">
      <c r="A1872"/>
      <c r="B1872"/>
      <c r="E1872"/>
      <c r="F1872"/>
    </row>
    <row r="1873" spans="1:6" x14ac:dyDescent="0.25">
      <c r="A1873"/>
      <c r="B1873"/>
      <c r="E1873"/>
      <c r="F1873"/>
    </row>
    <row r="1874" spans="1:6" x14ac:dyDescent="0.25">
      <c r="A1874"/>
      <c r="B1874"/>
      <c r="E1874"/>
      <c r="F1874"/>
    </row>
    <row r="1875" spans="1:6" x14ac:dyDescent="0.25">
      <c r="A1875"/>
      <c r="B1875"/>
      <c r="E1875"/>
      <c r="F1875"/>
    </row>
    <row r="1876" spans="1:6" x14ac:dyDescent="0.25">
      <c r="A1876"/>
      <c r="B1876"/>
      <c r="E1876"/>
      <c r="F1876"/>
    </row>
    <row r="1877" spans="1:6" x14ac:dyDescent="0.25">
      <c r="A1877"/>
      <c r="B1877"/>
      <c r="E1877"/>
      <c r="F1877"/>
    </row>
    <row r="1878" spans="1:6" x14ac:dyDescent="0.25">
      <c r="A1878"/>
      <c r="B1878"/>
      <c r="E1878"/>
      <c r="F1878"/>
    </row>
    <row r="1879" spans="1:6" x14ac:dyDescent="0.25">
      <c r="A1879"/>
      <c r="B1879"/>
      <c r="E1879"/>
      <c r="F1879"/>
    </row>
    <row r="1880" spans="1:6" x14ac:dyDescent="0.25">
      <c r="A1880"/>
      <c r="B1880"/>
      <c r="E1880"/>
      <c r="F1880"/>
    </row>
    <row r="1881" spans="1:6" x14ac:dyDescent="0.25">
      <c r="A1881"/>
      <c r="B1881"/>
      <c r="E1881"/>
      <c r="F1881"/>
    </row>
    <row r="1882" spans="1:6" x14ac:dyDescent="0.25">
      <c r="A1882"/>
      <c r="B1882"/>
      <c r="E1882"/>
      <c r="F1882"/>
    </row>
    <row r="1883" spans="1:6" x14ac:dyDescent="0.25">
      <c r="A1883"/>
      <c r="B1883"/>
      <c r="E1883"/>
      <c r="F1883"/>
    </row>
    <row r="1884" spans="1:6" x14ac:dyDescent="0.25">
      <c r="A1884"/>
      <c r="B1884"/>
      <c r="E1884"/>
      <c r="F1884"/>
    </row>
    <row r="1885" spans="1:6" x14ac:dyDescent="0.25">
      <c r="A1885"/>
      <c r="B1885"/>
      <c r="E1885"/>
      <c r="F1885"/>
    </row>
    <row r="1886" spans="1:6" x14ac:dyDescent="0.25">
      <c r="A1886"/>
      <c r="B1886"/>
      <c r="E1886"/>
      <c r="F1886"/>
    </row>
    <row r="1887" spans="1:6" x14ac:dyDescent="0.25">
      <c r="A1887"/>
      <c r="B1887"/>
      <c r="E1887"/>
      <c r="F1887"/>
    </row>
    <row r="1888" spans="1:6" x14ac:dyDescent="0.25">
      <c r="A1888"/>
      <c r="B1888"/>
      <c r="E1888"/>
      <c r="F1888"/>
    </row>
    <row r="1889" spans="1:6" x14ac:dyDescent="0.25">
      <c r="A1889"/>
      <c r="B1889"/>
      <c r="E1889"/>
      <c r="F1889"/>
    </row>
    <row r="1890" spans="1:6" x14ac:dyDescent="0.25">
      <c r="A1890"/>
      <c r="B1890"/>
      <c r="E1890"/>
      <c r="F1890"/>
    </row>
    <row r="1891" spans="1:6" x14ac:dyDescent="0.25">
      <c r="A1891"/>
      <c r="B1891"/>
      <c r="E1891"/>
      <c r="F1891"/>
    </row>
    <row r="1892" spans="1:6" x14ac:dyDescent="0.25">
      <c r="A1892"/>
      <c r="B1892"/>
      <c r="E1892"/>
      <c r="F1892"/>
    </row>
    <row r="1893" spans="1:6" x14ac:dyDescent="0.25">
      <c r="A1893"/>
      <c r="B1893"/>
      <c r="E1893"/>
      <c r="F1893"/>
    </row>
    <row r="1894" spans="1:6" x14ac:dyDescent="0.25">
      <c r="A1894"/>
      <c r="B1894"/>
      <c r="E1894"/>
      <c r="F1894"/>
    </row>
    <row r="1895" spans="1:6" x14ac:dyDescent="0.25">
      <c r="A1895"/>
      <c r="B1895"/>
      <c r="E1895"/>
      <c r="F1895"/>
    </row>
    <row r="1896" spans="1:6" x14ac:dyDescent="0.25">
      <c r="A1896"/>
      <c r="B1896"/>
      <c r="E1896"/>
      <c r="F1896"/>
    </row>
    <row r="1897" spans="1:6" x14ac:dyDescent="0.25">
      <c r="A1897"/>
      <c r="B1897"/>
      <c r="E1897"/>
      <c r="F1897"/>
    </row>
    <row r="1898" spans="1:6" x14ac:dyDescent="0.25">
      <c r="A1898"/>
      <c r="B1898"/>
      <c r="E1898"/>
      <c r="F1898"/>
    </row>
    <row r="1899" spans="1:6" x14ac:dyDescent="0.25">
      <c r="A1899"/>
      <c r="B1899"/>
      <c r="E1899"/>
      <c r="F1899"/>
    </row>
    <row r="1900" spans="1:6" x14ac:dyDescent="0.25">
      <c r="A1900"/>
      <c r="B1900"/>
      <c r="E1900"/>
      <c r="F1900"/>
    </row>
    <row r="1901" spans="1:6" x14ac:dyDescent="0.25">
      <c r="A1901"/>
      <c r="B1901"/>
      <c r="E1901"/>
      <c r="F1901"/>
    </row>
    <row r="1902" spans="1:6" x14ac:dyDescent="0.25">
      <c r="A1902"/>
      <c r="B1902"/>
      <c r="E1902"/>
      <c r="F1902"/>
    </row>
    <row r="1903" spans="1:6" x14ac:dyDescent="0.25">
      <c r="A1903"/>
      <c r="B1903"/>
      <c r="E1903"/>
      <c r="F1903"/>
    </row>
    <row r="1904" spans="1:6" x14ac:dyDescent="0.25">
      <c r="A1904"/>
      <c r="B1904"/>
      <c r="E1904"/>
      <c r="F1904"/>
    </row>
    <row r="1905" spans="1:6" x14ac:dyDescent="0.25">
      <c r="A1905"/>
      <c r="B1905"/>
      <c r="E1905"/>
      <c r="F1905"/>
    </row>
    <row r="1906" spans="1:6" x14ac:dyDescent="0.25">
      <c r="A1906"/>
      <c r="B1906"/>
      <c r="E1906"/>
      <c r="F1906"/>
    </row>
    <row r="1907" spans="1:6" x14ac:dyDescent="0.25">
      <c r="A1907"/>
      <c r="B1907"/>
      <c r="E1907"/>
      <c r="F1907"/>
    </row>
    <row r="1908" spans="1:6" x14ac:dyDescent="0.25">
      <c r="A1908"/>
      <c r="B1908"/>
      <c r="E1908"/>
      <c r="F1908"/>
    </row>
    <row r="1909" spans="1:6" x14ac:dyDescent="0.25">
      <c r="A1909"/>
      <c r="B1909"/>
      <c r="E1909"/>
      <c r="F1909"/>
    </row>
    <row r="1910" spans="1:6" x14ac:dyDescent="0.25">
      <c r="A1910"/>
      <c r="B1910"/>
      <c r="E1910"/>
      <c r="F1910"/>
    </row>
    <row r="1911" spans="1:6" x14ac:dyDescent="0.25">
      <c r="A1911"/>
      <c r="B1911"/>
      <c r="E1911"/>
      <c r="F1911"/>
    </row>
    <row r="1912" spans="1:6" x14ac:dyDescent="0.25">
      <c r="A1912"/>
      <c r="B1912"/>
      <c r="E1912"/>
      <c r="F1912"/>
    </row>
    <row r="1913" spans="1:6" x14ac:dyDescent="0.25">
      <c r="A1913"/>
      <c r="B1913"/>
      <c r="E1913"/>
      <c r="F1913"/>
    </row>
    <row r="1914" spans="1:6" x14ac:dyDescent="0.25">
      <c r="A1914"/>
      <c r="B1914"/>
      <c r="E1914"/>
      <c r="F1914"/>
    </row>
    <row r="1915" spans="1:6" x14ac:dyDescent="0.25">
      <c r="A1915"/>
      <c r="B1915"/>
      <c r="E1915"/>
      <c r="F1915"/>
    </row>
    <row r="1916" spans="1:6" x14ac:dyDescent="0.25">
      <c r="A1916"/>
      <c r="B1916"/>
      <c r="E1916"/>
      <c r="F1916"/>
    </row>
    <row r="1917" spans="1:6" x14ac:dyDescent="0.25">
      <c r="A1917"/>
      <c r="B1917"/>
      <c r="E1917"/>
      <c r="F1917"/>
    </row>
    <row r="1918" spans="1:6" x14ac:dyDescent="0.25">
      <c r="A1918"/>
      <c r="B1918"/>
      <c r="E1918"/>
      <c r="F1918"/>
    </row>
    <row r="1919" spans="1:6" x14ac:dyDescent="0.25">
      <c r="A1919"/>
      <c r="B1919"/>
      <c r="E1919"/>
      <c r="F1919"/>
    </row>
    <row r="1920" spans="1:6" x14ac:dyDescent="0.25">
      <c r="A1920"/>
      <c r="B1920"/>
      <c r="E1920"/>
      <c r="F1920"/>
    </row>
    <row r="1921" spans="1:6" x14ac:dyDescent="0.25">
      <c r="A1921"/>
      <c r="B1921"/>
      <c r="E1921"/>
      <c r="F1921"/>
    </row>
    <row r="1922" spans="1:6" x14ac:dyDescent="0.25">
      <c r="A1922"/>
      <c r="B1922"/>
      <c r="E1922"/>
      <c r="F1922"/>
    </row>
    <row r="1923" spans="1:6" x14ac:dyDescent="0.25">
      <c r="A1923"/>
      <c r="B1923"/>
      <c r="E1923"/>
      <c r="F1923"/>
    </row>
    <row r="1924" spans="1:6" x14ac:dyDescent="0.25">
      <c r="A1924"/>
      <c r="B1924"/>
      <c r="E1924"/>
      <c r="F1924"/>
    </row>
    <row r="1925" spans="1:6" x14ac:dyDescent="0.25">
      <c r="A1925"/>
      <c r="B1925"/>
      <c r="E1925"/>
      <c r="F1925"/>
    </row>
    <row r="1926" spans="1:6" x14ac:dyDescent="0.25">
      <c r="A1926"/>
      <c r="B1926"/>
      <c r="E1926"/>
      <c r="F1926"/>
    </row>
    <row r="1927" spans="1:6" x14ac:dyDescent="0.25">
      <c r="A1927"/>
      <c r="B1927"/>
      <c r="E1927"/>
      <c r="F1927"/>
    </row>
    <row r="1928" spans="1:6" x14ac:dyDescent="0.25">
      <c r="A1928"/>
      <c r="B1928"/>
      <c r="E1928"/>
      <c r="F1928"/>
    </row>
    <row r="1929" spans="1:6" x14ac:dyDescent="0.25">
      <c r="A1929"/>
      <c r="B1929"/>
      <c r="E1929"/>
      <c r="F1929"/>
    </row>
    <row r="1930" spans="1:6" x14ac:dyDescent="0.25">
      <c r="A1930"/>
      <c r="B1930"/>
      <c r="E1930"/>
      <c r="F1930"/>
    </row>
    <row r="1931" spans="1:6" x14ac:dyDescent="0.25">
      <c r="A1931"/>
      <c r="B1931"/>
      <c r="E1931"/>
      <c r="F1931"/>
    </row>
    <row r="1932" spans="1:6" x14ac:dyDescent="0.25">
      <c r="A1932"/>
      <c r="B1932"/>
      <c r="E1932"/>
      <c r="F1932"/>
    </row>
    <row r="1933" spans="1:6" x14ac:dyDescent="0.25">
      <c r="A1933"/>
      <c r="B1933"/>
      <c r="E1933"/>
      <c r="F1933"/>
    </row>
    <row r="1934" spans="1:6" x14ac:dyDescent="0.25">
      <c r="A1934"/>
      <c r="B1934"/>
      <c r="E1934"/>
      <c r="F1934"/>
    </row>
    <row r="1935" spans="1:6" x14ac:dyDescent="0.25">
      <c r="A1935"/>
      <c r="B1935"/>
      <c r="E1935"/>
      <c r="F1935"/>
    </row>
    <row r="1936" spans="1:6" x14ac:dyDescent="0.25">
      <c r="A1936"/>
      <c r="B1936"/>
      <c r="E1936"/>
      <c r="F1936"/>
    </row>
    <row r="1937" spans="1:6" x14ac:dyDescent="0.25">
      <c r="A1937"/>
      <c r="B1937"/>
      <c r="E1937"/>
      <c r="F1937"/>
    </row>
    <row r="1938" spans="1:6" x14ac:dyDescent="0.25">
      <c r="A1938"/>
      <c r="B1938"/>
      <c r="E1938"/>
      <c r="F1938"/>
    </row>
    <row r="1939" spans="1:6" x14ac:dyDescent="0.25">
      <c r="A1939"/>
      <c r="B1939"/>
      <c r="E1939"/>
      <c r="F1939"/>
    </row>
    <row r="1940" spans="1:6" x14ac:dyDescent="0.25">
      <c r="A1940"/>
      <c r="B1940"/>
      <c r="E1940"/>
      <c r="F1940"/>
    </row>
    <row r="1941" spans="1:6" x14ac:dyDescent="0.25">
      <c r="A1941"/>
      <c r="B1941"/>
      <c r="E1941"/>
      <c r="F1941"/>
    </row>
    <row r="1942" spans="1:6" x14ac:dyDescent="0.25">
      <c r="A1942"/>
      <c r="B1942"/>
      <c r="E1942"/>
      <c r="F1942"/>
    </row>
    <row r="1943" spans="1:6" x14ac:dyDescent="0.25">
      <c r="A1943"/>
      <c r="B1943"/>
      <c r="E1943"/>
      <c r="F1943"/>
    </row>
    <row r="1944" spans="1:6" x14ac:dyDescent="0.25">
      <c r="A1944"/>
      <c r="B1944"/>
      <c r="E1944"/>
      <c r="F1944"/>
    </row>
    <row r="1945" spans="1:6" x14ac:dyDescent="0.25">
      <c r="A1945"/>
      <c r="B1945"/>
      <c r="E1945"/>
      <c r="F1945"/>
    </row>
    <row r="1946" spans="1:6" x14ac:dyDescent="0.25">
      <c r="A1946"/>
      <c r="B1946"/>
      <c r="E1946"/>
      <c r="F1946"/>
    </row>
    <row r="1947" spans="1:6" x14ac:dyDescent="0.25">
      <c r="A1947"/>
      <c r="B1947"/>
      <c r="E1947"/>
      <c r="F1947"/>
    </row>
    <row r="1948" spans="1:6" x14ac:dyDescent="0.25">
      <c r="A1948"/>
      <c r="B1948"/>
      <c r="E1948"/>
      <c r="F1948"/>
    </row>
    <row r="1949" spans="1:6" x14ac:dyDescent="0.25">
      <c r="A1949"/>
      <c r="B1949"/>
      <c r="E1949"/>
      <c r="F1949"/>
    </row>
    <row r="1950" spans="1:6" x14ac:dyDescent="0.25">
      <c r="A1950"/>
      <c r="B1950"/>
      <c r="E1950"/>
      <c r="F1950"/>
    </row>
    <row r="1951" spans="1:6" x14ac:dyDescent="0.25">
      <c r="A1951"/>
      <c r="B1951"/>
      <c r="E1951"/>
      <c r="F1951"/>
    </row>
    <row r="1952" spans="1:6" x14ac:dyDescent="0.25">
      <c r="A1952"/>
      <c r="B1952"/>
      <c r="E1952"/>
      <c r="F1952"/>
    </row>
    <row r="1953" spans="1:6" x14ac:dyDescent="0.25">
      <c r="A1953"/>
      <c r="B1953"/>
      <c r="E1953"/>
      <c r="F1953"/>
    </row>
    <row r="1954" spans="1:6" x14ac:dyDescent="0.25">
      <c r="A1954"/>
      <c r="B1954"/>
      <c r="E1954"/>
      <c r="F1954"/>
    </row>
    <row r="1955" spans="1:6" x14ac:dyDescent="0.25">
      <c r="A1955"/>
      <c r="B1955"/>
      <c r="E1955"/>
      <c r="F1955"/>
    </row>
    <row r="1956" spans="1:6" x14ac:dyDescent="0.25">
      <c r="A1956"/>
      <c r="B1956"/>
      <c r="E1956"/>
      <c r="F1956"/>
    </row>
    <row r="1957" spans="1:6" x14ac:dyDescent="0.25">
      <c r="A1957"/>
      <c r="B1957"/>
      <c r="E1957"/>
      <c r="F1957"/>
    </row>
    <row r="1958" spans="1:6" x14ac:dyDescent="0.25">
      <c r="A1958"/>
      <c r="B1958"/>
      <c r="E1958"/>
      <c r="F1958"/>
    </row>
    <row r="1959" spans="1:6" x14ac:dyDescent="0.25">
      <c r="A1959"/>
      <c r="B1959"/>
      <c r="E1959"/>
      <c r="F1959"/>
    </row>
    <row r="1960" spans="1:6" x14ac:dyDescent="0.25">
      <c r="A1960"/>
      <c r="B1960"/>
      <c r="E1960"/>
      <c r="F1960"/>
    </row>
    <row r="1961" spans="1:6" x14ac:dyDescent="0.25">
      <c r="A1961"/>
      <c r="B1961"/>
      <c r="E1961"/>
      <c r="F1961"/>
    </row>
    <row r="1962" spans="1:6" x14ac:dyDescent="0.25">
      <c r="A1962"/>
      <c r="B1962"/>
      <c r="E1962"/>
      <c r="F1962"/>
    </row>
    <row r="1963" spans="1:6" x14ac:dyDescent="0.25">
      <c r="A1963"/>
      <c r="B1963"/>
      <c r="E1963"/>
      <c r="F1963"/>
    </row>
    <row r="1964" spans="1:6" x14ac:dyDescent="0.25">
      <c r="A1964"/>
      <c r="B1964"/>
      <c r="E1964"/>
      <c r="F1964"/>
    </row>
    <row r="1965" spans="1:6" x14ac:dyDescent="0.25">
      <c r="A1965"/>
      <c r="B1965"/>
      <c r="E1965"/>
      <c r="F1965"/>
    </row>
    <row r="1966" spans="1:6" x14ac:dyDescent="0.25">
      <c r="A1966"/>
      <c r="B1966"/>
      <c r="E1966"/>
      <c r="F1966"/>
    </row>
    <row r="1967" spans="1:6" x14ac:dyDescent="0.25">
      <c r="A1967"/>
      <c r="B1967"/>
      <c r="E1967"/>
      <c r="F1967"/>
    </row>
    <row r="1968" spans="1:6" x14ac:dyDescent="0.25">
      <c r="A1968"/>
      <c r="B1968"/>
      <c r="E1968"/>
      <c r="F1968"/>
    </row>
    <row r="1969" spans="1:6" x14ac:dyDescent="0.25">
      <c r="A1969"/>
      <c r="B1969"/>
      <c r="E1969"/>
      <c r="F1969"/>
    </row>
    <row r="1970" spans="1:6" x14ac:dyDescent="0.25">
      <c r="A1970"/>
      <c r="B1970"/>
      <c r="E1970"/>
      <c r="F1970"/>
    </row>
    <row r="1971" spans="1:6" x14ac:dyDescent="0.25">
      <c r="A1971"/>
      <c r="B1971"/>
      <c r="E1971"/>
      <c r="F1971"/>
    </row>
    <row r="1972" spans="1:6" x14ac:dyDescent="0.25">
      <c r="A1972"/>
      <c r="B1972"/>
      <c r="E1972"/>
      <c r="F1972"/>
    </row>
    <row r="1973" spans="1:6" x14ac:dyDescent="0.25">
      <c r="A1973"/>
      <c r="B1973"/>
      <c r="E1973"/>
      <c r="F1973"/>
    </row>
    <row r="1974" spans="1:6" x14ac:dyDescent="0.25">
      <c r="A1974"/>
      <c r="B1974"/>
      <c r="E1974"/>
      <c r="F1974"/>
    </row>
    <row r="1975" spans="1:6" x14ac:dyDescent="0.25">
      <c r="A1975"/>
      <c r="B1975"/>
      <c r="E1975"/>
      <c r="F1975"/>
    </row>
    <row r="1976" spans="1:6" x14ac:dyDescent="0.25">
      <c r="A1976"/>
      <c r="B1976"/>
      <c r="E1976"/>
      <c r="F1976"/>
    </row>
    <row r="1977" spans="1:6" x14ac:dyDescent="0.25">
      <c r="A1977"/>
      <c r="B1977"/>
      <c r="E1977"/>
      <c r="F1977"/>
    </row>
    <row r="1978" spans="1:6" x14ac:dyDescent="0.25">
      <c r="A1978"/>
      <c r="B1978"/>
      <c r="E1978"/>
      <c r="F1978"/>
    </row>
    <row r="1979" spans="1:6" x14ac:dyDescent="0.25">
      <c r="A1979"/>
      <c r="B1979"/>
      <c r="E1979"/>
      <c r="F1979"/>
    </row>
    <row r="1980" spans="1:6" x14ac:dyDescent="0.25">
      <c r="A1980"/>
      <c r="B1980"/>
      <c r="E1980"/>
      <c r="F1980"/>
    </row>
    <row r="1981" spans="1:6" x14ac:dyDescent="0.25">
      <c r="A1981"/>
      <c r="B1981"/>
      <c r="E1981"/>
      <c r="F1981"/>
    </row>
    <row r="1982" spans="1:6" x14ac:dyDescent="0.25">
      <c r="A1982"/>
      <c r="B1982"/>
      <c r="E1982"/>
      <c r="F1982"/>
    </row>
    <row r="1983" spans="1:6" x14ac:dyDescent="0.25">
      <c r="A1983"/>
      <c r="B1983"/>
      <c r="E1983"/>
      <c r="F1983"/>
    </row>
    <row r="1984" spans="1:6" x14ac:dyDescent="0.25">
      <c r="A1984"/>
      <c r="B1984"/>
      <c r="E1984"/>
      <c r="F1984"/>
    </row>
    <row r="1985" spans="1:6" x14ac:dyDescent="0.25">
      <c r="A1985"/>
      <c r="B1985"/>
      <c r="E1985"/>
      <c r="F1985"/>
    </row>
    <row r="1986" spans="1:6" x14ac:dyDescent="0.25">
      <c r="A1986"/>
      <c r="B1986"/>
      <c r="E1986"/>
      <c r="F1986"/>
    </row>
    <row r="1987" spans="1:6" x14ac:dyDescent="0.25">
      <c r="A1987"/>
      <c r="B1987"/>
      <c r="E1987"/>
      <c r="F1987"/>
    </row>
    <row r="1988" spans="1:6" x14ac:dyDescent="0.25">
      <c r="A1988"/>
      <c r="B1988"/>
      <c r="E1988"/>
      <c r="F1988"/>
    </row>
    <row r="1989" spans="1:6" x14ac:dyDescent="0.25">
      <c r="A1989"/>
      <c r="B1989"/>
      <c r="E1989"/>
      <c r="F1989"/>
    </row>
    <row r="1990" spans="1:6" x14ac:dyDescent="0.25">
      <c r="A1990"/>
      <c r="B1990"/>
      <c r="E1990"/>
      <c r="F1990"/>
    </row>
    <row r="1991" spans="1:6" x14ac:dyDescent="0.25">
      <c r="A1991"/>
      <c r="B1991"/>
      <c r="E1991"/>
      <c r="F1991"/>
    </row>
    <row r="1992" spans="1:6" x14ac:dyDescent="0.25">
      <c r="A1992"/>
      <c r="B1992"/>
      <c r="E1992"/>
      <c r="F1992"/>
    </row>
    <row r="1993" spans="1:6" x14ac:dyDescent="0.25">
      <c r="A1993"/>
      <c r="B1993"/>
      <c r="E1993"/>
      <c r="F1993"/>
    </row>
    <row r="1994" spans="1:6" x14ac:dyDescent="0.25">
      <c r="A1994"/>
      <c r="B1994"/>
      <c r="E1994"/>
      <c r="F1994"/>
    </row>
    <row r="1995" spans="1:6" x14ac:dyDescent="0.25">
      <c r="A1995"/>
      <c r="B1995"/>
      <c r="E1995"/>
      <c r="F1995"/>
    </row>
    <row r="1996" spans="1:6" x14ac:dyDescent="0.25">
      <c r="A1996"/>
      <c r="B1996"/>
      <c r="E1996"/>
      <c r="F1996"/>
    </row>
    <row r="1997" spans="1:6" x14ac:dyDescent="0.25">
      <c r="A1997"/>
      <c r="B1997"/>
      <c r="E1997"/>
      <c r="F1997"/>
    </row>
    <row r="1998" spans="1:6" x14ac:dyDescent="0.25">
      <c r="A1998"/>
      <c r="B1998"/>
      <c r="E1998"/>
      <c r="F1998"/>
    </row>
    <row r="1999" spans="1:6" x14ac:dyDescent="0.25">
      <c r="A1999"/>
      <c r="B1999"/>
      <c r="E1999"/>
      <c r="F1999"/>
    </row>
    <row r="2000" spans="1:6" x14ac:dyDescent="0.25">
      <c r="A2000"/>
      <c r="B2000"/>
      <c r="E2000"/>
      <c r="F2000"/>
    </row>
    <row r="2001" spans="1:6" x14ac:dyDescent="0.25">
      <c r="A2001"/>
      <c r="B2001"/>
      <c r="E2001"/>
      <c r="F2001"/>
    </row>
    <row r="2002" spans="1:6" x14ac:dyDescent="0.25">
      <c r="A2002"/>
      <c r="B2002"/>
      <c r="E2002"/>
      <c r="F2002"/>
    </row>
    <row r="2003" spans="1:6" x14ac:dyDescent="0.25">
      <c r="A2003"/>
      <c r="B2003"/>
      <c r="E2003"/>
      <c r="F2003"/>
    </row>
    <row r="2004" spans="1:6" x14ac:dyDescent="0.25">
      <c r="A2004"/>
      <c r="B2004"/>
      <c r="E2004"/>
      <c r="F2004"/>
    </row>
    <row r="2005" spans="1:6" x14ac:dyDescent="0.25">
      <c r="A2005"/>
      <c r="B2005"/>
      <c r="E2005"/>
      <c r="F2005"/>
    </row>
    <row r="2006" spans="1:6" x14ac:dyDescent="0.25">
      <c r="A2006"/>
      <c r="B2006"/>
      <c r="E2006"/>
      <c r="F2006"/>
    </row>
    <row r="2007" spans="1:6" x14ac:dyDescent="0.25">
      <c r="A2007"/>
      <c r="B2007"/>
      <c r="E2007"/>
      <c r="F2007"/>
    </row>
    <row r="2008" spans="1:6" x14ac:dyDescent="0.25">
      <c r="A2008"/>
      <c r="B2008"/>
      <c r="E2008"/>
      <c r="F2008"/>
    </row>
    <row r="2009" spans="1:6" x14ac:dyDescent="0.25">
      <c r="A2009"/>
      <c r="B2009"/>
      <c r="E2009"/>
      <c r="F2009"/>
    </row>
    <row r="2010" spans="1:6" x14ac:dyDescent="0.25">
      <c r="A2010"/>
      <c r="B2010"/>
      <c r="E2010"/>
      <c r="F2010"/>
    </row>
    <row r="2011" spans="1:6" x14ac:dyDescent="0.25">
      <c r="A2011"/>
      <c r="B2011"/>
      <c r="E2011"/>
      <c r="F2011"/>
    </row>
    <row r="2012" spans="1:6" x14ac:dyDescent="0.25">
      <c r="A2012"/>
      <c r="B2012"/>
      <c r="E2012"/>
      <c r="F2012"/>
    </row>
    <row r="2013" spans="1:6" x14ac:dyDescent="0.25">
      <c r="A2013"/>
      <c r="B2013"/>
      <c r="E2013"/>
      <c r="F2013"/>
    </row>
    <row r="2014" spans="1:6" x14ac:dyDescent="0.25">
      <c r="A2014"/>
      <c r="B2014"/>
      <c r="E2014"/>
      <c r="F2014"/>
    </row>
    <row r="2015" spans="1:6" x14ac:dyDescent="0.25">
      <c r="A2015"/>
      <c r="B2015"/>
      <c r="E2015"/>
      <c r="F2015"/>
    </row>
    <row r="2016" spans="1:6" x14ac:dyDescent="0.25">
      <c r="A2016"/>
      <c r="B2016"/>
      <c r="E2016"/>
      <c r="F2016"/>
    </row>
    <row r="2017" spans="1:6" x14ac:dyDescent="0.25">
      <c r="A2017"/>
      <c r="B2017"/>
      <c r="E2017"/>
      <c r="F2017"/>
    </row>
    <row r="2018" spans="1:6" x14ac:dyDescent="0.25">
      <c r="A2018"/>
      <c r="B2018"/>
      <c r="E2018"/>
      <c r="F2018"/>
    </row>
    <row r="2019" spans="1:6" x14ac:dyDescent="0.25">
      <c r="A2019"/>
      <c r="B2019"/>
      <c r="E2019"/>
      <c r="F2019"/>
    </row>
    <row r="2020" spans="1:6" x14ac:dyDescent="0.25">
      <c r="A2020"/>
      <c r="B2020"/>
      <c r="E2020"/>
      <c r="F2020"/>
    </row>
    <row r="2021" spans="1:6" x14ac:dyDescent="0.25">
      <c r="A2021"/>
      <c r="B2021"/>
      <c r="E2021"/>
      <c r="F2021"/>
    </row>
    <row r="2022" spans="1:6" x14ac:dyDescent="0.25">
      <c r="A2022"/>
      <c r="B2022"/>
      <c r="E2022"/>
      <c r="F2022"/>
    </row>
    <row r="2023" spans="1:6" x14ac:dyDescent="0.25">
      <c r="A2023"/>
      <c r="B2023"/>
      <c r="E2023"/>
      <c r="F2023"/>
    </row>
    <row r="2024" spans="1:6" x14ac:dyDescent="0.25">
      <c r="A2024"/>
      <c r="B2024"/>
      <c r="E2024"/>
      <c r="F2024"/>
    </row>
    <row r="2025" spans="1:6" x14ac:dyDescent="0.25">
      <c r="A2025"/>
      <c r="B2025"/>
      <c r="E2025"/>
      <c r="F2025"/>
    </row>
    <row r="2026" spans="1:6" x14ac:dyDescent="0.25">
      <c r="A2026"/>
      <c r="B2026"/>
      <c r="E2026"/>
      <c r="F2026"/>
    </row>
    <row r="2027" spans="1:6" x14ac:dyDescent="0.25">
      <c r="A2027"/>
      <c r="B2027"/>
      <c r="E2027"/>
      <c r="F2027"/>
    </row>
    <row r="2028" spans="1:6" x14ac:dyDescent="0.25">
      <c r="A2028"/>
      <c r="B2028"/>
      <c r="E2028"/>
      <c r="F2028"/>
    </row>
    <row r="2029" spans="1:6" x14ac:dyDescent="0.25">
      <c r="A2029"/>
      <c r="B2029"/>
      <c r="E2029"/>
      <c r="F2029"/>
    </row>
    <row r="2030" spans="1:6" x14ac:dyDescent="0.25">
      <c r="A2030"/>
      <c r="B2030"/>
      <c r="E2030"/>
      <c r="F2030"/>
    </row>
    <row r="2031" spans="1:6" x14ac:dyDescent="0.25">
      <c r="A2031"/>
      <c r="B2031"/>
      <c r="E2031"/>
      <c r="F2031"/>
    </row>
    <row r="2032" spans="1:6" x14ac:dyDescent="0.25">
      <c r="A2032"/>
      <c r="B2032"/>
      <c r="E2032"/>
      <c r="F2032"/>
    </row>
    <row r="2033" spans="1:6" x14ac:dyDescent="0.25">
      <c r="A2033"/>
      <c r="B2033"/>
      <c r="E2033"/>
      <c r="F2033"/>
    </row>
    <row r="2034" spans="1:6" x14ac:dyDescent="0.25">
      <c r="A2034"/>
      <c r="B2034"/>
      <c r="E2034"/>
      <c r="F2034"/>
    </row>
    <row r="2035" spans="1:6" x14ac:dyDescent="0.25">
      <c r="A2035"/>
      <c r="B2035"/>
      <c r="E2035"/>
      <c r="F2035"/>
    </row>
    <row r="2036" spans="1:6" x14ac:dyDescent="0.25">
      <c r="A2036"/>
      <c r="B2036"/>
      <c r="E2036"/>
      <c r="F2036"/>
    </row>
    <row r="2037" spans="1:6" x14ac:dyDescent="0.25">
      <c r="A2037"/>
      <c r="B2037"/>
      <c r="E2037"/>
      <c r="F2037"/>
    </row>
    <row r="2038" spans="1:6" x14ac:dyDescent="0.25">
      <c r="A2038"/>
      <c r="B2038"/>
      <c r="E2038"/>
      <c r="F2038"/>
    </row>
    <row r="2039" spans="1:6" x14ac:dyDescent="0.25">
      <c r="A2039"/>
      <c r="B2039"/>
      <c r="E2039"/>
      <c r="F2039"/>
    </row>
    <row r="2040" spans="1:6" x14ac:dyDescent="0.25">
      <c r="A2040"/>
      <c r="B2040"/>
      <c r="E2040"/>
      <c r="F2040"/>
    </row>
    <row r="2041" spans="1:6" x14ac:dyDescent="0.25">
      <c r="A2041"/>
      <c r="B2041"/>
      <c r="E2041"/>
      <c r="F2041"/>
    </row>
    <row r="2042" spans="1:6" x14ac:dyDescent="0.25">
      <c r="A2042"/>
      <c r="B2042"/>
      <c r="E2042"/>
      <c r="F2042"/>
    </row>
    <row r="2043" spans="1:6" x14ac:dyDescent="0.25">
      <c r="A2043"/>
      <c r="B2043"/>
      <c r="E2043"/>
      <c r="F2043"/>
    </row>
    <row r="2044" spans="1:6" x14ac:dyDescent="0.25">
      <c r="A2044"/>
      <c r="B2044"/>
      <c r="E2044"/>
      <c r="F2044"/>
    </row>
    <row r="2045" spans="1:6" x14ac:dyDescent="0.25">
      <c r="A2045"/>
      <c r="B2045"/>
      <c r="E2045"/>
      <c r="F2045"/>
    </row>
    <row r="2046" spans="1:6" x14ac:dyDescent="0.25">
      <c r="A2046"/>
      <c r="B2046"/>
      <c r="E2046"/>
      <c r="F2046"/>
    </row>
    <row r="2047" spans="1:6" x14ac:dyDescent="0.25">
      <c r="A2047"/>
      <c r="B2047"/>
      <c r="E2047"/>
      <c r="F2047"/>
    </row>
    <row r="2048" spans="1:6" x14ac:dyDescent="0.25">
      <c r="A2048"/>
      <c r="B2048"/>
      <c r="E2048"/>
      <c r="F2048"/>
    </row>
    <row r="2049" spans="1:6" x14ac:dyDescent="0.25">
      <c r="A2049"/>
      <c r="B2049"/>
      <c r="E2049"/>
      <c r="F2049"/>
    </row>
    <row r="2050" spans="1:6" x14ac:dyDescent="0.25">
      <c r="A2050"/>
      <c r="B2050"/>
      <c r="E2050"/>
      <c r="F2050"/>
    </row>
    <row r="2051" spans="1:6" x14ac:dyDescent="0.25">
      <c r="A2051"/>
      <c r="B2051"/>
      <c r="E2051"/>
      <c r="F2051"/>
    </row>
    <row r="2052" spans="1:6" x14ac:dyDescent="0.25">
      <c r="A2052"/>
      <c r="B2052"/>
      <c r="E2052"/>
      <c r="F2052"/>
    </row>
    <row r="2053" spans="1:6" x14ac:dyDescent="0.25">
      <c r="A2053"/>
      <c r="B2053"/>
      <c r="E2053"/>
      <c r="F2053"/>
    </row>
    <row r="2054" spans="1:6" x14ac:dyDescent="0.25">
      <c r="A2054"/>
      <c r="B2054"/>
      <c r="E2054"/>
      <c r="F2054"/>
    </row>
    <row r="2055" spans="1:6" x14ac:dyDescent="0.25">
      <c r="A2055"/>
      <c r="B2055"/>
      <c r="E2055"/>
      <c r="F2055"/>
    </row>
    <row r="2056" spans="1:6" x14ac:dyDescent="0.25">
      <c r="A2056"/>
      <c r="B2056"/>
      <c r="E2056"/>
      <c r="F2056"/>
    </row>
    <row r="2057" spans="1:6" x14ac:dyDescent="0.25">
      <c r="A2057"/>
      <c r="B2057"/>
      <c r="E2057"/>
      <c r="F2057"/>
    </row>
    <row r="2058" spans="1:6" x14ac:dyDescent="0.25">
      <c r="A2058"/>
      <c r="B2058"/>
      <c r="E2058"/>
      <c r="F2058"/>
    </row>
    <row r="2059" spans="1:6" x14ac:dyDescent="0.25">
      <c r="A2059"/>
      <c r="B2059"/>
      <c r="E2059"/>
      <c r="F2059"/>
    </row>
    <row r="2060" spans="1:6" x14ac:dyDescent="0.25">
      <c r="A2060"/>
      <c r="B2060"/>
      <c r="E2060"/>
      <c r="F2060"/>
    </row>
    <row r="2061" spans="1:6" x14ac:dyDescent="0.25">
      <c r="A2061"/>
      <c r="B2061"/>
      <c r="E2061"/>
      <c r="F2061"/>
    </row>
    <row r="2062" spans="1:6" x14ac:dyDescent="0.25">
      <c r="A2062"/>
      <c r="B2062"/>
      <c r="E2062"/>
      <c r="F2062"/>
    </row>
    <row r="2063" spans="1:6" x14ac:dyDescent="0.25">
      <c r="A2063"/>
      <c r="B2063"/>
      <c r="E2063"/>
      <c r="F2063"/>
    </row>
    <row r="2064" spans="1:6" x14ac:dyDescent="0.25">
      <c r="A2064"/>
      <c r="B2064"/>
      <c r="E2064"/>
      <c r="F2064"/>
    </row>
    <row r="2065" spans="1:6" x14ac:dyDescent="0.25">
      <c r="A2065"/>
      <c r="B2065"/>
      <c r="E2065"/>
      <c r="F2065"/>
    </row>
    <row r="2066" spans="1:6" x14ac:dyDescent="0.25">
      <c r="A2066"/>
      <c r="B2066"/>
      <c r="E2066"/>
      <c r="F2066"/>
    </row>
    <row r="2067" spans="1:6" x14ac:dyDescent="0.25">
      <c r="A2067"/>
      <c r="B2067"/>
      <c r="E2067"/>
      <c r="F2067"/>
    </row>
    <row r="2068" spans="1:6" x14ac:dyDescent="0.25">
      <c r="A2068"/>
      <c r="B2068"/>
      <c r="E2068"/>
      <c r="F2068"/>
    </row>
    <row r="2069" spans="1:6" x14ac:dyDescent="0.25">
      <c r="A2069"/>
      <c r="B2069"/>
      <c r="E2069"/>
      <c r="F2069"/>
    </row>
    <row r="2070" spans="1:6" x14ac:dyDescent="0.25">
      <c r="A2070"/>
      <c r="B2070"/>
      <c r="E2070"/>
      <c r="F2070"/>
    </row>
    <row r="2071" spans="1:6" x14ac:dyDescent="0.25">
      <c r="A2071"/>
      <c r="B2071"/>
      <c r="E2071"/>
      <c r="F2071"/>
    </row>
    <row r="2072" spans="1:6" x14ac:dyDescent="0.25">
      <c r="A2072"/>
      <c r="B2072"/>
      <c r="E2072"/>
      <c r="F2072"/>
    </row>
    <row r="2073" spans="1:6" x14ac:dyDescent="0.25">
      <c r="A2073"/>
      <c r="B2073"/>
      <c r="E2073"/>
      <c r="F2073"/>
    </row>
    <row r="2074" spans="1:6" x14ac:dyDescent="0.25">
      <c r="A2074"/>
      <c r="B2074"/>
      <c r="E2074"/>
      <c r="F2074"/>
    </row>
    <row r="2075" spans="1:6" x14ac:dyDescent="0.25">
      <c r="A2075"/>
      <c r="B2075"/>
      <c r="E2075"/>
      <c r="F2075"/>
    </row>
    <row r="2076" spans="1:6" x14ac:dyDescent="0.25">
      <c r="A2076"/>
      <c r="B2076"/>
      <c r="E2076"/>
      <c r="F2076"/>
    </row>
    <row r="2077" spans="1:6" x14ac:dyDescent="0.25">
      <c r="A2077"/>
      <c r="B2077"/>
      <c r="E2077"/>
      <c r="F2077"/>
    </row>
    <row r="2078" spans="1:6" x14ac:dyDescent="0.25">
      <c r="A2078"/>
      <c r="B2078"/>
      <c r="E2078"/>
      <c r="F2078"/>
    </row>
    <row r="2079" spans="1:6" x14ac:dyDescent="0.25">
      <c r="A2079"/>
      <c r="B2079"/>
      <c r="E2079"/>
      <c r="F2079"/>
    </row>
    <row r="2080" spans="1:6" x14ac:dyDescent="0.25">
      <c r="A2080"/>
      <c r="B2080"/>
      <c r="E2080"/>
      <c r="F2080"/>
    </row>
    <row r="2081" spans="1:6" x14ac:dyDescent="0.25">
      <c r="A2081"/>
      <c r="B2081"/>
      <c r="E2081"/>
      <c r="F2081"/>
    </row>
    <row r="2082" spans="1:6" x14ac:dyDescent="0.25">
      <c r="A2082"/>
      <c r="B2082"/>
      <c r="E2082"/>
      <c r="F2082"/>
    </row>
    <row r="2083" spans="1:6" x14ac:dyDescent="0.25">
      <c r="A2083"/>
      <c r="B2083"/>
      <c r="E2083"/>
      <c r="F2083"/>
    </row>
    <row r="2084" spans="1:6" x14ac:dyDescent="0.25">
      <c r="A2084"/>
      <c r="B2084"/>
      <c r="E2084"/>
      <c r="F2084"/>
    </row>
    <row r="2085" spans="1:6" x14ac:dyDescent="0.25">
      <c r="A2085"/>
      <c r="B2085"/>
      <c r="E2085"/>
      <c r="F2085"/>
    </row>
    <row r="2086" spans="1:6" x14ac:dyDescent="0.25">
      <c r="A2086"/>
      <c r="B2086"/>
      <c r="E2086"/>
      <c r="F2086"/>
    </row>
    <row r="2087" spans="1:6" x14ac:dyDescent="0.25">
      <c r="A2087"/>
      <c r="B2087"/>
      <c r="E2087"/>
      <c r="F2087"/>
    </row>
    <row r="2088" spans="1:6" x14ac:dyDescent="0.25">
      <c r="A2088"/>
      <c r="B2088"/>
      <c r="E2088"/>
      <c r="F2088"/>
    </row>
    <row r="2089" spans="1:6" x14ac:dyDescent="0.25">
      <c r="A2089"/>
      <c r="B2089"/>
      <c r="E2089"/>
      <c r="F2089"/>
    </row>
    <row r="2090" spans="1:6" x14ac:dyDescent="0.25">
      <c r="A2090"/>
      <c r="B2090"/>
      <c r="E2090"/>
      <c r="F2090"/>
    </row>
    <row r="2091" spans="1:6" x14ac:dyDescent="0.25">
      <c r="A2091"/>
      <c r="B2091"/>
      <c r="E2091"/>
      <c r="F2091"/>
    </row>
    <row r="2092" spans="1:6" x14ac:dyDescent="0.25">
      <c r="A2092"/>
      <c r="B2092"/>
      <c r="E2092"/>
      <c r="F2092"/>
    </row>
    <row r="2093" spans="1:6" x14ac:dyDescent="0.25">
      <c r="A2093"/>
      <c r="B2093"/>
      <c r="E2093"/>
      <c r="F2093"/>
    </row>
    <row r="2094" spans="1:6" x14ac:dyDescent="0.25">
      <c r="A2094"/>
      <c r="B2094"/>
      <c r="E2094"/>
      <c r="F2094"/>
    </row>
    <row r="2095" spans="1:6" x14ac:dyDescent="0.25">
      <c r="A2095"/>
      <c r="B2095"/>
      <c r="E2095"/>
      <c r="F2095"/>
    </row>
    <row r="2096" spans="1:6" x14ac:dyDescent="0.25">
      <c r="A2096"/>
      <c r="B2096"/>
      <c r="E2096"/>
      <c r="F2096"/>
    </row>
    <row r="2097" spans="1:6" x14ac:dyDescent="0.25">
      <c r="A2097"/>
      <c r="B2097"/>
      <c r="E2097"/>
      <c r="F2097"/>
    </row>
    <row r="2098" spans="1:6" x14ac:dyDescent="0.25">
      <c r="A2098"/>
      <c r="B2098"/>
      <c r="E2098"/>
      <c r="F2098"/>
    </row>
    <row r="2099" spans="1:6" x14ac:dyDescent="0.25">
      <c r="A2099"/>
      <c r="B2099"/>
      <c r="E2099"/>
      <c r="F2099"/>
    </row>
    <row r="2100" spans="1:6" x14ac:dyDescent="0.25">
      <c r="A2100"/>
      <c r="B2100"/>
      <c r="E2100"/>
      <c r="F2100"/>
    </row>
    <row r="2101" spans="1:6" x14ac:dyDescent="0.25">
      <c r="A2101"/>
      <c r="B2101"/>
      <c r="E2101"/>
      <c r="F2101"/>
    </row>
    <row r="2102" spans="1:6" x14ac:dyDescent="0.25">
      <c r="A2102"/>
      <c r="B2102"/>
      <c r="E2102"/>
      <c r="F2102"/>
    </row>
    <row r="2103" spans="1:6" x14ac:dyDescent="0.25">
      <c r="A2103"/>
      <c r="B2103"/>
      <c r="E2103"/>
      <c r="F2103"/>
    </row>
    <row r="2104" spans="1:6" x14ac:dyDescent="0.25">
      <c r="A2104"/>
      <c r="B2104"/>
      <c r="E2104"/>
      <c r="F2104"/>
    </row>
    <row r="2105" spans="1:6" x14ac:dyDescent="0.25">
      <c r="A2105"/>
      <c r="B2105"/>
      <c r="E2105"/>
      <c r="F2105"/>
    </row>
    <row r="2106" spans="1:6" x14ac:dyDescent="0.25">
      <c r="A2106"/>
      <c r="B2106"/>
      <c r="E2106"/>
      <c r="F2106"/>
    </row>
    <row r="2107" spans="1:6" x14ac:dyDescent="0.25">
      <c r="A2107"/>
      <c r="B2107"/>
      <c r="E2107"/>
      <c r="F2107"/>
    </row>
    <row r="2108" spans="1:6" x14ac:dyDescent="0.25">
      <c r="A2108"/>
      <c r="B2108"/>
      <c r="E2108"/>
      <c r="F2108"/>
    </row>
    <row r="2109" spans="1:6" x14ac:dyDescent="0.25">
      <c r="A2109"/>
      <c r="B2109"/>
      <c r="E2109"/>
      <c r="F2109"/>
    </row>
    <row r="2110" spans="1:6" x14ac:dyDescent="0.25">
      <c r="A2110"/>
      <c r="B2110"/>
      <c r="E2110"/>
      <c r="F2110"/>
    </row>
    <row r="2111" spans="1:6" x14ac:dyDescent="0.25">
      <c r="A2111"/>
      <c r="B2111"/>
      <c r="E2111"/>
      <c r="F2111"/>
    </row>
    <row r="2112" spans="1:6" x14ac:dyDescent="0.25">
      <c r="A2112"/>
      <c r="B2112"/>
      <c r="E2112"/>
      <c r="F2112"/>
    </row>
    <row r="2113" spans="1:6" x14ac:dyDescent="0.25">
      <c r="A2113"/>
      <c r="B2113"/>
      <c r="E2113"/>
      <c r="F2113"/>
    </row>
    <row r="2114" spans="1:6" x14ac:dyDescent="0.25">
      <c r="A2114"/>
      <c r="B2114"/>
      <c r="E2114"/>
      <c r="F2114"/>
    </row>
    <row r="2115" spans="1:6" x14ac:dyDescent="0.25">
      <c r="A2115"/>
      <c r="B2115"/>
      <c r="E2115"/>
      <c r="F2115"/>
    </row>
    <row r="2116" spans="1:6" x14ac:dyDescent="0.25">
      <c r="A2116"/>
      <c r="B2116"/>
      <c r="E2116"/>
      <c r="F2116"/>
    </row>
    <row r="2117" spans="1:6" x14ac:dyDescent="0.25">
      <c r="A2117"/>
      <c r="B2117"/>
      <c r="E2117"/>
      <c r="F2117"/>
    </row>
    <row r="2118" spans="1:6" x14ac:dyDescent="0.25">
      <c r="A2118"/>
      <c r="B2118"/>
      <c r="E2118"/>
      <c r="F2118"/>
    </row>
    <row r="2119" spans="1:6" x14ac:dyDescent="0.25">
      <c r="A2119"/>
      <c r="B2119"/>
      <c r="E2119"/>
      <c r="F2119"/>
    </row>
    <row r="2120" spans="1:6" x14ac:dyDescent="0.25">
      <c r="A2120"/>
      <c r="B2120"/>
      <c r="E2120"/>
      <c r="F2120"/>
    </row>
    <row r="2121" spans="1:6" x14ac:dyDescent="0.25">
      <c r="A2121"/>
      <c r="B2121"/>
      <c r="E2121"/>
      <c r="F2121"/>
    </row>
    <row r="2122" spans="1:6" x14ac:dyDescent="0.25">
      <c r="A2122"/>
      <c r="B2122"/>
      <c r="E2122"/>
      <c r="F2122"/>
    </row>
    <row r="2123" spans="1:6" x14ac:dyDescent="0.25">
      <c r="A2123"/>
      <c r="B2123"/>
      <c r="E2123"/>
      <c r="F2123"/>
    </row>
    <row r="2124" spans="1:6" x14ac:dyDescent="0.25">
      <c r="A2124"/>
      <c r="B2124"/>
      <c r="E2124"/>
      <c r="F2124"/>
    </row>
    <row r="2125" spans="1:6" x14ac:dyDescent="0.25">
      <c r="A2125"/>
      <c r="B2125"/>
      <c r="E2125"/>
      <c r="F2125"/>
    </row>
    <row r="2126" spans="1:6" x14ac:dyDescent="0.25">
      <c r="A2126"/>
      <c r="B2126"/>
      <c r="E2126"/>
      <c r="F2126"/>
    </row>
    <row r="2127" spans="1:6" x14ac:dyDescent="0.25">
      <c r="A2127"/>
      <c r="B2127"/>
      <c r="E2127"/>
      <c r="F2127"/>
    </row>
    <row r="2128" spans="1:6" x14ac:dyDescent="0.25">
      <c r="A2128"/>
      <c r="B2128"/>
      <c r="E2128"/>
      <c r="F2128"/>
    </row>
    <row r="2129" spans="1:6" x14ac:dyDescent="0.25">
      <c r="A2129"/>
      <c r="B2129"/>
      <c r="E2129"/>
      <c r="F2129"/>
    </row>
    <row r="2130" spans="1:6" x14ac:dyDescent="0.25">
      <c r="A2130"/>
      <c r="B2130"/>
      <c r="E2130"/>
      <c r="F2130"/>
    </row>
    <row r="2131" spans="1:6" x14ac:dyDescent="0.25">
      <c r="A2131"/>
      <c r="B2131"/>
      <c r="E2131"/>
      <c r="F2131"/>
    </row>
    <row r="2132" spans="1:6" x14ac:dyDescent="0.25">
      <c r="A2132"/>
      <c r="B2132"/>
      <c r="E2132"/>
      <c r="F2132"/>
    </row>
    <row r="2133" spans="1:6" x14ac:dyDescent="0.25">
      <c r="A2133"/>
      <c r="B2133"/>
      <c r="E2133"/>
      <c r="F2133"/>
    </row>
    <row r="2134" spans="1:6" x14ac:dyDescent="0.25">
      <c r="A2134"/>
      <c r="B2134"/>
      <c r="E2134"/>
      <c r="F2134"/>
    </row>
    <row r="2135" spans="1:6" x14ac:dyDescent="0.25">
      <c r="A2135"/>
      <c r="B2135"/>
      <c r="E2135"/>
      <c r="F2135"/>
    </row>
    <row r="2136" spans="1:6" x14ac:dyDescent="0.25">
      <c r="A2136"/>
      <c r="B2136"/>
      <c r="E2136"/>
      <c r="F2136"/>
    </row>
    <row r="2137" spans="1:6" x14ac:dyDescent="0.25">
      <c r="A2137"/>
      <c r="B2137"/>
      <c r="E2137"/>
      <c r="F2137"/>
    </row>
    <row r="2138" spans="1:6" x14ac:dyDescent="0.25">
      <c r="A2138"/>
      <c r="B2138"/>
      <c r="E2138"/>
      <c r="F2138"/>
    </row>
    <row r="2139" spans="1:6" x14ac:dyDescent="0.25">
      <c r="A2139"/>
      <c r="B2139"/>
      <c r="E2139"/>
      <c r="F2139"/>
    </row>
    <row r="2140" spans="1:6" x14ac:dyDescent="0.25">
      <c r="A2140"/>
      <c r="B2140"/>
      <c r="E2140"/>
      <c r="F2140"/>
    </row>
    <row r="2141" spans="1:6" x14ac:dyDescent="0.25">
      <c r="A2141"/>
      <c r="B2141"/>
      <c r="E2141"/>
      <c r="F2141"/>
    </row>
    <row r="2142" spans="1:6" x14ac:dyDescent="0.25">
      <c r="A2142"/>
      <c r="B2142"/>
      <c r="E2142"/>
      <c r="F2142"/>
    </row>
    <row r="2143" spans="1:6" x14ac:dyDescent="0.25">
      <c r="A2143"/>
      <c r="B2143"/>
      <c r="E2143"/>
      <c r="F2143"/>
    </row>
    <row r="2144" spans="1:6" x14ac:dyDescent="0.25">
      <c r="A2144"/>
      <c r="B2144"/>
      <c r="E2144"/>
      <c r="F2144"/>
    </row>
    <row r="2145" spans="1:6" x14ac:dyDescent="0.25">
      <c r="A2145"/>
      <c r="B2145"/>
      <c r="E2145"/>
      <c r="F2145"/>
    </row>
    <row r="2146" spans="1:6" x14ac:dyDescent="0.25">
      <c r="A2146"/>
      <c r="B2146"/>
      <c r="E2146"/>
      <c r="F2146"/>
    </row>
    <row r="2147" spans="1:6" x14ac:dyDescent="0.25">
      <c r="A2147"/>
      <c r="B2147"/>
      <c r="E2147"/>
      <c r="F2147"/>
    </row>
    <row r="2148" spans="1:6" x14ac:dyDescent="0.25">
      <c r="A2148"/>
      <c r="B2148"/>
      <c r="E2148"/>
      <c r="F2148"/>
    </row>
    <row r="2149" spans="1:6" x14ac:dyDescent="0.25">
      <c r="A2149"/>
      <c r="B2149"/>
      <c r="E2149"/>
      <c r="F2149"/>
    </row>
    <row r="2150" spans="1:6" x14ac:dyDescent="0.25">
      <c r="A2150"/>
      <c r="B2150"/>
      <c r="E2150"/>
      <c r="F2150"/>
    </row>
    <row r="2151" spans="1:6" x14ac:dyDescent="0.25">
      <c r="A2151"/>
      <c r="B2151"/>
      <c r="E2151"/>
      <c r="F2151"/>
    </row>
    <row r="2152" spans="1:6" x14ac:dyDescent="0.25">
      <c r="A2152"/>
      <c r="B2152"/>
      <c r="E2152"/>
      <c r="F2152"/>
    </row>
    <row r="2153" spans="1:6" x14ac:dyDescent="0.25">
      <c r="A2153"/>
      <c r="B2153"/>
      <c r="E2153"/>
      <c r="F2153"/>
    </row>
    <row r="2154" spans="1:6" x14ac:dyDescent="0.25">
      <c r="A2154"/>
      <c r="B2154"/>
      <c r="E2154"/>
      <c r="F2154"/>
    </row>
    <row r="2155" spans="1:6" x14ac:dyDescent="0.25">
      <c r="A2155"/>
      <c r="B2155"/>
      <c r="E2155"/>
      <c r="F2155"/>
    </row>
    <row r="2156" spans="1:6" x14ac:dyDescent="0.25">
      <c r="A2156"/>
      <c r="B2156"/>
      <c r="E2156"/>
      <c r="F2156"/>
    </row>
    <row r="2157" spans="1:6" x14ac:dyDescent="0.25">
      <c r="A2157"/>
      <c r="B2157"/>
      <c r="E2157"/>
      <c r="F2157"/>
    </row>
    <row r="2158" spans="1:6" x14ac:dyDescent="0.25">
      <c r="A2158"/>
      <c r="B2158"/>
      <c r="E2158"/>
      <c r="F2158"/>
    </row>
    <row r="2159" spans="1:6" x14ac:dyDescent="0.25">
      <c r="A2159"/>
      <c r="B2159"/>
      <c r="E2159"/>
      <c r="F2159"/>
    </row>
    <row r="2160" spans="1:6" x14ac:dyDescent="0.25">
      <c r="A2160"/>
      <c r="B2160"/>
      <c r="E2160"/>
      <c r="F2160"/>
    </row>
    <row r="2161" spans="1:6" x14ac:dyDescent="0.25">
      <c r="A2161"/>
      <c r="B2161"/>
      <c r="E2161"/>
      <c r="F2161"/>
    </row>
    <row r="2162" spans="1:6" x14ac:dyDescent="0.25">
      <c r="A2162"/>
      <c r="B2162"/>
      <c r="E2162"/>
      <c r="F2162"/>
    </row>
    <row r="2163" spans="1:6" x14ac:dyDescent="0.25">
      <c r="A2163"/>
      <c r="B2163"/>
      <c r="E2163"/>
      <c r="F2163"/>
    </row>
    <row r="2164" spans="1:6" x14ac:dyDescent="0.25">
      <c r="A2164"/>
      <c r="B2164"/>
      <c r="E2164"/>
      <c r="F2164"/>
    </row>
    <row r="2165" spans="1:6" x14ac:dyDescent="0.25">
      <c r="A2165"/>
      <c r="B2165"/>
      <c r="E2165"/>
      <c r="F2165"/>
    </row>
    <row r="2166" spans="1:6" x14ac:dyDescent="0.25">
      <c r="A2166"/>
      <c r="B2166"/>
      <c r="E2166"/>
      <c r="F2166"/>
    </row>
    <row r="2167" spans="1:6" x14ac:dyDescent="0.25">
      <c r="A2167"/>
      <c r="B2167"/>
      <c r="E2167"/>
      <c r="F2167"/>
    </row>
    <row r="2168" spans="1:6" x14ac:dyDescent="0.25">
      <c r="A2168"/>
      <c r="B2168"/>
      <c r="E2168"/>
      <c r="F2168"/>
    </row>
    <row r="2169" spans="1:6" x14ac:dyDescent="0.25">
      <c r="A2169"/>
      <c r="B2169"/>
      <c r="E2169"/>
      <c r="F2169"/>
    </row>
    <row r="2170" spans="1:6" x14ac:dyDescent="0.25">
      <c r="A2170"/>
      <c r="B2170"/>
      <c r="E2170"/>
      <c r="F2170"/>
    </row>
    <row r="2171" spans="1:6" x14ac:dyDescent="0.25">
      <c r="A2171"/>
      <c r="B2171"/>
      <c r="E2171"/>
      <c r="F2171"/>
    </row>
    <row r="2172" spans="1:6" x14ac:dyDescent="0.25">
      <c r="A2172"/>
      <c r="B2172"/>
      <c r="E2172"/>
      <c r="F2172"/>
    </row>
    <row r="2173" spans="1:6" x14ac:dyDescent="0.25">
      <c r="A2173"/>
      <c r="B2173"/>
      <c r="E2173"/>
      <c r="F2173"/>
    </row>
    <row r="2174" spans="1:6" x14ac:dyDescent="0.25">
      <c r="A2174"/>
      <c r="B2174"/>
      <c r="E2174"/>
      <c r="F2174"/>
    </row>
    <row r="2175" spans="1:6" x14ac:dyDescent="0.25">
      <c r="A2175"/>
      <c r="B2175"/>
      <c r="E2175"/>
      <c r="F2175"/>
    </row>
    <row r="2176" spans="1:6" x14ac:dyDescent="0.25">
      <c r="A2176"/>
      <c r="B2176"/>
      <c r="E2176"/>
      <c r="F2176"/>
    </row>
    <row r="2177" spans="1:6" x14ac:dyDescent="0.25">
      <c r="A2177"/>
      <c r="B2177"/>
      <c r="E2177"/>
      <c r="F2177"/>
    </row>
    <row r="2178" spans="1:6" x14ac:dyDescent="0.25">
      <c r="A2178"/>
      <c r="B2178"/>
      <c r="E2178"/>
      <c r="F2178"/>
    </row>
    <row r="2179" spans="1:6" x14ac:dyDescent="0.25">
      <c r="A2179"/>
      <c r="B2179"/>
      <c r="E2179"/>
      <c r="F2179"/>
    </row>
    <row r="2180" spans="1:6" x14ac:dyDescent="0.25">
      <c r="A2180"/>
      <c r="B2180"/>
      <c r="E2180"/>
      <c r="F2180"/>
    </row>
    <row r="2181" spans="1:6" x14ac:dyDescent="0.25">
      <c r="A2181"/>
      <c r="B2181"/>
      <c r="E2181"/>
      <c r="F2181"/>
    </row>
    <row r="2182" spans="1:6" x14ac:dyDescent="0.25">
      <c r="A2182"/>
      <c r="B2182"/>
      <c r="E2182"/>
      <c r="F2182"/>
    </row>
    <row r="2183" spans="1:6" x14ac:dyDescent="0.25">
      <c r="A2183"/>
      <c r="B2183"/>
      <c r="E2183"/>
      <c r="F2183"/>
    </row>
    <row r="2184" spans="1:6" x14ac:dyDescent="0.25">
      <c r="A2184"/>
      <c r="B2184"/>
      <c r="E2184"/>
      <c r="F2184"/>
    </row>
    <row r="2185" spans="1:6" x14ac:dyDescent="0.25">
      <c r="A2185"/>
      <c r="B2185"/>
      <c r="E2185"/>
      <c r="F2185"/>
    </row>
    <row r="2186" spans="1:6" x14ac:dyDescent="0.25">
      <c r="A2186"/>
      <c r="B2186"/>
      <c r="E2186"/>
      <c r="F2186"/>
    </row>
    <row r="2187" spans="1:6" x14ac:dyDescent="0.25">
      <c r="A2187"/>
      <c r="B2187"/>
      <c r="E2187"/>
      <c r="F2187"/>
    </row>
    <row r="2188" spans="1:6" x14ac:dyDescent="0.25">
      <c r="A2188"/>
      <c r="B2188"/>
      <c r="E2188"/>
      <c r="F2188"/>
    </row>
    <row r="2189" spans="1:6" x14ac:dyDescent="0.25">
      <c r="A2189"/>
      <c r="B2189"/>
      <c r="E2189"/>
      <c r="F2189"/>
    </row>
    <row r="2190" spans="1:6" x14ac:dyDescent="0.25">
      <c r="A2190"/>
      <c r="B2190"/>
      <c r="E2190"/>
      <c r="F2190"/>
    </row>
    <row r="2191" spans="1:6" x14ac:dyDescent="0.25">
      <c r="A2191"/>
      <c r="B2191"/>
      <c r="E2191"/>
      <c r="F2191"/>
    </row>
    <row r="2192" spans="1:6" x14ac:dyDescent="0.25">
      <c r="A2192"/>
      <c r="B2192"/>
      <c r="E2192"/>
      <c r="F2192"/>
    </row>
    <row r="2193" spans="1:6" x14ac:dyDescent="0.25">
      <c r="A2193"/>
      <c r="B2193"/>
      <c r="E2193"/>
      <c r="F2193"/>
    </row>
    <row r="2194" spans="1:6" x14ac:dyDescent="0.25">
      <c r="A2194"/>
      <c r="B2194"/>
      <c r="E2194"/>
      <c r="F2194"/>
    </row>
    <row r="2195" spans="1:6" x14ac:dyDescent="0.25">
      <c r="A2195"/>
      <c r="B2195"/>
      <c r="E2195"/>
      <c r="F2195"/>
    </row>
    <row r="2196" spans="1:6" x14ac:dyDescent="0.25">
      <c r="A2196"/>
      <c r="B2196"/>
      <c r="E2196"/>
      <c r="F2196"/>
    </row>
    <row r="2197" spans="1:6" x14ac:dyDescent="0.25">
      <c r="A2197"/>
      <c r="B2197"/>
      <c r="E2197"/>
      <c r="F2197"/>
    </row>
    <row r="2198" spans="1:6" x14ac:dyDescent="0.25">
      <c r="A2198"/>
      <c r="B2198"/>
      <c r="E2198"/>
      <c r="F2198"/>
    </row>
    <row r="2199" spans="1:6" x14ac:dyDescent="0.25">
      <c r="A2199"/>
      <c r="B2199"/>
      <c r="E2199"/>
      <c r="F2199"/>
    </row>
    <row r="2200" spans="1:6" x14ac:dyDescent="0.25">
      <c r="A2200"/>
      <c r="B2200"/>
      <c r="E2200"/>
      <c r="F2200"/>
    </row>
    <row r="2201" spans="1:6" x14ac:dyDescent="0.25">
      <c r="A2201"/>
      <c r="B2201"/>
      <c r="E2201"/>
      <c r="F2201"/>
    </row>
    <row r="2202" spans="1:6" x14ac:dyDescent="0.25">
      <c r="A2202"/>
      <c r="B2202"/>
      <c r="E2202"/>
      <c r="F2202"/>
    </row>
    <row r="2203" spans="1:6" x14ac:dyDescent="0.25">
      <c r="A2203"/>
      <c r="B2203"/>
      <c r="E2203"/>
      <c r="F2203"/>
    </row>
    <row r="2204" spans="1:6" x14ac:dyDescent="0.25">
      <c r="A2204"/>
      <c r="B2204"/>
      <c r="E2204"/>
      <c r="F2204"/>
    </row>
    <row r="2205" spans="1:6" x14ac:dyDescent="0.25">
      <c r="A2205"/>
      <c r="B2205"/>
      <c r="E2205"/>
      <c r="F2205"/>
    </row>
    <row r="2206" spans="1:6" x14ac:dyDescent="0.25">
      <c r="A2206"/>
      <c r="B2206"/>
      <c r="E2206"/>
      <c r="F2206"/>
    </row>
    <row r="2207" spans="1:6" x14ac:dyDescent="0.25">
      <c r="A2207"/>
      <c r="B2207"/>
      <c r="E2207"/>
      <c r="F2207"/>
    </row>
    <row r="2208" spans="1:6" x14ac:dyDescent="0.25">
      <c r="A2208"/>
      <c r="B2208"/>
      <c r="E2208"/>
      <c r="F2208"/>
    </row>
    <row r="2209" spans="1:6" x14ac:dyDescent="0.25">
      <c r="A2209"/>
      <c r="B2209"/>
      <c r="E2209"/>
      <c r="F2209"/>
    </row>
    <row r="2210" spans="1:6" x14ac:dyDescent="0.25">
      <c r="A2210"/>
      <c r="B2210"/>
      <c r="E2210"/>
      <c r="F2210"/>
    </row>
    <row r="2211" spans="1:6" x14ac:dyDescent="0.25">
      <c r="A2211"/>
      <c r="B2211"/>
      <c r="E2211"/>
      <c r="F2211"/>
    </row>
    <row r="2212" spans="1:6" x14ac:dyDescent="0.25">
      <c r="A2212"/>
      <c r="B2212"/>
      <c r="E2212"/>
      <c r="F2212"/>
    </row>
    <row r="2213" spans="1:6" x14ac:dyDescent="0.25">
      <c r="A2213"/>
      <c r="B2213"/>
      <c r="E2213"/>
      <c r="F2213"/>
    </row>
    <row r="2214" spans="1:6" x14ac:dyDescent="0.25">
      <c r="A2214"/>
      <c r="B2214"/>
      <c r="E2214"/>
      <c r="F2214"/>
    </row>
    <row r="2215" spans="1:6" x14ac:dyDescent="0.25">
      <c r="A2215"/>
      <c r="B2215"/>
      <c r="E2215"/>
      <c r="F2215"/>
    </row>
    <row r="2216" spans="1:6" x14ac:dyDescent="0.25">
      <c r="A2216"/>
      <c r="B2216"/>
      <c r="E2216"/>
      <c r="F2216"/>
    </row>
    <row r="2217" spans="1:6" x14ac:dyDescent="0.25">
      <c r="A2217"/>
      <c r="B2217"/>
      <c r="E2217"/>
      <c r="F2217"/>
    </row>
    <row r="2218" spans="1:6" x14ac:dyDescent="0.25">
      <c r="A2218"/>
      <c r="B2218"/>
      <c r="E2218"/>
      <c r="F2218"/>
    </row>
    <row r="2219" spans="1:6" x14ac:dyDescent="0.25">
      <c r="A2219"/>
      <c r="B2219"/>
      <c r="E2219"/>
      <c r="F2219"/>
    </row>
    <row r="2220" spans="1:6" x14ac:dyDescent="0.25">
      <c r="A2220"/>
      <c r="B2220"/>
      <c r="E2220"/>
      <c r="F2220"/>
    </row>
    <row r="2221" spans="1:6" x14ac:dyDescent="0.25">
      <c r="A2221"/>
      <c r="B2221"/>
      <c r="E2221"/>
      <c r="F2221"/>
    </row>
    <row r="2222" spans="1:6" x14ac:dyDescent="0.25">
      <c r="A2222"/>
      <c r="B2222"/>
      <c r="E2222"/>
      <c r="F2222"/>
    </row>
    <row r="2223" spans="1:6" x14ac:dyDescent="0.25">
      <c r="A2223"/>
      <c r="B2223"/>
      <c r="E2223"/>
      <c r="F2223"/>
    </row>
    <row r="2224" spans="1:6" x14ac:dyDescent="0.25">
      <c r="A2224"/>
      <c r="B2224"/>
      <c r="E2224"/>
      <c r="F2224"/>
    </row>
    <row r="2225" spans="1:6" x14ac:dyDescent="0.25">
      <c r="A2225"/>
      <c r="B2225"/>
      <c r="E2225"/>
      <c r="F2225"/>
    </row>
    <row r="2226" spans="1:6" x14ac:dyDescent="0.25">
      <c r="A2226"/>
      <c r="B2226"/>
      <c r="E2226"/>
      <c r="F2226"/>
    </row>
    <row r="2227" spans="1:6" x14ac:dyDescent="0.25">
      <c r="A2227"/>
      <c r="B2227"/>
      <c r="E2227"/>
      <c r="F2227"/>
    </row>
    <row r="2228" spans="1:6" x14ac:dyDescent="0.25">
      <c r="A2228"/>
      <c r="B2228"/>
      <c r="E2228"/>
      <c r="F2228"/>
    </row>
    <row r="2229" spans="1:6" x14ac:dyDescent="0.25">
      <c r="A2229"/>
      <c r="B2229"/>
      <c r="E2229"/>
      <c r="F2229"/>
    </row>
    <row r="2230" spans="1:6" x14ac:dyDescent="0.25">
      <c r="A2230"/>
      <c r="B2230"/>
      <c r="E2230"/>
      <c r="F2230"/>
    </row>
    <row r="2231" spans="1:6" x14ac:dyDescent="0.25">
      <c r="A2231"/>
      <c r="B2231"/>
      <c r="E2231"/>
      <c r="F2231"/>
    </row>
    <row r="2232" spans="1:6" x14ac:dyDescent="0.25">
      <c r="A2232"/>
      <c r="B2232"/>
      <c r="E2232"/>
      <c r="F2232"/>
    </row>
    <row r="2233" spans="1:6" x14ac:dyDescent="0.25">
      <c r="A2233"/>
      <c r="B2233"/>
      <c r="E2233"/>
      <c r="F2233"/>
    </row>
    <row r="2234" spans="1:6" x14ac:dyDescent="0.25">
      <c r="A2234"/>
      <c r="B2234"/>
      <c r="E2234"/>
      <c r="F2234"/>
    </row>
    <row r="2235" spans="1:6" x14ac:dyDescent="0.25">
      <c r="A2235"/>
      <c r="B2235"/>
      <c r="E2235"/>
      <c r="F2235"/>
    </row>
    <row r="2236" spans="1:6" x14ac:dyDescent="0.25">
      <c r="A2236"/>
      <c r="B2236"/>
      <c r="E2236"/>
      <c r="F2236"/>
    </row>
    <row r="2237" spans="1:6" x14ac:dyDescent="0.25">
      <c r="A2237"/>
      <c r="B2237"/>
      <c r="E2237"/>
      <c r="F2237"/>
    </row>
    <row r="2238" spans="1:6" x14ac:dyDescent="0.25">
      <c r="A2238"/>
      <c r="B2238"/>
      <c r="E2238"/>
      <c r="F2238"/>
    </row>
    <row r="2239" spans="1:6" x14ac:dyDescent="0.25">
      <c r="A2239"/>
      <c r="B2239"/>
      <c r="E2239"/>
      <c r="F2239"/>
    </row>
    <row r="2240" spans="1:6" x14ac:dyDescent="0.25">
      <c r="A2240"/>
      <c r="B2240"/>
      <c r="E2240"/>
      <c r="F2240"/>
    </row>
    <row r="2241" spans="1:6" x14ac:dyDescent="0.25">
      <c r="A2241"/>
      <c r="B2241"/>
      <c r="E2241"/>
      <c r="F2241"/>
    </row>
    <row r="2242" spans="1:6" x14ac:dyDescent="0.25">
      <c r="A2242"/>
      <c r="B2242"/>
      <c r="E2242"/>
      <c r="F2242"/>
    </row>
    <row r="2243" spans="1:6" x14ac:dyDescent="0.25">
      <c r="A2243"/>
      <c r="B2243"/>
      <c r="E2243"/>
      <c r="F2243"/>
    </row>
    <row r="2244" spans="1:6" x14ac:dyDescent="0.25">
      <c r="A2244"/>
      <c r="B2244"/>
      <c r="E2244"/>
      <c r="F2244"/>
    </row>
    <row r="2245" spans="1:6" x14ac:dyDescent="0.25">
      <c r="A2245"/>
      <c r="B2245"/>
      <c r="E2245"/>
      <c r="F2245"/>
    </row>
    <row r="2246" spans="1:6" x14ac:dyDescent="0.25">
      <c r="A2246"/>
      <c r="B2246"/>
      <c r="E2246"/>
      <c r="F2246"/>
    </row>
    <row r="2247" spans="1:6" x14ac:dyDescent="0.25">
      <c r="A2247"/>
      <c r="B2247"/>
      <c r="E2247"/>
      <c r="F2247"/>
    </row>
    <row r="2248" spans="1:6" x14ac:dyDescent="0.25">
      <c r="A2248"/>
      <c r="B2248"/>
      <c r="E2248"/>
      <c r="F2248"/>
    </row>
    <row r="2249" spans="1:6" x14ac:dyDescent="0.25">
      <c r="A2249"/>
      <c r="B2249"/>
      <c r="E2249"/>
      <c r="F2249"/>
    </row>
    <row r="2250" spans="1:6" x14ac:dyDescent="0.25">
      <c r="A2250"/>
      <c r="B2250"/>
      <c r="E2250"/>
      <c r="F2250"/>
    </row>
    <row r="2251" spans="1:6" x14ac:dyDescent="0.25">
      <c r="A2251"/>
      <c r="B2251"/>
      <c r="E2251"/>
      <c r="F2251"/>
    </row>
    <row r="2252" spans="1:6" x14ac:dyDescent="0.25">
      <c r="A2252"/>
      <c r="B2252"/>
      <c r="E2252"/>
      <c r="F2252"/>
    </row>
    <row r="2253" spans="1:6" x14ac:dyDescent="0.25">
      <c r="A2253"/>
      <c r="B2253"/>
      <c r="E2253"/>
      <c r="F2253"/>
    </row>
    <row r="2254" spans="1:6" x14ac:dyDescent="0.25">
      <c r="A2254"/>
      <c r="B2254"/>
      <c r="E2254"/>
      <c r="F2254"/>
    </row>
    <row r="2255" spans="1:6" x14ac:dyDescent="0.25">
      <c r="A2255"/>
      <c r="B2255"/>
      <c r="E2255"/>
      <c r="F2255"/>
    </row>
    <row r="2256" spans="1:6" x14ac:dyDescent="0.25">
      <c r="A2256"/>
      <c r="B2256"/>
      <c r="E2256"/>
      <c r="F2256"/>
    </row>
    <row r="2257" spans="1:6" x14ac:dyDescent="0.25">
      <c r="A2257"/>
      <c r="B2257"/>
      <c r="E2257"/>
      <c r="F2257"/>
    </row>
    <row r="2258" spans="1:6" x14ac:dyDescent="0.25">
      <c r="A2258"/>
      <c r="B2258"/>
      <c r="E2258"/>
      <c r="F2258"/>
    </row>
    <row r="2259" spans="1:6" x14ac:dyDescent="0.25">
      <c r="A2259"/>
      <c r="B2259"/>
      <c r="E2259"/>
      <c r="F2259"/>
    </row>
    <row r="2260" spans="1:6" x14ac:dyDescent="0.25">
      <c r="A2260"/>
      <c r="B2260"/>
      <c r="E2260"/>
      <c r="F2260"/>
    </row>
    <row r="2261" spans="1:6" x14ac:dyDescent="0.25">
      <c r="A2261"/>
      <c r="B2261"/>
      <c r="E2261"/>
      <c r="F2261"/>
    </row>
    <row r="2262" spans="1:6" x14ac:dyDescent="0.25">
      <c r="A2262"/>
      <c r="B2262"/>
      <c r="E2262"/>
      <c r="F2262"/>
    </row>
    <row r="2263" spans="1:6" x14ac:dyDescent="0.25">
      <c r="A2263"/>
      <c r="B2263"/>
      <c r="E2263"/>
      <c r="F2263"/>
    </row>
    <row r="2264" spans="1:6" x14ac:dyDescent="0.25">
      <c r="A2264"/>
      <c r="B2264"/>
      <c r="E2264"/>
      <c r="F2264"/>
    </row>
    <row r="2265" spans="1:6" x14ac:dyDescent="0.25">
      <c r="A2265"/>
      <c r="B2265"/>
      <c r="E2265"/>
      <c r="F2265"/>
    </row>
    <row r="2266" spans="1:6" x14ac:dyDescent="0.25">
      <c r="A2266"/>
      <c r="B2266"/>
      <c r="E2266"/>
      <c r="F2266"/>
    </row>
    <row r="2267" spans="1:6" x14ac:dyDescent="0.25">
      <c r="A2267"/>
      <c r="B2267"/>
      <c r="E2267"/>
      <c r="F2267"/>
    </row>
    <row r="2268" spans="1:6" x14ac:dyDescent="0.25">
      <c r="A2268"/>
      <c r="B2268"/>
      <c r="E2268"/>
      <c r="F2268"/>
    </row>
    <row r="2269" spans="1:6" x14ac:dyDescent="0.25">
      <c r="A2269"/>
      <c r="B2269"/>
      <c r="E2269"/>
      <c r="F2269"/>
    </row>
    <row r="2270" spans="1:6" x14ac:dyDescent="0.25">
      <c r="A2270"/>
      <c r="B2270"/>
      <c r="E2270"/>
      <c r="F2270"/>
    </row>
    <row r="2271" spans="1:6" x14ac:dyDescent="0.25">
      <c r="A2271"/>
      <c r="B2271"/>
      <c r="E2271"/>
      <c r="F2271"/>
    </row>
    <row r="2272" spans="1:6" x14ac:dyDescent="0.25">
      <c r="A2272"/>
      <c r="B2272"/>
      <c r="E2272"/>
      <c r="F2272"/>
    </row>
    <row r="2273" spans="1:6" x14ac:dyDescent="0.25">
      <c r="A2273"/>
      <c r="B2273"/>
      <c r="E2273"/>
      <c r="F2273"/>
    </row>
    <row r="2274" spans="1:6" x14ac:dyDescent="0.25">
      <c r="A2274"/>
      <c r="B2274"/>
      <c r="E2274"/>
      <c r="F2274"/>
    </row>
    <row r="2275" spans="1:6" x14ac:dyDescent="0.25">
      <c r="A2275"/>
      <c r="B2275"/>
      <c r="E2275"/>
      <c r="F2275"/>
    </row>
    <row r="2276" spans="1:6" x14ac:dyDescent="0.25">
      <c r="A2276"/>
      <c r="B2276"/>
      <c r="E2276"/>
      <c r="F2276"/>
    </row>
    <row r="2277" spans="1:6" x14ac:dyDescent="0.25">
      <c r="A2277"/>
      <c r="B2277"/>
      <c r="E2277"/>
      <c r="F2277"/>
    </row>
    <row r="2278" spans="1:6" x14ac:dyDescent="0.25">
      <c r="A2278"/>
      <c r="B2278"/>
      <c r="E2278"/>
      <c r="F2278"/>
    </row>
    <row r="2279" spans="1:6" x14ac:dyDescent="0.25">
      <c r="A2279"/>
      <c r="B2279"/>
      <c r="E2279"/>
      <c r="F2279"/>
    </row>
    <row r="2280" spans="1:6" x14ac:dyDescent="0.25">
      <c r="A2280"/>
      <c r="B2280"/>
      <c r="E2280"/>
      <c r="F2280"/>
    </row>
    <row r="2281" spans="1:6" x14ac:dyDescent="0.25">
      <c r="A2281"/>
      <c r="B2281"/>
      <c r="E2281"/>
      <c r="F2281"/>
    </row>
    <row r="2282" spans="1:6" x14ac:dyDescent="0.25">
      <c r="A2282"/>
      <c r="B2282"/>
      <c r="E2282"/>
      <c r="F2282"/>
    </row>
    <row r="2283" spans="1:6" x14ac:dyDescent="0.25">
      <c r="A2283"/>
      <c r="B2283"/>
      <c r="E2283"/>
      <c r="F2283"/>
    </row>
    <row r="2284" spans="1:6" x14ac:dyDescent="0.25">
      <c r="A2284"/>
      <c r="B2284"/>
      <c r="E2284"/>
      <c r="F2284"/>
    </row>
    <row r="2285" spans="1:6" x14ac:dyDescent="0.25">
      <c r="A2285"/>
      <c r="B2285"/>
      <c r="E2285"/>
      <c r="F2285"/>
    </row>
    <row r="2286" spans="1:6" x14ac:dyDescent="0.25">
      <c r="A2286"/>
      <c r="B2286"/>
      <c r="E2286"/>
      <c r="F2286"/>
    </row>
    <row r="2287" spans="1:6" x14ac:dyDescent="0.25">
      <c r="A2287"/>
      <c r="B2287"/>
      <c r="E2287"/>
      <c r="F2287"/>
    </row>
    <row r="2288" spans="1:6" x14ac:dyDescent="0.25">
      <c r="A2288"/>
      <c r="B2288"/>
      <c r="E2288"/>
      <c r="F2288"/>
    </row>
    <row r="2289" spans="1:6" x14ac:dyDescent="0.25">
      <c r="A2289"/>
      <c r="B2289"/>
      <c r="E2289"/>
      <c r="F2289"/>
    </row>
    <row r="2290" spans="1:6" x14ac:dyDescent="0.25">
      <c r="A2290"/>
      <c r="B2290"/>
      <c r="E2290"/>
      <c r="F2290"/>
    </row>
    <row r="2291" spans="1:6" x14ac:dyDescent="0.25">
      <c r="A2291"/>
      <c r="B2291"/>
      <c r="E2291"/>
      <c r="F2291"/>
    </row>
    <row r="2292" spans="1:6" x14ac:dyDescent="0.25">
      <c r="A2292"/>
      <c r="B2292"/>
      <c r="E2292"/>
      <c r="F2292"/>
    </row>
    <row r="2293" spans="1:6" x14ac:dyDescent="0.25">
      <c r="A2293"/>
      <c r="B2293"/>
      <c r="E2293"/>
      <c r="F2293"/>
    </row>
    <row r="2294" spans="1:6" x14ac:dyDescent="0.25">
      <c r="A2294"/>
      <c r="B2294"/>
      <c r="E2294"/>
      <c r="F2294"/>
    </row>
    <row r="2295" spans="1:6" x14ac:dyDescent="0.25">
      <c r="A2295"/>
      <c r="B2295"/>
      <c r="E2295"/>
      <c r="F2295"/>
    </row>
    <row r="2296" spans="1:6" x14ac:dyDescent="0.25">
      <c r="A2296"/>
      <c r="B2296"/>
      <c r="E2296"/>
      <c r="F2296"/>
    </row>
    <row r="2297" spans="1:6" x14ac:dyDescent="0.25">
      <c r="A2297"/>
      <c r="B2297"/>
      <c r="E2297"/>
      <c r="F2297"/>
    </row>
    <row r="2298" spans="1:6" x14ac:dyDescent="0.25">
      <c r="A2298"/>
      <c r="B2298"/>
      <c r="E2298"/>
      <c r="F2298"/>
    </row>
    <row r="2299" spans="1:6" x14ac:dyDescent="0.25">
      <c r="A2299"/>
      <c r="B2299"/>
      <c r="E2299"/>
      <c r="F2299"/>
    </row>
    <row r="2300" spans="1:6" x14ac:dyDescent="0.25">
      <c r="A2300"/>
      <c r="B2300"/>
      <c r="E2300"/>
      <c r="F2300"/>
    </row>
    <row r="2301" spans="1:6" x14ac:dyDescent="0.25">
      <c r="A2301"/>
      <c r="B2301"/>
      <c r="E2301"/>
      <c r="F2301"/>
    </row>
    <row r="2302" spans="1:6" x14ac:dyDescent="0.25">
      <c r="A2302"/>
      <c r="B2302"/>
      <c r="E2302"/>
      <c r="F2302"/>
    </row>
    <row r="2303" spans="1:6" x14ac:dyDescent="0.25">
      <c r="A2303"/>
      <c r="B2303"/>
      <c r="E2303"/>
      <c r="F2303"/>
    </row>
    <row r="2304" spans="1:6" x14ac:dyDescent="0.25">
      <c r="A2304"/>
      <c r="B2304"/>
      <c r="E2304"/>
      <c r="F2304"/>
    </row>
    <row r="2305" spans="1:6" x14ac:dyDescent="0.25">
      <c r="A2305"/>
      <c r="B2305"/>
      <c r="E2305"/>
      <c r="F2305"/>
    </row>
    <row r="2306" spans="1:6" x14ac:dyDescent="0.25">
      <c r="A2306"/>
      <c r="B2306"/>
      <c r="E2306"/>
      <c r="F2306"/>
    </row>
    <row r="2307" spans="1:6" x14ac:dyDescent="0.25">
      <c r="A2307"/>
      <c r="B2307"/>
      <c r="E2307"/>
      <c r="F2307"/>
    </row>
    <row r="2308" spans="1:6" x14ac:dyDescent="0.25">
      <c r="A2308"/>
      <c r="B2308"/>
      <c r="E2308"/>
      <c r="F2308"/>
    </row>
    <row r="2309" spans="1:6" x14ac:dyDescent="0.25">
      <c r="A2309"/>
      <c r="B2309"/>
      <c r="E2309"/>
      <c r="F2309"/>
    </row>
    <row r="2310" spans="1:6" x14ac:dyDescent="0.25">
      <c r="A2310"/>
      <c r="B2310"/>
      <c r="E2310"/>
      <c r="F2310"/>
    </row>
    <row r="2311" spans="1:6" x14ac:dyDescent="0.25">
      <c r="A2311"/>
      <c r="B2311"/>
      <c r="E2311"/>
      <c r="F2311"/>
    </row>
    <row r="2312" spans="1:6" x14ac:dyDescent="0.25">
      <c r="A2312"/>
      <c r="B2312"/>
      <c r="E2312"/>
      <c r="F2312"/>
    </row>
    <row r="2313" spans="1:6" x14ac:dyDescent="0.25">
      <c r="A2313"/>
      <c r="B2313"/>
      <c r="E2313"/>
      <c r="F2313"/>
    </row>
    <row r="2314" spans="1:6" x14ac:dyDescent="0.25">
      <c r="A2314"/>
      <c r="B2314"/>
      <c r="E2314"/>
      <c r="F2314"/>
    </row>
    <row r="2315" spans="1:6" x14ac:dyDescent="0.25">
      <c r="A2315"/>
      <c r="B2315"/>
      <c r="E2315"/>
      <c r="F2315"/>
    </row>
    <row r="2316" spans="1:6" x14ac:dyDescent="0.25">
      <c r="A2316"/>
      <c r="B2316"/>
      <c r="E2316"/>
      <c r="F2316"/>
    </row>
    <row r="2317" spans="1:6" x14ac:dyDescent="0.25">
      <c r="A2317"/>
      <c r="B2317"/>
      <c r="E2317"/>
      <c r="F2317"/>
    </row>
    <row r="2318" spans="1:6" x14ac:dyDescent="0.25">
      <c r="A2318"/>
      <c r="B2318"/>
      <c r="E2318"/>
      <c r="F2318"/>
    </row>
    <row r="2319" spans="1:6" x14ac:dyDescent="0.25">
      <c r="A2319"/>
      <c r="B2319"/>
      <c r="E2319"/>
      <c r="F2319"/>
    </row>
    <row r="2320" spans="1:6" x14ac:dyDescent="0.25">
      <c r="A2320"/>
      <c r="B2320"/>
      <c r="E2320"/>
      <c r="F2320"/>
    </row>
    <row r="2321" spans="1:6" x14ac:dyDescent="0.25">
      <c r="A2321"/>
      <c r="B2321"/>
      <c r="E2321"/>
      <c r="F2321"/>
    </row>
    <row r="2322" spans="1:6" x14ac:dyDescent="0.25">
      <c r="A2322"/>
      <c r="B2322"/>
      <c r="E2322"/>
      <c r="F2322"/>
    </row>
    <row r="2323" spans="1:6" x14ac:dyDescent="0.25">
      <c r="A2323"/>
      <c r="B2323"/>
      <c r="E2323"/>
      <c r="F2323"/>
    </row>
    <row r="2324" spans="1:6" x14ac:dyDescent="0.25">
      <c r="A2324"/>
      <c r="B2324"/>
      <c r="E2324"/>
      <c r="F2324"/>
    </row>
    <row r="2325" spans="1:6" x14ac:dyDescent="0.25">
      <c r="A2325"/>
      <c r="B2325"/>
      <c r="E2325"/>
      <c r="F2325"/>
    </row>
    <row r="2326" spans="1:6" x14ac:dyDescent="0.25">
      <c r="A2326"/>
      <c r="B2326"/>
      <c r="E2326"/>
      <c r="F2326"/>
    </row>
    <row r="2327" spans="1:6" x14ac:dyDescent="0.25">
      <c r="A2327"/>
      <c r="B2327"/>
      <c r="E2327"/>
      <c r="F2327"/>
    </row>
    <row r="2328" spans="1:6" x14ac:dyDescent="0.25">
      <c r="A2328"/>
      <c r="B2328"/>
      <c r="E2328"/>
      <c r="F2328"/>
    </row>
    <row r="2329" spans="1:6" x14ac:dyDescent="0.25">
      <c r="A2329"/>
      <c r="B2329"/>
      <c r="E2329"/>
      <c r="F2329"/>
    </row>
    <row r="2330" spans="1:6" x14ac:dyDescent="0.25">
      <c r="A2330"/>
      <c r="B2330"/>
      <c r="E2330"/>
      <c r="F2330"/>
    </row>
    <row r="2331" spans="1:6" x14ac:dyDescent="0.25">
      <c r="A2331"/>
      <c r="B2331"/>
      <c r="E2331"/>
      <c r="F2331"/>
    </row>
    <row r="2332" spans="1:6" x14ac:dyDescent="0.25">
      <c r="A2332"/>
      <c r="B2332"/>
      <c r="E2332"/>
      <c r="F2332"/>
    </row>
    <row r="2333" spans="1:6" x14ac:dyDescent="0.25">
      <c r="A2333"/>
      <c r="B2333"/>
      <c r="E2333"/>
      <c r="F2333"/>
    </row>
    <row r="2334" spans="1:6" x14ac:dyDescent="0.25">
      <c r="A2334"/>
      <c r="B2334"/>
      <c r="E2334"/>
      <c r="F2334"/>
    </row>
    <row r="2335" spans="1:6" x14ac:dyDescent="0.25">
      <c r="A2335"/>
      <c r="B2335"/>
      <c r="E2335"/>
      <c r="F2335"/>
    </row>
    <row r="2336" spans="1:6" x14ac:dyDescent="0.25">
      <c r="A2336"/>
      <c r="B2336"/>
      <c r="E2336"/>
      <c r="F2336"/>
    </row>
    <row r="2337" spans="1:6" x14ac:dyDescent="0.25">
      <c r="A2337"/>
      <c r="B2337"/>
      <c r="E2337"/>
      <c r="F2337"/>
    </row>
    <row r="2338" spans="1:6" x14ac:dyDescent="0.25">
      <c r="A2338"/>
      <c r="B2338"/>
      <c r="E2338"/>
      <c r="F2338"/>
    </row>
    <row r="2339" spans="1:6" x14ac:dyDescent="0.25">
      <c r="A2339"/>
      <c r="B2339"/>
      <c r="E2339"/>
      <c r="F2339"/>
    </row>
    <row r="2340" spans="1:6" x14ac:dyDescent="0.25">
      <c r="E2340"/>
      <c r="F2340"/>
    </row>
    <row r="2341" spans="1:6" x14ac:dyDescent="0.25">
      <c r="E2341"/>
      <c r="F2341"/>
    </row>
    <row r="2342" spans="1:6" x14ac:dyDescent="0.25">
      <c r="E2342"/>
      <c r="F2342"/>
    </row>
    <row r="2343" spans="1:6" x14ac:dyDescent="0.25">
      <c r="E2343"/>
      <c r="F2343"/>
    </row>
    <row r="2344" spans="1:6" x14ac:dyDescent="0.25">
      <c r="E2344"/>
      <c r="F2344"/>
    </row>
    <row r="2345" spans="1:6" x14ac:dyDescent="0.25">
      <c r="E2345"/>
      <c r="F2345"/>
    </row>
    <row r="2346" spans="1:6" x14ac:dyDescent="0.25">
      <c r="E2346"/>
      <c r="F2346"/>
    </row>
    <row r="2347" spans="1:6" x14ac:dyDescent="0.25">
      <c r="E2347"/>
      <c r="F2347"/>
    </row>
    <row r="2348" spans="1:6" x14ac:dyDescent="0.25">
      <c r="E2348"/>
      <c r="F2348"/>
    </row>
    <row r="2349" spans="1:6" x14ac:dyDescent="0.25">
      <c r="E2349"/>
      <c r="F2349"/>
    </row>
    <row r="2350" spans="1:6" x14ac:dyDescent="0.25">
      <c r="E2350"/>
      <c r="F2350"/>
    </row>
    <row r="2351" spans="1:6" x14ac:dyDescent="0.25">
      <c r="E2351"/>
      <c r="F2351"/>
    </row>
    <row r="2352" spans="1:6" x14ac:dyDescent="0.25">
      <c r="E2352"/>
      <c r="F2352"/>
    </row>
    <row r="2353" spans="5:6" x14ac:dyDescent="0.25">
      <c r="E2353"/>
      <c r="F2353"/>
    </row>
    <row r="2354" spans="5:6" x14ac:dyDescent="0.25">
      <c r="E2354"/>
      <c r="F2354"/>
    </row>
    <row r="2355" spans="5:6" x14ac:dyDescent="0.25">
      <c r="E2355"/>
      <c r="F2355"/>
    </row>
    <row r="2356" spans="5:6" x14ac:dyDescent="0.25">
      <c r="E2356"/>
      <c r="F2356"/>
    </row>
    <row r="2357" spans="5:6" x14ac:dyDescent="0.25">
      <c r="E2357"/>
      <c r="F2357"/>
    </row>
    <row r="2358" spans="5:6" x14ac:dyDescent="0.25">
      <c r="E2358"/>
      <c r="F2358"/>
    </row>
    <row r="2359" spans="5:6" x14ac:dyDescent="0.25">
      <c r="E2359"/>
      <c r="F2359"/>
    </row>
    <row r="2360" spans="5:6" x14ac:dyDescent="0.25">
      <c r="E2360"/>
      <c r="F2360"/>
    </row>
    <row r="2361" spans="5:6" x14ac:dyDescent="0.25">
      <c r="E2361"/>
      <c r="F2361"/>
    </row>
    <row r="2362" spans="5:6" x14ac:dyDescent="0.25">
      <c r="E2362"/>
      <c r="F2362"/>
    </row>
    <row r="2363" spans="5:6" x14ac:dyDescent="0.25">
      <c r="E2363"/>
      <c r="F2363"/>
    </row>
    <row r="2364" spans="5:6" x14ac:dyDescent="0.25">
      <c r="E2364"/>
      <c r="F2364"/>
    </row>
    <row r="2365" spans="5:6" x14ac:dyDescent="0.25">
      <c r="E2365"/>
      <c r="F2365"/>
    </row>
    <row r="2366" spans="5:6" x14ac:dyDescent="0.25">
      <c r="E2366"/>
      <c r="F2366"/>
    </row>
    <row r="2367" spans="5:6" x14ac:dyDescent="0.25">
      <c r="E2367"/>
      <c r="F2367"/>
    </row>
    <row r="2368" spans="5:6" x14ac:dyDescent="0.25">
      <c r="E2368"/>
      <c r="F2368"/>
    </row>
    <row r="2369" spans="5:6" x14ac:dyDescent="0.25">
      <c r="E2369"/>
      <c r="F2369"/>
    </row>
    <row r="2370" spans="5:6" x14ac:dyDescent="0.25">
      <c r="E2370"/>
      <c r="F2370"/>
    </row>
    <row r="2371" spans="5:6" x14ac:dyDescent="0.25">
      <c r="E2371"/>
      <c r="F2371"/>
    </row>
    <row r="2372" spans="5:6" x14ac:dyDescent="0.25">
      <c r="E2372"/>
      <c r="F2372"/>
    </row>
    <row r="2373" spans="5:6" x14ac:dyDescent="0.25">
      <c r="E2373"/>
      <c r="F2373"/>
    </row>
    <row r="2374" spans="5:6" x14ac:dyDescent="0.25">
      <c r="E2374"/>
      <c r="F2374"/>
    </row>
    <row r="2375" spans="5:6" x14ac:dyDescent="0.25">
      <c r="E2375"/>
      <c r="F2375"/>
    </row>
    <row r="2376" spans="5:6" x14ac:dyDescent="0.25">
      <c r="E2376"/>
      <c r="F2376"/>
    </row>
    <row r="2377" spans="5:6" x14ac:dyDescent="0.25">
      <c r="E2377"/>
      <c r="F2377"/>
    </row>
    <row r="2378" spans="5:6" x14ac:dyDescent="0.25">
      <c r="E2378"/>
      <c r="F2378"/>
    </row>
    <row r="2379" spans="5:6" x14ac:dyDescent="0.25">
      <c r="E2379"/>
      <c r="F2379"/>
    </row>
    <row r="2380" spans="5:6" x14ac:dyDescent="0.25">
      <c r="E2380"/>
      <c r="F2380"/>
    </row>
    <row r="2381" spans="5:6" x14ac:dyDescent="0.25">
      <c r="E2381"/>
      <c r="F2381"/>
    </row>
    <row r="2382" spans="5:6" x14ac:dyDescent="0.25">
      <c r="E2382"/>
      <c r="F2382"/>
    </row>
    <row r="2383" spans="5:6" x14ac:dyDescent="0.25">
      <c r="E2383"/>
      <c r="F2383"/>
    </row>
    <row r="2384" spans="5:6" x14ac:dyDescent="0.25">
      <c r="E2384"/>
      <c r="F2384"/>
    </row>
    <row r="2385" spans="5:6" x14ac:dyDescent="0.25">
      <c r="E2385"/>
      <c r="F2385"/>
    </row>
    <row r="2386" spans="5:6" x14ac:dyDescent="0.25">
      <c r="E2386"/>
      <c r="F2386"/>
    </row>
    <row r="2387" spans="5:6" x14ac:dyDescent="0.25">
      <c r="E2387"/>
      <c r="F2387"/>
    </row>
    <row r="2388" spans="5:6" x14ac:dyDescent="0.25">
      <c r="E2388"/>
      <c r="F2388"/>
    </row>
    <row r="2389" spans="5:6" x14ac:dyDescent="0.25">
      <c r="E2389"/>
      <c r="F2389"/>
    </row>
    <row r="2390" spans="5:6" x14ac:dyDescent="0.25">
      <c r="E2390"/>
      <c r="F2390"/>
    </row>
    <row r="2391" spans="5:6" x14ac:dyDescent="0.25">
      <c r="E2391"/>
      <c r="F2391"/>
    </row>
    <row r="2392" spans="5:6" x14ac:dyDescent="0.25">
      <c r="E2392"/>
      <c r="F2392"/>
    </row>
    <row r="2393" spans="5:6" x14ac:dyDescent="0.25">
      <c r="E2393"/>
      <c r="F2393"/>
    </row>
    <row r="2394" spans="5:6" x14ac:dyDescent="0.25">
      <c r="E2394"/>
      <c r="F2394"/>
    </row>
    <row r="2395" spans="5:6" x14ac:dyDescent="0.25">
      <c r="E2395"/>
      <c r="F2395"/>
    </row>
    <row r="2396" spans="5:6" x14ac:dyDescent="0.25">
      <c r="E2396"/>
      <c r="F2396"/>
    </row>
    <row r="2397" spans="5:6" x14ac:dyDescent="0.25">
      <c r="E2397"/>
      <c r="F2397"/>
    </row>
    <row r="2398" spans="5:6" x14ac:dyDescent="0.25">
      <c r="E2398"/>
      <c r="F2398"/>
    </row>
    <row r="2399" spans="5:6" x14ac:dyDescent="0.25">
      <c r="E2399"/>
      <c r="F2399"/>
    </row>
    <row r="2400" spans="5:6" x14ac:dyDescent="0.25">
      <c r="E2400"/>
      <c r="F2400"/>
    </row>
    <row r="2401" spans="5:6" x14ac:dyDescent="0.25">
      <c r="E2401"/>
      <c r="F2401"/>
    </row>
    <row r="2402" spans="5:6" x14ac:dyDescent="0.25">
      <c r="E2402"/>
      <c r="F2402"/>
    </row>
    <row r="2403" spans="5:6" x14ac:dyDescent="0.25">
      <c r="E2403"/>
      <c r="F2403"/>
    </row>
    <row r="2404" spans="5:6" x14ac:dyDescent="0.25">
      <c r="E2404"/>
      <c r="F2404"/>
    </row>
    <row r="2405" spans="5:6" x14ac:dyDescent="0.25">
      <c r="E2405"/>
      <c r="F2405"/>
    </row>
    <row r="2406" spans="5:6" x14ac:dyDescent="0.25">
      <c r="E2406"/>
      <c r="F2406"/>
    </row>
    <row r="2407" spans="5:6" x14ac:dyDescent="0.25">
      <c r="E2407"/>
      <c r="F2407"/>
    </row>
    <row r="2408" spans="5:6" x14ac:dyDescent="0.25">
      <c r="E2408"/>
      <c r="F2408"/>
    </row>
    <row r="2409" spans="5:6" x14ac:dyDescent="0.25">
      <c r="E2409"/>
      <c r="F2409"/>
    </row>
    <row r="2410" spans="5:6" x14ac:dyDescent="0.25">
      <c r="E2410"/>
      <c r="F2410"/>
    </row>
    <row r="2411" spans="5:6" x14ac:dyDescent="0.25">
      <c r="E2411"/>
      <c r="F2411"/>
    </row>
    <row r="2412" spans="5:6" x14ac:dyDescent="0.25">
      <c r="E2412"/>
      <c r="F2412"/>
    </row>
    <row r="2413" spans="5:6" x14ac:dyDescent="0.25">
      <c r="E2413"/>
      <c r="F2413"/>
    </row>
    <row r="2414" spans="5:6" x14ac:dyDescent="0.25">
      <c r="E2414"/>
      <c r="F2414"/>
    </row>
    <row r="2415" spans="5:6" x14ac:dyDescent="0.25">
      <c r="E2415"/>
      <c r="F2415"/>
    </row>
    <row r="2416" spans="5:6" x14ac:dyDescent="0.25">
      <c r="E2416"/>
      <c r="F2416"/>
    </row>
    <row r="2417" spans="5:6" x14ac:dyDescent="0.25">
      <c r="E2417"/>
      <c r="F2417"/>
    </row>
    <row r="2418" spans="5:6" x14ac:dyDescent="0.25">
      <c r="E2418"/>
      <c r="F2418"/>
    </row>
    <row r="2419" spans="5:6" x14ac:dyDescent="0.25">
      <c r="E2419"/>
      <c r="F2419"/>
    </row>
    <row r="2420" spans="5:6" x14ac:dyDescent="0.25">
      <c r="E2420"/>
      <c r="F2420"/>
    </row>
    <row r="2421" spans="5:6" x14ac:dyDescent="0.25">
      <c r="E2421"/>
      <c r="F2421"/>
    </row>
    <row r="2422" spans="5:6" x14ac:dyDescent="0.25">
      <c r="E2422"/>
      <c r="F2422"/>
    </row>
    <row r="2423" spans="5:6" x14ac:dyDescent="0.25">
      <c r="E2423"/>
      <c r="F2423"/>
    </row>
    <row r="2424" spans="5:6" x14ac:dyDescent="0.25">
      <c r="E2424"/>
      <c r="F2424"/>
    </row>
    <row r="2425" spans="5:6" x14ac:dyDescent="0.25">
      <c r="E2425"/>
      <c r="F2425"/>
    </row>
    <row r="2426" spans="5:6" x14ac:dyDescent="0.25">
      <c r="E2426"/>
      <c r="F2426"/>
    </row>
    <row r="2427" spans="5:6" x14ac:dyDescent="0.25">
      <c r="E2427"/>
      <c r="F2427"/>
    </row>
    <row r="2428" spans="5:6" x14ac:dyDescent="0.25">
      <c r="E2428"/>
      <c r="F2428"/>
    </row>
    <row r="2429" spans="5:6" x14ac:dyDescent="0.25">
      <c r="E2429"/>
      <c r="F2429"/>
    </row>
    <row r="2430" spans="5:6" x14ac:dyDescent="0.25">
      <c r="E2430"/>
      <c r="F2430"/>
    </row>
    <row r="2431" spans="5:6" x14ac:dyDescent="0.25">
      <c r="E2431"/>
      <c r="F2431"/>
    </row>
    <row r="2432" spans="5:6" x14ac:dyDescent="0.25">
      <c r="E2432"/>
      <c r="F2432"/>
    </row>
    <row r="2433" spans="5:6" x14ac:dyDescent="0.25">
      <c r="E2433"/>
      <c r="F2433"/>
    </row>
    <row r="2434" spans="5:6" x14ac:dyDescent="0.25">
      <c r="E2434"/>
      <c r="F2434"/>
    </row>
    <row r="2435" spans="5:6" x14ac:dyDescent="0.25">
      <c r="E2435"/>
      <c r="F2435"/>
    </row>
    <row r="2436" spans="5:6" x14ac:dyDescent="0.25">
      <c r="E2436"/>
      <c r="F2436"/>
    </row>
    <row r="2437" spans="5:6" x14ac:dyDescent="0.25">
      <c r="E2437"/>
      <c r="F2437"/>
    </row>
    <row r="2438" spans="5:6" x14ac:dyDescent="0.25">
      <c r="E2438"/>
      <c r="F2438"/>
    </row>
    <row r="2439" spans="5:6" x14ac:dyDescent="0.25">
      <c r="E2439"/>
      <c r="F2439"/>
    </row>
    <row r="2440" spans="5:6" x14ac:dyDescent="0.25">
      <c r="E2440"/>
      <c r="F2440"/>
    </row>
    <row r="2441" spans="5:6" x14ac:dyDescent="0.25">
      <c r="E2441"/>
      <c r="F2441"/>
    </row>
    <row r="2442" spans="5:6" x14ac:dyDescent="0.25">
      <c r="E2442"/>
      <c r="F2442"/>
    </row>
    <row r="2443" spans="5:6" x14ac:dyDescent="0.25">
      <c r="E2443"/>
      <c r="F2443"/>
    </row>
    <row r="2444" spans="5:6" x14ac:dyDescent="0.25">
      <c r="E2444"/>
      <c r="F2444"/>
    </row>
    <row r="2445" spans="5:6" x14ac:dyDescent="0.25">
      <c r="E2445"/>
      <c r="F2445"/>
    </row>
    <row r="2446" spans="5:6" x14ac:dyDescent="0.25">
      <c r="E2446"/>
      <c r="F2446"/>
    </row>
    <row r="2447" spans="5:6" x14ac:dyDescent="0.25">
      <c r="E2447"/>
      <c r="F2447"/>
    </row>
    <row r="2448" spans="5:6" x14ac:dyDescent="0.25">
      <c r="E2448"/>
      <c r="F2448"/>
    </row>
    <row r="2449" spans="5:6" x14ac:dyDescent="0.25">
      <c r="E2449"/>
      <c r="F2449"/>
    </row>
    <row r="2450" spans="5:6" x14ac:dyDescent="0.25">
      <c r="E2450"/>
      <c r="F2450"/>
    </row>
    <row r="2451" spans="5:6" x14ac:dyDescent="0.25">
      <c r="E2451"/>
      <c r="F2451"/>
    </row>
    <row r="2452" spans="5:6" x14ac:dyDescent="0.25">
      <c r="E2452"/>
      <c r="F2452"/>
    </row>
    <row r="2453" spans="5:6" x14ac:dyDescent="0.25">
      <c r="E2453"/>
      <c r="F2453"/>
    </row>
    <row r="2454" spans="5:6" x14ac:dyDescent="0.25">
      <c r="E2454"/>
      <c r="F2454"/>
    </row>
    <row r="2455" spans="5:6" x14ac:dyDescent="0.25">
      <c r="E2455"/>
      <c r="F2455"/>
    </row>
    <row r="2456" spans="5:6" x14ac:dyDescent="0.25">
      <c r="E2456"/>
      <c r="F2456"/>
    </row>
    <row r="2457" spans="5:6" x14ac:dyDescent="0.25">
      <c r="E2457"/>
      <c r="F2457"/>
    </row>
    <row r="2458" spans="5:6" x14ac:dyDescent="0.25">
      <c r="E2458"/>
      <c r="F2458"/>
    </row>
    <row r="2459" spans="5:6" x14ac:dyDescent="0.25">
      <c r="E2459"/>
      <c r="F2459"/>
    </row>
    <row r="2460" spans="5:6" x14ac:dyDescent="0.25">
      <c r="E2460"/>
      <c r="F2460"/>
    </row>
    <row r="2461" spans="5:6" x14ac:dyDescent="0.25">
      <c r="E2461"/>
      <c r="F2461"/>
    </row>
    <row r="2462" spans="5:6" x14ac:dyDescent="0.25">
      <c r="E2462"/>
      <c r="F2462"/>
    </row>
    <row r="2463" spans="5:6" x14ac:dyDescent="0.25">
      <c r="E2463"/>
      <c r="F2463"/>
    </row>
    <row r="2464" spans="5:6" x14ac:dyDescent="0.25">
      <c r="E2464"/>
      <c r="F2464"/>
    </row>
    <row r="2465" spans="5:6" x14ac:dyDescent="0.25">
      <c r="E2465"/>
      <c r="F2465"/>
    </row>
    <row r="2466" spans="5:6" x14ac:dyDescent="0.25">
      <c r="E2466"/>
      <c r="F2466"/>
    </row>
    <row r="2467" spans="5:6" x14ac:dyDescent="0.25">
      <c r="E2467"/>
      <c r="F2467"/>
    </row>
    <row r="2468" spans="5:6" x14ac:dyDescent="0.25">
      <c r="E2468"/>
      <c r="F2468"/>
    </row>
    <row r="2469" spans="5:6" x14ac:dyDescent="0.25">
      <c r="E2469"/>
      <c r="F2469"/>
    </row>
    <row r="2470" spans="5:6" x14ac:dyDescent="0.25">
      <c r="E2470"/>
      <c r="F2470"/>
    </row>
    <row r="2471" spans="5:6" x14ac:dyDescent="0.25">
      <c r="E2471"/>
      <c r="F2471"/>
    </row>
    <row r="2472" spans="5:6" x14ac:dyDescent="0.25">
      <c r="E2472"/>
      <c r="F2472"/>
    </row>
    <row r="2473" spans="5:6" x14ac:dyDescent="0.25">
      <c r="E2473"/>
      <c r="F2473"/>
    </row>
    <row r="2474" spans="5:6" x14ac:dyDescent="0.25">
      <c r="E2474"/>
      <c r="F2474"/>
    </row>
    <row r="2475" spans="5:6" x14ac:dyDescent="0.25">
      <c r="E2475"/>
      <c r="F2475"/>
    </row>
    <row r="2476" spans="5:6" x14ac:dyDescent="0.25">
      <c r="E2476"/>
      <c r="F2476"/>
    </row>
    <row r="2477" spans="5:6" x14ac:dyDescent="0.25">
      <c r="E2477"/>
      <c r="F2477"/>
    </row>
    <row r="2478" spans="5:6" x14ac:dyDescent="0.25">
      <c r="E2478"/>
      <c r="F2478"/>
    </row>
    <row r="2479" spans="5:6" x14ac:dyDescent="0.25">
      <c r="E2479"/>
      <c r="F2479"/>
    </row>
    <row r="2480" spans="5:6" x14ac:dyDescent="0.25">
      <c r="E2480"/>
      <c r="F2480"/>
    </row>
    <row r="2481" spans="5:6" x14ac:dyDescent="0.25">
      <c r="E2481"/>
      <c r="F2481"/>
    </row>
    <row r="2482" spans="5:6" x14ac:dyDescent="0.25">
      <c r="E2482"/>
      <c r="F2482"/>
    </row>
    <row r="2483" spans="5:6" x14ac:dyDescent="0.25">
      <c r="E2483"/>
      <c r="F2483"/>
    </row>
    <row r="2484" spans="5:6" x14ac:dyDescent="0.25">
      <c r="E2484"/>
      <c r="F2484"/>
    </row>
    <row r="2485" spans="5:6" x14ac:dyDescent="0.25">
      <c r="E2485"/>
      <c r="F2485"/>
    </row>
    <row r="2486" spans="5:6" x14ac:dyDescent="0.25">
      <c r="E2486"/>
      <c r="F2486"/>
    </row>
    <row r="2487" spans="5:6" x14ac:dyDescent="0.25">
      <c r="E2487"/>
      <c r="F2487"/>
    </row>
    <row r="2488" spans="5:6" x14ac:dyDescent="0.25">
      <c r="E2488"/>
      <c r="F2488"/>
    </row>
    <row r="2489" spans="5:6" x14ac:dyDescent="0.25">
      <c r="E2489"/>
      <c r="F2489"/>
    </row>
    <row r="2490" spans="5:6" x14ac:dyDescent="0.25">
      <c r="E2490"/>
      <c r="F2490"/>
    </row>
    <row r="2491" spans="5:6" x14ac:dyDescent="0.25">
      <c r="E2491"/>
      <c r="F2491"/>
    </row>
    <row r="2492" spans="5:6" x14ac:dyDescent="0.25">
      <c r="E2492"/>
      <c r="F2492"/>
    </row>
    <row r="2493" spans="5:6" x14ac:dyDescent="0.25">
      <c r="E2493"/>
      <c r="F2493"/>
    </row>
    <row r="2494" spans="5:6" x14ac:dyDescent="0.25">
      <c r="E2494"/>
      <c r="F2494"/>
    </row>
    <row r="2495" spans="5:6" x14ac:dyDescent="0.25">
      <c r="E2495"/>
      <c r="F2495"/>
    </row>
    <row r="2496" spans="5:6" x14ac:dyDescent="0.25">
      <c r="E2496"/>
      <c r="F2496"/>
    </row>
    <row r="2497" spans="5:6" x14ac:dyDescent="0.25">
      <c r="E2497"/>
      <c r="F2497"/>
    </row>
    <row r="2498" spans="5:6" x14ac:dyDescent="0.25">
      <c r="E2498"/>
      <c r="F2498"/>
    </row>
    <row r="2499" spans="5:6" x14ac:dyDescent="0.25">
      <c r="E2499"/>
      <c r="F2499"/>
    </row>
    <row r="2500" spans="5:6" x14ac:dyDescent="0.25">
      <c r="E2500"/>
      <c r="F2500"/>
    </row>
    <row r="2501" spans="5:6" x14ac:dyDescent="0.25">
      <c r="E2501"/>
      <c r="F2501"/>
    </row>
    <row r="2502" spans="5:6" x14ac:dyDescent="0.25">
      <c r="E2502"/>
      <c r="F2502"/>
    </row>
    <row r="2503" spans="5:6" x14ac:dyDescent="0.25">
      <c r="E2503"/>
      <c r="F2503"/>
    </row>
    <row r="2504" spans="5:6" x14ac:dyDescent="0.25">
      <c r="E2504"/>
      <c r="F2504"/>
    </row>
    <row r="2505" spans="5:6" x14ac:dyDescent="0.25">
      <c r="E2505"/>
      <c r="F2505"/>
    </row>
    <row r="2506" spans="5:6" x14ac:dyDescent="0.25">
      <c r="E2506"/>
      <c r="F2506"/>
    </row>
    <row r="2507" spans="5:6" x14ac:dyDescent="0.25">
      <c r="E2507"/>
      <c r="F2507"/>
    </row>
    <row r="2508" spans="5:6" x14ac:dyDescent="0.25">
      <c r="E2508"/>
      <c r="F2508"/>
    </row>
    <row r="2509" spans="5:6" x14ac:dyDescent="0.25">
      <c r="E2509"/>
      <c r="F2509"/>
    </row>
    <row r="2510" spans="5:6" x14ac:dyDescent="0.25">
      <c r="E2510"/>
      <c r="F2510"/>
    </row>
    <row r="2511" spans="5:6" x14ac:dyDescent="0.25">
      <c r="E2511"/>
      <c r="F2511"/>
    </row>
    <row r="2512" spans="5:6" x14ac:dyDescent="0.25">
      <c r="E2512"/>
      <c r="F2512"/>
    </row>
    <row r="2513" spans="5:6" x14ac:dyDescent="0.25">
      <c r="E2513"/>
      <c r="F2513"/>
    </row>
    <row r="2514" spans="5:6" x14ac:dyDescent="0.25">
      <c r="E2514"/>
      <c r="F2514"/>
    </row>
    <row r="2515" spans="5:6" x14ac:dyDescent="0.25">
      <c r="E2515"/>
      <c r="F2515"/>
    </row>
    <row r="2516" spans="5:6" x14ac:dyDescent="0.25">
      <c r="E2516"/>
      <c r="F2516"/>
    </row>
    <row r="2517" spans="5:6" x14ac:dyDescent="0.25">
      <c r="E2517"/>
      <c r="F2517"/>
    </row>
    <row r="2518" spans="5:6" x14ac:dyDescent="0.25">
      <c r="E2518"/>
      <c r="F2518"/>
    </row>
    <row r="2519" spans="5:6" x14ac:dyDescent="0.25">
      <c r="E2519"/>
      <c r="F2519"/>
    </row>
    <row r="2520" spans="5:6" x14ac:dyDescent="0.25">
      <c r="E2520"/>
      <c r="F2520"/>
    </row>
    <row r="2521" spans="5:6" x14ac:dyDescent="0.25">
      <c r="E2521"/>
      <c r="F2521"/>
    </row>
    <row r="2522" spans="5:6" x14ac:dyDescent="0.25">
      <c r="E2522"/>
      <c r="F2522"/>
    </row>
    <row r="2523" spans="5:6" x14ac:dyDescent="0.25">
      <c r="E2523"/>
      <c r="F2523"/>
    </row>
    <row r="2524" spans="5:6" x14ac:dyDescent="0.25">
      <c r="E2524"/>
      <c r="F2524"/>
    </row>
    <row r="2525" spans="5:6" x14ac:dyDescent="0.25">
      <c r="E2525"/>
      <c r="F2525"/>
    </row>
    <row r="2526" spans="5:6" x14ac:dyDescent="0.25">
      <c r="E2526"/>
      <c r="F2526"/>
    </row>
    <row r="2527" spans="5:6" x14ac:dyDescent="0.25">
      <c r="E2527"/>
      <c r="F2527"/>
    </row>
    <row r="2528" spans="5:6" x14ac:dyDescent="0.25">
      <c r="E2528"/>
      <c r="F2528"/>
    </row>
    <row r="2529" spans="5:6" x14ac:dyDescent="0.25">
      <c r="E2529"/>
      <c r="F2529"/>
    </row>
    <row r="2530" spans="5:6" x14ac:dyDescent="0.25">
      <c r="E2530"/>
      <c r="F2530"/>
    </row>
    <row r="2531" spans="5:6" x14ac:dyDescent="0.25">
      <c r="E2531"/>
      <c r="F2531"/>
    </row>
    <row r="2532" spans="5:6" x14ac:dyDescent="0.25">
      <c r="E2532"/>
      <c r="F2532"/>
    </row>
    <row r="2533" spans="5:6" x14ac:dyDescent="0.25">
      <c r="E2533"/>
      <c r="F2533"/>
    </row>
    <row r="2534" spans="5:6" x14ac:dyDescent="0.25">
      <c r="E2534"/>
      <c r="F2534"/>
    </row>
    <row r="2535" spans="5:6" x14ac:dyDescent="0.25">
      <c r="E2535"/>
      <c r="F2535"/>
    </row>
    <row r="2536" spans="5:6" x14ac:dyDescent="0.25">
      <c r="E2536"/>
      <c r="F2536"/>
    </row>
    <row r="2537" spans="5:6" x14ac:dyDescent="0.25">
      <c r="E2537"/>
      <c r="F2537"/>
    </row>
    <row r="2538" spans="5:6" x14ac:dyDescent="0.25">
      <c r="E2538"/>
      <c r="F2538"/>
    </row>
    <row r="2539" spans="5:6" x14ac:dyDescent="0.25">
      <c r="E2539"/>
      <c r="F2539"/>
    </row>
    <row r="2540" spans="5:6" x14ac:dyDescent="0.25">
      <c r="E2540"/>
      <c r="F2540"/>
    </row>
    <row r="2541" spans="5:6" x14ac:dyDescent="0.25">
      <c r="E2541"/>
      <c r="F2541"/>
    </row>
    <row r="2542" spans="5:6" x14ac:dyDescent="0.25">
      <c r="E2542"/>
      <c r="F2542"/>
    </row>
    <row r="2543" spans="5:6" x14ac:dyDescent="0.25">
      <c r="E2543"/>
      <c r="F2543"/>
    </row>
    <row r="2544" spans="5:6" x14ac:dyDescent="0.25">
      <c r="E2544"/>
      <c r="F2544"/>
    </row>
    <row r="2545" spans="5:6" x14ac:dyDescent="0.25">
      <c r="E2545"/>
      <c r="F2545"/>
    </row>
    <row r="2546" spans="5:6" x14ac:dyDescent="0.25">
      <c r="E2546"/>
      <c r="F2546"/>
    </row>
    <row r="2547" spans="5:6" x14ac:dyDescent="0.25">
      <c r="E2547"/>
      <c r="F2547"/>
    </row>
    <row r="2548" spans="5:6" x14ac:dyDescent="0.25">
      <c r="E2548"/>
      <c r="F2548"/>
    </row>
    <row r="2549" spans="5:6" x14ac:dyDescent="0.25">
      <c r="E2549"/>
      <c r="F2549"/>
    </row>
    <row r="2550" spans="5:6" x14ac:dyDescent="0.25">
      <c r="E2550"/>
      <c r="F2550"/>
    </row>
    <row r="2551" spans="5:6" x14ac:dyDescent="0.25">
      <c r="E2551"/>
      <c r="F2551"/>
    </row>
    <row r="2552" spans="5:6" x14ac:dyDescent="0.25">
      <c r="E2552"/>
      <c r="F2552"/>
    </row>
    <row r="2553" spans="5:6" x14ac:dyDescent="0.25">
      <c r="E2553"/>
      <c r="F2553"/>
    </row>
    <row r="2554" spans="5:6" x14ac:dyDescent="0.25">
      <c r="E2554"/>
      <c r="F2554"/>
    </row>
    <row r="2555" spans="5:6" x14ac:dyDescent="0.25">
      <c r="E2555"/>
      <c r="F2555"/>
    </row>
    <row r="2556" spans="5:6" x14ac:dyDescent="0.25">
      <c r="E2556"/>
      <c r="F2556"/>
    </row>
    <row r="2557" spans="5:6" x14ac:dyDescent="0.25">
      <c r="E2557"/>
      <c r="F2557"/>
    </row>
    <row r="2558" spans="5:6" x14ac:dyDescent="0.25">
      <c r="E2558"/>
      <c r="F2558"/>
    </row>
    <row r="2559" spans="5:6" x14ac:dyDescent="0.25">
      <c r="E2559"/>
      <c r="F2559"/>
    </row>
    <row r="2560" spans="5:6" x14ac:dyDescent="0.25">
      <c r="E2560"/>
      <c r="F2560"/>
    </row>
    <row r="2561" spans="5:6" x14ac:dyDescent="0.25">
      <c r="E2561"/>
      <c r="F2561"/>
    </row>
    <row r="2562" spans="5:6" x14ac:dyDescent="0.25">
      <c r="E2562"/>
      <c r="F2562"/>
    </row>
    <row r="2563" spans="5:6" x14ac:dyDescent="0.25">
      <c r="E2563"/>
      <c r="F2563"/>
    </row>
    <row r="2564" spans="5:6" x14ac:dyDescent="0.25">
      <c r="E2564"/>
      <c r="F2564"/>
    </row>
    <row r="2565" spans="5:6" x14ac:dyDescent="0.25">
      <c r="E2565"/>
      <c r="F2565"/>
    </row>
    <row r="2566" spans="5:6" x14ac:dyDescent="0.25">
      <c r="E2566"/>
      <c r="F2566"/>
    </row>
    <row r="2567" spans="5:6" x14ac:dyDescent="0.25">
      <c r="E2567"/>
      <c r="F2567"/>
    </row>
    <row r="2568" spans="5:6" x14ac:dyDescent="0.25">
      <c r="E2568"/>
      <c r="F2568"/>
    </row>
    <row r="2569" spans="5:6" x14ac:dyDescent="0.25">
      <c r="E2569"/>
      <c r="F2569"/>
    </row>
    <row r="2570" spans="5:6" x14ac:dyDescent="0.25">
      <c r="E2570"/>
      <c r="F2570"/>
    </row>
    <row r="2571" spans="5:6" x14ac:dyDescent="0.25">
      <c r="E2571"/>
      <c r="F2571"/>
    </row>
    <row r="2572" spans="5:6" x14ac:dyDescent="0.25">
      <c r="E2572"/>
      <c r="F2572"/>
    </row>
    <row r="2573" spans="5:6" x14ac:dyDescent="0.25">
      <c r="E2573"/>
      <c r="F2573"/>
    </row>
    <row r="2574" spans="5:6" x14ac:dyDescent="0.25">
      <c r="E2574"/>
      <c r="F2574"/>
    </row>
    <row r="2575" spans="5:6" x14ac:dyDescent="0.25">
      <c r="E2575"/>
      <c r="F2575"/>
    </row>
    <row r="2576" spans="5:6" x14ac:dyDescent="0.25">
      <c r="E2576"/>
      <c r="F2576"/>
    </row>
    <row r="2577" spans="5:6" x14ac:dyDescent="0.25">
      <c r="E2577"/>
      <c r="F2577"/>
    </row>
    <row r="2578" spans="5:6" x14ac:dyDescent="0.25">
      <c r="E2578"/>
      <c r="F2578"/>
    </row>
    <row r="2579" spans="5:6" x14ac:dyDescent="0.25">
      <c r="E2579"/>
      <c r="F2579"/>
    </row>
    <row r="2580" spans="5:6" x14ac:dyDescent="0.25">
      <c r="E2580"/>
      <c r="F2580"/>
    </row>
    <row r="2581" spans="5:6" x14ac:dyDescent="0.25">
      <c r="E2581"/>
      <c r="F2581"/>
    </row>
    <row r="2582" spans="5:6" x14ac:dyDescent="0.25">
      <c r="E2582"/>
      <c r="F2582"/>
    </row>
    <row r="2583" spans="5:6" x14ac:dyDescent="0.25">
      <c r="E2583"/>
      <c r="F2583"/>
    </row>
    <row r="2584" spans="5:6" x14ac:dyDescent="0.25">
      <c r="E2584"/>
      <c r="F2584"/>
    </row>
    <row r="2585" spans="5:6" x14ac:dyDescent="0.25">
      <c r="E2585"/>
      <c r="F2585"/>
    </row>
    <row r="2586" spans="5:6" x14ac:dyDescent="0.25">
      <c r="E2586"/>
      <c r="F2586"/>
    </row>
    <row r="2587" spans="5:6" x14ac:dyDescent="0.25">
      <c r="E2587"/>
      <c r="F2587"/>
    </row>
    <row r="2588" spans="5:6" x14ac:dyDescent="0.25">
      <c r="E2588"/>
      <c r="F2588"/>
    </row>
    <row r="2589" spans="5:6" x14ac:dyDescent="0.25">
      <c r="E2589"/>
      <c r="F2589"/>
    </row>
    <row r="2590" spans="5:6" x14ac:dyDescent="0.25">
      <c r="E2590"/>
      <c r="F2590"/>
    </row>
    <row r="2591" spans="5:6" x14ac:dyDescent="0.25">
      <c r="E2591"/>
      <c r="F2591"/>
    </row>
    <row r="2592" spans="5:6" x14ac:dyDescent="0.25">
      <c r="E2592"/>
      <c r="F2592"/>
    </row>
    <row r="2593" spans="5:6" x14ac:dyDescent="0.25">
      <c r="E2593"/>
      <c r="F2593"/>
    </row>
    <row r="2594" spans="5:6" x14ac:dyDescent="0.25">
      <c r="E2594"/>
      <c r="F2594"/>
    </row>
    <row r="2595" spans="5:6" x14ac:dyDescent="0.25">
      <c r="E2595"/>
      <c r="F2595"/>
    </row>
    <row r="2596" spans="5:6" x14ac:dyDescent="0.25">
      <c r="E2596"/>
      <c r="F2596"/>
    </row>
    <row r="2597" spans="5:6" x14ac:dyDescent="0.25">
      <c r="E2597"/>
      <c r="F2597"/>
    </row>
    <row r="2598" spans="5:6" x14ac:dyDescent="0.25">
      <c r="E2598"/>
      <c r="F2598"/>
    </row>
    <row r="2599" spans="5:6" x14ac:dyDescent="0.25">
      <c r="E2599"/>
      <c r="F2599"/>
    </row>
    <row r="2600" spans="5:6" x14ac:dyDescent="0.25">
      <c r="E2600"/>
      <c r="F2600"/>
    </row>
    <row r="2601" spans="5:6" x14ac:dyDescent="0.25">
      <c r="E2601"/>
      <c r="F2601"/>
    </row>
    <row r="2602" spans="5:6" x14ac:dyDescent="0.25">
      <c r="E2602"/>
      <c r="F2602"/>
    </row>
    <row r="2603" spans="5:6" x14ac:dyDescent="0.25">
      <c r="E2603"/>
      <c r="F2603"/>
    </row>
    <row r="2604" spans="5:6" x14ac:dyDescent="0.25">
      <c r="E2604"/>
      <c r="F2604"/>
    </row>
    <row r="2605" spans="5:6" x14ac:dyDescent="0.25">
      <c r="E2605"/>
      <c r="F2605"/>
    </row>
    <row r="2606" spans="5:6" x14ac:dyDescent="0.25">
      <c r="E2606"/>
      <c r="F2606"/>
    </row>
    <row r="2607" spans="5:6" x14ac:dyDescent="0.25">
      <c r="E2607"/>
      <c r="F2607"/>
    </row>
    <row r="2608" spans="5:6" x14ac:dyDescent="0.25">
      <c r="E2608"/>
      <c r="F2608"/>
    </row>
    <row r="2609" spans="5:6" x14ac:dyDescent="0.25">
      <c r="E2609"/>
      <c r="F2609"/>
    </row>
    <row r="2610" spans="5:6" x14ac:dyDescent="0.25">
      <c r="E2610"/>
      <c r="F2610"/>
    </row>
    <row r="2611" spans="5:6" x14ac:dyDescent="0.25">
      <c r="E2611"/>
      <c r="F2611"/>
    </row>
    <row r="2612" spans="5:6" x14ac:dyDescent="0.25">
      <c r="E2612"/>
      <c r="F2612"/>
    </row>
    <row r="2613" spans="5:6" x14ac:dyDescent="0.25">
      <c r="E2613"/>
      <c r="F2613"/>
    </row>
    <row r="2614" spans="5:6" x14ac:dyDescent="0.25">
      <c r="E2614"/>
      <c r="F2614"/>
    </row>
    <row r="2615" spans="5:6" x14ac:dyDescent="0.25">
      <c r="E2615"/>
      <c r="F2615"/>
    </row>
    <row r="2616" spans="5:6" x14ac:dyDescent="0.25">
      <c r="E2616"/>
      <c r="F2616"/>
    </row>
    <row r="2617" spans="5:6" x14ac:dyDescent="0.25">
      <c r="E2617"/>
      <c r="F2617"/>
    </row>
    <row r="2618" spans="5:6" x14ac:dyDescent="0.25">
      <c r="E2618"/>
      <c r="F2618"/>
    </row>
    <row r="2619" spans="5:6" x14ac:dyDescent="0.25">
      <c r="E2619"/>
      <c r="F2619"/>
    </row>
    <row r="2620" spans="5:6" x14ac:dyDescent="0.25">
      <c r="E2620"/>
      <c r="F2620"/>
    </row>
    <row r="2621" spans="5:6" x14ac:dyDescent="0.25">
      <c r="E2621"/>
      <c r="F2621"/>
    </row>
    <row r="2622" spans="5:6" x14ac:dyDescent="0.25">
      <c r="E2622"/>
      <c r="F2622"/>
    </row>
    <row r="2623" spans="5:6" x14ac:dyDescent="0.25">
      <c r="E2623"/>
      <c r="F2623"/>
    </row>
    <row r="2624" spans="5:6" x14ac:dyDescent="0.25">
      <c r="E2624"/>
      <c r="F2624"/>
    </row>
    <row r="2625" spans="5:6" x14ac:dyDescent="0.25">
      <c r="E2625"/>
      <c r="F2625"/>
    </row>
    <row r="2626" spans="5:6" x14ac:dyDescent="0.25">
      <c r="E2626"/>
      <c r="F2626"/>
    </row>
    <row r="2627" spans="5:6" x14ac:dyDescent="0.25">
      <c r="E2627"/>
      <c r="F2627"/>
    </row>
    <row r="2628" spans="5:6" x14ac:dyDescent="0.25">
      <c r="E2628"/>
      <c r="F2628"/>
    </row>
    <row r="2629" spans="5:6" x14ac:dyDescent="0.25">
      <c r="E2629"/>
      <c r="F2629"/>
    </row>
    <row r="2630" spans="5:6" x14ac:dyDescent="0.25">
      <c r="E2630"/>
      <c r="F2630"/>
    </row>
    <row r="2631" spans="5:6" x14ac:dyDescent="0.25">
      <c r="E2631"/>
      <c r="F2631"/>
    </row>
    <row r="2632" spans="5:6" x14ac:dyDescent="0.25">
      <c r="E2632"/>
      <c r="F2632"/>
    </row>
    <row r="2633" spans="5:6" x14ac:dyDescent="0.25">
      <c r="E2633"/>
      <c r="F2633"/>
    </row>
    <row r="2634" spans="5:6" x14ac:dyDescent="0.25">
      <c r="E2634"/>
      <c r="F2634"/>
    </row>
    <row r="2635" spans="5:6" x14ac:dyDescent="0.25">
      <c r="E2635"/>
      <c r="F2635"/>
    </row>
    <row r="2636" spans="5:6" x14ac:dyDescent="0.25">
      <c r="E2636"/>
      <c r="F2636"/>
    </row>
    <row r="2637" spans="5:6" x14ac:dyDescent="0.25">
      <c r="E2637"/>
      <c r="F2637"/>
    </row>
    <row r="2638" spans="5:6" x14ac:dyDescent="0.25">
      <c r="E2638"/>
      <c r="F2638"/>
    </row>
    <row r="2639" spans="5:6" x14ac:dyDescent="0.25">
      <c r="E2639"/>
      <c r="F2639"/>
    </row>
    <row r="2640" spans="5:6" x14ac:dyDescent="0.25">
      <c r="E2640"/>
      <c r="F2640"/>
    </row>
    <row r="2641" spans="5:6" x14ac:dyDescent="0.25">
      <c r="E2641"/>
      <c r="F2641"/>
    </row>
    <row r="2642" spans="5:6" x14ac:dyDescent="0.25">
      <c r="E2642"/>
      <c r="F2642"/>
    </row>
    <row r="2643" spans="5:6" x14ac:dyDescent="0.25">
      <c r="E2643"/>
      <c r="F2643"/>
    </row>
    <row r="2644" spans="5:6" x14ac:dyDescent="0.25">
      <c r="E2644"/>
      <c r="F2644"/>
    </row>
    <row r="2645" spans="5:6" x14ac:dyDescent="0.25">
      <c r="E2645"/>
      <c r="F2645"/>
    </row>
    <row r="2646" spans="5:6" x14ac:dyDescent="0.25">
      <c r="E2646"/>
      <c r="F2646"/>
    </row>
    <row r="2647" spans="5:6" x14ac:dyDescent="0.25">
      <c r="E2647"/>
      <c r="F2647"/>
    </row>
    <row r="2648" spans="5:6" x14ac:dyDescent="0.25">
      <c r="E2648"/>
      <c r="F2648"/>
    </row>
    <row r="2649" spans="5:6" x14ac:dyDescent="0.25">
      <c r="E2649"/>
      <c r="F2649"/>
    </row>
    <row r="2650" spans="5:6" x14ac:dyDescent="0.25">
      <c r="E2650"/>
      <c r="F2650"/>
    </row>
    <row r="2651" spans="5:6" x14ac:dyDescent="0.25">
      <c r="E2651"/>
      <c r="F2651"/>
    </row>
    <row r="2652" spans="5:6" x14ac:dyDescent="0.25">
      <c r="E2652"/>
      <c r="F2652"/>
    </row>
    <row r="2653" spans="5:6" x14ac:dyDescent="0.25">
      <c r="E2653"/>
      <c r="F2653"/>
    </row>
    <row r="2654" spans="5:6" x14ac:dyDescent="0.25">
      <c r="E2654"/>
      <c r="F2654"/>
    </row>
    <row r="2655" spans="5:6" x14ac:dyDescent="0.25">
      <c r="E2655"/>
      <c r="F2655"/>
    </row>
    <row r="2656" spans="5:6" x14ac:dyDescent="0.25">
      <c r="E2656"/>
      <c r="F2656"/>
    </row>
    <row r="2657" spans="5:6" x14ac:dyDescent="0.25">
      <c r="E2657"/>
      <c r="F2657"/>
    </row>
    <row r="2658" spans="5:6" x14ac:dyDescent="0.25">
      <c r="E2658"/>
      <c r="F2658"/>
    </row>
    <row r="2659" spans="5:6" x14ac:dyDescent="0.25">
      <c r="E2659"/>
      <c r="F2659"/>
    </row>
    <row r="2660" spans="5:6" x14ac:dyDescent="0.25">
      <c r="E2660"/>
      <c r="F2660"/>
    </row>
    <row r="2661" spans="5:6" x14ac:dyDescent="0.25">
      <c r="E2661"/>
      <c r="F2661"/>
    </row>
    <row r="2662" spans="5:6" x14ac:dyDescent="0.25">
      <c r="E2662"/>
      <c r="F2662"/>
    </row>
    <row r="2663" spans="5:6" x14ac:dyDescent="0.25">
      <c r="E2663"/>
      <c r="F2663"/>
    </row>
    <row r="2664" spans="5:6" x14ac:dyDescent="0.25">
      <c r="E2664"/>
      <c r="F2664"/>
    </row>
    <row r="2665" spans="5:6" x14ac:dyDescent="0.25">
      <c r="E2665"/>
      <c r="F2665"/>
    </row>
    <row r="2666" spans="5:6" x14ac:dyDescent="0.25">
      <c r="E2666"/>
      <c r="F2666"/>
    </row>
    <row r="2667" spans="5:6" x14ac:dyDescent="0.25">
      <c r="E2667"/>
      <c r="F2667"/>
    </row>
    <row r="2668" spans="5:6" x14ac:dyDescent="0.25">
      <c r="E2668"/>
      <c r="F2668"/>
    </row>
    <row r="2669" spans="5:6" x14ac:dyDescent="0.25">
      <c r="E2669"/>
      <c r="F2669"/>
    </row>
    <row r="2670" spans="5:6" x14ac:dyDescent="0.25">
      <c r="E2670"/>
      <c r="F2670"/>
    </row>
    <row r="2671" spans="5:6" x14ac:dyDescent="0.25">
      <c r="E2671"/>
      <c r="F2671"/>
    </row>
    <row r="2672" spans="5:6" x14ac:dyDescent="0.25">
      <c r="E2672"/>
      <c r="F2672"/>
    </row>
    <row r="2673" spans="5:6" x14ac:dyDescent="0.25">
      <c r="E2673"/>
      <c r="F2673"/>
    </row>
    <row r="2674" spans="5:6" x14ac:dyDescent="0.25">
      <c r="E2674"/>
      <c r="F2674"/>
    </row>
    <row r="2675" spans="5:6" x14ac:dyDescent="0.25">
      <c r="E2675"/>
      <c r="F2675"/>
    </row>
    <row r="2676" spans="5:6" x14ac:dyDescent="0.25">
      <c r="E2676"/>
      <c r="F2676"/>
    </row>
    <row r="2677" spans="5:6" x14ac:dyDescent="0.25">
      <c r="E2677"/>
      <c r="F2677"/>
    </row>
    <row r="2678" spans="5:6" x14ac:dyDescent="0.25">
      <c r="E2678"/>
      <c r="F2678"/>
    </row>
    <row r="2679" spans="5:6" x14ac:dyDescent="0.25">
      <c r="E2679"/>
      <c r="F2679"/>
    </row>
    <row r="2680" spans="5:6" x14ac:dyDescent="0.25">
      <c r="E2680"/>
      <c r="F2680"/>
    </row>
    <row r="2681" spans="5:6" x14ac:dyDescent="0.25">
      <c r="E2681"/>
      <c r="F2681"/>
    </row>
    <row r="2682" spans="5:6" x14ac:dyDescent="0.25">
      <c r="E2682"/>
      <c r="F2682"/>
    </row>
    <row r="2683" spans="5:6" x14ac:dyDescent="0.25">
      <c r="E2683"/>
      <c r="F2683"/>
    </row>
    <row r="2684" spans="5:6" x14ac:dyDescent="0.25">
      <c r="E2684"/>
      <c r="F2684"/>
    </row>
    <row r="2685" spans="5:6" x14ac:dyDescent="0.25">
      <c r="E2685"/>
      <c r="F2685"/>
    </row>
    <row r="2686" spans="5:6" x14ac:dyDescent="0.25">
      <c r="E2686"/>
      <c r="F2686"/>
    </row>
    <row r="2687" spans="5:6" x14ac:dyDescent="0.25">
      <c r="E2687"/>
      <c r="F2687"/>
    </row>
    <row r="2688" spans="5:6" x14ac:dyDescent="0.25">
      <c r="E2688"/>
      <c r="F2688"/>
    </row>
    <row r="2689" spans="5:6" x14ac:dyDescent="0.25">
      <c r="E2689"/>
      <c r="F2689"/>
    </row>
    <row r="2690" spans="5:6" x14ac:dyDescent="0.25">
      <c r="E2690"/>
      <c r="F2690"/>
    </row>
    <row r="2691" spans="5:6" x14ac:dyDescent="0.25">
      <c r="E2691"/>
      <c r="F2691"/>
    </row>
    <row r="2692" spans="5:6" x14ac:dyDescent="0.25">
      <c r="E2692"/>
      <c r="F2692"/>
    </row>
    <row r="2693" spans="5:6" x14ac:dyDescent="0.25">
      <c r="E2693"/>
      <c r="F2693"/>
    </row>
    <row r="2694" spans="5:6" x14ac:dyDescent="0.25">
      <c r="E2694"/>
      <c r="F2694"/>
    </row>
    <row r="2695" spans="5:6" x14ac:dyDescent="0.25">
      <c r="E2695"/>
      <c r="F2695"/>
    </row>
    <row r="2696" spans="5:6" x14ac:dyDescent="0.25">
      <c r="E2696"/>
      <c r="F2696"/>
    </row>
    <row r="2697" spans="5:6" x14ac:dyDescent="0.25">
      <c r="E2697"/>
      <c r="F2697"/>
    </row>
    <row r="2698" spans="5:6" x14ac:dyDescent="0.25">
      <c r="E2698"/>
      <c r="F2698"/>
    </row>
    <row r="2699" spans="5:6" x14ac:dyDescent="0.25">
      <c r="E2699"/>
      <c r="F2699"/>
    </row>
    <row r="2700" spans="5:6" x14ac:dyDescent="0.25">
      <c r="E2700"/>
      <c r="F2700"/>
    </row>
    <row r="2701" spans="5:6" x14ac:dyDescent="0.25">
      <c r="E2701"/>
      <c r="F2701"/>
    </row>
    <row r="2702" spans="5:6" x14ac:dyDescent="0.25">
      <c r="E2702"/>
      <c r="F2702"/>
    </row>
    <row r="2703" spans="5:6" x14ac:dyDescent="0.25">
      <c r="E2703"/>
      <c r="F2703"/>
    </row>
    <row r="2704" spans="5:6" x14ac:dyDescent="0.25">
      <c r="E2704"/>
      <c r="F2704"/>
    </row>
    <row r="2705" spans="5:6" x14ac:dyDescent="0.25">
      <c r="E2705"/>
      <c r="F2705"/>
    </row>
    <row r="2706" spans="5:6" x14ac:dyDescent="0.25">
      <c r="E2706"/>
      <c r="F2706"/>
    </row>
    <row r="2707" spans="5:6" x14ac:dyDescent="0.25">
      <c r="E2707"/>
      <c r="F2707"/>
    </row>
    <row r="2708" spans="5:6" x14ac:dyDescent="0.25">
      <c r="E2708"/>
      <c r="F2708"/>
    </row>
    <row r="2709" spans="5:6" x14ac:dyDescent="0.25">
      <c r="E2709"/>
      <c r="F2709"/>
    </row>
    <row r="2710" spans="5:6" x14ac:dyDescent="0.25">
      <c r="E2710"/>
      <c r="F2710"/>
    </row>
    <row r="2711" spans="5:6" x14ac:dyDescent="0.25">
      <c r="E2711"/>
      <c r="F2711"/>
    </row>
    <row r="2712" spans="5:6" x14ac:dyDescent="0.25">
      <c r="E2712"/>
      <c r="F2712"/>
    </row>
    <row r="2713" spans="5:6" x14ac:dyDescent="0.25">
      <c r="E2713"/>
      <c r="F2713"/>
    </row>
    <row r="2714" spans="5:6" x14ac:dyDescent="0.25">
      <c r="E2714"/>
      <c r="F2714"/>
    </row>
    <row r="2715" spans="5:6" x14ac:dyDescent="0.25">
      <c r="E2715"/>
      <c r="F2715"/>
    </row>
    <row r="2716" spans="5:6" x14ac:dyDescent="0.25">
      <c r="E2716"/>
      <c r="F2716"/>
    </row>
    <row r="2717" spans="5:6" x14ac:dyDescent="0.25">
      <c r="E2717"/>
      <c r="F2717"/>
    </row>
    <row r="2718" spans="5:6" x14ac:dyDescent="0.25">
      <c r="E2718"/>
      <c r="F2718"/>
    </row>
    <row r="2719" spans="5:6" x14ac:dyDescent="0.25">
      <c r="E2719"/>
      <c r="F2719"/>
    </row>
    <row r="2720" spans="5:6" x14ac:dyDescent="0.25">
      <c r="E2720"/>
      <c r="F2720"/>
    </row>
    <row r="2721" spans="5:6" x14ac:dyDescent="0.25">
      <c r="E2721"/>
      <c r="F2721"/>
    </row>
    <row r="2722" spans="5:6" x14ac:dyDescent="0.25">
      <c r="E2722"/>
      <c r="F2722"/>
    </row>
    <row r="2723" spans="5:6" x14ac:dyDescent="0.25">
      <c r="E2723"/>
      <c r="F2723"/>
    </row>
    <row r="2724" spans="5:6" x14ac:dyDescent="0.25">
      <c r="E2724"/>
      <c r="F2724"/>
    </row>
    <row r="2725" spans="5:6" x14ac:dyDescent="0.25">
      <c r="E2725"/>
      <c r="F2725"/>
    </row>
    <row r="2726" spans="5:6" x14ac:dyDescent="0.25">
      <c r="E2726"/>
      <c r="F2726"/>
    </row>
    <row r="2727" spans="5:6" x14ac:dyDescent="0.25">
      <c r="E2727"/>
      <c r="F2727"/>
    </row>
    <row r="2728" spans="5:6" x14ac:dyDescent="0.25">
      <c r="E2728"/>
      <c r="F2728"/>
    </row>
    <row r="2729" spans="5:6" x14ac:dyDescent="0.25">
      <c r="E2729"/>
      <c r="F2729"/>
    </row>
    <row r="2730" spans="5:6" x14ac:dyDescent="0.25">
      <c r="E2730"/>
      <c r="F2730"/>
    </row>
    <row r="2731" spans="5:6" x14ac:dyDescent="0.25">
      <c r="E2731"/>
      <c r="F2731"/>
    </row>
    <row r="2732" spans="5:6" x14ac:dyDescent="0.25">
      <c r="E2732"/>
      <c r="F2732"/>
    </row>
    <row r="2733" spans="5:6" x14ac:dyDescent="0.25">
      <c r="E2733"/>
      <c r="F2733"/>
    </row>
    <row r="2734" spans="5:6" x14ac:dyDescent="0.25">
      <c r="E2734"/>
      <c r="F2734"/>
    </row>
    <row r="2735" spans="5:6" x14ac:dyDescent="0.25">
      <c r="E2735"/>
      <c r="F2735"/>
    </row>
    <row r="2736" spans="5:6" x14ac:dyDescent="0.25">
      <c r="E2736"/>
      <c r="F2736"/>
    </row>
    <row r="2737" spans="5:6" x14ac:dyDescent="0.25">
      <c r="E2737"/>
      <c r="F2737"/>
    </row>
    <row r="2738" spans="5:6" x14ac:dyDescent="0.25">
      <c r="E2738"/>
      <c r="F2738"/>
    </row>
    <row r="2739" spans="5:6" x14ac:dyDescent="0.25">
      <c r="E2739"/>
      <c r="F2739"/>
    </row>
    <row r="2740" spans="5:6" x14ac:dyDescent="0.25">
      <c r="E2740"/>
      <c r="F2740"/>
    </row>
    <row r="2741" spans="5:6" x14ac:dyDescent="0.25">
      <c r="E2741"/>
      <c r="F2741"/>
    </row>
    <row r="2742" spans="5:6" x14ac:dyDescent="0.25">
      <c r="E2742"/>
      <c r="F2742"/>
    </row>
    <row r="2743" spans="5:6" x14ac:dyDescent="0.25">
      <c r="E2743"/>
      <c r="F2743"/>
    </row>
    <row r="2744" spans="5:6" x14ac:dyDescent="0.25">
      <c r="E2744"/>
      <c r="F2744"/>
    </row>
    <row r="2745" spans="5:6" x14ac:dyDescent="0.25">
      <c r="E2745"/>
      <c r="F2745"/>
    </row>
    <row r="2746" spans="5:6" x14ac:dyDescent="0.25">
      <c r="E2746"/>
      <c r="F2746"/>
    </row>
    <row r="2747" spans="5:6" x14ac:dyDescent="0.25">
      <c r="E2747"/>
      <c r="F2747"/>
    </row>
    <row r="2748" spans="5:6" x14ac:dyDescent="0.25">
      <c r="E2748"/>
      <c r="F2748"/>
    </row>
    <row r="2749" spans="5:6" x14ac:dyDescent="0.25">
      <c r="E2749"/>
      <c r="F2749"/>
    </row>
    <row r="2750" spans="5:6" x14ac:dyDescent="0.25">
      <c r="E2750"/>
      <c r="F2750"/>
    </row>
    <row r="2751" spans="5:6" x14ac:dyDescent="0.25">
      <c r="E2751"/>
      <c r="F2751"/>
    </row>
    <row r="2752" spans="5:6" x14ac:dyDescent="0.25">
      <c r="E2752"/>
      <c r="F2752"/>
    </row>
    <row r="2753" spans="5:6" x14ac:dyDescent="0.25">
      <c r="E2753"/>
      <c r="F2753"/>
    </row>
    <row r="2754" spans="5:6" x14ac:dyDescent="0.25">
      <c r="E2754"/>
      <c r="F2754"/>
    </row>
    <row r="2755" spans="5:6" x14ac:dyDescent="0.25">
      <c r="E2755"/>
      <c r="F2755"/>
    </row>
    <row r="2756" spans="5:6" x14ac:dyDescent="0.25">
      <c r="E2756"/>
      <c r="F2756"/>
    </row>
    <row r="2757" spans="5:6" x14ac:dyDescent="0.25">
      <c r="E2757"/>
      <c r="F2757"/>
    </row>
    <row r="2758" spans="5:6" x14ac:dyDescent="0.25">
      <c r="E2758"/>
      <c r="F2758"/>
    </row>
    <row r="2759" spans="5:6" x14ac:dyDescent="0.25">
      <c r="E2759"/>
      <c r="F2759"/>
    </row>
    <row r="2760" spans="5:6" x14ac:dyDescent="0.25">
      <c r="E2760"/>
      <c r="F2760"/>
    </row>
    <row r="2761" spans="5:6" x14ac:dyDescent="0.25">
      <c r="E2761"/>
      <c r="F2761"/>
    </row>
    <row r="2762" spans="5:6" x14ac:dyDescent="0.25">
      <c r="E2762"/>
      <c r="F2762"/>
    </row>
    <row r="2763" spans="5:6" x14ac:dyDescent="0.25">
      <c r="E2763"/>
      <c r="F2763"/>
    </row>
    <row r="2764" spans="5:6" x14ac:dyDescent="0.25">
      <c r="E2764"/>
      <c r="F2764"/>
    </row>
    <row r="2765" spans="5:6" x14ac:dyDescent="0.25">
      <c r="E2765"/>
      <c r="F2765"/>
    </row>
    <row r="2766" spans="5:6" x14ac:dyDescent="0.25">
      <c r="E2766"/>
      <c r="F2766"/>
    </row>
    <row r="2767" spans="5:6" x14ac:dyDescent="0.25">
      <c r="E2767"/>
      <c r="F2767"/>
    </row>
    <row r="2768" spans="5:6" x14ac:dyDescent="0.25">
      <c r="E2768"/>
      <c r="F2768"/>
    </row>
    <row r="2769" spans="5:6" x14ac:dyDescent="0.25">
      <c r="E2769"/>
      <c r="F2769"/>
    </row>
    <row r="2770" spans="5:6" x14ac:dyDescent="0.25">
      <c r="E2770"/>
      <c r="F2770"/>
    </row>
    <row r="2771" spans="5:6" x14ac:dyDescent="0.25">
      <c r="E2771"/>
      <c r="F2771"/>
    </row>
    <row r="2772" spans="5:6" x14ac:dyDescent="0.25">
      <c r="E2772"/>
      <c r="F2772"/>
    </row>
    <row r="2773" spans="5:6" x14ac:dyDescent="0.25">
      <c r="E2773"/>
      <c r="F2773"/>
    </row>
    <row r="2774" spans="5:6" x14ac:dyDescent="0.25">
      <c r="E2774"/>
      <c r="F2774"/>
    </row>
    <row r="2775" spans="5:6" x14ac:dyDescent="0.25">
      <c r="E2775"/>
      <c r="F2775"/>
    </row>
    <row r="2776" spans="5:6" x14ac:dyDescent="0.25">
      <c r="E2776"/>
      <c r="F2776"/>
    </row>
    <row r="2777" spans="5:6" x14ac:dyDescent="0.25">
      <c r="E2777"/>
      <c r="F2777"/>
    </row>
    <row r="2778" spans="5:6" x14ac:dyDescent="0.25">
      <c r="E2778"/>
      <c r="F2778"/>
    </row>
    <row r="2779" spans="5:6" x14ac:dyDescent="0.25">
      <c r="E2779"/>
      <c r="F2779"/>
    </row>
    <row r="2780" spans="5:6" x14ac:dyDescent="0.25">
      <c r="E2780"/>
      <c r="F2780"/>
    </row>
    <row r="2781" spans="5:6" x14ac:dyDescent="0.25">
      <c r="E2781"/>
      <c r="F2781"/>
    </row>
    <row r="2782" spans="5:6" x14ac:dyDescent="0.25">
      <c r="E2782"/>
      <c r="F2782"/>
    </row>
    <row r="2783" spans="5:6" x14ac:dyDescent="0.25">
      <c r="E2783"/>
      <c r="F2783"/>
    </row>
    <row r="2784" spans="5:6" x14ac:dyDescent="0.25">
      <c r="E2784"/>
      <c r="F2784"/>
    </row>
    <row r="2785" spans="5:6" x14ac:dyDescent="0.25">
      <c r="E2785"/>
      <c r="F2785"/>
    </row>
    <row r="2786" spans="5:6" x14ac:dyDescent="0.25">
      <c r="E2786"/>
      <c r="F2786"/>
    </row>
    <row r="2787" spans="5:6" x14ac:dyDescent="0.25">
      <c r="E2787"/>
      <c r="F2787"/>
    </row>
    <row r="2788" spans="5:6" x14ac:dyDescent="0.25">
      <c r="E2788"/>
      <c r="F2788"/>
    </row>
    <row r="2789" spans="5:6" x14ac:dyDescent="0.25">
      <c r="E2789"/>
      <c r="F2789"/>
    </row>
    <row r="2790" spans="5:6" x14ac:dyDescent="0.25">
      <c r="E2790"/>
      <c r="F2790"/>
    </row>
    <row r="2791" spans="5:6" x14ac:dyDescent="0.25">
      <c r="E2791"/>
      <c r="F2791"/>
    </row>
    <row r="2792" spans="5:6" x14ac:dyDescent="0.25">
      <c r="E2792"/>
      <c r="F2792"/>
    </row>
    <row r="2793" spans="5:6" x14ac:dyDescent="0.25">
      <c r="E2793"/>
      <c r="F2793"/>
    </row>
    <row r="2794" spans="5:6" x14ac:dyDescent="0.25">
      <c r="E2794"/>
      <c r="F2794"/>
    </row>
    <row r="2795" spans="5:6" x14ac:dyDescent="0.25">
      <c r="E2795"/>
      <c r="F2795"/>
    </row>
    <row r="2796" spans="5:6" x14ac:dyDescent="0.25">
      <c r="E2796"/>
      <c r="F2796"/>
    </row>
    <row r="2797" spans="5:6" x14ac:dyDescent="0.25">
      <c r="E2797"/>
      <c r="F2797"/>
    </row>
    <row r="2798" spans="5:6" x14ac:dyDescent="0.25">
      <c r="E2798"/>
      <c r="F2798"/>
    </row>
    <row r="2799" spans="5:6" x14ac:dyDescent="0.25">
      <c r="E2799"/>
      <c r="F2799"/>
    </row>
    <row r="2800" spans="5:6" x14ac:dyDescent="0.25">
      <c r="E2800"/>
      <c r="F2800"/>
    </row>
    <row r="2801" spans="5:6" x14ac:dyDescent="0.25">
      <c r="E2801"/>
      <c r="F2801"/>
    </row>
    <row r="2802" spans="5:6" x14ac:dyDescent="0.25">
      <c r="E2802"/>
      <c r="F2802"/>
    </row>
    <row r="2803" spans="5:6" x14ac:dyDescent="0.25">
      <c r="E2803"/>
      <c r="F2803"/>
    </row>
    <row r="2804" spans="5:6" x14ac:dyDescent="0.25">
      <c r="E2804"/>
      <c r="F2804"/>
    </row>
    <row r="2805" spans="5:6" x14ac:dyDescent="0.25">
      <c r="E2805"/>
      <c r="F2805"/>
    </row>
    <row r="2806" spans="5:6" x14ac:dyDescent="0.25">
      <c r="E2806"/>
      <c r="F2806"/>
    </row>
    <row r="2807" spans="5:6" x14ac:dyDescent="0.25">
      <c r="E2807"/>
      <c r="F2807"/>
    </row>
    <row r="2808" spans="5:6" x14ac:dyDescent="0.25">
      <c r="E2808"/>
      <c r="F2808"/>
    </row>
    <row r="2809" spans="5:6" x14ac:dyDescent="0.25">
      <c r="E2809"/>
      <c r="F2809"/>
    </row>
    <row r="2810" spans="5:6" x14ac:dyDescent="0.25">
      <c r="E2810"/>
      <c r="F2810"/>
    </row>
    <row r="2811" spans="5:6" x14ac:dyDescent="0.25">
      <c r="E2811"/>
      <c r="F2811"/>
    </row>
    <row r="2812" spans="5:6" x14ac:dyDescent="0.25">
      <c r="E2812"/>
      <c r="F2812"/>
    </row>
    <row r="2813" spans="5:6" x14ac:dyDescent="0.25">
      <c r="E2813"/>
      <c r="F2813"/>
    </row>
    <row r="2814" spans="5:6" x14ac:dyDescent="0.25">
      <c r="E2814"/>
      <c r="F2814"/>
    </row>
    <row r="2815" spans="5:6" x14ac:dyDescent="0.25">
      <c r="E2815"/>
      <c r="F2815"/>
    </row>
    <row r="2816" spans="5:6" x14ac:dyDescent="0.25">
      <c r="E2816"/>
      <c r="F2816"/>
    </row>
    <row r="2817" spans="5:6" x14ac:dyDescent="0.25">
      <c r="E2817"/>
      <c r="F2817"/>
    </row>
    <row r="2818" spans="5:6" x14ac:dyDescent="0.25">
      <c r="E2818"/>
      <c r="F2818"/>
    </row>
    <row r="2819" spans="5:6" x14ac:dyDescent="0.25">
      <c r="E2819"/>
      <c r="F2819"/>
    </row>
    <row r="2820" spans="5:6" x14ac:dyDescent="0.25">
      <c r="E2820"/>
      <c r="F2820"/>
    </row>
    <row r="2821" spans="5:6" x14ac:dyDescent="0.25">
      <c r="E2821"/>
      <c r="F2821"/>
    </row>
    <row r="2822" spans="5:6" x14ac:dyDescent="0.25">
      <c r="E2822"/>
      <c r="F2822"/>
    </row>
    <row r="2823" spans="5:6" x14ac:dyDescent="0.25">
      <c r="E2823"/>
      <c r="F2823"/>
    </row>
    <row r="2824" spans="5:6" x14ac:dyDescent="0.25">
      <c r="E2824"/>
      <c r="F2824"/>
    </row>
    <row r="2825" spans="5:6" x14ac:dyDescent="0.25">
      <c r="E2825"/>
      <c r="F2825"/>
    </row>
    <row r="2826" spans="5:6" x14ac:dyDescent="0.25">
      <c r="E2826"/>
      <c r="F2826"/>
    </row>
    <row r="2827" spans="5:6" x14ac:dyDescent="0.25">
      <c r="E2827"/>
      <c r="F2827"/>
    </row>
    <row r="2828" spans="5:6" x14ac:dyDescent="0.25">
      <c r="E2828"/>
      <c r="F2828"/>
    </row>
    <row r="2829" spans="5:6" x14ac:dyDescent="0.25">
      <c r="E2829"/>
      <c r="F2829"/>
    </row>
    <row r="2830" spans="5:6" x14ac:dyDescent="0.25">
      <c r="E2830"/>
      <c r="F2830"/>
    </row>
    <row r="2831" spans="5:6" x14ac:dyDescent="0.25">
      <c r="E2831"/>
      <c r="F2831"/>
    </row>
    <row r="2832" spans="5:6" x14ac:dyDescent="0.25">
      <c r="E2832"/>
      <c r="F2832"/>
    </row>
    <row r="2833" spans="5:6" x14ac:dyDescent="0.25">
      <c r="E2833"/>
      <c r="F2833"/>
    </row>
    <row r="2834" spans="5:6" x14ac:dyDescent="0.25">
      <c r="E2834"/>
      <c r="F2834"/>
    </row>
    <row r="2835" spans="5:6" x14ac:dyDescent="0.25">
      <c r="E2835"/>
      <c r="F2835"/>
    </row>
    <row r="2836" spans="5:6" x14ac:dyDescent="0.25">
      <c r="E2836"/>
      <c r="F2836"/>
    </row>
    <row r="2837" spans="5:6" x14ac:dyDescent="0.25">
      <c r="E2837"/>
      <c r="F2837"/>
    </row>
    <row r="2838" spans="5:6" x14ac:dyDescent="0.25">
      <c r="E2838"/>
      <c r="F2838"/>
    </row>
    <row r="2839" spans="5:6" x14ac:dyDescent="0.25">
      <c r="E2839"/>
      <c r="F2839"/>
    </row>
    <row r="2840" spans="5:6" x14ac:dyDescent="0.25">
      <c r="E2840"/>
      <c r="F2840"/>
    </row>
    <row r="2841" spans="5:6" x14ac:dyDescent="0.25">
      <c r="E2841"/>
      <c r="F2841"/>
    </row>
    <row r="2842" spans="5:6" x14ac:dyDescent="0.25">
      <c r="E2842"/>
      <c r="F2842"/>
    </row>
    <row r="2843" spans="5:6" x14ac:dyDescent="0.25">
      <c r="E2843"/>
      <c r="F2843"/>
    </row>
    <row r="2844" spans="5:6" x14ac:dyDescent="0.25">
      <c r="E2844"/>
      <c r="F2844"/>
    </row>
    <row r="2845" spans="5:6" x14ac:dyDescent="0.25">
      <c r="E2845"/>
      <c r="F2845"/>
    </row>
    <row r="2846" spans="5:6" x14ac:dyDescent="0.25">
      <c r="E2846"/>
      <c r="F2846"/>
    </row>
    <row r="2847" spans="5:6" x14ac:dyDescent="0.25">
      <c r="E2847"/>
      <c r="F2847"/>
    </row>
    <row r="2848" spans="5:6" x14ac:dyDescent="0.25">
      <c r="E2848"/>
      <c r="F2848"/>
    </row>
    <row r="2849" spans="5:6" x14ac:dyDescent="0.25">
      <c r="E2849"/>
      <c r="F2849"/>
    </row>
    <row r="2850" spans="5:6" x14ac:dyDescent="0.25">
      <c r="E2850"/>
      <c r="F2850"/>
    </row>
    <row r="2851" spans="5:6" x14ac:dyDescent="0.25">
      <c r="E2851"/>
      <c r="F2851"/>
    </row>
    <row r="2852" spans="5:6" x14ac:dyDescent="0.25">
      <c r="E2852"/>
      <c r="F2852"/>
    </row>
    <row r="2853" spans="5:6" x14ac:dyDescent="0.25">
      <c r="E2853"/>
      <c r="F2853"/>
    </row>
    <row r="2854" spans="5:6" x14ac:dyDescent="0.25">
      <c r="E2854"/>
      <c r="F2854"/>
    </row>
    <row r="2855" spans="5:6" x14ac:dyDescent="0.25">
      <c r="E2855"/>
      <c r="F2855"/>
    </row>
    <row r="2856" spans="5:6" x14ac:dyDescent="0.25">
      <c r="E2856"/>
      <c r="F2856"/>
    </row>
    <row r="2857" spans="5:6" x14ac:dyDescent="0.25">
      <c r="E2857"/>
      <c r="F2857"/>
    </row>
    <row r="2858" spans="5:6" x14ac:dyDescent="0.25">
      <c r="E2858"/>
      <c r="F2858"/>
    </row>
    <row r="2859" spans="5:6" x14ac:dyDescent="0.25">
      <c r="E2859"/>
      <c r="F2859"/>
    </row>
    <row r="2860" spans="5:6" x14ac:dyDescent="0.25">
      <c r="E2860"/>
      <c r="F2860"/>
    </row>
    <row r="2861" spans="5:6" x14ac:dyDescent="0.25">
      <c r="E2861"/>
      <c r="F2861"/>
    </row>
    <row r="2862" spans="5:6" x14ac:dyDescent="0.25">
      <c r="E2862"/>
      <c r="F2862"/>
    </row>
    <row r="2863" spans="5:6" x14ac:dyDescent="0.25">
      <c r="E2863"/>
      <c r="F2863"/>
    </row>
    <row r="2864" spans="5:6" x14ac:dyDescent="0.25">
      <c r="E2864"/>
      <c r="F2864"/>
    </row>
    <row r="2865" spans="5:6" x14ac:dyDescent="0.25">
      <c r="E2865"/>
      <c r="F2865"/>
    </row>
    <row r="2866" spans="5:6" x14ac:dyDescent="0.25">
      <c r="E2866"/>
      <c r="F2866"/>
    </row>
    <row r="2867" spans="5:6" x14ac:dyDescent="0.25">
      <c r="E2867"/>
      <c r="F2867"/>
    </row>
    <row r="2868" spans="5:6" x14ac:dyDescent="0.25">
      <c r="E2868"/>
      <c r="F2868"/>
    </row>
    <row r="2869" spans="5:6" x14ac:dyDescent="0.25">
      <c r="E2869"/>
      <c r="F2869"/>
    </row>
    <row r="2870" spans="5:6" x14ac:dyDescent="0.25">
      <c r="E2870"/>
      <c r="F2870"/>
    </row>
    <row r="2871" spans="5:6" x14ac:dyDescent="0.25">
      <c r="E2871"/>
      <c r="F2871"/>
    </row>
    <row r="2872" spans="5:6" x14ac:dyDescent="0.25">
      <c r="E2872"/>
      <c r="F2872"/>
    </row>
    <row r="2873" spans="5:6" x14ac:dyDescent="0.25">
      <c r="E2873"/>
      <c r="F2873"/>
    </row>
    <row r="2874" spans="5:6" x14ac:dyDescent="0.25">
      <c r="E2874"/>
      <c r="F2874"/>
    </row>
    <row r="2875" spans="5:6" x14ac:dyDescent="0.25">
      <c r="E2875"/>
      <c r="F2875"/>
    </row>
    <row r="2876" spans="5:6" x14ac:dyDescent="0.25">
      <c r="E2876"/>
      <c r="F2876"/>
    </row>
    <row r="2877" spans="5:6" x14ac:dyDescent="0.25">
      <c r="E2877"/>
      <c r="F2877"/>
    </row>
    <row r="2878" spans="5:6" x14ac:dyDescent="0.25">
      <c r="E2878"/>
      <c r="F2878"/>
    </row>
    <row r="2879" spans="5:6" x14ac:dyDescent="0.25">
      <c r="E2879"/>
      <c r="F2879"/>
    </row>
    <row r="2880" spans="5:6" x14ac:dyDescent="0.25">
      <c r="E2880"/>
      <c r="F2880"/>
    </row>
    <row r="2881" spans="5:6" x14ac:dyDescent="0.25">
      <c r="E2881"/>
      <c r="F2881"/>
    </row>
    <row r="2882" spans="5:6" x14ac:dyDescent="0.25">
      <c r="E2882"/>
      <c r="F2882"/>
    </row>
    <row r="2883" spans="5:6" x14ac:dyDescent="0.25">
      <c r="E2883"/>
      <c r="F2883"/>
    </row>
    <row r="2884" spans="5:6" x14ac:dyDescent="0.25">
      <c r="E2884"/>
      <c r="F2884"/>
    </row>
    <row r="2885" spans="5:6" x14ac:dyDescent="0.25">
      <c r="E2885"/>
      <c r="F2885"/>
    </row>
    <row r="2886" spans="5:6" x14ac:dyDescent="0.25">
      <c r="E2886"/>
      <c r="F2886"/>
    </row>
    <row r="2887" spans="5:6" x14ac:dyDescent="0.25">
      <c r="E2887"/>
      <c r="F2887"/>
    </row>
    <row r="2888" spans="5:6" x14ac:dyDescent="0.25">
      <c r="E2888"/>
      <c r="F2888"/>
    </row>
    <row r="2889" spans="5:6" x14ac:dyDescent="0.25">
      <c r="E2889"/>
      <c r="F2889"/>
    </row>
    <row r="2890" spans="5:6" x14ac:dyDescent="0.25">
      <c r="E2890"/>
      <c r="F2890"/>
    </row>
    <row r="2891" spans="5:6" x14ac:dyDescent="0.25">
      <c r="E2891"/>
      <c r="F2891"/>
    </row>
    <row r="2892" spans="5:6" x14ac:dyDescent="0.25">
      <c r="E2892"/>
      <c r="F2892"/>
    </row>
    <row r="2893" spans="5:6" x14ac:dyDescent="0.25">
      <c r="E2893"/>
      <c r="F2893"/>
    </row>
    <row r="2894" spans="5:6" x14ac:dyDescent="0.25">
      <c r="E2894"/>
      <c r="F2894"/>
    </row>
    <row r="2895" spans="5:6" x14ac:dyDescent="0.25">
      <c r="E2895"/>
      <c r="F2895"/>
    </row>
    <row r="2896" spans="5:6" x14ac:dyDescent="0.25">
      <c r="E2896"/>
      <c r="F2896"/>
    </row>
    <row r="2897" spans="5:6" x14ac:dyDescent="0.25">
      <c r="E2897"/>
      <c r="F2897"/>
    </row>
    <row r="2898" spans="5:6" x14ac:dyDescent="0.25">
      <c r="E2898"/>
      <c r="F2898"/>
    </row>
    <row r="2899" spans="5:6" x14ac:dyDescent="0.25">
      <c r="E2899"/>
      <c r="F2899"/>
    </row>
    <row r="2900" spans="5:6" x14ac:dyDescent="0.25">
      <c r="E2900"/>
      <c r="F2900"/>
    </row>
    <row r="2901" spans="5:6" x14ac:dyDescent="0.25">
      <c r="E2901"/>
      <c r="F2901"/>
    </row>
    <row r="2902" spans="5:6" x14ac:dyDescent="0.25">
      <c r="E2902"/>
      <c r="F2902"/>
    </row>
    <row r="2903" spans="5:6" x14ac:dyDescent="0.25">
      <c r="E2903"/>
      <c r="F2903"/>
    </row>
    <row r="2904" spans="5:6" x14ac:dyDescent="0.25">
      <c r="E2904"/>
      <c r="F2904"/>
    </row>
    <row r="2905" spans="5:6" x14ac:dyDescent="0.25">
      <c r="E2905"/>
      <c r="F2905"/>
    </row>
    <row r="2906" spans="5:6" x14ac:dyDescent="0.25">
      <c r="E2906"/>
      <c r="F2906"/>
    </row>
    <row r="2907" spans="5:6" x14ac:dyDescent="0.25">
      <c r="E2907"/>
      <c r="F2907"/>
    </row>
    <row r="2908" spans="5:6" x14ac:dyDescent="0.25">
      <c r="E2908"/>
      <c r="F2908"/>
    </row>
    <row r="2909" spans="5:6" x14ac:dyDescent="0.25">
      <c r="E2909"/>
      <c r="F2909"/>
    </row>
    <row r="2910" spans="5:6" x14ac:dyDescent="0.25">
      <c r="E2910"/>
      <c r="F2910"/>
    </row>
    <row r="2911" spans="5:6" x14ac:dyDescent="0.25">
      <c r="E2911"/>
      <c r="F2911"/>
    </row>
    <row r="2912" spans="5:6" x14ac:dyDescent="0.25">
      <c r="E2912"/>
      <c r="F2912"/>
    </row>
    <row r="2913" spans="5:6" x14ac:dyDescent="0.25">
      <c r="E2913"/>
      <c r="F2913"/>
    </row>
    <row r="2914" spans="5:6" x14ac:dyDescent="0.25">
      <c r="E2914"/>
      <c r="F2914"/>
    </row>
    <row r="2915" spans="5:6" x14ac:dyDescent="0.25">
      <c r="E2915"/>
      <c r="F2915"/>
    </row>
    <row r="2916" spans="5:6" x14ac:dyDescent="0.25">
      <c r="E2916"/>
      <c r="F2916"/>
    </row>
    <row r="2917" spans="5:6" x14ac:dyDescent="0.25">
      <c r="E2917"/>
      <c r="F2917"/>
    </row>
    <row r="2918" spans="5:6" x14ac:dyDescent="0.25">
      <c r="E2918"/>
      <c r="F2918"/>
    </row>
    <row r="2919" spans="5:6" x14ac:dyDescent="0.25">
      <c r="E2919"/>
      <c r="F2919"/>
    </row>
    <row r="2920" spans="5:6" x14ac:dyDescent="0.25">
      <c r="E2920"/>
      <c r="F2920"/>
    </row>
    <row r="2921" spans="5:6" x14ac:dyDescent="0.25">
      <c r="E2921"/>
      <c r="F2921"/>
    </row>
    <row r="2922" spans="5:6" x14ac:dyDescent="0.25">
      <c r="E2922"/>
      <c r="F2922"/>
    </row>
    <row r="2923" spans="5:6" x14ac:dyDescent="0.25">
      <c r="E2923"/>
      <c r="F2923"/>
    </row>
    <row r="2924" spans="5:6" x14ac:dyDescent="0.25">
      <c r="E2924"/>
      <c r="F2924"/>
    </row>
    <row r="2925" spans="5:6" x14ac:dyDescent="0.25">
      <c r="E2925"/>
      <c r="F2925"/>
    </row>
    <row r="2926" spans="5:6" x14ac:dyDescent="0.25">
      <c r="E2926"/>
      <c r="F2926"/>
    </row>
    <row r="2927" spans="5:6" x14ac:dyDescent="0.25">
      <c r="E2927"/>
      <c r="F2927"/>
    </row>
    <row r="2928" spans="5:6" x14ac:dyDescent="0.25">
      <c r="E2928"/>
      <c r="F2928"/>
    </row>
    <row r="2929" spans="5:6" x14ac:dyDescent="0.25">
      <c r="E2929"/>
      <c r="F2929"/>
    </row>
    <row r="2930" spans="5:6" x14ac:dyDescent="0.25">
      <c r="E2930"/>
      <c r="F2930"/>
    </row>
    <row r="2931" spans="5:6" x14ac:dyDescent="0.25">
      <c r="E2931"/>
      <c r="F2931"/>
    </row>
    <row r="2932" spans="5:6" x14ac:dyDescent="0.25">
      <c r="E2932"/>
      <c r="F2932"/>
    </row>
    <row r="2933" spans="5:6" x14ac:dyDescent="0.25">
      <c r="E2933"/>
      <c r="F2933"/>
    </row>
    <row r="2934" spans="5:6" x14ac:dyDescent="0.25">
      <c r="E2934"/>
      <c r="F2934"/>
    </row>
    <row r="2935" spans="5:6" x14ac:dyDescent="0.25">
      <c r="E2935"/>
      <c r="F2935"/>
    </row>
    <row r="2936" spans="5:6" x14ac:dyDescent="0.25">
      <c r="E2936"/>
      <c r="F2936"/>
    </row>
    <row r="2937" spans="5:6" x14ac:dyDescent="0.25">
      <c r="E2937"/>
      <c r="F2937"/>
    </row>
    <row r="2938" spans="5:6" x14ac:dyDescent="0.25">
      <c r="E2938"/>
      <c r="F2938"/>
    </row>
    <row r="2939" spans="5:6" x14ac:dyDescent="0.25">
      <c r="E2939"/>
      <c r="F2939"/>
    </row>
    <row r="2940" spans="5:6" x14ac:dyDescent="0.25">
      <c r="E2940"/>
      <c r="F2940"/>
    </row>
    <row r="2941" spans="5:6" x14ac:dyDescent="0.25">
      <c r="E2941"/>
      <c r="F2941"/>
    </row>
    <row r="2942" spans="5:6" x14ac:dyDescent="0.25">
      <c r="E2942"/>
      <c r="F2942"/>
    </row>
    <row r="2943" spans="5:6" x14ac:dyDescent="0.25">
      <c r="E2943"/>
      <c r="F2943"/>
    </row>
    <row r="2944" spans="5:6" x14ac:dyDescent="0.25">
      <c r="E2944"/>
      <c r="F2944"/>
    </row>
    <row r="2945" spans="5:6" x14ac:dyDescent="0.25">
      <c r="E2945"/>
      <c r="F2945"/>
    </row>
    <row r="2946" spans="5:6" x14ac:dyDescent="0.25">
      <c r="E2946"/>
      <c r="F2946"/>
    </row>
    <row r="2947" spans="5:6" x14ac:dyDescent="0.25">
      <c r="E2947"/>
      <c r="F2947"/>
    </row>
    <row r="2948" spans="5:6" x14ac:dyDescent="0.25">
      <c r="E2948"/>
      <c r="F2948"/>
    </row>
    <row r="2949" spans="5:6" x14ac:dyDescent="0.25">
      <c r="E2949"/>
      <c r="F2949"/>
    </row>
    <row r="2950" spans="5:6" x14ac:dyDescent="0.25">
      <c r="E2950"/>
      <c r="F2950"/>
    </row>
    <row r="2951" spans="5:6" x14ac:dyDescent="0.25">
      <c r="E2951"/>
      <c r="F2951"/>
    </row>
    <row r="2952" spans="5:6" x14ac:dyDescent="0.25">
      <c r="E2952"/>
      <c r="F2952"/>
    </row>
    <row r="2953" spans="5:6" x14ac:dyDescent="0.25">
      <c r="E2953"/>
      <c r="F2953"/>
    </row>
    <row r="2954" spans="5:6" x14ac:dyDescent="0.25">
      <c r="E2954"/>
      <c r="F2954"/>
    </row>
    <row r="2955" spans="5:6" x14ac:dyDescent="0.25">
      <c r="E2955"/>
      <c r="F2955"/>
    </row>
    <row r="2956" spans="5:6" x14ac:dyDescent="0.25">
      <c r="E2956"/>
      <c r="F2956"/>
    </row>
    <row r="2957" spans="5:6" x14ac:dyDescent="0.25">
      <c r="E2957"/>
      <c r="F2957"/>
    </row>
    <row r="2958" spans="5:6" x14ac:dyDescent="0.25">
      <c r="E2958"/>
      <c r="F2958"/>
    </row>
    <row r="2959" spans="5:6" x14ac:dyDescent="0.25">
      <c r="E2959"/>
      <c r="F2959"/>
    </row>
    <row r="2960" spans="5:6" x14ac:dyDescent="0.25">
      <c r="E2960"/>
      <c r="F2960"/>
    </row>
    <row r="2961" spans="5:6" x14ac:dyDescent="0.25">
      <c r="E2961"/>
      <c r="F2961"/>
    </row>
    <row r="2962" spans="5:6" x14ac:dyDescent="0.25">
      <c r="E2962"/>
      <c r="F2962"/>
    </row>
    <row r="2963" spans="5:6" x14ac:dyDescent="0.25">
      <c r="E2963"/>
      <c r="F2963"/>
    </row>
    <row r="2964" spans="5:6" x14ac:dyDescent="0.25">
      <c r="E2964"/>
      <c r="F2964"/>
    </row>
    <row r="2965" spans="5:6" x14ac:dyDescent="0.25">
      <c r="E2965"/>
      <c r="F2965"/>
    </row>
    <row r="2966" spans="5:6" x14ac:dyDescent="0.25">
      <c r="E2966"/>
      <c r="F2966"/>
    </row>
    <row r="2967" spans="5:6" x14ac:dyDescent="0.25">
      <c r="E2967"/>
      <c r="F2967"/>
    </row>
    <row r="2968" spans="5:6" x14ac:dyDescent="0.25">
      <c r="E2968"/>
      <c r="F2968"/>
    </row>
    <row r="2969" spans="5:6" x14ac:dyDescent="0.25">
      <c r="E2969"/>
      <c r="F2969"/>
    </row>
    <row r="2970" spans="5:6" x14ac:dyDescent="0.25">
      <c r="E2970"/>
      <c r="F2970"/>
    </row>
    <row r="2971" spans="5:6" x14ac:dyDescent="0.25">
      <c r="E2971"/>
      <c r="F2971"/>
    </row>
    <row r="2972" spans="5:6" x14ac:dyDescent="0.25">
      <c r="E2972"/>
      <c r="F2972"/>
    </row>
    <row r="2973" spans="5:6" x14ac:dyDescent="0.25">
      <c r="E2973"/>
      <c r="F2973"/>
    </row>
    <row r="2974" spans="5:6" x14ac:dyDescent="0.25">
      <c r="E2974"/>
      <c r="F2974"/>
    </row>
    <row r="2975" spans="5:6" x14ac:dyDescent="0.25">
      <c r="E2975"/>
      <c r="F2975"/>
    </row>
    <row r="2976" spans="5:6" x14ac:dyDescent="0.25">
      <c r="E2976"/>
      <c r="F2976"/>
    </row>
    <row r="2977" spans="5:6" x14ac:dyDescent="0.25">
      <c r="E2977"/>
      <c r="F2977"/>
    </row>
    <row r="2978" spans="5:6" x14ac:dyDescent="0.25">
      <c r="E2978"/>
      <c r="F2978"/>
    </row>
    <row r="2979" spans="5:6" x14ac:dyDescent="0.25">
      <c r="E2979"/>
      <c r="F2979"/>
    </row>
    <row r="2980" spans="5:6" x14ac:dyDescent="0.25">
      <c r="E2980"/>
      <c r="F2980"/>
    </row>
    <row r="2981" spans="5:6" x14ac:dyDescent="0.25">
      <c r="E2981"/>
      <c r="F2981"/>
    </row>
    <row r="2982" spans="5:6" x14ac:dyDescent="0.25">
      <c r="E2982"/>
      <c r="F2982"/>
    </row>
    <row r="2983" spans="5:6" x14ac:dyDescent="0.25">
      <c r="E2983"/>
      <c r="F2983"/>
    </row>
    <row r="2984" spans="5:6" x14ac:dyDescent="0.25">
      <c r="E2984"/>
      <c r="F2984"/>
    </row>
    <row r="2985" spans="5:6" x14ac:dyDescent="0.25">
      <c r="E2985"/>
      <c r="F2985"/>
    </row>
    <row r="2986" spans="5:6" x14ac:dyDescent="0.25">
      <c r="E2986"/>
      <c r="F2986"/>
    </row>
    <row r="2987" spans="5:6" x14ac:dyDescent="0.25">
      <c r="E2987"/>
      <c r="F2987"/>
    </row>
    <row r="2988" spans="5:6" x14ac:dyDescent="0.25">
      <c r="E2988"/>
      <c r="F2988"/>
    </row>
    <row r="2989" spans="5:6" x14ac:dyDescent="0.25">
      <c r="E2989"/>
      <c r="F2989"/>
    </row>
    <row r="2990" spans="5:6" x14ac:dyDescent="0.25">
      <c r="E2990"/>
      <c r="F2990"/>
    </row>
    <row r="2991" spans="5:6" x14ac:dyDescent="0.25">
      <c r="E2991"/>
      <c r="F2991"/>
    </row>
    <row r="2992" spans="5:6" x14ac:dyDescent="0.25">
      <c r="E2992"/>
      <c r="F2992"/>
    </row>
    <row r="2993" spans="5:6" x14ac:dyDescent="0.25">
      <c r="E2993"/>
      <c r="F2993"/>
    </row>
    <row r="2994" spans="5:6" x14ac:dyDescent="0.25">
      <c r="E2994"/>
      <c r="F2994"/>
    </row>
    <row r="2995" spans="5:6" x14ac:dyDescent="0.25">
      <c r="E2995"/>
      <c r="F2995"/>
    </row>
    <row r="2996" spans="5:6" x14ac:dyDescent="0.25">
      <c r="E2996"/>
      <c r="F2996"/>
    </row>
    <row r="2997" spans="5:6" x14ac:dyDescent="0.25">
      <c r="E2997"/>
      <c r="F2997"/>
    </row>
    <row r="2998" spans="5:6" x14ac:dyDescent="0.25">
      <c r="E2998"/>
      <c r="F2998"/>
    </row>
    <row r="2999" spans="5:6" x14ac:dyDescent="0.25">
      <c r="E2999"/>
      <c r="F2999"/>
    </row>
    <row r="3000" spans="5:6" x14ac:dyDescent="0.25">
      <c r="E3000"/>
      <c r="F3000"/>
    </row>
    <row r="3001" spans="5:6" x14ac:dyDescent="0.25">
      <c r="E3001"/>
      <c r="F3001"/>
    </row>
    <row r="3002" spans="5:6" x14ac:dyDescent="0.25">
      <c r="E3002"/>
      <c r="F3002"/>
    </row>
    <row r="3003" spans="5:6" x14ac:dyDescent="0.25">
      <c r="E3003"/>
      <c r="F3003"/>
    </row>
    <row r="3004" spans="5:6" x14ac:dyDescent="0.25">
      <c r="E3004"/>
      <c r="F3004"/>
    </row>
    <row r="3005" spans="5:6" x14ac:dyDescent="0.25">
      <c r="E3005"/>
      <c r="F3005"/>
    </row>
    <row r="3006" spans="5:6" x14ac:dyDescent="0.25">
      <c r="E3006"/>
      <c r="F3006"/>
    </row>
    <row r="3007" spans="5:6" x14ac:dyDescent="0.25">
      <c r="E3007"/>
      <c r="F3007"/>
    </row>
    <row r="3008" spans="5:6" x14ac:dyDescent="0.25">
      <c r="E3008"/>
      <c r="F3008"/>
    </row>
    <row r="3009" spans="5:6" x14ac:dyDescent="0.25">
      <c r="E3009"/>
      <c r="F3009"/>
    </row>
    <row r="3010" spans="5:6" x14ac:dyDescent="0.25">
      <c r="E3010"/>
      <c r="F3010"/>
    </row>
    <row r="3011" spans="5:6" x14ac:dyDescent="0.25">
      <c r="E3011"/>
      <c r="F3011"/>
    </row>
    <row r="3012" spans="5:6" x14ac:dyDescent="0.25">
      <c r="E3012"/>
      <c r="F3012"/>
    </row>
    <row r="3013" spans="5:6" x14ac:dyDescent="0.25">
      <c r="E3013"/>
      <c r="F3013"/>
    </row>
    <row r="3014" spans="5:6" x14ac:dyDescent="0.25">
      <c r="E3014"/>
      <c r="F3014"/>
    </row>
    <row r="3015" spans="5:6" x14ac:dyDescent="0.25">
      <c r="E3015"/>
      <c r="F3015"/>
    </row>
    <row r="3016" spans="5:6" x14ac:dyDescent="0.25">
      <c r="E3016"/>
      <c r="F3016"/>
    </row>
    <row r="3017" spans="5:6" x14ac:dyDescent="0.25">
      <c r="E3017"/>
      <c r="F3017"/>
    </row>
    <row r="3018" spans="5:6" x14ac:dyDescent="0.25">
      <c r="E3018"/>
      <c r="F3018"/>
    </row>
    <row r="3019" spans="5:6" x14ac:dyDescent="0.25">
      <c r="E3019"/>
      <c r="F3019"/>
    </row>
    <row r="3020" spans="5:6" x14ac:dyDescent="0.25">
      <c r="E3020"/>
      <c r="F3020"/>
    </row>
    <row r="3021" spans="5:6" x14ac:dyDescent="0.25">
      <c r="E3021"/>
      <c r="F3021"/>
    </row>
    <row r="3022" spans="5:6" x14ac:dyDescent="0.25">
      <c r="E3022"/>
      <c r="F3022"/>
    </row>
    <row r="3023" spans="5:6" x14ac:dyDescent="0.25">
      <c r="E3023"/>
      <c r="F3023"/>
    </row>
    <row r="3024" spans="5:6" x14ac:dyDescent="0.25">
      <c r="E3024"/>
      <c r="F3024"/>
    </row>
    <row r="3025" spans="5:6" x14ac:dyDescent="0.25">
      <c r="E3025"/>
      <c r="F3025"/>
    </row>
    <row r="3026" spans="5:6" x14ac:dyDescent="0.25">
      <c r="E3026"/>
      <c r="F3026"/>
    </row>
    <row r="3027" spans="5:6" x14ac:dyDescent="0.25">
      <c r="E3027"/>
      <c r="F3027"/>
    </row>
    <row r="3028" spans="5:6" x14ac:dyDescent="0.25">
      <c r="E3028"/>
      <c r="F3028"/>
    </row>
    <row r="3029" spans="5:6" x14ac:dyDescent="0.25">
      <c r="E3029"/>
      <c r="F3029"/>
    </row>
    <row r="3030" spans="5:6" x14ac:dyDescent="0.25">
      <c r="E3030"/>
      <c r="F3030"/>
    </row>
    <row r="3031" spans="5:6" x14ac:dyDescent="0.25">
      <c r="E3031"/>
      <c r="F3031"/>
    </row>
    <row r="3032" spans="5:6" x14ac:dyDescent="0.25">
      <c r="E3032"/>
      <c r="F3032"/>
    </row>
    <row r="3033" spans="5:6" x14ac:dyDescent="0.25">
      <c r="E3033"/>
      <c r="F3033"/>
    </row>
    <row r="3034" spans="5:6" x14ac:dyDescent="0.25">
      <c r="E3034"/>
      <c r="F3034"/>
    </row>
    <row r="3035" spans="5:6" x14ac:dyDescent="0.25">
      <c r="E3035"/>
      <c r="F3035"/>
    </row>
    <row r="3036" spans="5:6" x14ac:dyDescent="0.25">
      <c r="E3036"/>
      <c r="F3036"/>
    </row>
    <row r="3037" spans="5:6" x14ac:dyDescent="0.25">
      <c r="E3037"/>
      <c r="F3037"/>
    </row>
    <row r="3038" spans="5:6" x14ac:dyDescent="0.25">
      <c r="E3038"/>
      <c r="F3038"/>
    </row>
    <row r="3039" spans="5:6" x14ac:dyDescent="0.25">
      <c r="E3039"/>
      <c r="F3039"/>
    </row>
    <row r="3040" spans="5:6" x14ac:dyDescent="0.25">
      <c r="E3040"/>
      <c r="F3040"/>
    </row>
    <row r="3041" spans="5:6" x14ac:dyDescent="0.25">
      <c r="E3041"/>
      <c r="F3041"/>
    </row>
    <row r="3042" spans="5:6" x14ac:dyDescent="0.25">
      <c r="E3042"/>
      <c r="F3042"/>
    </row>
    <row r="3043" spans="5:6" x14ac:dyDescent="0.25">
      <c r="E3043"/>
      <c r="F3043"/>
    </row>
    <row r="3044" spans="5:6" x14ac:dyDescent="0.25">
      <c r="E3044"/>
      <c r="F3044"/>
    </row>
    <row r="3045" spans="5:6" x14ac:dyDescent="0.25">
      <c r="E3045"/>
      <c r="F3045"/>
    </row>
    <row r="3046" spans="5:6" x14ac:dyDescent="0.25">
      <c r="E3046"/>
      <c r="F3046"/>
    </row>
    <row r="3047" spans="5:6" x14ac:dyDescent="0.25">
      <c r="E3047"/>
      <c r="F3047"/>
    </row>
    <row r="3048" spans="5:6" x14ac:dyDescent="0.25">
      <c r="E3048"/>
      <c r="F3048"/>
    </row>
    <row r="3049" spans="5:6" x14ac:dyDescent="0.25">
      <c r="E3049"/>
      <c r="F3049"/>
    </row>
    <row r="3050" spans="5:6" x14ac:dyDescent="0.25">
      <c r="E3050"/>
      <c r="F3050"/>
    </row>
    <row r="3051" spans="5:6" x14ac:dyDescent="0.25">
      <c r="E3051"/>
      <c r="F3051"/>
    </row>
    <row r="3052" spans="5:6" x14ac:dyDescent="0.25">
      <c r="E3052"/>
      <c r="F3052"/>
    </row>
    <row r="3053" spans="5:6" x14ac:dyDescent="0.25">
      <c r="E3053"/>
      <c r="F3053"/>
    </row>
    <row r="3054" spans="5:6" x14ac:dyDescent="0.25">
      <c r="E3054"/>
      <c r="F3054"/>
    </row>
    <row r="3055" spans="5:6" x14ac:dyDescent="0.25">
      <c r="E3055"/>
      <c r="F3055"/>
    </row>
    <row r="3056" spans="5:6" x14ac:dyDescent="0.25">
      <c r="E3056"/>
      <c r="F3056"/>
    </row>
    <row r="3057" spans="5:6" x14ac:dyDescent="0.25">
      <c r="E3057"/>
      <c r="F3057"/>
    </row>
    <row r="3058" spans="5:6" x14ac:dyDescent="0.25">
      <c r="E3058"/>
      <c r="F3058"/>
    </row>
    <row r="3059" spans="5:6" x14ac:dyDescent="0.25">
      <c r="E3059"/>
      <c r="F3059"/>
    </row>
    <row r="3060" spans="5:6" x14ac:dyDescent="0.25">
      <c r="E3060"/>
      <c r="F3060"/>
    </row>
    <row r="3061" spans="5:6" x14ac:dyDescent="0.25">
      <c r="E3061"/>
      <c r="F3061"/>
    </row>
    <row r="3062" spans="5:6" x14ac:dyDescent="0.25">
      <c r="E3062"/>
      <c r="F3062"/>
    </row>
    <row r="3063" spans="5:6" x14ac:dyDescent="0.25">
      <c r="E3063"/>
      <c r="F3063"/>
    </row>
    <row r="3064" spans="5:6" x14ac:dyDescent="0.25">
      <c r="E3064"/>
      <c r="F3064"/>
    </row>
    <row r="3065" spans="5:6" x14ac:dyDescent="0.25">
      <c r="E3065"/>
      <c r="F3065"/>
    </row>
    <row r="3066" spans="5:6" x14ac:dyDescent="0.25">
      <c r="E3066"/>
      <c r="F3066"/>
    </row>
    <row r="3067" spans="5:6" x14ac:dyDescent="0.25">
      <c r="E3067"/>
      <c r="F3067"/>
    </row>
    <row r="3068" spans="5:6" x14ac:dyDescent="0.25">
      <c r="E3068"/>
      <c r="F3068"/>
    </row>
    <row r="3069" spans="5:6" x14ac:dyDescent="0.25">
      <c r="E3069"/>
      <c r="F3069"/>
    </row>
    <row r="3070" spans="5:6" x14ac:dyDescent="0.25">
      <c r="E3070"/>
      <c r="F3070"/>
    </row>
    <row r="3071" spans="5:6" x14ac:dyDescent="0.25">
      <c r="E3071"/>
      <c r="F3071"/>
    </row>
    <row r="3072" spans="5:6" x14ac:dyDescent="0.25">
      <c r="E3072"/>
      <c r="F3072"/>
    </row>
    <row r="3073" spans="5:6" x14ac:dyDescent="0.25">
      <c r="E3073"/>
      <c r="F3073"/>
    </row>
    <row r="3074" spans="5:6" x14ac:dyDescent="0.25">
      <c r="E3074"/>
      <c r="F3074"/>
    </row>
    <row r="3075" spans="5:6" x14ac:dyDescent="0.25">
      <c r="E3075"/>
      <c r="F3075"/>
    </row>
  </sheetData>
  <pageMargins left="0.7" right="0.7" top="0.75" bottom="0.75" header="0.3" footer="0.3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2:T37"/>
  <sheetViews>
    <sheetView workbookViewId="0">
      <selection activeCell="O25" sqref="O25"/>
    </sheetView>
  </sheetViews>
  <sheetFormatPr baseColWidth="10" defaultRowHeight="15" x14ac:dyDescent="0.25"/>
  <cols>
    <col min="1" max="1" width="22.85546875" customWidth="1"/>
    <col min="2" max="2" width="23.85546875" customWidth="1"/>
    <col min="3" max="3" width="12.5703125" customWidth="1"/>
    <col min="4" max="4" width="10.5703125" customWidth="1"/>
    <col min="5" max="6" width="6" customWidth="1"/>
    <col min="7" max="7" width="5.85546875" customWidth="1"/>
    <col min="8" max="8" width="10" customWidth="1"/>
    <col min="9" max="9" width="7.7109375" customWidth="1"/>
    <col min="10" max="10" width="5.7109375" customWidth="1"/>
    <col min="11" max="11" width="10.42578125" customWidth="1"/>
    <col min="12" max="12" width="21" customWidth="1"/>
    <col min="13" max="13" width="17.5703125" customWidth="1"/>
    <col min="14" max="14" width="29.5703125" customWidth="1"/>
    <col min="15" max="15" width="38.28515625" customWidth="1"/>
    <col min="16" max="16" width="15.7109375" customWidth="1"/>
    <col min="17" max="17" width="9" customWidth="1"/>
    <col min="18" max="18" width="10" customWidth="1"/>
    <col min="19" max="19" width="6" customWidth="1"/>
    <col min="20" max="20" width="12.5703125" bestFit="1" customWidth="1"/>
  </cols>
  <sheetData>
    <row r="2" spans="1:20" x14ac:dyDescent="0.25">
      <c r="A2" s="139" t="s">
        <v>297</v>
      </c>
      <c r="N2" s="20" t="s">
        <v>8</v>
      </c>
      <c r="O2" s="64" t="s">
        <v>191</v>
      </c>
    </row>
    <row r="3" spans="1:20" x14ac:dyDescent="0.25">
      <c r="A3" s="20" t="s">
        <v>78</v>
      </c>
      <c r="B3" s="20" t="s">
        <v>194</v>
      </c>
      <c r="N3" s="139" t="s">
        <v>298</v>
      </c>
      <c r="O3" s="139"/>
      <c r="P3" s="64"/>
      <c r="Q3" s="64"/>
      <c r="R3" s="64"/>
      <c r="S3" s="64"/>
      <c r="T3" s="64"/>
    </row>
    <row r="4" spans="1:20" x14ac:dyDescent="0.25">
      <c r="A4" s="20" t="s">
        <v>189</v>
      </c>
      <c r="B4" s="64" t="s">
        <v>190</v>
      </c>
      <c r="C4" s="64" t="s">
        <v>192</v>
      </c>
      <c r="N4" s="20" t="s">
        <v>189</v>
      </c>
      <c r="O4" t="s">
        <v>296</v>
      </c>
    </row>
    <row r="5" spans="1:20" x14ac:dyDescent="0.25">
      <c r="A5" s="9" t="s">
        <v>212</v>
      </c>
      <c r="B5" s="21"/>
      <c r="C5" s="21"/>
      <c r="N5" s="9" t="s">
        <v>335</v>
      </c>
      <c r="O5" s="191">
        <v>1</v>
      </c>
    </row>
    <row r="6" spans="1:20" x14ac:dyDescent="0.25">
      <c r="A6" s="9" t="s">
        <v>213</v>
      </c>
      <c r="B6" s="21"/>
      <c r="C6" s="21"/>
      <c r="N6" s="9" t="s">
        <v>192</v>
      </c>
      <c r="O6" s="191">
        <v>1</v>
      </c>
    </row>
    <row r="7" spans="1:20" x14ac:dyDescent="0.25">
      <c r="A7" s="9" t="s">
        <v>209</v>
      </c>
      <c r="B7" s="21"/>
      <c r="C7" s="21"/>
    </row>
    <row r="8" spans="1:20" x14ac:dyDescent="0.25">
      <c r="A8" s="9" t="s">
        <v>210</v>
      </c>
      <c r="B8" s="21"/>
      <c r="C8" s="21"/>
    </row>
    <row r="9" spans="1:20" x14ac:dyDescent="0.25">
      <c r="A9" s="9" t="s">
        <v>211</v>
      </c>
      <c r="B9" s="21"/>
      <c r="C9" s="21"/>
    </row>
    <row r="10" spans="1:20" x14ac:dyDescent="0.25">
      <c r="A10" s="9" t="s">
        <v>253</v>
      </c>
      <c r="B10" s="21"/>
      <c r="C10" s="21"/>
    </row>
    <row r="11" spans="1:20" x14ac:dyDescent="0.25">
      <c r="A11" s="9" t="s">
        <v>254</v>
      </c>
      <c r="B11" s="21"/>
      <c r="C11" s="21"/>
    </row>
    <row r="12" spans="1:20" x14ac:dyDescent="0.25">
      <c r="A12" s="9" t="s">
        <v>282</v>
      </c>
      <c r="B12" s="21"/>
      <c r="C12" s="21"/>
    </row>
    <row r="13" spans="1:20" x14ac:dyDescent="0.25">
      <c r="A13" s="9" t="s">
        <v>256</v>
      </c>
      <c r="B13" s="21"/>
      <c r="C13" s="21"/>
    </row>
    <row r="14" spans="1:20" x14ac:dyDescent="0.25">
      <c r="A14" s="9" t="s">
        <v>257</v>
      </c>
      <c r="B14" s="21"/>
      <c r="C14" s="21"/>
    </row>
    <row r="15" spans="1:20" x14ac:dyDescent="0.25">
      <c r="A15" s="9" t="s">
        <v>192</v>
      </c>
      <c r="B15" s="21"/>
      <c r="C15" s="21"/>
    </row>
    <row r="16" spans="1:20" x14ac:dyDescent="0.25">
      <c r="F16" s="64"/>
      <c r="G16" s="64"/>
      <c r="H16" s="64"/>
      <c r="I16" s="64"/>
      <c r="J16" s="64"/>
      <c r="K16" s="64"/>
      <c r="L16" s="64"/>
      <c r="M16" s="64"/>
      <c r="P16" s="64"/>
    </row>
    <row r="17" spans="1:17" x14ac:dyDescent="0.25">
      <c r="F17" s="64"/>
      <c r="P17" s="64"/>
      <c r="Q17" s="64"/>
    </row>
    <row r="18" spans="1:17" x14ac:dyDescent="0.25">
      <c r="P18" s="238"/>
      <c r="Q18" s="238"/>
    </row>
    <row r="19" spans="1:17" x14ac:dyDescent="0.25">
      <c r="P19" s="238"/>
      <c r="Q19" s="238"/>
    </row>
    <row r="20" spans="1:17" x14ac:dyDescent="0.25">
      <c r="A20" s="20" t="s">
        <v>8</v>
      </c>
      <c r="B20" s="64" t="s">
        <v>191</v>
      </c>
      <c r="P20" s="239"/>
      <c r="Q20" s="240"/>
    </row>
    <row r="21" spans="1:17" x14ac:dyDescent="0.25">
      <c r="P21" s="239"/>
      <c r="Q21" s="240"/>
    </row>
    <row r="22" spans="1:17" x14ac:dyDescent="0.25">
      <c r="A22" s="20" t="s">
        <v>189</v>
      </c>
      <c r="B22" t="s">
        <v>78</v>
      </c>
      <c r="P22" s="239"/>
      <c r="Q22" s="240"/>
    </row>
    <row r="23" spans="1:17" x14ac:dyDescent="0.25">
      <c r="A23" s="9" t="s">
        <v>190</v>
      </c>
      <c r="B23" s="191" t="e">
        <v>#DIV/0!</v>
      </c>
      <c r="I23" s="64"/>
      <c r="J23" s="64"/>
      <c r="K23" s="64"/>
      <c r="L23" s="146" t="s">
        <v>300</v>
      </c>
      <c r="M23" s="146"/>
      <c r="P23" s="239"/>
      <c r="Q23" s="240"/>
    </row>
    <row r="24" spans="1:17" x14ac:dyDescent="0.25">
      <c r="A24" s="9" t="s">
        <v>192</v>
      </c>
      <c r="B24" s="191" t="e">
        <v>#DIV/0!</v>
      </c>
      <c r="H24" t="s">
        <v>287</v>
      </c>
      <c r="I24">
        <v>2017</v>
      </c>
      <c r="J24">
        <v>2018</v>
      </c>
      <c r="L24" s="20" t="s">
        <v>189</v>
      </c>
      <c r="M24" t="s">
        <v>288</v>
      </c>
      <c r="P24" s="239"/>
      <c r="Q24" s="240"/>
    </row>
    <row r="25" spans="1:17" x14ac:dyDescent="0.25">
      <c r="H25" t="s">
        <v>212</v>
      </c>
      <c r="I25" s="64">
        <v>27</v>
      </c>
      <c r="J25" s="64"/>
      <c r="L25" s="9" t="s">
        <v>212</v>
      </c>
      <c r="M25" s="21">
        <v>27</v>
      </c>
      <c r="P25" s="239"/>
      <c r="Q25" s="240"/>
    </row>
    <row r="26" spans="1:17" x14ac:dyDescent="0.25">
      <c r="H26" s="64" t="s">
        <v>251</v>
      </c>
      <c r="I26" s="64">
        <v>29</v>
      </c>
      <c r="J26" s="64"/>
      <c r="L26" s="9" t="s">
        <v>251</v>
      </c>
      <c r="M26" s="21">
        <v>29</v>
      </c>
      <c r="P26" s="239"/>
      <c r="Q26" s="240"/>
    </row>
    <row r="27" spans="1:17" x14ac:dyDescent="0.25">
      <c r="H27" s="64" t="s">
        <v>209</v>
      </c>
      <c r="I27" s="64">
        <v>30</v>
      </c>
      <c r="J27" s="64"/>
      <c r="L27" s="9" t="s">
        <v>209</v>
      </c>
      <c r="M27" s="21">
        <v>30</v>
      </c>
      <c r="P27" s="239"/>
      <c r="Q27" s="240"/>
    </row>
    <row r="28" spans="1:17" x14ac:dyDescent="0.25">
      <c r="H28" s="64" t="s">
        <v>210</v>
      </c>
      <c r="I28" s="64">
        <v>29</v>
      </c>
      <c r="J28" s="64"/>
      <c r="L28" s="9" t="s">
        <v>210</v>
      </c>
      <c r="M28" s="21">
        <v>29</v>
      </c>
      <c r="P28" s="238"/>
      <c r="Q28" s="238"/>
    </row>
    <row r="29" spans="1:17" x14ac:dyDescent="0.25">
      <c r="G29" s="64"/>
      <c r="H29" s="64" t="s">
        <v>211</v>
      </c>
      <c r="I29" s="64">
        <v>32</v>
      </c>
      <c r="J29" s="64"/>
      <c r="L29" s="9" t="s">
        <v>211</v>
      </c>
      <c r="M29" s="21">
        <v>32</v>
      </c>
      <c r="P29" s="64"/>
      <c r="Q29" s="64"/>
    </row>
    <row r="30" spans="1:17" x14ac:dyDescent="0.25">
      <c r="G30" s="231"/>
      <c r="H30" s="64" t="s">
        <v>253</v>
      </c>
      <c r="I30" s="64">
        <v>21</v>
      </c>
      <c r="J30" s="64"/>
      <c r="L30" s="9" t="s">
        <v>253</v>
      </c>
      <c r="M30" s="21">
        <v>21</v>
      </c>
    </row>
    <row r="31" spans="1:17" x14ac:dyDescent="0.25">
      <c r="G31" s="231"/>
      <c r="H31" s="64" t="s">
        <v>254</v>
      </c>
      <c r="I31" s="64">
        <v>13</v>
      </c>
      <c r="J31" s="64"/>
      <c r="L31" s="9" t="s">
        <v>254</v>
      </c>
      <c r="M31" s="21">
        <v>13</v>
      </c>
    </row>
    <row r="32" spans="1:17" x14ac:dyDescent="0.25">
      <c r="H32" s="64" t="s">
        <v>255</v>
      </c>
      <c r="I32" s="64">
        <v>19</v>
      </c>
      <c r="L32" s="9" t="s">
        <v>255</v>
      </c>
      <c r="M32" s="21">
        <v>19</v>
      </c>
    </row>
    <row r="33" spans="8:13" x14ac:dyDescent="0.25">
      <c r="H33" s="64" t="s">
        <v>256</v>
      </c>
      <c r="I33" s="64">
        <v>25</v>
      </c>
      <c r="L33" s="9" t="s">
        <v>256</v>
      </c>
      <c r="M33" s="21">
        <v>25</v>
      </c>
    </row>
    <row r="34" spans="8:13" x14ac:dyDescent="0.25">
      <c r="H34" s="64" t="s">
        <v>257</v>
      </c>
      <c r="I34" s="64">
        <v>31</v>
      </c>
      <c r="L34" s="9" t="s">
        <v>257</v>
      </c>
      <c r="M34" s="21">
        <v>31</v>
      </c>
    </row>
    <row r="35" spans="8:13" x14ac:dyDescent="0.25">
      <c r="H35" s="64" t="s">
        <v>258</v>
      </c>
      <c r="I35" s="234"/>
      <c r="L35" s="9" t="s">
        <v>258</v>
      </c>
      <c r="M35" s="21"/>
    </row>
    <row r="36" spans="8:13" x14ac:dyDescent="0.25">
      <c r="H36" s="64" t="s">
        <v>259</v>
      </c>
      <c r="I36" s="235"/>
      <c r="L36" s="9" t="s">
        <v>259</v>
      </c>
      <c r="M36" s="21"/>
    </row>
    <row r="37" spans="8:13" x14ac:dyDescent="0.25">
      <c r="L37" s="9" t="s">
        <v>192</v>
      </c>
      <c r="M37" s="21">
        <v>256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K17"/>
  <sheetViews>
    <sheetView tabSelected="1" workbookViewId="0">
      <selection activeCell="A8" sqref="A8"/>
    </sheetView>
  </sheetViews>
  <sheetFormatPr baseColWidth="10" defaultColWidth="11.42578125" defaultRowHeight="15" x14ac:dyDescent="0.25"/>
  <cols>
    <col min="1" max="1" width="25.42578125" customWidth="1"/>
    <col min="2" max="2" width="23.85546875" customWidth="1"/>
    <col min="3" max="3" width="12.5703125" customWidth="1"/>
    <col min="4" max="4" width="6" customWidth="1"/>
    <col min="5" max="5" width="4.7109375" customWidth="1"/>
    <col min="6" max="7" width="5.140625" customWidth="1"/>
    <col min="8" max="8" width="6.28515625" customWidth="1"/>
    <col min="9" max="9" width="10.140625" customWidth="1"/>
    <col min="10" max="10" width="21" bestFit="1" customWidth="1"/>
    <col min="11" max="11" width="26.5703125" bestFit="1" customWidth="1"/>
    <col min="12" max="16" width="8.140625" customWidth="1"/>
    <col min="17" max="18" width="12.5703125" customWidth="1"/>
    <col min="19" max="19" width="8.140625" customWidth="1"/>
    <col min="20" max="20" width="9.5703125" customWidth="1"/>
    <col min="21" max="21" width="8.140625" customWidth="1"/>
    <col min="22" max="22" width="10" customWidth="1"/>
    <col min="23" max="23" width="8.140625" customWidth="1"/>
    <col min="24" max="24" width="10" customWidth="1"/>
    <col min="25" max="25" width="8.140625" customWidth="1"/>
    <col min="26" max="26" width="9.28515625" customWidth="1"/>
    <col min="27" max="27" width="8.140625" customWidth="1"/>
    <col min="28" max="30" width="7.7109375" customWidth="1"/>
    <col min="31" max="31" width="11.140625" customWidth="1"/>
    <col min="32" max="32" width="12.5703125" bestFit="1" customWidth="1"/>
  </cols>
  <sheetData>
    <row r="2" spans="1:11" x14ac:dyDescent="0.25">
      <c r="J2" s="105" t="s">
        <v>8</v>
      </c>
      <c r="K2" s="105" t="s">
        <v>191</v>
      </c>
    </row>
    <row r="3" spans="1:11" x14ac:dyDescent="0.25">
      <c r="A3" s="105" t="s">
        <v>79</v>
      </c>
      <c r="B3" s="105" t="s">
        <v>194</v>
      </c>
      <c r="C3" s="105"/>
      <c r="J3" s="105"/>
      <c r="K3" s="105"/>
    </row>
    <row r="4" spans="1:11" x14ac:dyDescent="0.25">
      <c r="A4" s="105" t="s">
        <v>189</v>
      </c>
      <c r="B4" s="105" t="s">
        <v>335</v>
      </c>
      <c r="C4" s="105" t="s">
        <v>192</v>
      </c>
      <c r="J4" s="105" t="s">
        <v>189</v>
      </c>
      <c r="K4" s="105" t="s">
        <v>80</v>
      </c>
    </row>
    <row r="5" spans="1:11" x14ac:dyDescent="0.25">
      <c r="A5" s="98" t="s">
        <v>212</v>
      </c>
      <c r="B5" s="99">
        <v>27</v>
      </c>
      <c r="C5" s="99">
        <v>27</v>
      </c>
      <c r="J5" s="98" t="s">
        <v>192</v>
      </c>
      <c r="K5" s="99">
        <v>0</v>
      </c>
    </row>
    <row r="6" spans="1:11" x14ac:dyDescent="0.25">
      <c r="A6" s="98" t="s">
        <v>213</v>
      </c>
      <c r="B6" s="99">
        <v>29</v>
      </c>
      <c r="C6" s="99">
        <v>29</v>
      </c>
    </row>
    <row r="7" spans="1:11" x14ac:dyDescent="0.25">
      <c r="A7" s="98" t="s">
        <v>209</v>
      </c>
      <c r="B7" s="99">
        <v>30</v>
      </c>
      <c r="C7" s="99">
        <v>30</v>
      </c>
    </row>
    <row r="8" spans="1:11" x14ac:dyDescent="0.25">
      <c r="A8" s="98" t="s">
        <v>210</v>
      </c>
      <c r="B8" s="99">
        <v>29</v>
      </c>
      <c r="C8" s="99">
        <v>29</v>
      </c>
    </row>
    <row r="9" spans="1:11" x14ac:dyDescent="0.25">
      <c r="A9" s="98" t="s">
        <v>211</v>
      </c>
      <c r="B9" s="99">
        <v>32</v>
      </c>
      <c r="C9" s="99">
        <v>32</v>
      </c>
    </row>
    <row r="10" spans="1:11" x14ac:dyDescent="0.25">
      <c r="A10" s="98" t="s">
        <v>253</v>
      </c>
      <c r="B10" s="99">
        <v>21</v>
      </c>
      <c r="C10" s="99">
        <v>21</v>
      </c>
    </row>
    <row r="11" spans="1:11" x14ac:dyDescent="0.25">
      <c r="A11" s="98" t="s">
        <v>254</v>
      </c>
      <c r="B11" s="99">
        <v>13</v>
      </c>
      <c r="C11" s="99">
        <v>13</v>
      </c>
    </row>
    <row r="12" spans="1:11" x14ac:dyDescent="0.25">
      <c r="A12" s="98" t="s">
        <v>282</v>
      </c>
      <c r="B12" s="99">
        <v>20</v>
      </c>
      <c r="C12" s="99">
        <v>20</v>
      </c>
    </row>
    <row r="13" spans="1:11" x14ac:dyDescent="0.25">
      <c r="A13" s="98" t="s">
        <v>256</v>
      </c>
      <c r="B13" s="99">
        <v>25</v>
      </c>
      <c r="C13" s="99">
        <v>25</v>
      </c>
    </row>
    <row r="14" spans="1:11" x14ac:dyDescent="0.25">
      <c r="A14" s="98" t="s">
        <v>257</v>
      </c>
      <c r="B14" s="99">
        <v>32</v>
      </c>
      <c r="C14" s="99">
        <v>32</v>
      </c>
    </row>
    <row r="15" spans="1:11" x14ac:dyDescent="0.25">
      <c r="A15" s="98" t="s">
        <v>307</v>
      </c>
      <c r="B15" s="99">
        <v>2</v>
      </c>
      <c r="C15" s="99">
        <v>2</v>
      </c>
    </row>
    <row r="16" spans="1:11" x14ac:dyDescent="0.25">
      <c r="A16" s="98" t="s">
        <v>259</v>
      </c>
      <c r="B16" s="99">
        <v>18</v>
      </c>
      <c r="C16" s="99">
        <v>18</v>
      </c>
    </row>
    <row r="17" spans="1:3" x14ac:dyDescent="0.25">
      <c r="A17" s="98" t="s">
        <v>192</v>
      </c>
      <c r="B17" s="99">
        <v>278</v>
      </c>
      <c r="C17" s="99">
        <v>278</v>
      </c>
    </row>
  </sheetData>
  <pageMargins left="0.7" right="0.7" top="0.75" bottom="0.75" header="0.3" footer="0.3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74"/>
  <sheetViews>
    <sheetView topLeftCell="F34" workbookViewId="0">
      <selection activeCell="G47" sqref="G47:H51"/>
    </sheetView>
  </sheetViews>
  <sheetFormatPr baseColWidth="10" defaultColWidth="11.42578125" defaultRowHeight="15" x14ac:dyDescent="0.25"/>
  <cols>
    <col min="1" max="1" width="5.28515625" style="64" customWidth="1"/>
    <col min="2" max="2" width="8.85546875" style="64" customWidth="1"/>
    <col min="3" max="6" width="23.85546875" style="64" customWidth="1"/>
    <col min="7" max="7" width="21" style="64" customWidth="1"/>
    <col min="8" max="8" width="28" style="64" customWidth="1"/>
    <col min="9" max="9" width="10" style="64" customWidth="1"/>
    <col min="10" max="10" width="12.5703125" style="64" customWidth="1"/>
    <col min="11" max="11" width="9.7109375" style="64" customWidth="1"/>
    <col min="12" max="12" width="12.5703125" style="64" bestFit="1" customWidth="1"/>
    <col min="13" max="16384" width="11.42578125" style="64"/>
  </cols>
  <sheetData>
    <row r="1" spans="1:12" x14ac:dyDescent="0.25">
      <c r="A1" s="241" t="s">
        <v>303</v>
      </c>
    </row>
    <row r="3" spans="1:12" x14ac:dyDescent="0.25">
      <c r="A3" s="20" t="s">
        <v>194</v>
      </c>
      <c r="B3"/>
      <c r="C3"/>
      <c r="D3"/>
      <c r="E3"/>
      <c r="F3"/>
      <c r="G3"/>
      <c r="H3"/>
      <c r="I3"/>
      <c r="J3"/>
      <c r="K3"/>
      <c r="L3"/>
    </row>
    <row r="4" spans="1:12" x14ac:dyDescent="0.25">
      <c r="A4" s="64" t="s">
        <v>212</v>
      </c>
      <c r="B4" s="64" t="s">
        <v>213</v>
      </c>
      <c r="C4" s="64" t="s">
        <v>209</v>
      </c>
      <c r="D4" s="64" t="s">
        <v>210</v>
      </c>
      <c r="E4" s="64" t="s">
        <v>211</v>
      </c>
      <c r="F4" s="64" t="s">
        <v>253</v>
      </c>
      <c r="G4" s="64" t="s">
        <v>254</v>
      </c>
      <c r="H4" s="64" t="s">
        <v>192</v>
      </c>
      <c r="I4"/>
      <c r="J4"/>
      <c r="K4"/>
      <c r="L4"/>
    </row>
    <row r="5" spans="1:12" x14ac:dyDescent="0.25">
      <c r="A5"/>
      <c r="B5"/>
      <c r="C5"/>
      <c r="D5"/>
      <c r="E5"/>
      <c r="F5"/>
      <c r="G5"/>
      <c r="H5"/>
      <c r="I5"/>
      <c r="J5"/>
      <c r="K5"/>
      <c r="L5"/>
    </row>
    <row r="6" spans="1:12" x14ac:dyDescent="0.25">
      <c r="A6"/>
      <c r="B6"/>
      <c r="C6"/>
      <c r="D6"/>
      <c r="E6"/>
      <c r="F6"/>
      <c r="G6"/>
      <c r="H6"/>
      <c r="I6"/>
      <c r="J6"/>
      <c r="K6"/>
      <c r="L6"/>
    </row>
    <row r="7" spans="1:12" x14ac:dyDescent="0.25">
      <c r="A7"/>
      <c r="B7"/>
      <c r="C7"/>
      <c r="D7"/>
      <c r="E7"/>
      <c r="F7"/>
      <c r="G7"/>
      <c r="H7"/>
      <c r="I7"/>
      <c r="J7"/>
      <c r="K7"/>
      <c r="L7"/>
    </row>
    <row r="8" spans="1:12" x14ac:dyDescent="0.25">
      <c r="A8"/>
      <c r="B8"/>
      <c r="C8"/>
      <c r="D8"/>
      <c r="E8"/>
      <c r="F8"/>
      <c r="G8"/>
      <c r="H8"/>
      <c r="I8"/>
      <c r="J8"/>
      <c r="K8"/>
      <c r="L8"/>
    </row>
    <row r="9" spans="1:12" x14ac:dyDescent="0.25">
      <c r="A9"/>
      <c r="B9"/>
      <c r="C9"/>
      <c r="D9"/>
      <c r="E9"/>
      <c r="F9"/>
      <c r="G9"/>
      <c r="H9"/>
      <c r="I9"/>
      <c r="J9"/>
      <c r="K9"/>
      <c r="L9"/>
    </row>
    <row r="10" spans="1:12" x14ac:dyDescent="0.25">
      <c r="A10" s="9"/>
      <c r="B10" s="151"/>
      <c r="C10" s="151"/>
      <c r="D10" s="151"/>
      <c r="E10" s="151"/>
      <c r="F10" s="151"/>
      <c r="G10" s="151"/>
      <c r="H10" s="151"/>
      <c r="I10" s="151"/>
    </row>
    <row r="11" spans="1:12" x14ac:dyDescent="0.25">
      <c r="A11" s="9"/>
      <c r="B11" s="24"/>
      <c r="C11" s="24"/>
      <c r="D11" s="24"/>
      <c r="E11" s="24"/>
      <c r="F11" s="24"/>
      <c r="G11" s="24"/>
      <c r="H11" s="24"/>
      <c r="I11" s="24"/>
    </row>
    <row r="12" spans="1:12" x14ac:dyDescent="0.25">
      <c r="A12" s="20" t="s">
        <v>8</v>
      </c>
      <c r="B12" s="64" t="s">
        <v>191</v>
      </c>
    </row>
    <row r="14" spans="1:12" x14ac:dyDescent="0.25">
      <c r="A14"/>
      <c r="B14"/>
      <c r="L14"/>
    </row>
    <row r="15" spans="1:12" x14ac:dyDescent="0.25">
      <c r="A15"/>
      <c r="B15"/>
      <c r="I15" s="9"/>
      <c r="J15" s="9"/>
      <c r="K15" s="151"/>
      <c r="L15"/>
    </row>
    <row r="16" spans="1:12" x14ac:dyDescent="0.25">
      <c r="A16"/>
      <c r="B16"/>
      <c r="I16" s="9"/>
      <c r="J16" s="9"/>
      <c r="K16" s="151"/>
      <c r="L16"/>
    </row>
    <row r="17" spans="1:12" x14ac:dyDescent="0.25">
      <c r="A17"/>
      <c r="B17"/>
      <c r="I17" s="9"/>
      <c r="J17" s="9"/>
      <c r="K17" s="151"/>
      <c r="L17"/>
    </row>
    <row r="18" spans="1:12" x14ac:dyDescent="0.25">
      <c r="A18"/>
      <c r="B18"/>
      <c r="I18" s="9"/>
      <c r="J18" s="9"/>
      <c r="K18" s="151"/>
      <c r="L18"/>
    </row>
    <row r="19" spans="1:12" x14ac:dyDescent="0.25">
      <c r="A19"/>
      <c r="B19"/>
      <c r="I19"/>
      <c r="L19"/>
    </row>
    <row r="21" spans="1:12" x14ac:dyDescent="0.25">
      <c r="A21" s="20" t="s">
        <v>8</v>
      </c>
      <c r="B21" s="64" t="s">
        <v>191</v>
      </c>
    </row>
    <row r="23" spans="1:12" x14ac:dyDescent="0.25">
      <c r="A23" s="20" t="s">
        <v>189</v>
      </c>
      <c r="B23" t="s">
        <v>348</v>
      </c>
      <c r="C23"/>
      <c r="D23"/>
      <c r="E23"/>
      <c r="F23"/>
      <c r="G23"/>
      <c r="H23"/>
      <c r="I23"/>
      <c r="J23"/>
      <c r="K23"/>
    </row>
    <row r="24" spans="1:12" x14ac:dyDescent="0.25">
      <c r="A24" s="9" t="s">
        <v>309</v>
      </c>
      <c r="B24" s="191">
        <v>167</v>
      </c>
      <c r="C24"/>
      <c r="D24"/>
      <c r="E24"/>
      <c r="F24"/>
      <c r="G24"/>
      <c r="H24"/>
      <c r="I24"/>
      <c r="J24"/>
      <c r="K24"/>
    </row>
    <row r="25" spans="1:12" x14ac:dyDescent="0.25">
      <c r="A25" s="9" t="s">
        <v>310</v>
      </c>
      <c r="B25" s="191">
        <v>14</v>
      </c>
      <c r="C25"/>
      <c r="D25"/>
      <c r="E25"/>
      <c r="F25"/>
      <c r="G25"/>
      <c r="H25"/>
      <c r="I25"/>
      <c r="J25"/>
      <c r="K25"/>
    </row>
    <row r="26" spans="1:12" x14ac:dyDescent="0.25">
      <c r="A26"/>
      <c r="B26"/>
      <c r="C26"/>
      <c r="D26"/>
      <c r="E26"/>
      <c r="F26"/>
      <c r="G26"/>
      <c r="H26"/>
      <c r="I26"/>
      <c r="J26"/>
      <c r="K26"/>
    </row>
    <row r="27" spans="1:12" x14ac:dyDescent="0.25">
      <c r="A27"/>
      <c r="B27"/>
      <c r="C27"/>
      <c r="D27"/>
      <c r="E27"/>
      <c r="F27"/>
      <c r="G27" s="20" t="s">
        <v>8</v>
      </c>
      <c r="H27" s="64" t="s">
        <v>191</v>
      </c>
      <c r="I27"/>
      <c r="J27"/>
      <c r="K27"/>
    </row>
    <row r="28" spans="1:12" x14ac:dyDescent="0.25">
      <c r="A28"/>
      <c r="B28"/>
      <c r="C28"/>
      <c r="D28"/>
      <c r="E28"/>
      <c r="F28"/>
      <c r="G28"/>
      <c r="H28"/>
      <c r="I28"/>
      <c r="J28"/>
      <c r="K28"/>
    </row>
    <row r="29" spans="1:12" x14ac:dyDescent="0.25">
      <c r="A29"/>
      <c r="G29" s="20" t="s">
        <v>189</v>
      </c>
      <c r="H29" t="s">
        <v>348</v>
      </c>
      <c r="I29"/>
    </row>
    <row r="30" spans="1:12" x14ac:dyDescent="0.25">
      <c r="A30"/>
      <c r="G30" s="9" t="s">
        <v>192</v>
      </c>
      <c r="H30" s="21"/>
      <c r="I30"/>
    </row>
    <row r="31" spans="1:12" x14ac:dyDescent="0.25">
      <c r="A31" s="20" t="s">
        <v>8</v>
      </c>
      <c r="B31" s="64" t="s">
        <v>191</v>
      </c>
      <c r="G31"/>
      <c r="H31"/>
      <c r="I31"/>
    </row>
    <row r="32" spans="1:12" x14ac:dyDescent="0.25">
      <c r="G32"/>
      <c r="H32"/>
      <c r="I32"/>
    </row>
    <row r="33" spans="1:9" x14ac:dyDescent="0.25">
      <c r="A33" s="20" t="s">
        <v>189</v>
      </c>
      <c r="B33" t="s">
        <v>343</v>
      </c>
      <c r="G33"/>
      <c r="H33"/>
      <c r="I33"/>
    </row>
    <row r="34" spans="1:9" x14ac:dyDescent="0.25">
      <c r="A34" s="9" t="s">
        <v>339</v>
      </c>
      <c r="B34" s="24">
        <v>0.64341085271317833</v>
      </c>
      <c r="G34"/>
      <c r="H34"/>
      <c r="I34"/>
    </row>
    <row r="35" spans="1:9" x14ac:dyDescent="0.25">
      <c r="A35" s="9" t="s">
        <v>340</v>
      </c>
      <c r="B35" s="24">
        <v>8.5271317829457363E-2</v>
      </c>
      <c r="G35"/>
      <c r="H35"/>
      <c r="I35"/>
    </row>
    <row r="36" spans="1:9" x14ac:dyDescent="0.25">
      <c r="A36" s="9" t="s">
        <v>341</v>
      </c>
      <c r="B36" s="24">
        <v>7.7519379844961239E-3</v>
      </c>
      <c r="G36"/>
      <c r="H36"/>
      <c r="I36"/>
    </row>
    <row r="37" spans="1:9" x14ac:dyDescent="0.25">
      <c r="A37" s="9" t="s">
        <v>342</v>
      </c>
      <c r="B37" s="24">
        <v>0.26356589147286824</v>
      </c>
      <c r="G37"/>
      <c r="H37"/>
      <c r="I37"/>
    </row>
    <row r="38" spans="1:9" x14ac:dyDescent="0.25">
      <c r="G38"/>
      <c r="H38"/>
      <c r="I38"/>
    </row>
    <row r="39" spans="1:9" x14ac:dyDescent="0.25">
      <c r="A39"/>
      <c r="B39"/>
      <c r="G39"/>
      <c r="H39"/>
      <c r="I39"/>
    </row>
    <row r="40" spans="1:9" x14ac:dyDescent="0.25">
      <c r="A40" s="20" t="s">
        <v>8</v>
      </c>
      <c r="B40" s="64" t="s">
        <v>191</v>
      </c>
      <c r="G40"/>
      <c r="H40"/>
      <c r="I40"/>
    </row>
    <row r="41" spans="1:9" x14ac:dyDescent="0.25">
      <c r="G41"/>
      <c r="H41"/>
      <c r="I41"/>
    </row>
    <row r="42" spans="1:9" x14ac:dyDescent="0.25">
      <c r="A42" s="20" t="s">
        <v>189</v>
      </c>
      <c r="B42" t="s">
        <v>343</v>
      </c>
      <c r="C42"/>
      <c r="D42"/>
      <c r="E42"/>
      <c r="F42"/>
      <c r="G42"/>
      <c r="H42"/>
      <c r="I42"/>
    </row>
    <row r="43" spans="1:9" x14ac:dyDescent="0.25">
      <c r="A43" s="9" t="s">
        <v>339</v>
      </c>
      <c r="B43" s="24"/>
      <c r="C43"/>
      <c r="D43"/>
      <c r="E43"/>
      <c r="F43"/>
      <c r="G43"/>
      <c r="H43"/>
      <c r="I43"/>
    </row>
    <row r="44" spans="1:9" x14ac:dyDescent="0.25">
      <c r="A44" s="296" t="s">
        <v>309</v>
      </c>
      <c r="B44" s="151">
        <v>0.62403100775193798</v>
      </c>
      <c r="C44"/>
      <c r="D44"/>
      <c r="E44"/>
      <c r="F44"/>
      <c r="G44"/>
      <c r="H44"/>
      <c r="I44"/>
    </row>
    <row r="45" spans="1:9" x14ac:dyDescent="0.25">
      <c r="A45" s="296" t="s">
        <v>310</v>
      </c>
      <c r="B45" s="151">
        <v>1.937984496124031E-2</v>
      </c>
      <c r="C45"/>
      <c r="D45"/>
      <c r="E45"/>
      <c r="F45"/>
      <c r="G45"/>
      <c r="H45"/>
      <c r="I45"/>
    </row>
    <row r="46" spans="1:9" x14ac:dyDescent="0.25">
      <c r="A46" s="9" t="s">
        <v>340</v>
      </c>
      <c r="B46" s="151"/>
      <c r="C46"/>
      <c r="D46"/>
      <c r="E46"/>
      <c r="F46"/>
      <c r="G46"/>
      <c r="H46"/>
      <c r="I46"/>
    </row>
    <row r="47" spans="1:9" x14ac:dyDescent="0.25">
      <c r="A47" s="296" t="s">
        <v>309</v>
      </c>
      <c r="B47" s="151">
        <v>6.589147286821706E-2</v>
      </c>
      <c r="C47"/>
      <c r="D47"/>
      <c r="E47"/>
      <c r="F47"/>
      <c r="G47" s="20" t="s">
        <v>8</v>
      </c>
      <c r="H47" s="64" t="s">
        <v>191</v>
      </c>
      <c r="I47"/>
    </row>
    <row r="48" spans="1:9" x14ac:dyDescent="0.25">
      <c r="A48" s="296" t="s">
        <v>310</v>
      </c>
      <c r="B48" s="151">
        <v>1.937984496124031E-2</v>
      </c>
    </row>
    <row r="49" spans="1:12" x14ac:dyDescent="0.25">
      <c r="A49" s="9" t="s">
        <v>341</v>
      </c>
      <c r="B49" s="151"/>
      <c r="G49" s="20" t="s">
        <v>348</v>
      </c>
      <c r="H49" s="20" t="s">
        <v>194</v>
      </c>
      <c r="I49"/>
      <c r="J49"/>
      <c r="K49"/>
      <c r="L49"/>
    </row>
    <row r="50" spans="1:12" x14ac:dyDescent="0.25">
      <c r="A50" s="296" t="s">
        <v>309</v>
      </c>
      <c r="B50" s="151">
        <v>3.875968992248062E-3</v>
      </c>
      <c r="G50" s="20" t="s">
        <v>189</v>
      </c>
      <c r="H50" s="297" t="s">
        <v>192</v>
      </c>
      <c r="I50"/>
      <c r="J50"/>
      <c r="K50"/>
      <c r="L50"/>
    </row>
    <row r="51" spans="1:12" x14ac:dyDescent="0.25">
      <c r="A51" s="296" t="s">
        <v>310</v>
      </c>
      <c r="B51" s="151">
        <v>3.875968992248062E-3</v>
      </c>
      <c r="G51" s="9" t="s">
        <v>192</v>
      </c>
      <c r="H51" s="24" t="e">
        <v>#DIV/0!</v>
      </c>
      <c r="I51"/>
      <c r="J51"/>
      <c r="K51"/>
      <c r="L51"/>
    </row>
    <row r="52" spans="1:12" x14ac:dyDescent="0.25">
      <c r="A52" s="9" t="s">
        <v>342</v>
      </c>
      <c r="B52" s="151"/>
      <c r="G52"/>
      <c r="H52"/>
      <c r="I52"/>
      <c r="J52"/>
      <c r="K52"/>
      <c r="L52"/>
    </row>
    <row r="53" spans="1:12" x14ac:dyDescent="0.25">
      <c r="A53" s="296" t="s">
        <v>309</v>
      </c>
      <c r="B53" s="151">
        <v>0.22480620155038761</v>
      </c>
      <c r="G53"/>
      <c r="H53"/>
      <c r="I53"/>
      <c r="J53"/>
      <c r="K53"/>
      <c r="L53"/>
    </row>
    <row r="54" spans="1:12" x14ac:dyDescent="0.25">
      <c r="A54" s="296" t="s">
        <v>310</v>
      </c>
      <c r="B54" s="151">
        <v>3.875968992248062E-2</v>
      </c>
      <c r="G54"/>
      <c r="H54"/>
      <c r="I54"/>
      <c r="J54"/>
    </row>
    <row r="55" spans="1:12" x14ac:dyDescent="0.25">
      <c r="A55" s="20" t="s">
        <v>8</v>
      </c>
      <c r="B55" s="64" t="s">
        <v>193</v>
      </c>
      <c r="G55"/>
      <c r="H55"/>
      <c r="I55"/>
      <c r="J55"/>
    </row>
    <row r="56" spans="1:12" x14ac:dyDescent="0.25">
      <c r="G56"/>
      <c r="H56"/>
    </row>
    <row r="57" spans="1:12" x14ac:dyDescent="0.25">
      <c r="A57"/>
      <c r="B57"/>
      <c r="C57"/>
      <c r="G57"/>
      <c r="H57"/>
    </row>
    <row r="58" spans="1:12" x14ac:dyDescent="0.25">
      <c r="A58"/>
      <c r="B58"/>
      <c r="C58"/>
      <c r="G58"/>
      <c r="H58"/>
    </row>
    <row r="59" spans="1:12" x14ac:dyDescent="0.25">
      <c r="A59"/>
      <c r="B59"/>
      <c r="C59"/>
      <c r="G59"/>
      <c r="H59"/>
    </row>
    <row r="60" spans="1:12" x14ac:dyDescent="0.25">
      <c r="A60"/>
      <c r="B60"/>
      <c r="C60"/>
      <c r="G60"/>
      <c r="H60"/>
    </row>
    <row r="61" spans="1:12" x14ac:dyDescent="0.25">
      <c r="A61"/>
      <c r="B61"/>
      <c r="C61"/>
      <c r="G61"/>
      <c r="H61"/>
    </row>
    <row r="62" spans="1:12" x14ac:dyDescent="0.25">
      <c r="A62"/>
      <c r="B62"/>
      <c r="C62"/>
      <c r="G62"/>
      <c r="H62"/>
    </row>
    <row r="63" spans="1:12" x14ac:dyDescent="0.25">
      <c r="A63"/>
      <c r="B63"/>
      <c r="C63"/>
    </row>
    <row r="64" spans="1:12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</sheetData>
  <pageMargins left="0.7" right="0.7" top="0.75" bottom="0.75" header="0.3" footer="0.3"/>
  <drawing r:id="rId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H5"/>
  <sheetViews>
    <sheetView workbookViewId="0">
      <selection activeCell="G2" sqref="G2:H5"/>
    </sheetView>
  </sheetViews>
  <sheetFormatPr baseColWidth="10" defaultColWidth="11.42578125" defaultRowHeight="15" x14ac:dyDescent="0.25"/>
  <cols>
    <col min="1" max="1" width="21" customWidth="1"/>
    <col min="2" max="2" width="23.85546875" customWidth="1"/>
    <col min="3" max="3" width="10" customWidth="1"/>
    <col min="4" max="4" width="12.5703125" customWidth="1"/>
    <col min="5" max="5" width="5.140625" customWidth="1"/>
    <col min="6" max="6" width="12.5703125" customWidth="1"/>
    <col min="7" max="7" width="21" customWidth="1"/>
    <col min="8" max="8" width="21.85546875" bestFit="1" customWidth="1"/>
    <col min="9" max="9" width="2.42578125" bestFit="1" customWidth="1"/>
    <col min="10" max="10" width="12.5703125" bestFit="1" customWidth="1"/>
  </cols>
  <sheetData>
    <row r="2" spans="1:8" x14ac:dyDescent="0.25">
      <c r="G2" s="105" t="s">
        <v>8</v>
      </c>
      <c r="H2" s="105" t="s">
        <v>191</v>
      </c>
    </row>
    <row r="3" spans="1:8" x14ac:dyDescent="0.25">
      <c r="A3" s="105" t="s">
        <v>98</v>
      </c>
      <c r="B3" s="105" t="s">
        <v>194</v>
      </c>
      <c r="G3" s="105"/>
      <c r="H3" s="105"/>
    </row>
    <row r="4" spans="1:8" x14ac:dyDescent="0.25">
      <c r="A4" s="105" t="s">
        <v>189</v>
      </c>
      <c r="B4" s="105" t="s">
        <v>192</v>
      </c>
      <c r="G4" s="105" t="s">
        <v>189</v>
      </c>
      <c r="H4" s="105" t="s">
        <v>81</v>
      </c>
    </row>
    <row r="5" spans="1:8" x14ac:dyDescent="0.25">
      <c r="A5" s="98" t="s">
        <v>192</v>
      </c>
      <c r="B5" s="100" t="e">
        <v>#DIV/0!</v>
      </c>
      <c r="G5" s="98" t="s">
        <v>192</v>
      </c>
      <c r="H5" s="99">
        <v>0</v>
      </c>
    </row>
  </sheetData>
  <pageMargins left="0.7" right="0.7" top="0.75" bottom="0.75" header="0.3" footer="0.3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Q6"/>
  <sheetViews>
    <sheetView topLeftCell="F4" workbookViewId="0">
      <selection activeCell="I6" sqref="I6"/>
    </sheetView>
  </sheetViews>
  <sheetFormatPr baseColWidth="10" defaultColWidth="11.42578125" defaultRowHeight="15" x14ac:dyDescent="0.25"/>
  <cols>
    <col min="1" max="1" width="21" customWidth="1"/>
    <col min="2" max="2" width="21.85546875" customWidth="1"/>
    <col min="3" max="3" width="23.140625" customWidth="1"/>
    <col min="4" max="4" width="21.85546875" customWidth="1"/>
    <col min="5" max="5" width="22.28515625" customWidth="1"/>
    <col min="7" max="7" width="21" bestFit="1" customWidth="1"/>
    <col min="8" max="8" width="21.85546875" bestFit="1" customWidth="1"/>
    <col min="9" max="9" width="23.140625" bestFit="1" customWidth="1"/>
    <col min="10" max="10" width="21.85546875" bestFit="1" customWidth="1"/>
    <col min="11" max="11" width="22.28515625" bestFit="1" customWidth="1"/>
    <col min="12" max="12" width="15.42578125" customWidth="1"/>
    <col min="13" max="13" width="21" customWidth="1"/>
    <col min="14" max="14" width="22.5703125" customWidth="1"/>
    <col min="15" max="15" width="23.140625" customWidth="1"/>
    <col min="16" max="16" width="22.85546875" customWidth="1"/>
    <col min="17" max="17" width="25.7109375" customWidth="1"/>
    <col min="18" max="18" width="9" customWidth="1"/>
    <col min="19" max="19" width="8.42578125" customWidth="1"/>
    <col min="20" max="20" width="12.5703125" customWidth="1"/>
    <col min="21" max="21" width="19.85546875" bestFit="1" customWidth="1"/>
    <col min="22" max="22" width="22" bestFit="1" customWidth="1"/>
    <col min="23" max="23" width="21" bestFit="1" customWidth="1"/>
    <col min="24" max="24" width="22" bestFit="1" customWidth="1"/>
    <col min="25" max="25" width="11.42578125" bestFit="1" customWidth="1"/>
    <col min="26" max="26" width="22" bestFit="1" customWidth="1"/>
    <col min="27" max="27" width="19.140625" bestFit="1" customWidth="1"/>
    <col min="28" max="28" width="22" bestFit="1" customWidth="1"/>
    <col min="29" max="29" width="11.42578125" bestFit="1" customWidth="1"/>
    <col min="30" max="30" width="22" bestFit="1" customWidth="1"/>
    <col min="31" max="31" width="18.85546875" bestFit="1" customWidth="1"/>
    <col min="32" max="32" width="22" bestFit="1" customWidth="1"/>
    <col min="33" max="33" width="11.42578125" bestFit="1" customWidth="1"/>
    <col min="34" max="34" width="22" bestFit="1" customWidth="1"/>
    <col min="35" max="35" width="11.42578125" bestFit="1" customWidth="1"/>
    <col min="36" max="36" width="22" bestFit="1" customWidth="1"/>
    <col min="37" max="37" width="11.42578125" bestFit="1" customWidth="1"/>
    <col min="38" max="38" width="22" bestFit="1" customWidth="1"/>
    <col min="39" max="39" width="12.5703125" bestFit="1" customWidth="1"/>
    <col min="40" max="40" width="22" bestFit="1" customWidth="1"/>
    <col min="41" max="41" width="15.5703125" bestFit="1" customWidth="1"/>
    <col min="42" max="42" width="22" bestFit="1" customWidth="1"/>
    <col min="43" max="43" width="11.42578125" bestFit="1" customWidth="1"/>
    <col min="44" max="44" width="22" bestFit="1" customWidth="1"/>
    <col min="45" max="45" width="15.42578125" bestFit="1" customWidth="1"/>
    <col min="46" max="46" width="22" bestFit="1" customWidth="1"/>
    <col min="47" max="47" width="16.85546875" bestFit="1" customWidth="1"/>
    <col min="48" max="48" width="22" bestFit="1" customWidth="1"/>
    <col min="49" max="49" width="18" bestFit="1" customWidth="1"/>
    <col min="50" max="50" width="22" bestFit="1" customWidth="1"/>
    <col min="51" max="51" width="11.42578125" bestFit="1" customWidth="1"/>
    <col min="52" max="52" width="22" bestFit="1" customWidth="1"/>
    <col min="53" max="53" width="16.7109375" bestFit="1" customWidth="1"/>
    <col min="54" max="54" width="22" bestFit="1" customWidth="1"/>
    <col min="55" max="55" width="18" bestFit="1" customWidth="1"/>
    <col min="56" max="56" width="22" bestFit="1" customWidth="1"/>
    <col min="57" max="57" width="11.42578125" bestFit="1" customWidth="1"/>
    <col min="58" max="58" width="22" bestFit="1" customWidth="1"/>
    <col min="59" max="59" width="19.5703125" bestFit="1" customWidth="1"/>
    <col min="60" max="60" width="22" bestFit="1" customWidth="1"/>
    <col min="61" max="61" width="11.42578125" bestFit="1" customWidth="1"/>
    <col min="62" max="62" width="22" bestFit="1" customWidth="1"/>
    <col min="63" max="63" width="11.42578125" bestFit="1" customWidth="1"/>
    <col min="64" max="64" width="22" bestFit="1" customWidth="1"/>
    <col min="65" max="65" width="11.42578125" bestFit="1" customWidth="1"/>
    <col min="66" max="66" width="22" bestFit="1" customWidth="1"/>
    <col min="67" max="67" width="11.42578125" bestFit="1" customWidth="1"/>
    <col min="68" max="68" width="22" bestFit="1" customWidth="1"/>
    <col min="69" max="69" width="11.42578125" bestFit="1" customWidth="1"/>
    <col min="70" max="70" width="22" bestFit="1" customWidth="1"/>
    <col min="71" max="71" width="11.42578125" bestFit="1" customWidth="1"/>
    <col min="72" max="72" width="22" bestFit="1" customWidth="1"/>
    <col min="73" max="73" width="11.42578125" bestFit="1" customWidth="1"/>
    <col min="74" max="74" width="22" bestFit="1" customWidth="1"/>
    <col min="75" max="75" width="16.42578125" bestFit="1" customWidth="1"/>
    <col min="76" max="76" width="27" bestFit="1" customWidth="1"/>
    <col min="77" max="86" width="10.7109375" bestFit="1" customWidth="1"/>
    <col min="87" max="87" width="11.140625" bestFit="1" customWidth="1"/>
  </cols>
  <sheetData>
    <row r="1" spans="1:17" x14ac:dyDescent="0.25">
      <c r="A1" s="20" t="s">
        <v>60</v>
      </c>
      <c r="B1" s="64" t="s">
        <v>193</v>
      </c>
      <c r="C1" s="23" t="s">
        <v>100</v>
      </c>
      <c r="G1" s="118" t="s">
        <v>60</v>
      </c>
      <c r="H1" s="118" t="s">
        <v>193</v>
      </c>
      <c r="I1" s="119" t="s">
        <v>84</v>
      </c>
      <c r="J1" s="118"/>
      <c r="K1" s="118"/>
      <c r="M1" s="20" t="s">
        <v>60</v>
      </c>
      <c r="N1" s="64" t="s">
        <v>191</v>
      </c>
      <c r="O1" s="23" t="s">
        <v>89</v>
      </c>
    </row>
    <row r="2" spans="1:17" x14ac:dyDescent="0.25">
      <c r="A2" s="20" t="s">
        <v>99</v>
      </c>
      <c r="B2" s="64" t="s">
        <v>191</v>
      </c>
      <c r="C2" s="23" t="s">
        <v>85</v>
      </c>
      <c r="G2" s="118" t="s">
        <v>99</v>
      </c>
      <c r="H2" s="118" t="s">
        <v>191</v>
      </c>
      <c r="I2" s="119" t="s">
        <v>85</v>
      </c>
      <c r="J2" s="118" t="s">
        <v>86</v>
      </c>
      <c r="K2" s="118"/>
      <c r="M2" s="20" t="s">
        <v>99</v>
      </c>
      <c r="N2" s="64" t="s">
        <v>191</v>
      </c>
      <c r="O2" s="23" t="s">
        <v>85</v>
      </c>
    </row>
    <row r="3" spans="1:17" x14ac:dyDescent="0.25">
      <c r="G3" s="118"/>
      <c r="H3" s="118"/>
      <c r="I3" s="118"/>
      <c r="J3" s="118"/>
      <c r="K3" s="118"/>
    </row>
    <row r="4" spans="1:17" x14ac:dyDescent="0.25">
      <c r="B4" s="20" t="s">
        <v>87</v>
      </c>
      <c r="G4" s="26"/>
      <c r="H4" s="26" t="s">
        <v>87</v>
      </c>
      <c r="I4" s="26"/>
      <c r="J4" s="26"/>
      <c r="K4" s="26"/>
      <c r="N4" s="20" t="s">
        <v>87</v>
      </c>
    </row>
    <row r="5" spans="1:17" x14ac:dyDescent="0.25">
      <c r="A5" s="20" t="s">
        <v>189</v>
      </c>
      <c r="B5" s="64" t="s">
        <v>126</v>
      </c>
      <c r="C5" s="64" t="s">
        <v>83</v>
      </c>
      <c r="D5" s="64" t="s">
        <v>125</v>
      </c>
      <c r="E5" s="64" t="s">
        <v>88</v>
      </c>
      <c r="G5" s="26" t="s">
        <v>189</v>
      </c>
      <c r="H5" s="26" t="s">
        <v>126</v>
      </c>
      <c r="I5" s="26" t="s">
        <v>83</v>
      </c>
      <c r="J5" s="26" t="s">
        <v>125</v>
      </c>
      <c r="K5" s="26" t="s">
        <v>88</v>
      </c>
      <c r="M5" s="20" t="s">
        <v>189</v>
      </c>
      <c r="N5" s="64" t="s">
        <v>127</v>
      </c>
      <c r="O5" s="64" t="s">
        <v>83</v>
      </c>
      <c r="P5" s="64" t="s">
        <v>128</v>
      </c>
      <c r="Q5" s="64" t="s">
        <v>129</v>
      </c>
    </row>
    <row r="6" spans="1:17" x14ac:dyDescent="0.25">
      <c r="A6" s="9" t="s">
        <v>192</v>
      </c>
      <c r="B6" s="21"/>
      <c r="C6" s="22"/>
      <c r="D6" s="21"/>
      <c r="E6" s="22"/>
      <c r="G6" s="117" t="s">
        <v>192</v>
      </c>
      <c r="H6" s="58"/>
      <c r="I6" s="149"/>
      <c r="J6" s="198"/>
      <c r="K6" s="198"/>
      <c r="M6" s="9" t="s">
        <v>192</v>
      </c>
      <c r="N6" s="21"/>
      <c r="O6" s="22"/>
      <c r="P6" s="21"/>
      <c r="Q6" s="21"/>
    </row>
  </sheetData>
  <pageMargins left="0.7" right="0.7" top="0.75" bottom="0.75" header="0.3" footer="0.3"/>
  <pageSetup paperSize="9" orientation="portrait"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16"/>
  <sheetViews>
    <sheetView workbookViewId="0">
      <selection activeCell="D3" sqref="D3"/>
    </sheetView>
  </sheetViews>
  <sheetFormatPr baseColWidth="10" defaultColWidth="11.42578125" defaultRowHeight="15" x14ac:dyDescent="0.25"/>
  <cols>
    <col min="1" max="1" width="19.5703125" bestFit="1" customWidth="1"/>
    <col min="2" max="2" width="14.28515625" customWidth="1"/>
    <col min="3" max="3" width="14.7109375" customWidth="1"/>
    <col min="5" max="5" width="19.5703125" bestFit="1" customWidth="1"/>
    <col min="7" max="7" width="19.42578125" bestFit="1" customWidth="1"/>
    <col min="8" max="8" width="11.42578125" style="19"/>
    <col min="9" max="9" width="19.5703125" bestFit="1" customWidth="1"/>
    <col min="11" max="11" width="14.7109375" bestFit="1" customWidth="1"/>
  </cols>
  <sheetData>
    <row r="1" spans="1:11" x14ac:dyDescent="0.25">
      <c r="A1" t="s">
        <v>60</v>
      </c>
      <c r="C1" s="35" t="s">
        <v>100</v>
      </c>
      <c r="E1" s="105" t="s">
        <v>60</v>
      </c>
      <c r="F1" s="105"/>
      <c r="G1" s="104" t="s">
        <v>84</v>
      </c>
      <c r="H1" s="36"/>
      <c r="I1" t="s">
        <v>60</v>
      </c>
      <c r="K1" s="23" t="s">
        <v>89</v>
      </c>
    </row>
    <row r="2" spans="1:11" ht="45" x14ac:dyDescent="0.25">
      <c r="A2" s="32" t="s">
        <v>130</v>
      </c>
      <c r="B2" s="33" t="s">
        <v>90</v>
      </c>
      <c r="C2" s="33" t="s">
        <v>131</v>
      </c>
      <c r="D2" t="s">
        <v>135</v>
      </c>
      <c r="E2" s="106" t="s">
        <v>130</v>
      </c>
      <c r="F2" s="107" t="s">
        <v>83</v>
      </c>
      <c r="G2" s="107" t="s">
        <v>306</v>
      </c>
      <c r="I2" s="32" t="s">
        <v>130</v>
      </c>
      <c r="J2" s="33" t="s">
        <v>90</v>
      </c>
      <c r="K2" s="33" t="s">
        <v>131</v>
      </c>
    </row>
    <row r="3" spans="1:11" x14ac:dyDescent="0.25">
      <c r="A3" s="102" t="s">
        <v>252</v>
      </c>
      <c r="B3" s="34" t="e">
        <f>AVERAGEIF('Données '!BO2:BO28,"&lt;&gt;(Inconnu)")</f>
        <v>#DIV/0!</v>
      </c>
      <c r="C3" s="34" t="e">
        <f>MEDIAN('Données '!BO2:BO28)</f>
        <v>#NUM!</v>
      </c>
      <c r="D3" t="s">
        <v>175</v>
      </c>
      <c r="E3" s="102" t="s">
        <v>252</v>
      </c>
      <c r="F3" s="148" t="e">
        <f>AVERAGEIF('Données '!BP2:BP28,"&lt;&gt;(Inconnu)")</f>
        <v>#DIV/0!</v>
      </c>
      <c r="G3" s="103" t="e">
        <f>MEDIAN('Données '!BP2:BP28)</f>
        <v>#NUM!</v>
      </c>
      <c r="I3" s="102" t="s">
        <v>252</v>
      </c>
      <c r="J3" s="34" t="e">
        <f>AVERAGEIF('Données '!BQ2:BQ28,"&lt;&gt;(Inconnu)")</f>
        <v>#DIV/0!</v>
      </c>
      <c r="K3" s="34" t="e">
        <f>MEDIAN('Données '!BQ2:BQ28)</f>
        <v>#NUM!</v>
      </c>
    </row>
    <row r="4" spans="1:11" x14ac:dyDescent="0.25">
      <c r="A4" s="102" t="s">
        <v>251</v>
      </c>
      <c r="B4" s="34"/>
      <c r="C4" s="34"/>
      <c r="E4" s="102" t="s">
        <v>251</v>
      </c>
      <c r="F4" s="148"/>
      <c r="G4" s="103"/>
      <c r="I4" s="102" t="s">
        <v>251</v>
      </c>
      <c r="J4" s="34"/>
      <c r="K4" s="34"/>
    </row>
    <row r="5" spans="1:11" x14ac:dyDescent="0.25">
      <c r="A5" s="102" t="s">
        <v>209</v>
      </c>
      <c r="B5" s="34"/>
      <c r="C5" s="34"/>
      <c r="E5" s="102" t="s">
        <v>209</v>
      </c>
      <c r="F5" s="148"/>
      <c r="G5" s="103"/>
      <c r="I5" s="102" t="s">
        <v>209</v>
      </c>
      <c r="J5" s="34"/>
      <c r="K5" s="34"/>
    </row>
    <row r="6" spans="1:11" x14ac:dyDescent="0.25">
      <c r="A6" s="102" t="s">
        <v>210</v>
      </c>
      <c r="B6" s="34"/>
      <c r="C6" s="34"/>
      <c r="E6" s="102" t="s">
        <v>210</v>
      </c>
      <c r="F6" s="148"/>
      <c r="G6" s="103"/>
      <c r="I6" s="102" t="s">
        <v>210</v>
      </c>
      <c r="J6" s="34"/>
      <c r="K6" s="34"/>
    </row>
    <row r="7" spans="1:11" x14ac:dyDescent="0.25">
      <c r="A7" s="102" t="s">
        <v>211</v>
      </c>
      <c r="B7" s="34"/>
      <c r="C7" s="34"/>
      <c r="E7" s="102" t="s">
        <v>211</v>
      </c>
      <c r="F7" s="148"/>
      <c r="G7" s="103"/>
      <c r="I7" s="102" t="s">
        <v>211</v>
      </c>
      <c r="J7" s="34"/>
      <c r="K7" s="34"/>
    </row>
    <row r="8" spans="1:11" x14ac:dyDescent="0.25">
      <c r="A8" s="102" t="s">
        <v>253</v>
      </c>
      <c r="B8" s="34"/>
      <c r="C8" s="34"/>
      <c r="E8" s="102" t="s">
        <v>253</v>
      </c>
      <c r="F8" s="148"/>
      <c r="G8" s="103"/>
      <c r="I8" s="102" t="s">
        <v>253</v>
      </c>
      <c r="J8" s="34"/>
      <c r="K8" s="34"/>
    </row>
    <row r="9" spans="1:11" x14ac:dyDescent="0.25">
      <c r="A9" s="102" t="s">
        <v>254</v>
      </c>
      <c r="B9" s="34"/>
      <c r="C9" s="34"/>
      <c r="E9" s="102" t="s">
        <v>254</v>
      </c>
      <c r="F9" s="148"/>
      <c r="G9" s="103"/>
      <c r="I9" s="102" t="s">
        <v>254</v>
      </c>
      <c r="J9" s="34"/>
      <c r="K9" s="34"/>
    </row>
    <row r="10" spans="1:11" x14ac:dyDescent="0.25">
      <c r="A10" s="102" t="s">
        <v>255</v>
      </c>
      <c r="B10" s="34"/>
      <c r="C10" s="34"/>
      <c r="E10" s="102" t="s">
        <v>255</v>
      </c>
      <c r="F10" s="148"/>
      <c r="G10" s="103"/>
      <c r="I10" s="102" t="s">
        <v>255</v>
      </c>
      <c r="J10" s="34"/>
      <c r="K10" s="34"/>
    </row>
    <row r="11" spans="1:11" x14ac:dyDescent="0.25">
      <c r="A11" s="102" t="s">
        <v>256</v>
      </c>
      <c r="B11" s="34"/>
      <c r="C11" s="34"/>
      <c r="E11" s="102" t="s">
        <v>256</v>
      </c>
      <c r="F11" s="148"/>
      <c r="G11" s="103"/>
      <c r="I11" s="102" t="s">
        <v>256</v>
      </c>
      <c r="J11" s="34"/>
      <c r="K11" s="34"/>
    </row>
    <row r="12" spans="1:11" x14ac:dyDescent="0.25">
      <c r="A12" s="102" t="s">
        <v>257</v>
      </c>
      <c r="B12" s="34"/>
      <c r="C12" s="34"/>
      <c r="E12" s="102" t="s">
        <v>257</v>
      </c>
      <c r="F12" s="148"/>
      <c r="G12" s="103"/>
      <c r="I12" s="102" t="s">
        <v>257</v>
      </c>
      <c r="J12" s="34"/>
      <c r="K12" s="34"/>
    </row>
    <row r="13" spans="1:11" x14ac:dyDescent="0.25">
      <c r="A13" s="102" t="s">
        <v>258</v>
      </c>
      <c r="B13" s="34"/>
      <c r="C13" s="34"/>
      <c r="E13" s="102" t="s">
        <v>258</v>
      </c>
      <c r="F13" s="148"/>
      <c r="G13" s="103"/>
      <c r="I13" s="102" t="s">
        <v>258</v>
      </c>
      <c r="J13" s="34"/>
      <c r="K13" s="34"/>
    </row>
    <row r="14" spans="1:11" x14ac:dyDescent="0.25">
      <c r="A14" s="102" t="s">
        <v>259</v>
      </c>
      <c r="B14" s="34"/>
      <c r="C14" s="34"/>
      <c r="E14" s="102" t="s">
        <v>259</v>
      </c>
      <c r="F14" s="148"/>
      <c r="G14" s="103"/>
      <c r="I14" s="102" t="s">
        <v>259</v>
      </c>
      <c r="J14" s="34"/>
      <c r="K14" s="34"/>
    </row>
    <row r="16" spans="1:11" x14ac:dyDescent="0.25">
      <c r="E16" s="108" t="s">
        <v>182</v>
      </c>
      <c r="F16" s="105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6"/>
  <sheetViews>
    <sheetView topLeftCell="F1" workbookViewId="0">
      <selection activeCell="G5" sqref="G5"/>
    </sheetView>
  </sheetViews>
  <sheetFormatPr baseColWidth="10" defaultColWidth="11.42578125" defaultRowHeight="15" x14ac:dyDescent="0.25"/>
  <cols>
    <col min="1" max="1" width="21" bestFit="1" customWidth="1"/>
    <col min="2" max="2" width="23.5703125" bestFit="1" customWidth="1"/>
    <col min="3" max="3" width="25.140625" bestFit="1" customWidth="1"/>
    <col min="4" max="4" width="23.85546875" bestFit="1" customWidth="1"/>
    <col min="5" max="5" width="24.28515625" bestFit="1" customWidth="1"/>
    <col min="7" max="7" width="21" customWidth="1"/>
    <col min="8" max="8" width="23.5703125" customWidth="1"/>
    <col min="9" max="9" width="25.140625" customWidth="1"/>
    <col min="10" max="10" width="24.85546875" customWidth="1"/>
    <col min="11" max="11" width="24.28515625" customWidth="1"/>
    <col min="12" max="12" width="15.42578125" bestFit="1" customWidth="1"/>
    <col min="13" max="13" width="21" customWidth="1"/>
    <col min="14" max="14" width="23.5703125" customWidth="1"/>
    <col min="15" max="15" width="25.140625" customWidth="1"/>
    <col min="16" max="16" width="24.85546875" customWidth="1"/>
    <col min="17" max="17" width="24.28515625" customWidth="1"/>
    <col min="18" max="18" width="9" customWidth="1"/>
    <col min="19" max="19" width="8.42578125" customWidth="1"/>
    <col min="20" max="20" width="12.5703125" customWidth="1"/>
    <col min="21" max="21" width="19.85546875" bestFit="1" customWidth="1"/>
    <col min="22" max="22" width="22" bestFit="1" customWidth="1"/>
    <col min="23" max="23" width="21" bestFit="1" customWidth="1"/>
    <col min="24" max="24" width="22" bestFit="1" customWidth="1"/>
    <col min="25" max="25" width="11.42578125" bestFit="1" customWidth="1"/>
    <col min="26" max="26" width="22" bestFit="1" customWidth="1"/>
    <col min="27" max="27" width="19.140625" bestFit="1" customWidth="1"/>
    <col min="28" max="28" width="22" bestFit="1" customWidth="1"/>
    <col min="29" max="29" width="11.42578125" bestFit="1" customWidth="1"/>
    <col min="30" max="30" width="22" bestFit="1" customWidth="1"/>
    <col min="31" max="31" width="18.85546875" bestFit="1" customWidth="1"/>
    <col min="32" max="32" width="22" bestFit="1" customWidth="1"/>
    <col min="33" max="33" width="11.42578125" bestFit="1" customWidth="1"/>
    <col min="34" max="34" width="22" bestFit="1" customWidth="1"/>
    <col min="35" max="35" width="11.42578125" bestFit="1" customWidth="1"/>
    <col min="36" max="36" width="22" bestFit="1" customWidth="1"/>
    <col min="37" max="37" width="11.42578125" bestFit="1" customWidth="1"/>
    <col min="38" max="38" width="22" bestFit="1" customWidth="1"/>
    <col min="39" max="39" width="12.5703125" bestFit="1" customWidth="1"/>
    <col min="40" max="40" width="22" bestFit="1" customWidth="1"/>
    <col min="41" max="41" width="15.5703125" bestFit="1" customWidth="1"/>
    <col min="42" max="42" width="22" bestFit="1" customWidth="1"/>
    <col min="43" max="43" width="11.42578125" bestFit="1" customWidth="1"/>
    <col min="44" max="44" width="22" bestFit="1" customWidth="1"/>
    <col min="45" max="45" width="15.42578125" bestFit="1" customWidth="1"/>
    <col min="46" max="46" width="22" bestFit="1" customWidth="1"/>
    <col min="47" max="47" width="16.85546875" bestFit="1" customWidth="1"/>
    <col min="48" max="48" width="22" bestFit="1" customWidth="1"/>
    <col min="49" max="49" width="18" bestFit="1" customWidth="1"/>
    <col min="50" max="50" width="22" bestFit="1" customWidth="1"/>
    <col min="51" max="51" width="11.42578125" bestFit="1" customWidth="1"/>
    <col min="52" max="52" width="22" bestFit="1" customWidth="1"/>
    <col min="53" max="53" width="16.7109375" bestFit="1" customWidth="1"/>
    <col min="54" max="54" width="22" bestFit="1" customWidth="1"/>
    <col min="55" max="55" width="18" bestFit="1" customWidth="1"/>
    <col min="56" max="56" width="22" bestFit="1" customWidth="1"/>
    <col min="57" max="57" width="11.42578125" bestFit="1" customWidth="1"/>
    <col min="58" max="58" width="22" bestFit="1" customWidth="1"/>
    <col min="59" max="59" width="19.5703125" bestFit="1" customWidth="1"/>
    <col min="60" max="60" width="22" bestFit="1" customWidth="1"/>
    <col min="61" max="61" width="11.42578125" bestFit="1" customWidth="1"/>
    <col min="62" max="62" width="22" bestFit="1" customWidth="1"/>
    <col min="63" max="63" width="11.42578125" bestFit="1" customWidth="1"/>
    <col min="64" max="64" width="22" bestFit="1" customWidth="1"/>
    <col min="65" max="65" width="11.42578125" bestFit="1" customWidth="1"/>
    <col min="66" max="66" width="22" bestFit="1" customWidth="1"/>
    <col min="67" max="67" width="11.42578125" bestFit="1" customWidth="1"/>
    <col min="68" max="68" width="22" bestFit="1" customWidth="1"/>
    <col min="69" max="69" width="11.42578125" bestFit="1" customWidth="1"/>
    <col min="70" max="70" width="22" bestFit="1" customWidth="1"/>
    <col min="71" max="71" width="11.42578125" bestFit="1" customWidth="1"/>
    <col min="72" max="72" width="22" bestFit="1" customWidth="1"/>
    <col min="73" max="73" width="11.42578125" bestFit="1" customWidth="1"/>
    <col min="74" max="74" width="22" bestFit="1" customWidth="1"/>
    <col min="75" max="75" width="16.42578125" bestFit="1" customWidth="1"/>
    <col min="76" max="76" width="27" bestFit="1" customWidth="1"/>
    <col min="77" max="86" width="10.7109375" bestFit="1" customWidth="1"/>
    <col min="87" max="87" width="11.140625" bestFit="1" customWidth="1"/>
  </cols>
  <sheetData>
    <row r="1" spans="1:17" x14ac:dyDescent="0.25">
      <c r="A1" s="20" t="s">
        <v>60</v>
      </c>
      <c r="B1" s="64" t="s">
        <v>193</v>
      </c>
      <c r="C1" s="23" t="s">
        <v>100</v>
      </c>
      <c r="G1" s="105" t="s">
        <v>60</v>
      </c>
      <c r="H1" s="105" t="s">
        <v>193</v>
      </c>
      <c r="I1" s="104" t="s">
        <v>84</v>
      </c>
      <c r="J1" s="104"/>
      <c r="K1" s="104"/>
      <c r="M1" s="20" t="s">
        <v>60</v>
      </c>
      <c r="N1" s="64" t="s">
        <v>191</v>
      </c>
      <c r="O1" s="23" t="s">
        <v>89</v>
      </c>
    </row>
    <row r="2" spans="1:17" x14ac:dyDescent="0.25">
      <c r="A2" s="20" t="s">
        <v>101</v>
      </c>
      <c r="B2" s="64" t="s">
        <v>191</v>
      </c>
      <c r="C2" s="23" t="s">
        <v>85</v>
      </c>
      <c r="G2" s="105" t="s">
        <v>101</v>
      </c>
      <c r="H2" s="105" t="s">
        <v>191</v>
      </c>
      <c r="I2" s="104" t="s">
        <v>85</v>
      </c>
      <c r="J2" s="104"/>
      <c r="K2" s="104"/>
      <c r="M2" s="20" t="s">
        <v>101</v>
      </c>
      <c r="N2" s="64" t="s">
        <v>191</v>
      </c>
      <c r="O2" s="23" t="s">
        <v>85</v>
      </c>
    </row>
    <row r="3" spans="1:17" x14ac:dyDescent="0.25">
      <c r="G3" s="105"/>
      <c r="H3" s="105"/>
      <c r="I3" s="105"/>
      <c r="J3" s="105"/>
      <c r="K3" s="105"/>
    </row>
    <row r="4" spans="1:17" x14ac:dyDescent="0.25">
      <c r="B4" s="20" t="s">
        <v>87</v>
      </c>
      <c r="G4" s="105"/>
      <c r="H4" s="105" t="s">
        <v>87</v>
      </c>
      <c r="I4" s="105"/>
      <c r="J4" s="105"/>
      <c r="K4" s="105"/>
      <c r="N4" s="20" t="s">
        <v>87</v>
      </c>
    </row>
    <row r="5" spans="1:17" x14ac:dyDescent="0.25">
      <c r="A5" s="20" t="s">
        <v>189</v>
      </c>
      <c r="B5" s="64" t="s">
        <v>138</v>
      </c>
      <c r="C5" s="64" t="s">
        <v>90</v>
      </c>
      <c r="D5" s="64" t="s">
        <v>139</v>
      </c>
      <c r="E5" s="64" t="s">
        <v>102</v>
      </c>
      <c r="G5" s="105" t="s">
        <v>189</v>
      </c>
      <c r="H5" s="105" t="s">
        <v>138</v>
      </c>
      <c r="I5" s="105" t="s">
        <v>90</v>
      </c>
      <c r="J5" s="105" t="s">
        <v>140</v>
      </c>
      <c r="K5" s="105" t="s">
        <v>102</v>
      </c>
      <c r="M5" s="20" t="s">
        <v>189</v>
      </c>
      <c r="N5" s="64" t="s">
        <v>138</v>
      </c>
      <c r="O5" s="64" t="s">
        <v>90</v>
      </c>
      <c r="P5" s="64" t="s">
        <v>140</v>
      </c>
      <c r="Q5" s="64" t="s">
        <v>102</v>
      </c>
    </row>
    <row r="6" spans="1:17" x14ac:dyDescent="0.25">
      <c r="A6" s="9" t="s">
        <v>192</v>
      </c>
      <c r="B6" s="21"/>
      <c r="C6" s="22"/>
      <c r="D6" s="21"/>
      <c r="E6" s="22"/>
      <c r="G6" s="98" t="s">
        <v>192</v>
      </c>
      <c r="H6" s="99"/>
      <c r="I6" s="149"/>
      <c r="J6" s="99"/>
      <c r="K6" s="101"/>
      <c r="M6" s="9" t="s">
        <v>192</v>
      </c>
      <c r="N6" s="21"/>
      <c r="O6" s="22"/>
      <c r="P6" s="21"/>
      <c r="Q6" s="22"/>
    </row>
  </sheetData>
  <pageMargins left="0.7" right="0.7" top="0.75" bottom="0.75" header="0.3" footer="0.3"/>
  <pageSetup paperSize="9" orientation="portrait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5"/>
  <sheetViews>
    <sheetView workbookViewId="0">
      <selection activeCell="G4" sqref="G4"/>
    </sheetView>
  </sheetViews>
  <sheetFormatPr baseColWidth="10" defaultColWidth="11.42578125" defaultRowHeight="15" x14ac:dyDescent="0.25"/>
  <cols>
    <col min="1" max="1" width="19.5703125" bestFit="1" customWidth="1"/>
    <col min="2" max="2" width="14.28515625" customWidth="1"/>
    <col min="3" max="3" width="14.7109375" customWidth="1"/>
    <col min="5" max="5" width="19.5703125" bestFit="1" customWidth="1"/>
    <col min="7" max="7" width="19.42578125" bestFit="1" customWidth="1"/>
    <col min="8" max="8" width="11.42578125" style="19"/>
    <col min="9" max="9" width="19.5703125" bestFit="1" customWidth="1"/>
    <col min="11" max="11" width="14.7109375" bestFit="1" customWidth="1"/>
  </cols>
  <sheetData>
    <row r="1" spans="1:11" x14ac:dyDescent="0.25">
      <c r="A1" t="s">
        <v>60</v>
      </c>
      <c r="C1" s="35" t="s">
        <v>100</v>
      </c>
      <c r="E1" s="105" t="s">
        <v>60</v>
      </c>
      <c r="F1" s="105"/>
      <c r="G1" s="104" t="s">
        <v>84</v>
      </c>
      <c r="H1" s="36"/>
      <c r="I1" t="s">
        <v>60</v>
      </c>
      <c r="K1" s="23" t="s">
        <v>89</v>
      </c>
    </row>
    <row r="2" spans="1:11" ht="45" x14ac:dyDescent="0.25">
      <c r="A2" s="32" t="s">
        <v>130</v>
      </c>
      <c r="B2" s="33" t="s">
        <v>90</v>
      </c>
      <c r="C2" s="33" t="s">
        <v>131</v>
      </c>
      <c r="D2" t="s">
        <v>135</v>
      </c>
      <c r="E2" s="106" t="s">
        <v>130</v>
      </c>
      <c r="F2" s="107" t="s">
        <v>90</v>
      </c>
      <c r="G2" s="107" t="s">
        <v>131</v>
      </c>
      <c r="I2" s="32" t="s">
        <v>130</v>
      </c>
      <c r="J2" s="33" t="s">
        <v>90</v>
      </c>
      <c r="K2" s="33" t="s">
        <v>131</v>
      </c>
    </row>
    <row r="3" spans="1:11" x14ac:dyDescent="0.25">
      <c r="A3" s="102" t="s">
        <v>252</v>
      </c>
      <c r="B3" s="34" t="e">
        <f>AVERAGEIF('Données '!BL2:BL28,"&lt;&gt;(Inconnu)")</f>
        <v>#DIV/0!</v>
      </c>
      <c r="C3" s="34" t="e">
        <f>MEDIAN('Données '!BL2:BL28)</f>
        <v>#NUM!</v>
      </c>
      <c r="D3" t="s">
        <v>134</v>
      </c>
      <c r="E3" s="102" t="s">
        <v>252</v>
      </c>
      <c r="F3" s="148" t="e">
        <f>AVERAGEIF('Données '!BM2:BM28,"&lt;&gt;(Inconnu)")</f>
        <v>#DIV/0!</v>
      </c>
      <c r="G3" s="103" t="e">
        <f>MEDIAN('Données '!BM2:BM28)</f>
        <v>#NUM!</v>
      </c>
      <c r="I3" s="102" t="s">
        <v>252</v>
      </c>
      <c r="J3" s="34" t="e">
        <f>AVERAGEIF('Données '!BN2:BN28,"&lt;&gt;(Inconnu)")</f>
        <v>#DIV/0!</v>
      </c>
      <c r="K3" s="34" t="e">
        <f>MEDIAN('Données '!BN2:BN28)</f>
        <v>#NUM!</v>
      </c>
    </row>
    <row r="4" spans="1:11" x14ac:dyDescent="0.25">
      <c r="A4" s="102" t="s">
        <v>251</v>
      </c>
      <c r="B4" s="34"/>
      <c r="C4" s="34"/>
      <c r="E4" s="102" t="s">
        <v>251</v>
      </c>
      <c r="F4" s="148"/>
      <c r="G4" s="103"/>
      <c r="I4" s="102" t="s">
        <v>251</v>
      </c>
      <c r="J4" s="34"/>
      <c r="K4" s="34"/>
    </row>
    <row r="5" spans="1:11" x14ac:dyDescent="0.25">
      <c r="A5" s="102" t="s">
        <v>209</v>
      </c>
      <c r="B5" s="34"/>
      <c r="C5" s="34"/>
      <c r="E5" s="102" t="s">
        <v>209</v>
      </c>
      <c r="F5" s="148"/>
      <c r="G5" s="103"/>
      <c r="I5" s="102" t="s">
        <v>209</v>
      </c>
      <c r="J5" s="34"/>
      <c r="K5" s="34"/>
    </row>
    <row r="6" spans="1:11" x14ac:dyDescent="0.25">
      <c r="A6" s="102" t="s">
        <v>210</v>
      </c>
      <c r="B6" s="34"/>
      <c r="C6" s="34"/>
      <c r="E6" s="102" t="s">
        <v>210</v>
      </c>
      <c r="F6" s="148"/>
      <c r="G6" s="103"/>
      <c r="I6" s="102" t="s">
        <v>210</v>
      </c>
      <c r="J6" s="34"/>
      <c r="K6" s="34"/>
    </row>
    <row r="7" spans="1:11" x14ac:dyDescent="0.25">
      <c r="A7" s="102" t="s">
        <v>211</v>
      </c>
      <c r="B7" s="34"/>
      <c r="C7" s="34"/>
      <c r="E7" s="102" t="s">
        <v>211</v>
      </c>
      <c r="F7" s="148"/>
      <c r="G7" s="103"/>
      <c r="I7" s="102" t="s">
        <v>211</v>
      </c>
      <c r="J7" s="34"/>
      <c r="K7" s="34"/>
    </row>
    <row r="8" spans="1:11" x14ac:dyDescent="0.25">
      <c r="A8" s="102" t="s">
        <v>253</v>
      </c>
      <c r="B8" s="34"/>
      <c r="C8" s="34"/>
      <c r="E8" s="102" t="s">
        <v>253</v>
      </c>
      <c r="F8" s="148"/>
      <c r="G8" s="103"/>
      <c r="I8" s="102" t="s">
        <v>253</v>
      </c>
      <c r="J8" s="34"/>
      <c r="K8" s="34"/>
    </row>
    <row r="9" spans="1:11" x14ac:dyDescent="0.25">
      <c r="A9" s="102" t="s">
        <v>254</v>
      </c>
      <c r="B9" s="34"/>
      <c r="C9" s="34"/>
      <c r="E9" s="102" t="s">
        <v>254</v>
      </c>
      <c r="F9" s="148"/>
      <c r="G9" s="103"/>
      <c r="I9" s="102" t="s">
        <v>254</v>
      </c>
      <c r="J9" s="34"/>
      <c r="K9" s="34"/>
    </row>
    <row r="10" spans="1:11" x14ac:dyDescent="0.25">
      <c r="A10" s="102" t="s">
        <v>255</v>
      </c>
      <c r="B10" s="34"/>
      <c r="C10" s="34"/>
      <c r="E10" s="102" t="s">
        <v>255</v>
      </c>
      <c r="F10" s="148"/>
      <c r="G10" s="103"/>
      <c r="I10" s="102" t="s">
        <v>255</v>
      </c>
      <c r="J10" s="34"/>
      <c r="K10" s="34"/>
    </row>
    <row r="11" spans="1:11" x14ac:dyDescent="0.25">
      <c r="A11" s="102" t="s">
        <v>256</v>
      </c>
      <c r="B11" s="34"/>
      <c r="C11" s="34"/>
      <c r="E11" s="102" t="s">
        <v>256</v>
      </c>
      <c r="F11" s="148"/>
      <c r="G11" s="103"/>
      <c r="I11" s="102" t="s">
        <v>256</v>
      </c>
      <c r="J11" s="34"/>
      <c r="K11" s="34"/>
    </row>
    <row r="12" spans="1:11" x14ac:dyDescent="0.25">
      <c r="A12" s="102" t="s">
        <v>257</v>
      </c>
      <c r="B12" s="34"/>
      <c r="C12" s="34"/>
      <c r="E12" s="102" t="s">
        <v>257</v>
      </c>
      <c r="F12" s="148"/>
      <c r="G12" s="103"/>
      <c r="I12" s="102" t="s">
        <v>257</v>
      </c>
      <c r="J12" s="34"/>
      <c r="K12" s="34"/>
    </row>
    <row r="13" spans="1:11" x14ac:dyDescent="0.25">
      <c r="A13" s="102" t="s">
        <v>258</v>
      </c>
      <c r="B13" s="34"/>
      <c r="C13" s="34"/>
      <c r="E13" s="102" t="s">
        <v>258</v>
      </c>
      <c r="F13" s="148"/>
      <c r="G13" s="103"/>
      <c r="I13" s="102" t="s">
        <v>258</v>
      </c>
      <c r="J13" s="34"/>
      <c r="K13" s="34"/>
    </row>
    <row r="14" spans="1:11" x14ac:dyDescent="0.25">
      <c r="A14" s="102" t="s">
        <v>259</v>
      </c>
      <c r="B14" s="34"/>
      <c r="C14" s="34"/>
      <c r="E14" s="102" t="s">
        <v>259</v>
      </c>
      <c r="F14" s="148"/>
      <c r="G14" s="103"/>
      <c r="I14" s="102" t="s">
        <v>259</v>
      </c>
      <c r="J14" s="34"/>
      <c r="K14" s="34"/>
    </row>
    <row r="15" spans="1:11" x14ac:dyDescent="0.25">
      <c r="E15" s="109" t="s">
        <v>183</v>
      </c>
      <c r="F15" s="10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FFCC"/>
  </sheetPr>
  <dimension ref="A1:K42"/>
  <sheetViews>
    <sheetView workbookViewId="0">
      <selection activeCell="B4" sqref="B4"/>
    </sheetView>
  </sheetViews>
  <sheetFormatPr baseColWidth="10" defaultColWidth="11.42578125" defaultRowHeight="15" x14ac:dyDescent="0.25"/>
  <cols>
    <col min="1" max="1" width="21" customWidth="1"/>
    <col min="2" max="2" width="24.28515625" customWidth="1"/>
    <col min="3" max="3" width="8.140625" customWidth="1"/>
    <col min="4" max="4" width="27.85546875" customWidth="1"/>
    <col min="5" max="5" width="23.85546875" customWidth="1"/>
    <col min="6" max="6" width="4.28515625" customWidth="1"/>
    <col min="7" max="9" width="12.5703125" customWidth="1"/>
    <col min="10" max="10" width="29.28515625" customWidth="1"/>
    <col min="11" max="11" width="27.85546875" bestFit="1" customWidth="1"/>
    <col min="12" max="12" width="22" bestFit="1" customWidth="1"/>
    <col min="13" max="13" width="21" bestFit="1" customWidth="1"/>
    <col min="14" max="14" width="22" bestFit="1" customWidth="1"/>
    <col min="15" max="15" width="11.42578125" bestFit="1" customWidth="1"/>
    <col min="16" max="16" width="22" bestFit="1" customWidth="1"/>
    <col min="17" max="17" width="19.140625" bestFit="1" customWidth="1"/>
    <col min="18" max="18" width="22" bestFit="1" customWidth="1"/>
    <col min="19" max="19" width="11.42578125" bestFit="1" customWidth="1"/>
    <col min="20" max="20" width="22" bestFit="1" customWidth="1"/>
    <col min="21" max="21" width="18.85546875" bestFit="1" customWidth="1"/>
    <col min="22" max="22" width="22" bestFit="1" customWidth="1"/>
    <col min="23" max="23" width="11.42578125" bestFit="1" customWidth="1"/>
    <col min="24" max="24" width="22" bestFit="1" customWidth="1"/>
    <col min="25" max="25" width="11.42578125" bestFit="1" customWidth="1"/>
    <col min="26" max="26" width="22" bestFit="1" customWidth="1"/>
    <col min="27" max="27" width="11.42578125" bestFit="1" customWidth="1"/>
    <col min="28" max="28" width="22" bestFit="1" customWidth="1"/>
    <col min="29" max="29" width="12.5703125" bestFit="1" customWidth="1"/>
    <col min="30" max="30" width="22" bestFit="1" customWidth="1"/>
    <col min="31" max="31" width="15.5703125" bestFit="1" customWidth="1"/>
    <col min="32" max="32" width="22" bestFit="1" customWidth="1"/>
    <col min="33" max="33" width="11.42578125" bestFit="1" customWidth="1"/>
    <col min="34" max="34" width="22" bestFit="1" customWidth="1"/>
    <col min="35" max="35" width="15.42578125" bestFit="1" customWidth="1"/>
    <col min="36" max="36" width="22" bestFit="1" customWidth="1"/>
    <col min="37" max="37" width="16.85546875" bestFit="1" customWidth="1"/>
    <col min="38" max="38" width="22" bestFit="1" customWidth="1"/>
    <col min="39" max="39" width="18" bestFit="1" customWidth="1"/>
    <col min="40" max="40" width="22" bestFit="1" customWidth="1"/>
    <col min="41" max="41" width="11.42578125" bestFit="1" customWidth="1"/>
    <col min="42" max="42" width="22" bestFit="1" customWidth="1"/>
    <col min="43" max="43" width="16.7109375" bestFit="1" customWidth="1"/>
    <col min="44" max="44" width="22" bestFit="1" customWidth="1"/>
    <col min="45" max="45" width="18" bestFit="1" customWidth="1"/>
    <col min="46" max="46" width="22" bestFit="1" customWidth="1"/>
    <col min="47" max="47" width="11.42578125" bestFit="1" customWidth="1"/>
    <col min="48" max="48" width="22" bestFit="1" customWidth="1"/>
    <col min="49" max="49" width="19.5703125" bestFit="1" customWidth="1"/>
    <col min="50" max="50" width="22" bestFit="1" customWidth="1"/>
    <col min="51" max="51" width="11.42578125" bestFit="1" customWidth="1"/>
    <col min="52" max="52" width="22" bestFit="1" customWidth="1"/>
    <col min="53" max="53" width="11.42578125" bestFit="1" customWidth="1"/>
    <col min="54" max="54" width="22" bestFit="1" customWidth="1"/>
    <col min="55" max="55" width="11.42578125" bestFit="1" customWidth="1"/>
    <col min="56" max="56" width="22" bestFit="1" customWidth="1"/>
    <col min="57" max="57" width="11.42578125" bestFit="1" customWidth="1"/>
    <col min="58" max="58" width="22" bestFit="1" customWidth="1"/>
    <col min="59" max="59" width="11.42578125" bestFit="1" customWidth="1"/>
    <col min="60" max="60" width="22" bestFit="1" customWidth="1"/>
    <col min="61" max="61" width="11.42578125" bestFit="1" customWidth="1"/>
    <col min="62" max="62" width="22" bestFit="1" customWidth="1"/>
    <col min="63" max="63" width="11.42578125" bestFit="1" customWidth="1"/>
    <col min="64" max="64" width="22" bestFit="1" customWidth="1"/>
    <col min="65" max="65" width="16.42578125" bestFit="1" customWidth="1"/>
    <col min="66" max="66" width="27" bestFit="1" customWidth="1"/>
    <col min="67" max="76" width="10.7109375" bestFit="1" customWidth="1"/>
    <col min="77" max="77" width="11.140625" bestFit="1" customWidth="1"/>
  </cols>
  <sheetData>
    <row r="1" spans="1:11" x14ac:dyDescent="0.25">
      <c r="A1" s="105" t="s">
        <v>17</v>
      </c>
      <c r="B1" s="105" t="s">
        <v>191</v>
      </c>
    </row>
    <row r="2" spans="1:11" x14ac:dyDescent="0.25">
      <c r="A2" s="105"/>
      <c r="B2" s="105"/>
    </row>
    <row r="3" spans="1:11" x14ac:dyDescent="0.25">
      <c r="A3" s="105" t="s">
        <v>189</v>
      </c>
      <c r="B3" s="105" t="s">
        <v>91</v>
      </c>
      <c r="D3" s="105" t="s">
        <v>103</v>
      </c>
      <c r="E3" s="105" t="s">
        <v>194</v>
      </c>
    </row>
    <row r="4" spans="1:11" x14ac:dyDescent="0.25">
      <c r="A4" s="98" t="s">
        <v>192</v>
      </c>
      <c r="B4" s="99">
        <v>0</v>
      </c>
      <c r="D4" s="105" t="s">
        <v>189</v>
      </c>
      <c r="E4" s="105" t="s">
        <v>192</v>
      </c>
    </row>
    <row r="5" spans="1:11" x14ac:dyDescent="0.25">
      <c r="D5" s="98" t="s">
        <v>192</v>
      </c>
      <c r="E5" s="99">
        <v>0</v>
      </c>
    </row>
    <row r="8" spans="1:11" x14ac:dyDescent="0.25">
      <c r="A8" s="105" t="s">
        <v>17</v>
      </c>
      <c r="B8" s="105" t="s">
        <v>191</v>
      </c>
    </row>
    <row r="9" spans="1:11" x14ac:dyDescent="0.25">
      <c r="A9" s="105"/>
      <c r="B9" s="105"/>
    </row>
    <row r="10" spans="1:11" x14ac:dyDescent="0.25">
      <c r="A10" s="105" t="s">
        <v>189</v>
      </c>
      <c r="B10" s="105" t="s">
        <v>91</v>
      </c>
    </row>
    <row r="11" spans="1:11" x14ac:dyDescent="0.25">
      <c r="A11" s="98" t="s">
        <v>192</v>
      </c>
      <c r="B11" s="204" t="e">
        <v>#DIV/0!</v>
      </c>
    </row>
    <row r="14" spans="1:11" x14ac:dyDescent="0.25">
      <c r="K14" s="139"/>
    </row>
    <row r="15" spans="1:11" x14ac:dyDescent="0.25">
      <c r="K15" s="139"/>
    </row>
    <row r="16" spans="1:11" x14ac:dyDescent="0.25">
      <c r="K16" s="139"/>
    </row>
    <row r="17" spans="1:11" x14ac:dyDescent="0.25">
      <c r="K17" s="139"/>
    </row>
    <row r="18" spans="1:11" x14ac:dyDescent="0.25">
      <c r="I18" t="s">
        <v>311</v>
      </c>
      <c r="K18" s="139"/>
    </row>
    <row r="19" spans="1:11" x14ac:dyDescent="0.25">
      <c r="I19" t="s">
        <v>312</v>
      </c>
      <c r="K19" s="139"/>
    </row>
    <row r="20" spans="1:11" x14ac:dyDescent="0.25">
      <c r="K20" s="139"/>
    </row>
    <row r="21" spans="1:11" x14ac:dyDescent="0.25">
      <c r="K21" s="139"/>
    </row>
    <row r="22" spans="1:11" x14ac:dyDescent="0.25">
      <c r="K22" s="139"/>
    </row>
    <row r="23" spans="1:11" x14ac:dyDescent="0.25">
      <c r="A23" s="139"/>
      <c r="B23" s="139"/>
      <c r="C23" s="139"/>
      <c r="D23" s="139"/>
      <c r="E23" s="139"/>
      <c r="F23" s="139"/>
      <c r="G23" s="139"/>
      <c r="H23" s="139"/>
      <c r="K23" s="139"/>
    </row>
    <row r="24" spans="1:11" ht="15.75" thickBot="1" x14ac:dyDescent="0.3">
      <c r="A24" s="139"/>
      <c r="B24" s="139"/>
      <c r="C24" s="139"/>
      <c r="D24" s="139"/>
      <c r="E24" s="139"/>
      <c r="F24" s="139"/>
      <c r="G24" s="139"/>
      <c r="H24" s="139"/>
      <c r="K24" s="139"/>
    </row>
    <row r="25" spans="1:11" x14ac:dyDescent="0.25">
      <c r="A25" s="210" t="s">
        <v>252</v>
      </c>
      <c r="B25" s="213">
        <f>2/25</f>
        <v>0.08</v>
      </c>
      <c r="C25" s="139"/>
      <c r="D25" s="139"/>
      <c r="E25" s="139"/>
      <c r="F25" s="139"/>
      <c r="G25" s="139"/>
      <c r="H25" s="139"/>
      <c r="K25" s="139"/>
    </row>
    <row r="26" spans="1:11" x14ac:dyDescent="0.25">
      <c r="A26" s="211" t="s">
        <v>251</v>
      </c>
      <c r="B26" s="214"/>
      <c r="C26" s="139"/>
      <c r="D26" s="139"/>
      <c r="E26" s="139"/>
      <c r="F26" s="139"/>
      <c r="G26" s="139"/>
      <c r="H26" s="139"/>
      <c r="K26" s="139"/>
    </row>
    <row r="27" spans="1:11" x14ac:dyDescent="0.25">
      <c r="A27" s="211" t="s">
        <v>209</v>
      </c>
      <c r="B27" s="214"/>
      <c r="C27" s="139"/>
      <c r="D27" s="139"/>
      <c r="E27" s="139"/>
      <c r="F27" s="139"/>
      <c r="G27" s="139"/>
      <c r="H27" s="139"/>
      <c r="K27" s="139"/>
    </row>
    <row r="28" spans="1:11" x14ac:dyDescent="0.25">
      <c r="A28" s="211" t="s">
        <v>210</v>
      </c>
      <c r="B28" s="214"/>
      <c r="C28" s="139"/>
      <c r="D28" s="139"/>
      <c r="E28" s="139"/>
      <c r="F28" s="139"/>
      <c r="G28" s="139"/>
      <c r="H28" s="139"/>
      <c r="K28" s="139"/>
    </row>
    <row r="29" spans="1:11" x14ac:dyDescent="0.25">
      <c r="A29" s="211" t="s">
        <v>211</v>
      </c>
      <c r="B29" s="214"/>
      <c r="C29" s="139"/>
      <c r="D29" s="139"/>
      <c r="E29" s="139"/>
      <c r="F29" s="139"/>
      <c r="G29" s="139"/>
      <c r="H29" s="139"/>
      <c r="K29" s="139"/>
    </row>
    <row r="30" spans="1:11" x14ac:dyDescent="0.25">
      <c r="A30" s="211" t="s">
        <v>253</v>
      </c>
      <c r="B30" s="214"/>
      <c r="C30" s="139"/>
      <c r="D30" s="139"/>
      <c r="E30" s="139"/>
      <c r="F30" s="139"/>
      <c r="G30" s="139"/>
      <c r="H30" s="139"/>
      <c r="K30" s="139"/>
    </row>
    <row r="31" spans="1:11" x14ac:dyDescent="0.25">
      <c r="A31" s="211" t="s">
        <v>254</v>
      </c>
      <c r="B31" s="214"/>
      <c r="C31" s="139"/>
      <c r="D31" s="139"/>
      <c r="E31" s="139"/>
      <c r="F31" s="139"/>
      <c r="G31" s="139"/>
      <c r="H31" s="139"/>
      <c r="K31" s="139"/>
    </row>
    <row r="32" spans="1:11" x14ac:dyDescent="0.25">
      <c r="A32" s="211" t="s">
        <v>255</v>
      </c>
      <c r="B32" s="214"/>
      <c r="C32" s="139"/>
      <c r="D32" s="139"/>
      <c r="E32" s="139"/>
      <c r="F32" s="139"/>
      <c r="G32" s="139"/>
      <c r="H32" s="139"/>
    </row>
    <row r="33" spans="1:8" x14ac:dyDescent="0.25">
      <c r="A33" s="211" t="s">
        <v>256</v>
      </c>
      <c r="B33" s="214"/>
      <c r="C33" s="139"/>
      <c r="D33" s="139"/>
      <c r="E33" s="139"/>
      <c r="F33" s="139"/>
      <c r="G33" s="139"/>
      <c r="H33" s="139"/>
    </row>
    <row r="34" spans="1:8" x14ac:dyDescent="0.25">
      <c r="A34" s="211" t="s">
        <v>257</v>
      </c>
      <c r="B34" s="214"/>
      <c r="C34" s="139"/>
      <c r="D34" s="139"/>
      <c r="E34" s="139"/>
      <c r="F34" s="139"/>
      <c r="G34" s="139"/>
      <c r="H34" s="139"/>
    </row>
    <row r="35" spans="1:8" x14ac:dyDescent="0.25">
      <c r="A35" s="211" t="s">
        <v>258</v>
      </c>
      <c r="B35" s="214"/>
      <c r="C35" s="139"/>
      <c r="D35" s="139"/>
      <c r="E35" s="139"/>
      <c r="F35" s="139"/>
      <c r="G35" s="139"/>
      <c r="H35" s="139"/>
    </row>
    <row r="36" spans="1:8" ht="15.75" thickBot="1" x14ac:dyDescent="0.3">
      <c r="A36" s="212" t="s">
        <v>259</v>
      </c>
      <c r="B36" s="215"/>
      <c r="C36" s="139"/>
      <c r="D36" s="139"/>
      <c r="E36" s="139"/>
      <c r="F36" s="139"/>
      <c r="G36" s="139"/>
      <c r="H36" s="139"/>
    </row>
    <row r="37" spans="1:8" x14ac:dyDescent="0.25">
      <c r="A37" s="139"/>
      <c r="B37" s="139"/>
      <c r="C37" s="139"/>
      <c r="D37" s="139"/>
      <c r="E37" s="139"/>
      <c r="F37" s="139"/>
      <c r="G37" s="139"/>
      <c r="H37" s="139"/>
    </row>
    <row r="38" spans="1:8" x14ac:dyDescent="0.25">
      <c r="A38" s="139"/>
      <c r="B38" s="139"/>
      <c r="C38" s="139"/>
      <c r="D38" s="139"/>
      <c r="E38" s="139"/>
      <c r="F38" s="139"/>
      <c r="G38" s="139"/>
      <c r="H38" s="139"/>
    </row>
    <row r="39" spans="1:8" x14ac:dyDescent="0.25">
      <c r="A39" s="139"/>
      <c r="B39" s="139"/>
      <c r="C39" s="139"/>
      <c r="D39" s="139"/>
      <c r="E39" s="139"/>
      <c r="F39" s="139"/>
      <c r="G39" s="139"/>
      <c r="H39" s="139"/>
    </row>
    <row r="40" spans="1:8" x14ac:dyDescent="0.25">
      <c r="A40" s="139"/>
      <c r="B40" s="139"/>
      <c r="C40" s="139"/>
      <c r="D40" s="139"/>
      <c r="E40" s="139"/>
      <c r="F40" s="139"/>
      <c r="G40" s="139"/>
      <c r="H40" s="139"/>
    </row>
    <row r="42" spans="1:8" x14ac:dyDescent="0.25">
      <c r="D42" t="s">
        <v>313</v>
      </c>
    </row>
  </sheetData>
  <pageMargins left="0.7" right="0.7" top="0.75" bottom="0.75" header="0.3" footer="0.3"/>
  <pageSetup paperSize="9" orientation="portrait" r:id="rId4"/>
  <drawing r:id="rId5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'Pivot-Rév&lt;24h'!B25:B36</xm:f>
              <xm:sqref>B42</xm:sqref>
            </x14:sparkline>
          </x14:sparklines>
        </x14:sparklineGroup>
      </x14:sparklineGroup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F17"/>
  <sheetViews>
    <sheetView workbookViewId="0">
      <selection activeCell="E11" sqref="E11"/>
    </sheetView>
  </sheetViews>
  <sheetFormatPr baseColWidth="10" defaultColWidth="11.42578125" defaultRowHeight="15" x14ac:dyDescent="0.25"/>
  <cols>
    <col min="1" max="1" width="21" customWidth="1"/>
    <col min="2" max="2" width="26.85546875" customWidth="1"/>
    <col min="3" max="3" width="3.5703125" customWidth="1"/>
    <col min="4" max="4" width="6.28515625" customWidth="1"/>
    <col min="5" max="5" width="26.85546875" customWidth="1"/>
    <col min="6" max="6" width="23.85546875" customWidth="1"/>
    <col min="7" max="7" width="3.5703125" customWidth="1"/>
    <col min="8" max="8" width="7.140625" customWidth="1"/>
    <col min="9" max="10" width="12.5703125" customWidth="1"/>
    <col min="11" max="11" width="2" customWidth="1"/>
    <col min="12" max="13" width="9.7109375" customWidth="1"/>
    <col min="14" max="14" width="7.140625" customWidth="1"/>
    <col min="15" max="15" width="12.5703125" bestFit="1" customWidth="1"/>
  </cols>
  <sheetData>
    <row r="1" spans="1:6" x14ac:dyDescent="0.25">
      <c r="A1" s="26" t="s">
        <v>110</v>
      </c>
    </row>
    <row r="4" spans="1:6" x14ac:dyDescent="0.25">
      <c r="A4" s="105" t="s">
        <v>17</v>
      </c>
      <c r="B4" s="105" t="s">
        <v>191</v>
      </c>
    </row>
    <row r="5" spans="1:6" x14ac:dyDescent="0.25">
      <c r="A5" s="105"/>
      <c r="B5" s="105"/>
      <c r="E5" s="105" t="s">
        <v>104</v>
      </c>
      <c r="F5" s="105" t="s">
        <v>194</v>
      </c>
    </row>
    <row r="6" spans="1:6" x14ac:dyDescent="0.25">
      <c r="A6" s="105" t="s">
        <v>189</v>
      </c>
      <c r="B6" s="105" t="s">
        <v>104</v>
      </c>
      <c r="E6" s="105"/>
      <c r="F6" s="105" t="s">
        <v>192</v>
      </c>
    </row>
    <row r="7" spans="1:6" x14ac:dyDescent="0.25">
      <c r="A7" s="98" t="s">
        <v>192</v>
      </c>
      <c r="B7" s="99">
        <v>0</v>
      </c>
      <c r="E7" s="105" t="s">
        <v>189</v>
      </c>
      <c r="F7" s="105"/>
    </row>
    <row r="8" spans="1:6" x14ac:dyDescent="0.25">
      <c r="E8" s="98" t="s">
        <v>192</v>
      </c>
      <c r="F8" s="99">
        <v>0</v>
      </c>
    </row>
    <row r="14" spans="1:6" x14ac:dyDescent="0.25">
      <c r="A14" s="105" t="s">
        <v>17</v>
      </c>
      <c r="B14" s="105" t="s">
        <v>191</v>
      </c>
    </row>
    <row r="15" spans="1:6" x14ac:dyDescent="0.25">
      <c r="A15" s="105"/>
      <c r="B15" s="105"/>
    </row>
    <row r="16" spans="1:6" x14ac:dyDescent="0.25">
      <c r="A16" s="105" t="s">
        <v>189</v>
      </c>
      <c r="B16" s="105" t="s">
        <v>104</v>
      </c>
    </row>
    <row r="17" spans="1:2" x14ac:dyDescent="0.25">
      <c r="A17" s="98" t="s">
        <v>192</v>
      </c>
      <c r="B17" s="100" t="e">
        <v>#DIV/0!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F8"/>
  <sheetViews>
    <sheetView workbookViewId="0">
      <selection activeCell="F11" sqref="F11"/>
    </sheetView>
  </sheetViews>
  <sheetFormatPr baseColWidth="10" defaultColWidth="11.42578125" defaultRowHeight="15" x14ac:dyDescent="0.25"/>
  <cols>
    <col min="1" max="1" width="21" customWidth="1"/>
    <col min="2" max="2" width="23.28515625" customWidth="1"/>
    <col min="3" max="3" width="3.5703125" customWidth="1"/>
    <col min="4" max="4" width="6.28515625" customWidth="1"/>
    <col min="5" max="5" width="26.85546875" customWidth="1"/>
    <col min="6" max="6" width="23.85546875" customWidth="1"/>
    <col min="7" max="8" width="3.5703125" customWidth="1"/>
    <col min="9" max="9" width="12.5703125" customWidth="1"/>
    <col min="10" max="10" width="10.7109375" customWidth="1"/>
    <col min="11" max="11" width="6.140625" customWidth="1"/>
    <col min="12" max="13" width="9.7109375" customWidth="1"/>
    <col min="14" max="14" width="12.5703125" bestFit="1" customWidth="1"/>
  </cols>
  <sheetData>
    <row r="1" spans="1:6" x14ac:dyDescent="0.25">
      <c r="A1" s="26" t="s">
        <v>111</v>
      </c>
    </row>
    <row r="4" spans="1:6" ht="13.5" customHeight="1" x14ac:dyDescent="0.25">
      <c r="A4" s="110" t="s">
        <v>17</v>
      </c>
      <c r="B4" s="110" t="s">
        <v>191</v>
      </c>
    </row>
    <row r="5" spans="1:6" x14ac:dyDescent="0.25">
      <c r="A5" s="110" t="s">
        <v>59</v>
      </c>
      <c r="B5" s="110" t="s">
        <v>190</v>
      </c>
    </row>
    <row r="6" spans="1:6" x14ac:dyDescent="0.25">
      <c r="A6" s="110"/>
      <c r="B6" s="110"/>
      <c r="E6" s="110" t="s">
        <v>104</v>
      </c>
      <c r="F6" s="110" t="s">
        <v>194</v>
      </c>
    </row>
    <row r="7" spans="1:6" x14ac:dyDescent="0.25">
      <c r="A7" s="110" t="s">
        <v>189</v>
      </c>
      <c r="B7" s="110" t="s">
        <v>92</v>
      </c>
      <c r="E7" s="110" t="s">
        <v>189</v>
      </c>
      <c r="F7" s="110" t="s">
        <v>192</v>
      </c>
    </row>
    <row r="8" spans="1:6" x14ac:dyDescent="0.25">
      <c r="A8" s="98" t="s">
        <v>192</v>
      </c>
      <c r="B8" s="100" t="e">
        <v>#DIV/0!</v>
      </c>
      <c r="E8" s="98" t="s">
        <v>192</v>
      </c>
      <c r="F8" s="204" t="e">
        <v>#DIV/0!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L39"/>
  <sheetViews>
    <sheetView topLeftCell="C13" workbookViewId="0">
      <selection activeCell="O32" sqref="O32"/>
    </sheetView>
  </sheetViews>
  <sheetFormatPr baseColWidth="10" defaultColWidth="11.42578125" defaultRowHeight="15" x14ac:dyDescent="0.25"/>
  <cols>
    <col min="1" max="1" width="12.5703125" customWidth="1"/>
    <col min="2" max="2" width="21.85546875" customWidth="1"/>
    <col min="3" max="3" width="12.5703125" customWidth="1"/>
    <col min="4" max="4" width="23" customWidth="1"/>
    <col min="5" max="5" width="23.85546875" customWidth="1"/>
    <col min="6" max="6" width="9" customWidth="1"/>
    <col min="7" max="8" width="12.5703125" customWidth="1"/>
    <col min="9" max="9" width="23" customWidth="1"/>
    <col min="10" max="10" width="23.85546875" customWidth="1"/>
    <col min="11" max="11" width="9" customWidth="1"/>
    <col min="12" max="13" width="12.5703125" customWidth="1"/>
    <col min="14" max="14" width="23" bestFit="1" customWidth="1"/>
    <col min="15" max="15" width="18.42578125" customWidth="1"/>
    <col min="16" max="16" width="23" customWidth="1"/>
    <col min="17" max="17" width="23.42578125" bestFit="1" customWidth="1"/>
    <col min="18" max="18" width="28" bestFit="1" customWidth="1"/>
  </cols>
  <sheetData>
    <row r="1" spans="1:11" x14ac:dyDescent="0.25">
      <c r="A1" s="364" t="s">
        <v>112</v>
      </c>
      <c r="B1" s="364"/>
      <c r="I1" s="111" t="s">
        <v>60</v>
      </c>
      <c r="J1" s="111" t="s">
        <v>193</v>
      </c>
    </row>
    <row r="2" spans="1:11" x14ac:dyDescent="0.25">
      <c r="A2" s="20" t="s">
        <v>17</v>
      </c>
      <c r="B2" s="64" t="s">
        <v>191</v>
      </c>
    </row>
    <row r="3" spans="1:11" x14ac:dyDescent="0.25">
      <c r="D3" s="110" t="s">
        <v>166</v>
      </c>
      <c r="E3" s="110" t="s">
        <v>205</v>
      </c>
      <c r="F3" s="110"/>
      <c r="G3" s="110"/>
      <c r="I3" s="110" t="s">
        <v>344</v>
      </c>
      <c r="J3" s="111" t="s">
        <v>194</v>
      </c>
    </row>
    <row r="4" spans="1:11" x14ac:dyDescent="0.25">
      <c r="D4" s="110"/>
      <c r="E4" s="110"/>
      <c r="F4" s="110"/>
      <c r="G4" s="110"/>
      <c r="I4" s="110" t="s">
        <v>189</v>
      </c>
      <c r="J4" s="110" t="s">
        <v>192</v>
      </c>
    </row>
    <row r="5" spans="1:11" x14ac:dyDescent="0.25">
      <c r="D5" s="110" t="s">
        <v>60</v>
      </c>
      <c r="E5" s="110" t="s">
        <v>193</v>
      </c>
      <c r="F5" s="110"/>
      <c r="G5" s="110"/>
      <c r="I5" s="114" t="s">
        <v>192</v>
      </c>
      <c r="J5" s="294" t="e">
        <v>#DIV/0!</v>
      </c>
    </row>
    <row r="6" spans="1:11" x14ac:dyDescent="0.25">
      <c r="D6" s="110"/>
      <c r="E6" s="110"/>
      <c r="F6" s="110"/>
      <c r="G6" s="110"/>
    </row>
    <row r="7" spans="1:11" x14ac:dyDescent="0.25">
      <c r="D7" s="110" t="s">
        <v>344</v>
      </c>
      <c r="E7" s="293" t="s">
        <v>194</v>
      </c>
    </row>
    <row r="8" spans="1:11" x14ac:dyDescent="0.25">
      <c r="D8" s="110" t="s">
        <v>189</v>
      </c>
      <c r="E8" s="110" t="s">
        <v>192</v>
      </c>
    </row>
    <row r="9" spans="1:11" x14ac:dyDescent="0.25">
      <c r="D9" s="112" t="s">
        <v>192</v>
      </c>
      <c r="E9" s="113"/>
    </row>
    <row r="15" spans="1:11" x14ac:dyDescent="0.25">
      <c r="H15" s="206"/>
    </row>
    <row r="16" spans="1:11" x14ac:dyDescent="0.25">
      <c r="H16" s="206"/>
      <c r="I16" s="206"/>
      <c r="J16" s="206"/>
      <c r="K16" s="206"/>
    </row>
    <row r="17" spans="3:12" s="64" customFormat="1" x14ac:dyDescent="0.25">
      <c r="C17" s="206"/>
      <c r="D17"/>
      <c r="E17"/>
      <c r="F17"/>
      <c r="G17"/>
      <c r="H17" s="206"/>
      <c r="I17" s="206"/>
      <c r="J17" s="206"/>
      <c r="K17" s="206"/>
      <c r="L17" s="206"/>
    </row>
    <row r="18" spans="3:12" x14ac:dyDescent="0.25">
      <c r="C18" s="206"/>
      <c r="K18" s="206"/>
      <c r="L18" s="206"/>
    </row>
    <row r="22" spans="3:12" ht="15.75" thickBot="1" x14ac:dyDescent="0.3"/>
    <row r="23" spans="3:12" x14ac:dyDescent="0.25">
      <c r="D23" s="232" t="s">
        <v>212</v>
      </c>
      <c r="E23" s="233">
        <f>11/26</f>
        <v>0.42307692307692307</v>
      </c>
      <c r="F23" s="206"/>
      <c r="G23" s="206"/>
      <c r="H23" s="206"/>
      <c r="I23" s="206"/>
      <c r="J23" s="206"/>
    </row>
    <row r="24" spans="3:12" x14ac:dyDescent="0.25">
      <c r="D24" s="219" t="s">
        <v>251</v>
      </c>
      <c r="E24" s="214"/>
      <c r="F24" s="139"/>
      <c r="G24" s="139"/>
      <c r="H24" s="139"/>
      <c r="I24" s="139"/>
      <c r="J24" s="139"/>
    </row>
    <row r="25" spans="3:12" x14ac:dyDescent="0.25">
      <c r="D25" s="219" t="s">
        <v>209</v>
      </c>
      <c r="E25" s="214"/>
      <c r="F25" s="139"/>
      <c r="G25" s="139"/>
      <c r="H25" s="139"/>
      <c r="I25" s="139"/>
      <c r="J25" s="139"/>
    </row>
    <row r="26" spans="3:12" x14ac:dyDescent="0.25">
      <c r="D26" s="219" t="s">
        <v>210</v>
      </c>
      <c r="E26" s="214"/>
      <c r="F26" s="139"/>
      <c r="G26" s="139"/>
      <c r="H26" s="139"/>
      <c r="I26" s="139"/>
      <c r="J26" s="139"/>
    </row>
    <row r="27" spans="3:12" x14ac:dyDescent="0.25">
      <c r="D27" s="219" t="s">
        <v>211</v>
      </c>
      <c r="E27" s="214"/>
      <c r="F27" s="139"/>
      <c r="G27" s="139"/>
      <c r="H27" s="139"/>
      <c r="I27" s="139"/>
      <c r="J27" s="139"/>
    </row>
    <row r="28" spans="3:12" x14ac:dyDescent="0.25">
      <c r="D28" s="219" t="s">
        <v>253</v>
      </c>
      <c r="E28" s="214"/>
      <c r="F28" s="139"/>
      <c r="G28" s="139"/>
      <c r="H28" s="139"/>
      <c r="I28" s="139"/>
      <c r="J28" s="139"/>
    </row>
    <row r="29" spans="3:12" x14ac:dyDescent="0.25">
      <c r="D29" s="219" t="s">
        <v>254</v>
      </c>
      <c r="E29" s="214"/>
      <c r="F29" s="139"/>
      <c r="G29" s="139"/>
      <c r="H29" s="139"/>
      <c r="I29" s="139"/>
      <c r="J29" s="139"/>
    </row>
    <row r="30" spans="3:12" x14ac:dyDescent="0.25">
      <c r="D30" s="219" t="s">
        <v>255</v>
      </c>
      <c r="E30" s="214"/>
      <c r="F30" s="139"/>
      <c r="G30" s="139"/>
      <c r="H30" s="139"/>
      <c r="I30" s="139"/>
      <c r="J30" s="139"/>
    </row>
    <row r="31" spans="3:12" x14ac:dyDescent="0.25">
      <c r="D31" s="219" t="s">
        <v>256</v>
      </c>
      <c r="E31" s="214"/>
      <c r="F31" s="139"/>
      <c r="G31" s="139"/>
      <c r="H31" s="139"/>
      <c r="I31" s="139"/>
      <c r="J31" s="139"/>
    </row>
    <row r="32" spans="3:12" x14ac:dyDescent="0.25">
      <c r="D32" s="219" t="s">
        <v>257</v>
      </c>
      <c r="E32" s="214"/>
      <c r="F32" s="139"/>
      <c r="G32" s="139"/>
      <c r="H32" s="139"/>
      <c r="I32" s="139"/>
      <c r="J32" s="139"/>
    </row>
    <row r="33" spans="4:10" x14ac:dyDescent="0.25">
      <c r="D33" s="219" t="s">
        <v>258</v>
      </c>
      <c r="E33" s="214"/>
      <c r="F33" s="139"/>
      <c r="G33" s="139"/>
      <c r="H33" s="139"/>
      <c r="I33" s="139"/>
      <c r="J33" s="139"/>
    </row>
    <row r="34" spans="4:10" ht="15.75" thickBot="1" x14ac:dyDescent="0.3">
      <c r="D34" s="220" t="s">
        <v>259</v>
      </c>
      <c r="E34" s="215"/>
      <c r="F34" s="139"/>
      <c r="G34" s="139"/>
      <c r="H34" s="139"/>
      <c r="I34" s="139"/>
      <c r="J34" s="139"/>
    </row>
    <row r="35" spans="4:10" x14ac:dyDescent="0.25">
      <c r="D35" s="139"/>
      <c r="E35" s="139"/>
      <c r="F35" s="139"/>
      <c r="G35" s="139"/>
      <c r="H35" s="139"/>
      <c r="I35" s="139"/>
      <c r="J35" s="139"/>
    </row>
    <row r="36" spans="4:10" x14ac:dyDescent="0.25">
      <c r="D36" s="139"/>
      <c r="E36" s="139"/>
      <c r="F36" s="139"/>
      <c r="G36" s="139"/>
      <c r="H36" s="139"/>
      <c r="I36" s="139"/>
      <c r="J36" s="139"/>
    </row>
    <row r="37" spans="4:10" x14ac:dyDescent="0.25">
      <c r="D37" s="139"/>
      <c r="E37" s="139"/>
      <c r="F37" s="139"/>
      <c r="G37" s="139"/>
      <c r="H37" s="139"/>
      <c r="I37" s="139"/>
      <c r="J37" s="139"/>
    </row>
    <row r="38" spans="4:10" x14ac:dyDescent="0.25">
      <c r="D38" s="139"/>
      <c r="E38" s="139"/>
      <c r="F38" s="139"/>
      <c r="G38" s="139"/>
      <c r="H38" s="139"/>
      <c r="I38" s="139"/>
      <c r="J38" s="139"/>
    </row>
    <row r="39" spans="4:10" x14ac:dyDescent="0.25">
      <c r="D39" s="139"/>
      <c r="E39" s="139"/>
      <c r="F39" s="139"/>
      <c r="G39" s="139"/>
      <c r="H39" s="139"/>
      <c r="I39" s="139"/>
      <c r="J39" s="139"/>
    </row>
  </sheetData>
  <mergeCells count="1">
    <mergeCell ref="A1:B1"/>
  </mergeCells>
  <pageMargins left="0.7" right="0.7" top="0.75" bottom="0.75" header="0.3" footer="0.3"/>
  <drawing r:id="rId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B23"/>
  <sheetViews>
    <sheetView workbookViewId="0">
      <selection activeCell="D31" sqref="D31"/>
    </sheetView>
  </sheetViews>
  <sheetFormatPr baseColWidth="10" defaultColWidth="11.42578125" defaultRowHeight="15" x14ac:dyDescent="0.25"/>
  <cols>
    <col min="1" max="1" width="21" customWidth="1"/>
    <col min="2" max="2" width="23" customWidth="1"/>
    <col min="3" max="3" width="21.28515625" customWidth="1"/>
    <col min="4" max="4" width="12.5703125" customWidth="1"/>
    <col min="5" max="5" width="23" customWidth="1"/>
    <col min="6" max="6" width="23.85546875" customWidth="1"/>
    <col min="7" max="7" width="7.28515625" customWidth="1"/>
    <col min="8" max="8" width="12.5703125" customWidth="1"/>
    <col min="9" max="9" width="15.42578125" customWidth="1"/>
    <col min="10" max="10" width="10.140625" customWidth="1"/>
    <col min="11" max="11" width="6.140625" customWidth="1"/>
    <col min="12" max="12" width="12.5703125" customWidth="1"/>
    <col min="13" max="13" width="23" bestFit="1" customWidth="1"/>
    <col min="14" max="14" width="18.42578125" bestFit="1" customWidth="1"/>
    <col min="15" max="15" width="23" bestFit="1" customWidth="1"/>
    <col min="16" max="16" width="18.42578125" customWidth="1"/>
    <col min="17" max="17" width="23" customWidth="1"/>
    <col min="18" max="18" width="23.42578125" bestFit="1" customWidth="1"/>
    <col min="19" max="19" width="28" bestFit="1" customWidth="1"/>
  </cols>
  <sheetData>
    <row r="1" spans="1:2" x14ac:dyDescent="0.25">
      <c r="A1" s="364" t="s">
        <v>113</v>
      </c>
      <c r="B1" s="364"/>
    </row>
    <row r="3" spans="1:2" x14ac:dyDescent="0.25">
      <c r="A3" s="110" t="s">
        <v>17</v>
      </c>
      <c r="B3" s="110" t="s">
        <v>191</v>
      </c>
    </row>
    <row r="4" spans="1:2" x14ac:dyDescent="0.25">
      <c r="A4" s="20" t="s">
        <v>60</v>
      </c>
      <c r="B4" s="64" t="s">
        <v>193</v>
      </c>
    </row>
    <row r="5" spans="1:2" x14ac:dyDescent="0.25">
      <c r="A5" s="110"/>
      <c r="B5" s="110"/>
    </row>
    <row r="6" spans="1:2" x14ac:dyDescent="0.25">
      <c r="A6" s="20" t="s">
        <v>189</v>
      </c>
      <c r="B6" s="110" t="s">
        <v>344</v>
      </c>
    </row>
    <row r="7" spans="1:2" x14ac:dyDescent="0.25">
      <c r="A7" s="112" t="s">
        <v>192</v>
      </c>
      <c r="B7" s="306" t="e">
        <v>#DIV/0!</v>
      </c>
    </row>
    <row r="19" spans="1:2" x14ac:dyDescent="0.25">
      <c r="A19" s="20" t="s">
        <v>333</v>
      </c>
      <c r="B19" s="64" t="s">
        <v>193</v>
      </c>
    </row>
    <row r="20" spans="1:2" x14ac:dyDescent="0.25">
      <c r="A20" s="20" t="s">
        <v>60</v>
      </c>
      <c r="B20" s="64" t="s">
        <v>191</v>
      </c>
    </row>
    <row r="21" spans="1:2" x14ac:dyDescent="0.25">
      <c r="A21" s="110"/>
      <c r="B21" s="110"/>
    </row>
    <row r="22" spans="1:2" x14ac:dyDescent="0.25">
      <c r="A22" s="110" t="s">
        <v>189</v>
      </c>
    </row>
    <row r="23" spans="1:2" x14ac:dyDescent="0.25">
      <c r="A23" s="112" t="s">
        <v>192</v>
      </c>
    </row>
  </sheetData>
  <mergeCells count="1">
    <mergeCell ref="A1:B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3:G29"/>
  <sheetViews>
    <sheetView workbookViewId="0">
      <selection activeCell="A3" sqref="A3:C15"/>
    </sheetView>
  </sheetViews>
  <sheetFormatPr baseColWidth="10" defaultRowHeight="15" x14ac:dyDescent="0.25"/>
  <cols>
    <col min="1" max="1" width="21" customWidth="1"/>
    <col min="2" max="2" width="23.85546875" customWidth="1"/>
    <col min="3" max="3" width="12.5703125" customWidth="1"/>
    <col min="4" max="4" width="12.5703125" bestFit="1" customWidth="1"/>
    <col min="6" max="6" width="21" customWidth="1"/>
    <col min="7" max="7" width="21.85546875" customWidth="1"/>
  </cols>
  <sheetData>
    <row r="3" spans="1:7" x14ac:dyDescent="0.25">
      <c r="A3" s="20" t="s">
        <v>279</v>
      </c>
      <c r="B3" s="20" t="s">
        <v>194</v>
      </c>
    </row>
    <row r="4" spans="1:7" x14ac:dyDescent="0.25">
      <c r="A4" s="20" t="s">
        <v>189</v>
      </c>
      <c r="B4" s="64" t="s">
        <v>284</v>
      </c>
      <c r="C4" s="64" t="s">
        <v>192</v>
      </c>
      <c r="F4" s="20" t="s">
        <v>60</v>
      </c>
      <c r="G4" s="64" t="s">
        <v>193</v>
      </c>
    </row>
    <row r="5" spans="1:7" x14ac:dyDescent="0.25">
      <c r="A5" s="9" t="s">
        <v>212</v>
      </c>
      <c r="B5" s="21">
        <v>27</v>
      </c>
      <c r="C5" s="21">
        <v>27</v>
      </c>
      <c r="F5" s="20" t="s">
        <v>8</v>
      </c>
      <c r="G5" s="64" t="s">
        <v>191</v>
      </c>
    </row>
    <row r="6" spans="1:7" x14ac:dyDescent="0.25">
      <c r="A6" s="9" t="s">
        <v>213</v>
      </c>
      <c r="B6" s="21">
        <v>29</v>
      </c>
      <c r="C6" s="21">
        <v>29</v>
      </c>
      <c r="F6" s="64"/>
      <c r="G6" s="64"/>
    </row>
    <row r="7" spans="1:7" x14ac:dyDescent="0.25">
      <c r="A7" s="9" t="s">
        <v>209</v>
      </c>
      <c r="B7" s="21">
        <v>30</v>
      </c>
      <c r="C7" s="21">
        <v>30</v>
      </c>
      <c r="F7" s="20" t="s">
        <v>189</v>
      </c>
      <c r="G7" t="s">
        <v>279</v>
      </c>
    </row>
    <row r="8" spans="1:7" x14ac:dyDescent="0.25">
      <c r="A8" s="9" t="s">
        <v>210</v>
      </c>
      <c r="B8" s="21">
        <v>29</v>
      </c>
      <c r="C8" s="21">
        <v>29</v>
      </c>
      <c r="F8" s="9" t="s">
        <v>284</v>
      </c>
      <c r="G8" s="151">
        <v>1</v>
      </c>
    </row>
    <row r="9" spans="1:7" x14ac:dyDescent="0.25">
      <c r="A9" s="9" t="s">
        <v>211</v>
      </c>
      <c r="B9" s="21">
        <v>32</v>
      </c>
      <c r="C9" s="21">
        <v>32</v>
      </c>
      <c r="F9" s="9" t="s">
        <v>192</v>
      </c>
      <c r="G9" s="151">
        <v>1</v>
      </c>
    </row>
    <row r="10" spans="1:7" x14ac:dyDescent="0.25">
      <c r="A10" s="9" t="s">
        <v>253</v>
      </c>
      <c r="B10" s="21">
        <v>21</v>
      </c>
      <c r="C10" s="21">
        <v>21</v>
      </c>
    </row>
    <row r="11" spans="1:7" x14ac:dyDescent="0.25">
      <c r="A11" s="9" t="s">
        <v>254</v>
      </c>
      <c r="B11" s="21">
        <v>13</v>
      </c>
      <c r="C11" s="21">
        <v>13</v>
      </c>
    </row>
    <row r="12" spans="1:7" x14ac:dyDescent="0.25">
      <c r="A12" s="9" t="s">
        <v>282</v>
      </c>
      <c r="B12" s="21">
        <v>20</v>
      </c>
      <c r="C12" s="21">
        <v>20</v>
      </c>
    </row>
    <row r="13" spans="1:7" s="64" customFormat="1" x14ac:dyDescent="0.25">
      <c r="A13" s="9" t="s">
        <v>256</v>
      </c>
      <c r="B13" s="21">
        <v>25</v>
      </c>
      <c r="C13" s="21">
        <v>25</v>
      </c>
      <c r="D13"/>
    </row>
    <row r="14" spans="1:7" x14ac:dyDescent="0.25">
      <c r="A14" s="9" t="s">
        <v>257</v>
      </c>
      <c r="B14" s="21">
        <v>32</v>
      </c>
      <c r="C14" s="21">
        <v>32</v>
      </c>
    </row>
    <row r="15" spans="1:7" x14ac:dyDescent="0.25">
      <c r="A15" s="9" t="s">
        <v>192</v>
      </c>
      <c r="B15" s="21">
        <v>258</v>
      </c>
      <c r="C15" s="21">
        <v>258</v>
      </c>
    </row>
    <row r="17" spans="1:2" ht="15.75" thickBot="1" x14ac:dyDescent="0.3"/>
    <row r="18" spans="1:2" x14ac:dyDescent="0.25">
      <c r="A18" s="221" t="s">
        <v>212</v>
      </c>
      <c r="B18" s="216">
        <f>0/27</f>
        <v>0</v>
      </c>
    </row>
    <row r="19" spans="1:2" x14ac:dyDescent="0.25">
      <c r="A19" s="222" t="s">
        <v>251</v>
      </c>
      <c r="B19" s="217">
        <f>0/29</f>
        <v>0</v>
      </c>
    </row>
    <row r="20" spans="1:2" x14ac:dyDescent="0.25">
      <c r="A20" s="222" t="s">
        <v>209</v>
      </c>
      <c r="B20" s="217">
        <f>1/30</f>
        <v>3.3333333333333333E-2</v>
      </c>
    </row>
    <row r="21" spans="1:2" x14ac:dyDescent="0.25">
      <c r="A21" s="222" t="s">
        <v>210</v>
      </c>
      <c r="B21" s="217">
        <f>0/29</f>
        <v>0</v>
      </c>
    </row>
    <row r="22" spans="1:2" x14ac:dyDescent="0.25">
      <c r="A22" s="222" t="s">
        <v>211</v>
      </c>
      <c r="B22" s="217">
        <f>3/32</f>
        <v>9.375E-2</v>
      </c>
    </row>
    <row r="23" spans="1:2" x14ac:dyDescent="0.25">
      <c r="A23" s="222" t="s">
        <v>253</v>
      </c>
      <c r="B23" s="217">
        <f>1/21</f>
        <v>4.7619047619047616E-2</v>
      </c>
    </row>
    <row r="24" spans="1:2" x14ac:dyDescent="0.25">
      <c r="A24" s="222" t="s">
        <v>254</v>
      </c>
      <c r="B24" s="217">
        <f>0/13</f>
        <v>0</v>
      </c>
    </row>
    <row r="25" spans="1:2" x14ac:dyDescent="0.25">
      <c r="A25" s="222" t="s">
        <v>255</v>
      </c>
      <c r="B25" s="217">
        <f>0/20</f>
        <v>0</v>
      </c>
    </row>
    <row r="26" spans="1:2" x14ac:dyDescent="0.25">
      <c r="A26" s="222" t="s">
        <v>256</v>
      </c>
      <c r="B26" s="217">
        <f>0/25</f>
        <v>0</v>
      </c>
    </row>
    <row r="27" spans="1:2" x14ac:dyDescent="0.25">
      <c r="A27" s="222" t="s">
        <v>257</v>
      </c>
      <c r="B27" s="217"/>
    </row>
    <row r="28" spans="1:2" x14ac:dyDescent="0.25">
      <c r="A28" s="222" t="s">
        <v>258</v>
      </c>
      <c r="B28" s="217"/>
    </row>
    <row r="29" spans="1:2" ht="15.75" thickBot="1" x14ac:dyDescent="0.3">
      <c r="A29" s="223" t="s">
        <v>259</v>
      </c>
      <c r="B29" s="218"/>
    </row>
  </sheetData>
  <pageMargins left="0.7" right="0.7" top="0.75" bottom="0.75" header="0.3" footer="0.3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"/>
  <sheetViews>
    <sheetView workbookViewId="0">
      <selection activeCell="Q12" sqref="Q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3:G33"/>
  <sheetViews>
    <sheetView workbookViewId="0">
      <selection activeCell="M21" sqref="M21"/>
    </sheetView>
  </sheetViews>
  <sheetFormatPr baseColWidth="10" defaultRowHeight="15" x14ac:dyDescent="0.25"/>
  <cols>
    <col min="1" max="1" width="21" customWidth="1"/>
    <col min="2" max="2" width="23.85546875" customWidth="1"/>
    <col min="3" max="3" width="12.5703125" customWidth="1"/>
    <col min="4" max="4" width="12.5703125" bestFit="1" customWidth="1"/>
    <col min="6" max="6" width="21" customWidth="1"/>
    <col min="7" max="7" width="21.85546875" customWidth="1"/>
  </cols>
  <sheetData>
    <row r="3" spans="1:7" x14ac:dyDescent="0.25">
      <c r="A3" s="20" t="s">
        <v>281</v>
      </c>
      <c r="B3" s="20" t="s">
        <v>194</v>
      </c>
    </row>
    <row r="4" spans="1:7" x14ac:dyDescent="0.25">
      <c r="A4" s="20" t="s">
        <v>189</v>
      </c>
      <c r="B4" s="64" t="s">
        <v>284</v>
      </c>
      <c r="C4" s="64" t="s">
        <v>192</v>
      </c>
    </row>
    <row r="5" spans="1:7" x14ac:dyDescent="0.25">
      <c r="A5" s="9" t="s">
        <v>212</v>
      </c>
      <c r="B5" s="21">
        <v>27</v>
      </c>
      <c r="C5" s="21">
        <v>27</v>
      </c>
      <c r="F5" s="20" t="s">
        <v>8</v>
      </c>
      <c r="G5" s="64" t="s">
        <v>191</v>
      </c>
    </row>
    <row r="6" spans="1:7" x14ac:dyDescent="0.25">
      <c r="A6" s="9" t="s">
        <v>213</v>
      </c>
      <c r="B6" s="21">
        <v>29</v>
      </c>
      <c r="C6" s="21">
        <v>29</v>
      </c>
      <c r="F6" s="20" t="s">
        <v>60</v>
      </c>
      <c r="G6" s="64" t="s">
        <v>193</v>
      </c>
    </row>
    <row r="7" spans="1:7" x14ac:dyDescent="0.25">
      <c r="A7" s="9" t="s">
        <v>209</v>
      </c>
      <c r="B7" s="21">
        <v>30</v>
      </c>
      <c r="C7" s="21">
        <v>30</v>
      </c>
    </row>
    <row r="8" spans="1:7" x14ac:dyDescent="0.25">
      <c r="A8" s="9" t="s">
        <v>210</v>
      </c>
      <c r="B8" s="21">
        <v>29</v>
      </c>
      <c r="C8" s="21">
        <v>29</v>
      </c>
      <c r="F8" s="20" t="s">
        <v>189</v>
      </c>
      <c r="G8" t="s">
        <v>281</v>
      </c>
    </row>
    <row r="9" spans="1:7" x14ac:dyDescent="0.25">
      <c r="A9" s="9" t="s">
        <v>211</v>
      </c>
      <c r="B9" s="21">
        <v>32</v>
      </c>
      <c r="C9" s="21">
        <v>32</v>
      </c>
      <c r="F9" s="9" t="s">
        <v>284</v>
      </c>
      <c r="G9" s="191">
        <v>1</v>
      </c>
    </row>
    <row r="10" spans="1:7" x14ac:dyDescent="0.25">
      <c r="A10" s="9" t="s">
        <v>253</v>
      </c>
      <c r="B10" s="21">
        <v>21</v>
      </c>
      <c r="C10" s="21">
        <v>21</v>
      </c>
      <c r="F10" s="9" t="s">
        <v>192</v>
      </c>
      <c r="G10" s="191">
        <v>1</v>
      </c>
    </row>
    <row r="11" spans="1:7" x14ac:dyDescent="0.25">
      <c r="A11" s="9" t="s">
        <v>254</v>
      </c>
      <c r="B11" s="21">
        <v>13</v>
      </c>
      <c r="C11" s="21">
        <v>13</v>
      </c>
    </row>
    <row r="12" spans="1:7" x14ac:dyDescent="0.25">
      <c r="A12" s="9" t="s">
        <v>282</v>
      </c>
      <c r="B12" s="21">
        <v>20</v>
      </c>
      <c r="C12" s="21">
        <v>20</v>
      </c>
    </row>
    <row r="13" spans="1:7" s="64" customFormat="1" x14ac:dyDescent="0.25">
      <c r="A13" s="9" t="s">
        <v>256</v>
      </c>
      <c r="B13" s="21">
        <v>25</v>
      </c>
      <c r="C13" s="21">
        <v>25</v>
      </c>
    </row>
    <row r="14" spans="1:7" s="64" customFormat="1" x14ac:dyDescent="0.25">
      <c r="A14" s="9" t="s">
        <v>257</v>
      </c>
      <c r="B14" s="21">
        <v>32</v>
      </c>
      <c r="C14" s="21">
        <v>32</v>
      </c>
    </row>
    <row r="15" spans="1:7" s="64" customFormat="1" x14ac:dyDescent="0.25">
      <c r="A15" s="9" t="s">
        <v>192</v>
      </c>
      <c r="B15" s="21">
        <v>258</v>
      </c>
      <c r="C15" s="21">
        <v>258</v>
      </c>
    </row>
    <row r="16" spans="1:7" s="64" customFormat="1" x14ac:dyDescent="0.25">
      <c r="A16" s="9"/>
      <c r="B16" s="21"/>
      <c r="C16" s="21"/>
    </row>
    <row r="17" spans="1:7" s="64" customFormat="1" ht="15.75" thickBot="1" x14ac:dyDescent="0.3">
      <c r="A17" s="205"/>
      <c r="B17" s="224"/>
      <c r="C17" s="224"/>
      <c r="D17" s="139"/>
      <c r="E17" s="139"/>
      <c r="F17" s="139"/>
      <c r="G17" s="139"/>
    </row>
    <row r="18" spans="1:7" x14ac:dyDescent="0.25">
      <c r="A18" s="225" t="s">
        <v>212</v>
      </c>
      <c r="B18" s="213">
        <f>0/27</f>
        <v>0</v>
      </c>
      <c r="C18" s="139"/>
      <c r="D18" s="139"/>
      <c r="E18" s="139"/>
      <c r="F18" s="139"/>
      <c r="G18" s="139"/>
    </row>
    <row r="19" spans="1:7" x14ac:dyDescent="0.25">
      <c r="A19" s="226" t="s">
        <v>251</v>
      </c>
      <c r="B19" s="214">
        <f>0/27</f>
        <v>0</v>
      </c>
      <c r="C19" s="139"/>
      <c r="D19" s="139"/>
      <c r="E19" s="139"/>
      <c r="F19" s="139"/>
      <c r="G19" s="139"/>
    </row>
    <row r="20" spans="1:7" x14ac:dyDescent="0.25">
      <c r="A20" s="226" t="s">
        <v>209</v>
      </c>
      <c r="B20" s="214">
        <f>0/30</f>
        <v>0</v>
      </c>
      <c r="C20" s="139"/>
      <c r="D20" s="139"/>
      <c r="E20" s="139"/>
      <c r="F20" s="139"/>
      <c r="G20" s="139"/>
    </row>
    <row r="21" spans="1:7" x14ac:dyDescent="0.25">
      <c r="A21" s="226" t="s">
        <v>210</v>
      </c>
      <c r="B21" s="214">
        <f>0/29</f>
        <v>0</v>
      </c>
      <c r="C21" s="139"/>
      <c r="D21" s="139"/>
      <c r="E21" s="139"/>
      <c r="F21" s="139"/>
      <c r="G21" s="139"/>
    </row>
    <row r="22" spans="1:7" x14ac:dyDescent="0.25">
      <c r="A22" s="226" t="s">
        <v>211</v>
      </c>
      <c r="B22" s="214">
        <f>0/32</f>
        <v>0</v>
      </c>
      <c r="C22" s="139"/>
      <c r="D22" s="139"/>
      <c r="E22" s="139"/>
      <c r="F22" s="139"/>
      <c r="G22" s="139"/>
    </row>
    <row r="23" spans="1:7" x14ac:dyDescent="0.25">
      <c r="A23" s="226" t="s">
        <v>253</v>
      </c>
      <c r="B23" s="214"/>
      <c r="C23" s="139"/>
      <c r="D23" s="139"/>
      <c r="E23" s="139"/>
      <c r="F23" s="139"/>
      <c r="G23" s="139"/>
    </row>
    <row r="24" spans="1:7" x14ac:dyDescent="0.25">
      <c r="A24" s="226" t="s">
        <v>254</v>
      </c>
      <c r="B24" s="214"/>
      <c r="C24" s="139"/>
      <c r="D24" s="139"/>
      <c r="E24" s="139"/>
      <c r="F24" s="139"/>
      <c r="G24" s="139"/>
    </row>
    <row r="25" spans="1:7" x14ac:dyDescent="0.25">
      <c r="A25" s="226" t="s">
        <v>255</v>
      </c>
      <c r="B25" s="214"/>
      <c r="C25" s="139"/>
      <c r="D25" s="139"/>
      <c r="E25" s="139"/>
      <c r="F25" s="139"/>
      <c r="G25" s="139"/>
    </row>
    <row r="26" spans="1:7" x14ac:dyDescent="0.25">
      <c r="A26" s="226" t="s">
        <v>256</v>
      </c>
      <c r="B26" s="214"/>
      <c r="C26" s="139"/>
      <c r="D26" s="139"/>
      <c r="E26" s="139"/>
      <c r="F26" s="139"/>
      <c r="G26" s="139"/>
    </row>
    <row r="27" spans="1:7" x14ac:dyDescent="0.25">
      <c r="A27" s="226" t="s">
        <v>257</v>
      </c>
      <c r="B27" s="214"/>
      <c r="C27" s="139"/>
      <c r="D27" s="139"/>
      <c r="E27" s="139"/>
      <c r="F27" s="139"/>
      <c r="G27" s="139"/>
    </row>
    <row r="28" spans="1:7" x14ac:dyDescent="0.25">
      <c r="A28" s="226" t="s">
        <v>258</v>
      </c>
      <c r="B28" s="214"/>
      <c r="C28" s="139"/>
      <c r="D28" s="139"/>
      <c r="E28" s="139"/>
      <c r="F28" s="139"/>
      <c r="G28" s="139"/>
    </row>
    <row r="29" spans="1:7" ht="15.75" thickBot="1" x14ac:dyDescent="0.3">
      <c r="A29" s="227" t="s">
        <v>259</v>
      </c>
      <c r="B29" s="215"/>
      <c r="C29" s="139"/>
      <c r="D29" s="139"/>
      <c r="E29" s="139"/>
      <c r="F29" s="139"/>
      <c r="G29" s="139"/>
    </row>
    <row r="30" spans="1:7" x14ac:dyDescent="0.25">
      <c r="A30" s="139"/>
      <c r="B30" s="139"/>
      <c r="C30" s="139"/>
      <c r="D30" s="139"/>
      <c r="E30" s="139"/>
      <c r="F30" s="139"/>
      <c r="G30" s="139"/>
    </row>
    <row r="31" spans="1:7" x14ac:dyDescent="0.25">
      <c r="A31" s="139"/>
      <c r="B31" s="139"/>
      <c r="C31" s="139"/>
      <c r="D31" s="139"/>
      <c r="E31" s="139"/>
      <c r="F31" s="139"/>
      <c r="G31" s="139"/>
    </row>
    <row r="32" spans="1:7" x14ac:dyDescent="0.25">
      <c r="A32" s="139"/>
      <c r="B32" s="139"/>
      <c r="C32" s="139"/>
      <c r="D32" s="139"/>
      <c r="E32" s="139"/>
      <c r="F32" s="139"/>
      <c r="G32" s="139"/>
    </row>
    <row r="33" spans="1:7" x14ac:dyDescent="0.25">
      <c r="A33" s="139"/>
      <c r="B33" s="139"/>
      <c r="C33" s="139"/>
      <c r="D33" s="139"/>
      <c r="E33" s="139"/>
      <c r="F33" s="139"/>
      <c r="G33" s="139"/>
    </row>
  </sheetData>
  <pageMargins left="0.7" right="0.7" top="0.75" bottom="0.75" header="0.3" footer="0.3"/>
  <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2:J55"/>
  <sheetViews>
    <sheetView topLeftCell="A28" workbookViewId="0">
      <selection activeCell="A33" sqref="A33:C38"/>
    </sheetView>
  </sheetViews>
  <sheetFormatPr baseColWidth="10" defaultColWidth="11.42578125" defaultRowHeight="15" x14ac:dyDescent="0.25"/>
  <cols>
    <col min="1" max="1" width="21" customWidth="1"/>
    <col min="2" max="2" width="27.85546875" customWidth="1"/>
    <col min="3" max="3" width="25.85546875" customWidth="1"/>
    <col min="4" max="5" width="6.42578125" style="19" customWidth="1"/>
    <col min="6" max="6" width="6.42578125" customWidth="1"/>
    <col min="7" max="7" width="27.85546875" customWidth="1"/>
    <col min="8" max="8" width="23.85546875" customWidth="1"/>
    <col min="9" max="9" width="9.5703125" customWidth="1"/>
    <col min="10" max="11" width="12.5703125" customWidth="1"/>
    <col min="12" max="12" width="8" customWidth="1"/>
    <col min="13" max="13" width="12.5703125" bestFit="1" customWidth="1"/>
  </cols>
  <sheetData>
    <row r="2" spans="1:10" x14ac:dyDescent="0.25">
      <c r="A2" s="20" t="s">
        <v>17</v>
      </c>
      <c r="B2" s="64" t="s">
        <v>191</v>
      </c>
      <c r="G2" s="20" t="s">
        <v>17</v>
      </c>
      <c r="H2" s="64" t="s">
        <v>191</v>
      </c>
    </row>
    <row r="3" spans="1:10" x14ac:dyDescent="0.25">
      <c r="A3" s="20" t="s">
        <v>60</v>
      </c>
      <c r="B3" s="64" t="s">
        <v>193</v>
      </c>
      <c r="G3" s="20" t="s">
        <v>60</v>
      </c>
      <c r="H3" s="64" t="s">
        <v>193</v>
      </c>
    </row>
    <row r="5" spans="1:10" x14ac:dyDescent="0.25">
      <c r="B5" s="20" t="s">
        <v>87</v>
      </c>
      <c r="G5" s="20" t="s">
        <v>189</v>
      </c>
      <c r="H5" t="s">
        <v>345</v>
      </c>
    </row>
    <row r="6" spans="1:10" x14ac:dyDescent="0.25">
      <c r="A6" s="20" t="s">
        <v>189</v>
      </c>
      <c r="B6" s="64" t="s">
        <v>345</v>
      </c>
      <c r="C6" s="64" t="s">
        <v>105</v>
      </c>
      <c r="G6" s="9" t="s">
        <v>192</v>
      </c>
      <c r="H6" s="24" t="e">
        <v>#DIV/0!</v>
      </c>
    </row>
    <row r="7" spans="1:10" x14ac:dyDescent="0.25">
      <c r="A7" s="9" t="s">
        <v>192</v>
      </c>
      <c r="B7" s="21">
        <v>0</v>
      </c>
      <c r="C7" s="21">
        <v>0</v>
      </c>
      <c r="D7" s="58"/>
      <c r="E7" s="58"/>
    </row>
    <row r="8" spans="1:10" x14ac:dyDescent="0.25">
      <c r="D8" s="58"/>
      <c r="E8" s="58"/>
    </row>
    <row r="9" spans="1:10" x14ac:dyDescent="0.25">
      <c r="D9" s="58"/>
      <c r="E9" s="58"/>
    </row>
    <row r="13" spans="1:10" x14ac:dyDescent="0.25">
      <c r="A13" s="367" t="s">
        <v>158</v>
      </c>
      <c r="B13" s="367"/>
      <c r="C13" s="367"/>
      <c r="D13" s="27"/>
      <c r="E13" s="27"/>
      <c r="G13" s="367" t="s">
        <v>172</v>
      </c>
      <c r="H13" s="367"/>
      <c r="I13" s="367"/>
      <c r="J13" s="367"/>
    </row>
    <row r="15" spans="1:10" x14ac:dyDescent="0.25">
      <c r="A15" s="20" t="s">
        <v>17</v>
      </c>
      <c r="B15" s="64" t="s">
        <v>191</v>
      </c>
      <c r="G15" s="20" t="s">
        <v>60</v>
      </c>
      <c r="H15" s="64" t="s">
        <v>193</v>
      </c>
    </row>
    <row r="16" spans="1:10" x14ac:dyDescent="0.25">
      <c r="A16" s="20" t="s">
        <v>60</v>
      </c>
      <c r="B16" s="64" t="s">
        <v>193</v>
      </c>
    </row>
    <row r="17" spans="1:10" x14ac:dyDescent="0.25">
      <c r="G17" s="20" t="s">
        <v>345</v>
      </c>
      <c r="H17" s="20" t="s">
        <v>194</v>
      </c>
    </row>
    <row r="18" spans="1:10" x14ac:dyDescent="0.25">
      <c r="B18" s="20" t="s">
        <v>87</v>
      </c>
      <c r="G18" s="20" t="s">
        <v>189</v>
      </c>
      <c r="H18" s="64" t="s">
        <v>192</v>
      </c>
    </row>
    <row r="19" spans="1:10" x14ac:dyDescent="0.25">
      <c r="A19" s="20" t="s">
        <v>189</v>
      </c>
      <c r="B19" s="64" t="s">
        <v>345</v>
      </c>
      <c r="C19" s="64" t="s">
        <v>105</v>
      </c>
      <c r="G19" s="9" t="s">
        <v>192</v>
      </c>
      <c r="H19" s="24" t="e">
        <v>#DIV/0!</v>
      </c>
    </row>
    <row r="20" spans="1:10" x14ac:dyDescent="0.25">
      <c r="A20" s="9" t="s">
        <v>192</v>
      </c>
      <c r="B20" s="21">
        <v>0</v>
      </c>
      <c r="C20" s="21">
        <v>0</v>
      </c>
      <c r="D20" s="58"/>
      <c r="E20" s="58"/>
    </row>
    <row r="21" spans="1:10" x14ac:dyDescent="0.25">
      <c r="D21" s="58"/>
      <c r="E21" s="58"/>
    </row>
    <row r="22" spans="1:10" x14ac:dyDescent="0.25">
      <c r="D22" s="58"/>
      <c r="E22" s="58"/>
    </row>
    <row r="25" spans="1:10" x14ac:dyDescent="0.25">
      <c r="D25" s="27"/>
      <c r="E25" s="27"/>
    </row>
    <row r="31" spans="1:10" x14ac:dyDescent="0.25">
      <c r="A31" s="368" t="s">
        <v>156</v>
      </c>
      <c r="B31" s="368"/>
      <c r="C31" s="368"/>
      <c r="G31" s="366" t="s">
        <v>171</v>
      </c>
      <c r="H31" s="366"/>
      <c r="I31" s="366"/>
      <c r="J31" s="366"/>
    </row>
    <row r="32" spans="1:10" x14ac:dyDescent="0.25">
      <c r="A32" s="110"/>
      <c r="B32" s="110"/>
      <c r="C32" s="110"/>
      <c r="D32" s="58"/>
      <c r="E32" s="58"/>
      <c r="G32" s="110" t="s">
        <v>60</v>
      </c>
      <c r="H32" s="110" t="s">
        <v>193</v>
      </c>
      <c r="I32" s="110"/>
      <c r="J32" s="110"/>
    </row>
    <row r="33" spans="1:10" x14ac:dyDescent="0.25">
      <c r="A33" s="110" t="s">
        <v>17</v>
      </c>
      <c r="B33" s="110" t="s">
        <v>232</v>
      </c>
      <c r="C33" s="110"/>
      <c r="D33" s="58"/>
      <c r="E33" s="58"/>
      <c r="G33" s="110"/>
      <c r="H33" s="110"/>
      <c r="I33" s="110"/>
      <c r="J33" s="110"/>
    </row>
    <row r="34" spans="1:10" x14ac:dyDescent="0.25">
      <c r="A34" s="110" t="s">
        <v>60</v>
      </c>
      <c r="B34" s="110" t="s">
        <v>193</v>
      </c>
      <c r="C34" s="110"/>
      <c r="D34" s="58"/>
      <c r="E34" s="58"/>
      <c r="G34" s="110" t="s">
        <v>345</v>
      </c>
      <c r="H34" s="110" t="s">
        <v>194</v>
      </c>
    </row>
    <row r="35" spans="1:10" x14ac:dyDescent="0.25">
      <c r="A35" s="110"/>
      <c r="B35" s="110"/>
      <c r="C35" s="110"/>
      <c r="G35" s="110" t="s">
        <v>189</v>
      </c>
      <c r="H35" s="110" t="s">
        <v>192</v>
      </c>
    </row>
    <row r="36" spans="1:10" x14ac:dyDescent="0.25">
      <c r="A36" s="111"/>
      <c r="B36" s="111" t="s">
        <v>87</v>
      </c>
      <c r="C36" s="111"/>
      <c r="D36" s="27"/>
      <c r="E36" s="27"/>
      <c r="G36" s="116" t="s">
        <v>192</v>
      </c>
      <c r="H36" s="295" t="e">
        <v>#DIV/0!</v>
      </c>
    </row>
    <row r="37" spans="1:10" x14ac:dyDescent="0.25">
      <c r="A37" s="111" t="s">
        <v>189</v>
      </c>
      <c r="B37" s="111" t="s">
        <v>345</v>
      </c>
      <c r="C37" s="111" t="s">
        <v>105</v>
      </c>
    </row>
    <row r="38" spans="1:10" x14ac:dyDescent="0.25">
      <c r="A38" s="114" t="s">
        <v>192</v>
      </c>
      <c r="B38" s="115">
        <v>0</v>
      </c>
      <c r="C38" s="115">
        <v>0</v>
      </c>
    </row>
    <row r="43" spans="1:10" x14ac:dyDescent="0.25">
      <c r="D43" s="58"/>
      <c r="E43" s="58"/>
    </row>
    <row r="44" spans="1:10" x14ac:dyDescent="0.25">
      <c r="D44" s="58"/>
      <c r="E44" s="58"/>
    </row>
    <row r="45" spans="1:10" x14ac:dyDescent="0.25">
      <c r="D45" s="58"/>
      <c r="E45" s="58"/>
    </row>
    <row r="47" spans="1:10" x14ac:dyDescent="0.25">
      <c r="A47" s="365" t="s">
        <v>157</v>
      </c>
      <c r="B47" s="365"/>
      <c r="C47" s="365"/>
    </row>
    <row r="49" spans="1:10" x14ac:dyDescent="0.25">
      <c r="A49" s="20" t="s">
        <v>17</v>
      </c>
      <c r="B49" s="64" t="s">
        <v>191</v>
      </c>
    </row>
    <row r="50" spans="1:10" x14ac:dyDescent="0.25">
      <c r="A50" s="20" t="s">
        <v>60</v>
      </c>
      <c r="B50" s="64" t="s">
        <v>191</v>
      </c>
      <c r="G50" s="56" t="s">
        <v>173</v>
      </c>
      <c r="H50" s="56"/>
      <c r="I50" s="56"/>
      <c r="J50" s="57"/>
    </row>
    <row r="51" spans="1:10" x14ac:dyDescent="0.25">
      <c r="G51" s="20" t="s">
        <v>60</v>
      </c>
      <c r="H51" s="64" t="s">
        <v>191</v>
      </c>
    </row>
    <row r="52" spans="1:10" x14ac:dyDescent="0.25">
      <c r="B52" s="20" t="s">
        <v>87</v>
      </c>
    </row>
    <row r="53" spans="1:10" x14ac:dyDescent="0.25">
      <c r="A53" s="20" t="s">
        <v>189</v>
      </c>
      <c r="B53" s="64" t="s">
        <v>345</v>
      </c>
      <c r="C53" s="64" t="s">
        <v>105</v>
      </c>
      <c r="G53" s="20" t="s">
        <v>345</v>
      </c>
      <c r="H53" s="20" t="s">
        <v>194</v>
      </c>
    </row>
    <row r="54" spans="1:10" x14ac:dyDescent="0.25">
      <c r="A54" s="9" t="s">
        <v>192</v>
      </c>
      <c r="B54" s="21">
        <v>0</v>
      </c>
      <c r="C54" s="21">
        <v>0</v>
      </c>
      <c r="G54" s="20" t="s">
        <v>189</v>
      </c>
      <c r="H54" s="64" t="s">
        <v>192</v>
      </c>
    </row>
    <row r="55" spans="1:10" x14ac:dyDescent="0.25">
      <c r="G55" s="9" t="s">
        <v>192</v>
      </c>
      <c r="H55" s="24" t="e">
        <v>#DIV/0!</v>
      </c>
    </row>
  </sheetData>
  <mergeCells count="5">
    <mergeCell ref="A47:C47"/>
    <mergeCell ref="G31:J31"/>
    <mergeCell ref="G13:J13"/>
    <mergeCell ref="A13:C13"/>
    <mergeCell ref="A31:C3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L42"/>
  <sheetViews>
    <sheetView topLeftCell="A22" workbookViewId="0">
      <selection activeCell="K24" sqref="K24"/>
    </sheetView>
  </sheetViews>
  <sheetFormatPr baseColWidth="10" defaultColWidth="11.42578125" defaultRowHeight="15" x14ac:dyDescent="0.25"/>
  <cols>
    <col min="1" max="1" width="21" customWidth="1"/>
    <col min="2" max="2" width="27.7109375" customWidth="1"/>
    <col min="3" max="3" width="4.5703125" customWidth="1"/>
    <col min="4" max="4" width="12.5703125" customWidth="1"/>
    <col min="5" max="5" width="4.5703125" customWidth="1"/>
    <col min="6" max="6" width="21" customWidth="1"/>
    <col min="7" max="7" width="27.85546875" customWidth="1"/>
    <col min="8" max="8" width="8.140625" customWidth="1"/>
    <col min="9" max="9" width="11.140625" customWidth="1"/>
    <col min="10" max="10" width="5" customWidth="1"/>
    <col min="11" max="11" width="21" customWidth="1"/>
    <col min="12" max="12" width="27.7109375" customWidth="1"/>
  </cols>
  <sheetData>
    <row r="1" spans="1:12" x14ac:dyDescent="0.25">
      <c r="A1" s="364" t="s">
        <v>115</v>
      </c>
      <c r="B1" s="364"/>
      <c r="C1" s="364"/>
      <c r="D1" s="364"/>
      <c r="E1" s="364"/>
      <c r="F1" s="364"/>
      <c r="G1" s="364"/>
      <c r="H1" s="364"/>
    </row>
    <row r="4" spans="1:12" x14ac:dyDescent="0.25">
      <c r="A4" s="20" t="s">
        <v>17</v>
      </c>
      <c r="B4" s="64" t="s">
        <v>191</v>
      </c>
      <c r="F4" s="20" t="s">
        <v>17</v>
      </c>
      <c r="G4" s="64" t="s">
        <v>191</v>
      </c>
      <c r="K4" s="9" t="s">
        <v>107</v>
      </c>
    </row>
    <row r="5" spans="1:12" x14ac:dyDescent="0.25">
      <c r="A5" s="20" t="s">
        <v>60</v>
      </c>
      <c r="B5" s="64" t="s">
        <v>193</v>
      </c>
      <c r="F5" s="20" t="s">
        <v>60</v>
      </c>
      <c r="G5" s="64" t="s">
        <v>193</v>
      </c>
    </row>
    <row r="6" spans="1:12" x14ac:dyDescent="0.25">
      <c r="K6" s="20" t="s">
        <v>60</v>
      </c>
      <c r="L6" s="64" t="s">
        <v>193</v>
      </c>
    </row>
    <row r="7" spans="1:12" x14ac:dyDescent="0.25">
      <c r="A7" s="20" t="s">
        <v>189</v>
      </c>
      <c r="B7" t="s">
        <v>345</v>
      </c>
      <c r="F7" s="20" t="s">
        <v>189</v>
      </c>
      <c r="G7" t="s">
        <v>345</v>
      </c>
    </row>
    <row r="8" spans="1:12" x14ac:dyDescent="0.25">
      <c r="A8" s="9" t="s">
        <v>192</v>
      </c>
      <c r="B8" s="24" t="e">
        <v>#DIV/0!</v>
      </c>
      <c r="F8" s="9" t="s">
        <v>192</v>
      </c>
      <c r="G8" s="24" t="e">
        <v>#DIV/0!</v>
      </c>
      <c r="K8" s="20" t="s">
        <v>189</v>
      </c>
      <c r="L8" t="s">
        <v>106</v>
      </c>
    </row>
    <row r="9" spans="1:12" x14ac:dyDescent="0.25">
      <c r="K9" s="9" t="s">
        <v>192</v>
      </c>
      <c r="L9" s="154">
        <v>0</v>
      </c>
    </row>
    <row r="12" spans="1:12" x14ac:dyDescent="0.25">
      <c r="F12" s="9"/>
      <c r="G12" s="24"/>
    </row>
    <row r="13" spans="1:12" x14ac:dyDescent="0.25">
      <c r="F13" s="205" t="s">
        <v>270</v>
      </c>
      <c r="G13" s="139"/>
    </row>
    <row r="14" spans="1:12" x14ac:dyDescent="0.25">
      <c r="A14" s="9" t="s">
        <v>107</v>
      </c>
      <c r="F14" s="139" t="s">
        <v>17</v>
      </c>
      <c r="G14" s="139" t="s">
        <v>191</v>
      </c>
    </row>
    <row r="15" spans="1:12" x14ac:dyDescent="0.25">
      <c r="F15" s="139" t="s">
        <v>60</v>
      </c>
      <c r="G15" s="139" t="s">
        <v>193</v>
      </c>
    </row>
    <row r="16" spans="1:12" x14ac:dyDescent="0.25">
      <c r="A16" s="20" t="s">
        <v>60</v>
      </c>
      <c r="B16" s="64" t="s">
        <v>193</v>
      </c>
    </row>
    <row r="17" spans="1:12" x14ac:dyDescent="0.25">
      <c r="F17" s="20" t="s">
        <v>189</v>
      </c>
      <c r="G17" t="s">
        <v>345</v>
      </c>
    </row>
    <row r="18" spans="1:12" x14ac:dyDescent="0.25">
      <c r="A18" s="20" t="s">
        <v>189</v>
      </c>
      <c r="B18" t="s">
        <v>106</v>
      </c>
      <c r="F18" s="9" t="s">
        <v>192</v>
      </c>
      <c r="G18" s="24" t="e">
        <v>#DIV/0!</v>
      </c>
    </row>
    <row r="19" spans="1:12" x14ac:dyDescent="0.25">
      <c r="A19" s="9" t="s">
        <v>192</v>
      </c>
      <c r="B19" s="154">
        <v>0</v>
      </c>
    </row>
    <row r="22" spans="1:12" x14ac:dyDescent="0.25">
      <c r="F22" s="9"/>
      <c r="G22" s="24"/>
      <c r="K22" s="20" t="s">
        <v>60</v>
      </c>
      <c r="L22" s="64" t="s">
        <v>193</v>
      </c>
    </row>
    <row r="23" spans="1:12" x14ac:dyDescent="0.25">
      <c r="F23" s="9"/>
      <c r="G23" s="24"/>
      <c r="K23" s="9" t="s">
        <v>347</v>
      </c>
    </row>
    <row r="24" spans="1:12" x14ac:dyDescent="0.25">
      <c r="K24" s="20" t="s">
        <v>189</v>
      </c>
      <c r="L24" t="s">
        <v>106</v>
      </c>
    </row>
    <row r="25" spans="1:12" x14ac:dyDescent="0.25">
      <c r="F25" s="20" t="s">
        <v>17</v>
      </c>
      <c r="G25" s="64" t="s">
        <v>191</v>
      </c>
      <c r="K25" s="9" t="s">
        <v>192</v>
      </c>
      <c r="L25" s="154">
        <v>0</v>
      </c>
    </row>
    <row r="26" spans="1:12" x14ac:dyDescent="0.25">
      <c r="F26" s="20" t="s">
        <v>60</v>
      </c>
      <c r="G26" s="64" t="s">
        <v>191</v>
      </c>
    </row>
    <row r="28" spans="1:12" x14ac:dyDescent="0.25">
      <c r="F28" s="20" t="s">
        <v>189</v>
      </c>
      <c r="G28" t="s">
        <v>345</v>
      </c>
    </row>
    <row r="29" spans="1:12" x14ac:dyDescent="0.25">
      <c r="F29" s="9" t="s">
        <v>192</v>
      </c>
      <c r="G29" s="24" t="e">
        <v>#DIV/0!</v>
      </c>
    </row>
    <row r="38" spans="11:12" x14ac:dyDescent="0.25">
      <c r="K38" s="9" t="s">
        <v>107</v>
      </c>
    </row>
    <row r="39" spans="11:12" x14ac:dyDescent="0.25">
      <c r="K39" s="20" t="s">
        <v>60</v>
      </c>
      <c r="L39" s="64" t="s">
        <v>191</v>
      </c>
    </row>
    <row r="40" spans="11:12" x14ac:dyDescent="0.25">
      <c r="K40" t="s">
        <v>206</v>
      </c>
    </row>
    <row r="41" spans="11:12" x14ac:dyDescent="0.25">
      <c r="K41" s="20" t="s">
        <v>189</v>
      </c>
      <c r="L41" t="s">
        <v>106</v>
      </c>
    </row>
    <row r="42" spans="11:12" x14ac:dyDescent="0.25">
      <c r="K42" s="9" t="s">
        <v>192</v>
      </c>
      <c r="L42" s="154">
        <v>0</v>
      </c>
    </row>
  </sheetData>
  <mergeCells count="1">
    <mergeCell ref="A1:H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26"/>
  <sheetViews>
    <sheetView topLeftCell="I1" workbookViewId="0">
      <selection activeCell="S26" sqref="S26"/>
    </sheetView>
  </sheetViews>
  <sheetFormatPr baseColWidth="10" defaultColWidth="11.42578125" defaultRowHeight="15" x14ac:dyDescent="0.25"/>
  <cols>
    <col min="1" max="1" width="19.5703125" customWidth="1"/>
    <col min="2" max="2" width="21.85546875" customWidth="1"/>
    <col min="3" max="3" width="24.28515625" customWidth="1"/>
    <col min="4" max="4" width="6.28515625" customWidth="1"/>
    <col min="5" max="5" width="21" customWidth="1"/>
    <col min="6" max="6" width="8.85546875" customWidth="1"/>
    <col min="7" max="7" width="11.28515625" customWidth="1"/>
    <col min="8" max="9" width="12.5703125" customWidth="1"/>
    <col min="10" max="10" width="27.85546875" customWidth="1"/>
    <col min="11" max="11" width="23.85546875" customWidth="1"/>
    <col min="12" max="12" width="11.28515625" customWidth="1"/>
    <col min="13" max="14" width="12.5703125" customWidth="1"/>
    <col min="15" max="17" width="14.28515625" customWidth="1"/>
    <col min="18" max="18" width="8.85546875" customWidth="1"/>
    <col min="19" max="19" width="12.5703125" customWidth="1"/>
    <col min="20" max="20" width="16.140625" bestFit="1" customWidth="1"/>
    <col min="21" max="21" width="19.28515625" bestFit="1" customWidth="1"/>
    <col min="22" max="22" width="16.140625" bestFit="1" customWidth="1"/>
    <col min="23" max="23" width="19.28515625" bestFit="1" customWidth="1"/>
    <col min="24" max="24" width="16.140625" bestFit="1" customWidth="1"/>
    <col min="25" max="25" width="19.28515625" bestFit="1" customWidth="1"/>
    <col min="26" max="26" width="8.140625" customWidth="1"/>
    <col min="27" max="27" width="11.140625" customWidth="1"/>
    <col min="28" max="28" width="10.7109375" customWidth="1"/>
    <col min="29" max="29" width="13.7109375" bestFit="1" customWidth="1"/>
    <col min="30" max="30" width="16.140625" bestFit="1" customWidth="1"/>
    <col min="31" max="31" width="19.28515625" bestFit="1" customWidth="1"/>
    <col min="32" max="32" width="12.5703125" bestFit="1" customWidth="1"/>
  </cols>
  <sheetData>
    <row r="1" spans="1:11" x14ac:dyDescent="0.25">
      <c r="A1" s="364" t="s">
        <v>114</v>
      </c>
      <c r="B1" s="364"/>
      <c r="C1" s="364"/>
    </row>
    <row r="2" spans="1:11" x14ac:dyDescent="0.25">
      <c r="A2" s="27"/>
      <c r="B2" s="27"/>
      <c r="C2" s="27"/>
      <c r="J2" s="139" t="s">
        <v>283</v>
      </c>
    </row>
    <row r="3" spans="1:11" x14ac:dyDescent="0.25">
      <c r="A3" s="20" t="s">
        <v>17</v>
      </c>
      <c r="B3" s="64" t="s">
        <v>191</v>
      </c>
      <c r="C3" s="27"/>
      <c r="E3" s="365" t="s">
        <v>161</v>
      </c>
      <c r="F3" s="365"/>
      <c r="G3" s="365"/>
      <c r="H3" s="365"/>
      <c r="J3" s="20" t="s">
        <v>60</v>
      </c>
      <c r="K3" s="64" t="s">
        <v>193</v>
      </c>
    </row>
    <row r="4" spans="1:11" x14ac:dyDescent="0.25">
      <c r="A4" s="20" t="s">
        <v>60</v>
      </c>
      <c r="B4" s="64" t="s">
        <v>193</v>
      </c>
    </row>
    <row r="5" spans="1:11" x14ac:dyDescent="0.25">
      <c r="E5" s="20" t="s">
        <v>189</v>
      </c>
      <c r="J5" s="20" t="s">
        <v>346</v>
      </c>
      <c r="K5" s="20" t="s">
        <v>194</v>
      </c>
    </row>
    <row r="6" spans="1:11" x14ac:dyDescent="0.25">
      <c r="A6" t="s">
        <v>108</v>
      </c>
      <c r="E6" s="9" t="s">
        <v>192</v>
      </c>
      <c r="J6" s="20" t="s">
        <v>189</v>
      </c>
      <c r="K6" s="64" t="s">
        <v>192</v>
      </c>
    </row>
    <row r="7" spans="1:11" x14ac:dyDescent="0.25">
      <c r="A7" s="21">
        <v>0</v>
      </c>
      <c r="J7" s="9" t="s">
        <v>192</v>
      </c>
      <c r="K7" s="24" t="e">
        <v>#DIV/0!</v>
      </c>
    </row>
    <row r="12" spans="1:11" x14ac:dyDescent="0.25">
      <c r="A12" t="s">
        <v>161</v>
      </c>
    </row>
    <row r="13" spans="1:11" x14ac:dyDescent="0.25">
      <c r="A13" s="20" t="s">
        <v>17</v>
      </c>
      <c r="B13" s="64" t="s">
        <v>191</v>
      </c>
    </row>
    <row r="14" spans="1:11" x14ac:dyDescent="0.25">
      <c r="A14" s="20" t="s">
        <v>60</v>
      </c>
      <c r="B14" s="64" t="s">
        <v>193</v>
      </c>
    </row>
    <row r="16" spans="1:11" x14ac:dyDescent="0.25">
      <c r="E16" s="368" t="s">
        <v>160</v>
      </c>
      <c r="F16" s="368"/>
      <c r="G16" s="368"/>
      <c r="H16" s="368"/>
    </row>
    <row r="17" spans="1:13" x14ac:dyDescent="0.25">
      <c r="E17" s="110"/>
      <c r="F17" s="110"/>
      <c r="G17" s="110"/>
      <c r="H17" s="110"/>
    </row>
    <row r="18" spans="1:13" x14ac:dyDescent="0.25">
      <c r="E18" s="110" t="s">
        <v>60</v>
      </c>
      <c r="F18" s="110" t="s">
        <v>193</v>
      </c>
      <c r="G18" s="110"/>
      <c r="H18" s="110"/>
    </row>
    <row r="19" spans="1:13" x14ac:dyDescent="0.25">
      <c r="E19" s="110"/>
      <c r="F19" s="110"/>
      <c r="G19" s="110"/>
      <c r="H19" s="110"/>
    </row>
    <row r="20" spans="1:13" x14ac:dyDescent="0.25">
      <c r="E20" s="110" t="s">
        <v>189</v>
      </c>
      <c r="J20" s="365" t="s">
        <v>159</v>
      </c>
      <c r="K20" s="365"/>
      <c r="L20" s="365"/>
      <c r="M20" s="365"/>
    </row>
    <row r="21" spans="1:13" x14ac:dyDescent="0.25">
      <c r="A21" t="s">
        <v>160</v>
      </c>
      <c r="E21" s="114" t="s">
        <v>192</v>
      </c>
    </row>
    <row r="22" spans="1:13" x14ac:dyDescent="0.25">
      <c r="A22" s="20" t="s">
        <v>17</v>
      </c>
      <c r="B22" s="64" t="s">
        <v>191</v>
      </c>
      <c r="J22" s="20" t="s">
        <v>60</v>
      </c>
      <c r="K22" s="64" t="s">
        <v>191</v>
      </c>
    </row>
    <row r="23" spans="1:13" x14ac:dyDescent="0.25">
      <c r="A23" s="20" t="s">
        <v>60</v>
      </c>
      <c r="B23" s="64" t="s">
        <v>193</v>
      </c>
    </row>
    <row r="24" spans="1:13" x14ac:dyDescent="0.25">
      <c r="J24" s="20" t="s">
        <v>346</v>
      </c>
      <c r="K24" s="20" t="s">
        <v>194</v>
      </c>
    </row>
    <row r="25" spans="1:13" x14ac:dyDescent="0.25">
      <c r="J25" s="20" t="s">
        <v>189</v>
      </c>
      <c r="K25" s="64" t="s">
        <v>192</v>
      </c>
    </row>
    <row r="26" spans="1:13" x14ac:dyDescent="0.25">
      <c r="J26" s="9" t="s">
        <v>192</v>
      </c>
      <c r="K26" s="21"/>
    </row>
  </sheetData>
  <mergeCells count="4">
    <mergeCell ref="A1:C1"/>
    <mergeCell ref="J20:M20"/>
    <mergeCell ref="E16:H16"/>
    <mergeCell ref="E3:H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25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21" customWidth="1"/>
    <col min="2" max="2" width="27.85546875" customWidth="1"/>
    <col min="3" max="3" width="26" customWidth="1"/>
    <col min="4" max="4" width="12.5703125" customWidth="1"/>
    <col min="5" max="5" width="4.5703125" customWidth="1"/>
    <col min="6" max="6" width="12.5703125" customWidth="1"/>
    <col min="7" max="7" width="30.85546875" customWidth="1"/>
    <col min="8" max="8" width="8.140625" customWidth="1"/>
    <col min="9" max="9" width="11.140625" customWidth="1"/>
    <col min="10" max="10" width="5" customWidth="1"/>
    <col min="11" max="11" width="8" customWidth="1"/>
    <col min="12" max="12" width="12.5703125" bestFit="1" customWidth="1"/>
  </cols>
  <sheetData>
    <row r="1" spans="1:8" x14ac:dyDescent="0.25">
      <c r="A1" s="364" t="s">
        <v>170</v>
      </c>
      <c r="B1" s="364"/>
      <c r="C1" s="364"/>
      <c r="D1" s="364"/>
      <c r="E1" s="364"/>
      <c r="F1" s="364"/>
      <c r="G1" s="364"/>
      <c r="H1" s="364"/>
    </row>
    <row r="3" spans="1:8" x14ac:dyDescent="0.25">
      <c r="A3" s="139" t="s">
        <v>283</v>
      </c>
    </row>
    <row r="4" spans="1:8" x14ac:dyDescent="0.25">
      <c r="A4" s="20" t="s">
        <v>17</v>
      </c>
      <c r="B4" s="64" t="s">
        <v>191</v>
      </c>
    </row>
    <row r="5" spans="1:8" x14ac:dyDescent="0.25">
      <c r="A5" s="20" t="s">
        <v>60</v>
      </c>
      <c r="B5" s="64" t="s">
        <v>193</v>
      </c>
    </row>
    <row r="7" spans="1:8" x14ac:dyDescent="0.25">
      <c r="A7" s="20" t="s">
        <v>189</v>
      </c>
      <c r="B7" t="s">
        <v>346</v>
      </c>
    </row>
    <row r="8" spans="1:8" x14ac:dyDescent="0.25">
      <c r="A8" s="9" t="s">
        <v>192</v>
      </c>
      <c r="B8" s="191" t="e">
        <v>#DIV/0!</v>
      </c>
    </row>
    <row r="21" spans="1:2" x14ac:dyDescent="0.25">
      <c r="A21" s="20" t="s">
        <v>338</v>
      </c>
      <c r="B21" s="64" t="s">
        <v>193</v>
      </c>
    </row>
    <row r="22" spans="1:2" x14ac:dyDescent="0.25">
      <c r="A22" s="20" t="s">
        <v>60</v>
      </c>
      <c r="B22" s="64" t="s">
        <v>193</v>
      </c>
    </row>
    <row r="24" spans="1:2" x14ac:dyDescent="0.25">
      <c r="A24" s="20" t="s">
        <v>189</v>
      </c>
      <c r="B24" t="s">
        <v>109</v>
      </c>
    </row>
    <row r="25" spans="1:2" x14ac:dyDescent="0.25">
      <c r="A25" s="9" t="s">
        <v>192</v>
      </c>
      <c r="B25" s="154">
        <v>0</v>
      </c>
    </row>
  </sheetData>
  <mergeCells count="1">
    <mergeCell ref="A1:H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M46"/>
  <sheetViews>
    <sheetView topLeftCell="D19" workbookViewId="0">
      <selection activeCell="K59" sqref="K59"/>
    </sheetView>
  </sheetViews>
  <sheetFormatPr baseColWidth="10" defaultColWidth="11.42578125" defaultRowHeight="15" x14ac:dyDescent="0.25"/>
  <cols>
    <col min="1" max="1" width="21" customWidth="1"/>
    <col min="2" max="2" width="21.85546875" customWidth="1"/>
    <col min="3" max="3" width="26.7109375" customWidth="1"/>
    <col min="4" max="4" width="8" customWidth="1"/>
    <col min="5" max="5" width="21.7109375" customWidth="1"/>
    <col min="6" max="6" width="23.85546875" customWidth="1"/>
    <col min="7" max="7" width="9.5703125" customWidth="1"/>
    <col min="8" max="8" width="12.5703125" customWidth="1"/>
    <col min="9" max="9" width="6.140625" customWidth="1"/>
    <col min="10" max="10" width="21.7109375" customWidth="1"/>
    <col min="11" max="11" width="23.85546875" customWidth="1"/>
    <col min="12" max="12" width="9.5703125" customWidth="1"/>
    <col min="13" max="14" width="12.5703125" customWidth="1"/>
    <col min="15" max="17" width="14.28515625" customWidth="1"/>
    <col min="18" max="18" width="8.85546875" customWidth="1"/>
    <col min="19" max="19" width="12.5703125" customWidth="1"/>
    <col min="20" max="20" width="16.140625" bestFit="1" customWidth="1"/>
    <col min="21" max="21" width="19.28515625" bestFit="1" customWidth="1"/>
    <col min="22" max="22" width="16.140625" bestFit="1" customWidth="1"/>
    <col min="23" max="23" width="19.28515625" bestFit="1" customWidth="1"/>
    <col min="24" max="24" width="16.140625" bestFit="1" customWidth="1"/>
    <col min="25" max="25" width="19.28515625" bestFit="1" customWidth="1"/>
    <col min="26" max="26" width="8.140625" customWidth="1"/>
    <col min="27" max="27" width="11.140625" customWidth="1"/>
    <col min="28" max="28" width="10.7109375" customWidth="1"/>
    <col min="29" max="29" width="13.7109375" bestFit="1" customWidth="1"/>
    <col min="30" max="30" width="16.140625" bestFit="1" customWidth="1"/>
    <col min="31" max="31" width="19.28515625" bestFit="1" customWidth="1"/>
    <col min="32" max="32" width="12.5703125" bestFit="1" customWidth="1"/>
  </cols>
  <sheetData>
    <row r="1" spans="1:11" x14ac:dyDescent="0.25">
      <c r="A1" s="364" t="s">
        <v>122</v>
      </c>
      <c r="B1" s="364"/>
      <c r="C1" s="364"/>
    </row>
    <row r="2" spans="1:11" x14ac:dyDescent="0.25">
      <c r="A2" s="27"/>
      <c r="B2" s="27"/>
      <c r="C2" s="27"/>
      <c r="E2" s="369" t="s">
        <v>162</v>
      </c>
      <c r="F2" s="369"/>
      <c r="G2" s="369"/>
      <c r="H2" s="369"/>
    </row>
    <row r="3" spans="1:11" x14ac:dyDescent="0.25">
      <c r="A3" s="20" t="s">
        <v>17</v>
      </c>
      <c r="B3" s="64" t="s">
        <v>191</v>
      </c>
      <c r="C3" s="27"/>
      <c r="E3" s="20" t="s">
        <v>60</v>
      </c>
      <c r="F3" s="64" t="s">
        <v>193</v>
      </c>
      <c r="J3" s="20" t="s">
        <v>60</v>
      </c>
      <c r="K3" s="64" t="s">
        <v>193</v>
      </c>
    </row>
    <row r="4" spans="1:11" x14ac:dyDescent="0.25">
      <c r="A4" s="20" t="s">
        <v>60</v>
      </c>
      <c r="B4" s="64" t="s">
        <v>193</v>
      </c>
    </row>
    <row r="5" spans="1:11" x14ac:dyDescent="0.25">
      <c r="E5" s="20" t="s">
        <v>120</v>
      </c>
      <c r="F5" s="20" t="s">
        <v>194</v>
      </c>
      <c r="J5" s="20" t="s">
        <v>120</v>
      </c>
      <c r="K5" s="20" t="s">
        <v>194</v>
      </c>
    </row>
    <row r="6" spans="1:11" x14ac:dyDescent="0.25">
      <c r="B6" s="20" t="s">
        <v>87</v>
      </c>
      <c r="E6" s="20" t="s">
        <v>189</v>
      </c>
      <c r="F6" s="64" t="s">
        <v>192</v>
      </c>
      <c r="J6" s="20" t="s">
        <v>189</v>
      </c>
      <c r="K6" s="64" t="s">
        <v>192</v>
      </c>
    </row>
    <row r="7" spans="1:11" x14ac:dyDescent="0.25">
      <c r="A7" s="20" t="s">
        <v>189</v>
      </c>
      <c r="B7" s="64" t="s">
        <v>120</v>
      </c>
      <c r="C7" s="64" t="s">
        <v>121</v>
      </c>
      <c r="E7" s="9" t="s">
        <v>192</v>
      </c>
      <c r="F7" s="21"/>
      <c r="J7" s="9" t="s">
        <v>192</v>
      </c>
      <c r="K7" s="191" t="e">
        <v>#DIV/0!</v>
      </c>
    </row>
    <row r="8" spans="1:11" x14ac:dyDescent="0.25">
      <c r="A8" s="9" t="s">
        <v>192</v>
      </c>
      <c r="B8" s="21">
        <v>0</v>
      </c>
      <c r="C8" s="21">
        <v>0</v>
      </c>
    </row>
    <row r="13" spans="1:11" x14ac:dyDescent="0.25">
      <c r="A13" s="20" t="s">
        <v>17</v>
      </c>
      <c r="B13" s="64" t="s">
        <v>191</v>
      </c>
    </row>
    <row r="14" spans="1:11" x14ac:dyDescent="0.25">
      <c r="A14" s="20" t="s">
        <v>60</v>
      </c>
      <c r="B14" s="64" t="s">
        <v>193</v>
      </c>
    </row>
    <row r="16" spans="1:11" x14ac:dyDescent="0.25">
      <c r="A16" s="20" t="s">
        <v>189</v>
      </c>
      <c r="B16" t="s">
        <v>120</v>
      </c>
    </row>
    <row r="17" spans="1:13" x14ac:dyDescent="0.25">
      <c r="A17" s="9" t="s">
        <v>192</v>
      </c>
      <c r="B17" s="24" t="e">
        <v>#DIV/0!</v>
      </c>
    </row>
    <row r="20" spans="1:13" x14ac:dyDescent="0.25">
      <c r="J20" s="366" t="s">
        <v>179</v>
      </c>
      <c r="K20" s="366"/>
      <c r="L20" s="366"/>
      <c r="M20" s="366"/>
    </row>
    <row r="21" spans="1:13" x14ac:dyDescent="0.25">
      <c r="J21" s="110" t="s">
        <v>60</v>
      </c>
      <c r="K21" s="110" t="s">
        <v>193</v>
      </c>
      <c r="L21" s="110"/>
      <c r="M21" s="110"/>
    </row>
    <row r="22" spans="1:13" x14ac:dyDescent="0.25">
      <c r="J22" s="110"/>
      <c r="K22" s="110"/>
      <c r="L22" s="110"/>
      <c r="M22" s="110"/>
    </row>
    <row r="23" spans="1:13" x14ac:dyDescent="0.25">
      <c r="E23" s="368" t="s">
        <v>163</v>
      </c>
      <c r="F23" s="368"/>
      <c r="G23" s="368"/>
      <c r="H23" s="368"/>
      <c r="J23" s="110" t="s">
        <v>120</v>
      </c>
      <c r="K23" s="110" t="s">
        <v>194</v>
      </c>
    </row>
    <row r="24" spans="1:13" x14ac:dyDescent="0.25">
      <c r="E24" s="110" t="s">
        <v>60</v>
      </c>
      <c r="F24" s="110" t="s">
        <v>193</v>
      </c>
      <c r="G24" s="110"/>
      <c r="H24" s="110"/>
      <c r="J24" s="110" t="s">
        <v>189</v>
      </c>
      <c r="K24" s="110" t="s">
        <v>192</v>
      </c>
    </row>
    <row r="25" spans="1:13" x14ac:dyDescent="0.25">
      <c r="E25" s="110"/>
      <c r="F25" s="110"/>
      <c r="G25" s="110"/>
      <c r="H25" s="110"/>
      <c r="J25" s="114" t="s">
        <v>192</v>
      </c>
      <c r="K25" s="141" t="e">
        <v>#DIV/0!</v>
      </c>
    </row>
    <row r="26" spans="1:13" x14ac:dyDescent="0.25">
      <c r="E26" s="110" t="s">
        <v>120</v>
      </c>
      <c r="F26" s="110" t="s">
        <v>194</v>
      </c>
    </row>
    <row r="27" spans="1:13" x14ac:dyDescent="0.25">
      <c r="E27" s="110" t="s">
        <v>189</v>
      </c>
      <c r="F27" s="110" t="s">
        <v>192</v>
      </c>
    </row>
    <row r="28" spans="1:13" x14ac:dyDescent="0.25">
      <c r="E28" s="112" t="s">
        <v>192</v>
      </c>
      <c r="F28" s="113"/>
    </row>
    <row r="37" spans="5:11" x14ac:dyDescent="0.25">
      <c r="J37" s="20" t="s">
        <v>60</v>
      </c>
      <c r="K37" s="64" t="s">
        <v>191</v>
      </c>
    </row>
    <row r="39" spans="5:11" x14ac:dyDescent="0.25">
      <c r="J39" s="20" t="s">
        <v>120</v>
      </c>
      <c r="K39" s="20" t="s">
        <v>194</v>
      </c>
    </row>
    <row r="40" spans="5:11" x14ac:dyDescent="0.25">
      <c r="J40" s="20" t="s">
        <v>189</v>
      </c>
      <c r="K40" s="64" t="s">
        <v>192</v>
      </c>
    </row>
    <row r="41" spans="5:11" x14ac:dyDescent="0.25">
      <c r="E41" s="369" t="s">
        <v>178</v>
      </c>
      <c r="F41" s="369"/>
      <c r="G41" s="369"/>
      <c r="H41" s="369"/>
      <c r="J41" s="9" t="s">
        <v>192</v>
      </c>
      <c r="K41" s="191" t="e">
        <v>#DIV/0!</v>
      </c>
    </row>
    <row r="42" spans="5:11" x14ac:dyDescent="0.25">
      <c r="E42" s="20" t="s">
        <v>60</v>
      </c>
      <c r="F42" s="64" t="s">
        <v>191</v>
      </c>
    </row>
    <row r="44" spans="5:11" x14ac:dyDescent="0.25">
      <c r="E44" s="20" t="s">
        <v>120</v>
      </c>
      <c r="F44" s="20" t="s">
        <v>194</v>
      </c>
    </row>
    <row r="45" spans="5:11" x14ac:dyDescent="0.25">
      <c r="E45" s="20" t="s">
        <v>189</v>
      </c>
      <c r="F45" s="64" t="s">
        <v>192</v>
      </c>
    </row>
    <row r="46" spans="5:11" x14ac:dyDescent="0.25">
      <c r="E46" s="9" t="s">
        <v>192</v>
      </c>
      <c r="F46" s="21"/>
    </row>
  </sheetData>
  <mergeCells count="5">
    <mergeCell ref="A1:C1"/>
    <mergeCell ref="E2:H2"/>
    <mergeCell ref="E23:H23"/>
    <mergeCell ref="E41:H41"/>
    <mergeCell ref="J20:M20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H25"/>
  <sheetViews>
    <sheetView workbookViewId="0">
      <selection activeCell="I27" sqref="I27"/>
    </sheetView>
  </sheetViews>
  <sheetFormatPr baseColWidth="10" defaultColWidth="11.42578125" defaultRowHeight="15" x14ac:dyDescent="0.25"/>
  <cols>
    <col min="1" max="1" width="21" customWidth="1"/>
    <col min="2" max="3" width="28.42578125" customWidth="1"/>
    <col min="4" max="4" width="21" customWidth="1"/>
    <col min="5" max="5" width="28.42578125" customWidth="1"/>
    <col min="6" max="6" width="12.5703125" customWidth="1"/>
    <col min="7" max="7" width="30.85546875" customWidth="1"/>
    <col min="8" max="8" width="8.140625" customWidth="1"/>
    <col min="9" max="9" width="11.140625" customWidth="1"/>
    <col min="10" max="10" width="5" customWidth="1"/>
    <col min="11" max="11" width="8" customWidth="1"/>
    <col min="12" max="12" width="12.5703125" bestFit="1" customWidth="1"/>
  </cols>
  <sheetData>
    <row r="1" spans="1:8" x14ac:dyDescent="0.25">
      <c r="A1" s="364" t="s">
        <v>123</v>
      </c>
      <c r="B1" s="364"/>
      <c r="C1" s="364"/>
      <c r="D1" s="364"/>
      <c r="E1" s="364"/>
      <c r="F1" s="364"/>
      <c r="G1" s="364"/>
      <c r="H1" s="364"/>
    </row>
    <row r="3" spans="1:8" x14ac:dyDescent="0.25">
      <c r="A3" s="59" t="s">
        <v>164</v>
      </c>
      <c r="D3" s="110" t="s">
        <v>165</v>
      </c>
      <c r="E3" s="110"/>
    </row>
    <row r="4" spans="1:8" x14ac:dyDescent="0.25">
      <c r="D4" s="110" t="s">
        <v>17</v>
      </c>
      <c r="E4" s="110" t="s">
        <v>191</v>
      </c>
    </row>
    <row r="5" spans="1:8" x14ac:dyDescent="0.25">
      <c r="A5" s="20" t="s">
        <v>17</v>
      </c>
      <c r="B5" s="64" t="s">
        <v>191</v>
      </c>
      <c r="D5" s="110" t="s">
        <v>60</v>
      </c>
      <c r="E5" s="110" t="s">
        <v>193</v>
      </c>
    </row>
    <row r="6" spans="1:8" x14ac:dyDescent="0.25">
      <c r="D6" s="110"/>
      <c r="E6" s="110"/>
    </row>
    <row r="7" spans="1:8" x14ac:dyDescent="0.25">
      <c r="A7" s="20" t="s">
        <v>189</v>
      </c>
      <c r="B7" t="s">
        <v>120</v>
      </c>
      <c r="D7" s="110" t="s">
        <v>189</v>
      </c>
      <c r="E7" s="110" t="s">
        <v>120</v>
      </c>
    </row>
    <row r="8" spans="1:8" x14ac:dyDescent="0.25">
      <c r="A8" s="9" t="s">
        <v>192</v>
      </c>
      <c r="B8" s="191" t="e">
        <v>#DIV/0!</v>
      </c>
      <c r="D8" s="114" t="s">
        <v>192</v>
      </c>
      <c r="E8" s="141" t="e">
        <v>#DIV/0!</v>
      </c>
    </row>
    <row r="20" spans="1:5" x14ac:dyDescent="0.25">
      <c r="D20" s="146" t="s">
        <v>165</v>
      </c>
      <c r="E20" s="146"/>
    </row>
    <row r="21" spans="1:5" x14ac:dyDescent="0.25">
      <c r="A21" s="20" t="s">
        <v>118</v>
      </c>
      <c r="B21" s="64" t="s">
        <v>241</v>
      </c>
      <c r="D21" s="110" t="s">
        <v>118</v>
      </c>
      <c r="E21" s="110" t="s">
        <v>241</v>
      </c>
    </row>
    <row r="22" spans="1:5" x14ac:dyDescent="0.25">
      <c r="A22" s="20" t="s">
        <v>60</v>
      </c>
      <c r="B22" s="64" t="s">
        <v>193</v>
      </c>
      <c r="D22" s="110" t="s">
        <v>60</v>
      </c>
      <c r="E22" s="110" t="s">
        <v>193</v>
      </c>
    </row>
    <row r="23" spans="1:5" x14ac:dyDescent="0.25">
      <c r="D23" s="110"/>
      <c r="E23" s="110"/>
    </row>
    <row r="24" spans="1:5" x14ac:dyDescent="0.25">
      <c r="A24" s="20" t="s">
        <v>189</v>
      </c>
      <c r="B24" t="s">
        <v>124</v>
      </c>
      <c r="D24" s="110" t="s">
        <v>189</v>
      </c>
      <c r="E24" s="110" t="s">
        <v>124</v>
      </c>
    </row>
    <row r="25" spans="1:5" x14ac:dyDescent="0.25">
      <c r="A25" s="9" t="s">
        <v>192</v>
      </c>
      <c r="B25" s="150">
        <v>0</v>
      </c>
      <c r="D25" s="114" t="s">
        <v>192</v>
      </c>
      <c r="E25" s="229">
        <v>0</v>
      </c>
    </row>
  </sheetData>
  <mergeCells count="1">
    <mergeCell ref="A1:H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30"/>
  <sheetViews>
    <sheetView workbookViewId="0">
      <selection activeCell="G21" sqref="G21:H26"/>
    </sheetView>
  </sheetViews>
  <sheetFormatPr baseColWidth="10" defaultRowHeight="15" x14ac:dyDescent="0.25"/>
  <cols>
    <col min="1" max="1" width="21" customWidth="1"/>
    <col min="2" max="2" width="8.85546875" customWidth="1"/>
    <col min="3" max="3" width="4.28515625" customWidth="1"/>
    <col min="4" max="4" width="12.5703125" customWidth="1"/>
    <col min="5" max="5" width="6.28515625" customWidth="1"/>
    <col min="6" max="6" width="12.5703125" bestFit="1" customWidth="1"/>
    <col min="7" max="7" width="21" customWidth="1"/>
    <col min="8" max="8" width="21.85546875" customWidth="1"/>
    <col min="9" max="9" width="12.5703125" customWidth="1"/>
    <col min="10" max="10" width="12.5703125" bestFit="1" customWidth="1"/>
  </cols>
  <sheetData>
    <row r="1" spans="1:9" s="64" customFormat="1" x14ac:dyDescent="0.25">
      <c r="A1" s="206"/>
      <c r="B1" s="208"/>
      <c r="C1" s="208"/>
      <c r="D1" s="208"/>
      <c r="E1" s="208"/>
    </row>
    <row r="2" spans="1:9" s="64" customFormat="1" x14ac:dyDescent="0.25"/>
    <row r="4" spans="1:9" x14ac:dyDescent="0.25">
      <c r="G4" s="20" t="s">
        <v>197</v>
      </c>
      <c r="H4" s="20" t="s">
        <v>194</v>
      </c>
    </row>
    <row r="5" spans="1:9" x14ac:dyDescent="0.25">
      <c r="A5" s="64"/>
      <c r="B5" s="64"/>
      <c r="G5" s="20" t="s">
        <v>189</v>
      </c>
      <c r="H5" s="64" t="s">
        <v>233</v>
      </c>
      <c r="I5" s="64" t="s">
        <v>192</v>
      </c>
    </row>
    <row r="6" spans="1:9" x14ac:dyDescent="0.25">
      <c r="A6" s="64"/>
      <c r="B6" s="64"/>
      <c r="C6" s="64"/>
      <c r="D6" s="64"/>
      <c r="G6" s="9" t="s">
        <v>212</v>
      </c>
      <c r="H6" s="21">
        <v>27</v>
      </c>
      <c r="I6" s="21">
        <v>27</v>
      </c>
    </row>
    <row r="7" spans="1:9" x14ac:dyDescent="0.25">
      <c r="A7" s="9"/>
      <c r="B7" s="21"/>
      <c r="C7" s="21"/>
      <c r="D7" s="21"/>
      <c r="G7" s="9" t="s">
        <v>213</v>
      </c>
      <c r="H7" s="21">
        <v>29</v>
      </c>
      <c r="I7" s="21">
        <v>29</v>
      </c>
    </row>
    <row r="8" spans="1:9" x14ac:dyDescent="0.25">
      <c r="A8" s="9"/>
      <c r="B8" s="21"/>
      <c r="C8" s="21"/>
      <c r="D8" s="21"/>
      <c r="G8" s="9" t="s">
        <v>209</v>
      </c>
      <c r="H8" s="21">
        <v>30</v>
      </c>
      <c r="I8" s="21">
        <v>30</v>
      </c>
    </row>
    <row r="9" spans="1:9" x14ac:dyDescent="0.25">
      <c r="A9" s="9"/>
      <c r="B9" s="21"/>
      <c r="C9" s="21"/>
      <c r="D9" s="21"/>
      <c r="G9" s="9" t="s">
        <v>210</v>
      </c>
      <c r="H9" s="21">
        <v>29</v>
      </c>
      <c r="I9" s="21">
        <v>29</v>
      </c>
    </row>
    <row r="10" spans="1:9" x14ac:dyDescent="0.25">
      <c r="A10" s="9"/>
      <c r="B10" s="21"/>
      <c r="C10" s="21"/>
      <c r="D10" s="21"/>
      <c r="G10" s="9" t="s">
        <v>211</v>
      </c>
      <c r="H10" s="21">
        <v>32</v>
      </c>
      <c r="I10" s="21">
        <v>32</v>
      </c>
    </row>
    <row r="11" spans="1:9" x14ac:dyDescent="0.25">
      <c r="A11" s="9"/>
      <c r="B11" s="21"/>
      <c r="C11" s="21"/>
      <c r="D11" s="21"/>
      <c r="G11" s="9" t="s">
        <v>253</v>
      </c>
      <c r="H11" s="21">
        <v>21</v>
      </c>
      <c r="I11" s="21">
        <v>21</v>
      </c>
    </row>
    <row r="12" spans="1:9" x14ac:dyDescent="0.25">
      <c r="A12" s="9"/>
      <c r="B12" s="21"/>
      <c r="C12" s="21"/>
      <c r="D12" s="21"/>
      <c r="G12" s="9" t="s">
        <v>254</v>
      </c>
      <c r="H12" s="21">
        <v>13</v>
      </c>
      <c r="I12" s="21">
        <v>13</v>
      </c>
    </row>
    <row r="13" spans="1:9" x14ac:dyDescent="0.25">
      <c r="G13" s="9" t="s">
        <v>282</v>
      </c>
      <c r="H13" s="21">
        <v>20</v>
      </c>
      <c r="I13" s="21">
        <v>20</v>
      </c>
    </row>
    <row r="14" spans="1:9" x14ac:dyDescent="0.25">
      <c r="G14" s="9" t="s">
        <v>256</v>
      </c>
      <c r="H14" s="21">
        <v>25</v>
      </c>
      <c r="I14" s="21">
        <v>25</v>
      </c>
    </row>
    <row r="15" spans="1:9" x14ac:dyDescent="0.25">
      <c r="G15" s="9" t="s">
        <v>257</v>
      </c>
      <c r="H15" s="21">
        <v>32</v>
      </c>
      <c r="I15" s="21">
        <v>32</v>
      </c>
    </row>
    <row r="16" spans="1:9" x14ac:dyDescent="0.25">
      <c r="G16" s="9" t="s">
        <v>192</v>
      </c>
      <c r="H16" s="21">
        <v>258</v>
      </c>
      <c r="I16" s="21">
        <v>258</v>
      </c>
    </row>
    <row r="21" spans="1:8" x14ac:dyDescent="0.25">
      <c r="G21" s="20" t="s">
        <v>8</v>
      </c>
      <c r="H21" s="64" t="s">
        <v>191</v>
      </c>
    </row>
    <row r="23" spans="1:8" x14ac:dyDescent="0.25">
      <c r="A23" s="370"/>
      <c r="B23" s="370"/>
      <c r="C23" s="370"/>
      <c r="D23" s="370"/>
      <c r="E23" s="370"/>
      <c r="G23" s="20" t="s">
        <v>189</v>
      </c>
      <c r="H23" t="s">
        <v>197</v>
      </c>
    </row>
    <row r="24" spans="1:8" x14ac:dyDescent="0.25">
      <c r="G24" s="9" t="s">
        <v>233</v>
      </c>
      <c r="H24" s="191">
        <v>1</v>
      </c>
    </row>
    <row r="25" spans="1:8" x14ac:dyDescent="0.25">
      <c r="A25" s="64"/>
      <c r="B25" s="64"/>
      <c r="C25" s="64"/>
      <c r="D25" s="64"/>
      <c r="E25" s="64"/>
      <c r="G25" s="9" t="s">
        <v>192</v>
      </c>
      <c r="H25" s="191">
        <v>1</v>
      </c>
    </row>
    <row r="26" spans="1:8" x14ac:dyDescent="0.25">
      <c r="A26" s="64"/>
      <c r="B26" s="64"/>
      <c r="C26" s="64"/>
      <c r="D26" s="64"/>
      <c r="E26" s="64"/>
    </row>
    <row r="27" spans="1:8" x14ac:dyDescent="0.25">
      <c r="A27" s="64"/>
    </row>
    <row r="28" spans="1:8" x14ac:dyDescent="0.25">
      <c r="A28" s="9"/>
      <c r="B28" s="191"/>
    </row>
    <row r="29" spans="1:8" x14ac:dyDescent="0.25">
      <c r="A29" s="9"/>
      <c r="B29" s="191"/>
    </row>
    <row r="30" spans="1:8" x14ac:dyDescent="0.25">
      <c r="A30" s="9"/>
      <c r="B30" s="151"/>
    </row>
  </sheetData>
  <mergeCells count="1">
    <mergeCell ref="A23:E2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topLeftCell="A2" workbookViewId="0">
      <selection activeCell="S35" sqref="S3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2:L16"/>
  <sheetViews>
    <sheetView workbookViewId="0">
      <selection activeCell="A13" sqref="A13"/>
    </sheetView>
  </sheetViews>
  <sheetFormatPr baseColWidth="10" defaultRowHeight="15" x14ac:dyDescent="0.25"/>
  <cols>
    <col min="1" max="1" width="21" customWidth="1"/>
    <col min="2" max="3" width="21.85546875" customWidth="1"/>
    <col min="4" max="4" width="6.28515625" customWidth="1"/>
    <col min="5" max="5" width="12.5703125" bestFit="1" customWidth="1"/>
    <col min="8" max="8" width="21" bestFit="1" customWidth="1"/>
    <col min="9" max="9" width="21.85546875" customWidth="1"/>
  </cols>
  <sheetData>
    <row r="2" spans="1:12" x14ac:dyDescent="0.25">
      <c r="A2" s="371"/>
      <c r="B2" s="371"/>
      <c r="C2" s="371"/>
      <c r="D2" s="371"/>
      <c r="E2" s="371"/>
    </row>
    <row r="4" spans="1:12" x14ac:dyDescent="0.25">
      <c r="A4" s="64"/>
      <c r="B4" s="64"/>
      <c r="C4" s="64"/>
      <c r="D4" s="64"/>
      <c r="E4" s="64"/>
    </row>
    <row r="5" spans="1:12" x14ac:dyDescent="0.25">
      <c r="A5" s="64"/>
      <c r="B5" s="64"/>
      <c r="C5" s="64"/>
      <c r="D5" s="64"/>
      <c r="E5" s="64"/>
    </row>
    <row r="6" spans="1:12" x14ac:dyDescent="0.25">
      <c r="A6" s="64"/>
    </row>
    <row r="7" spans="1:12" x14ac:dyDescent="0.25">
      <c r="A7" s="9"/>
      <c r="B7" s="191"/>
    </row>
    <row r="8" spans="1:12" x14ac:dyDescent="0.25">
      <c r="A8" s="9"/>
      <c r="B8" s="191"/>
    </row>
    <row r="9" spans="1:12" x14ac:dyDescent="0.25">
      <c r="A9" s="9"/>
      <c r="B9" s="151"/>
    </row>
    <row r="10" spans="1:12" x14ac:dyDescent="0.25">
      <c r="A10" s="372" t="s">
        <v>200</v>
      </c>
      <c r="B10" s="372"/>
      <c r="C10" s="372"/>
      <c r="D10" s="372"/>
      <c r="E10" s="372"/>
      <c r="H10" s="372" t="s">
        <v>201</v>
      </c>
      <c r="I10" s="372"/>
      <c r="J10" s="372"/>
      <c r="K10" s="372"/>
      <c r="L10" s="372"/>
    </row>
    <row r="11" spans="1:12" x14ac:dyDescent="0.25">
      <c r="A11" s="20" t="s">
        <v>8</v>
      </c>
      <c r="B11" s="64" t="s">
        <v>191</v>
      </c>
      <c r="H11" s="20" t="s">
        <v>8</v>
      </c>
      <c r="I11" s="64" t="s">
        <v>191</v>
      </c>
    </row>
    <row r="13" spans="1:12" x14ac:dyDescent="0.25">
      <c r="A13" s="20" t="s">
        <v>189</v>
      </c>
      <c r="B13" t="s">
        <v>199</v>
      </c>
      <c r="H13" s="20" t="s">
        <v>189</v>
      </c>
      <c r="I13" t="s">
        <v>199</v>
      </c>
    </row>
    <row r="14" spans="1:12" x14ac:dyDescent="0.25">
      <c r="A14" s="9" t="s">
        <v>190</v>
      </c>
      <c r="B14" s="21"/>
      <c r="H14" s="9" t="s">
        <v>192</v>
      </c>
      <c r="I14" s="191" t="e">
        <v>#DIV/0!</v>
      </c>
    </row>
    <row r="15" spans="1:12" x14ac:dyDescent="0.25">
      <c r="A15" s="9" t="s">
        <v>335</v>
      </c>
      <c r="B15" s="21">
        <v>251</v>
      </c>
    </row>
    <row r="16" spans="1:12" x14ac:dyDescent="0.25">
      <c r="A16" s="9" t="s">
        <v>192</v>
      </c>
      <c r="B16" s="21">
        <v>251</v>
      </c>
    </row>
  </sheetData>
  <mergeCells count="3">
    <mergeCell ref="A2:E2"/>
    <mergeCell ref="A10:E10"/>
    <mergeCell ref="H10:L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36</vt:i4>
      </vt:variant>
      <vt:variant>
        <vt:lpstr>Graphiques</vt:lpstr>
      </vt:variant>
      <vt:variant>
        <vt:i4>55</vt:i4>
      </vt:variant>
      <vt:variant>
        <vt:lpstr>Plages nommées</vt:lpstr>
      </vt:variant>
      <vt:variant>
        <vt:i4>3</vt:i4>
      </vt:variant>
    </vt:vector>
  </HeadingPairs>
  <TitlesOfParts>
    <vt:vector size="94" baseType="lpstr">
      <vt:lpstr>Données </vt:lpstr>
      <vt:lpstr>TAVI</vt:lpstr>
      <vt:lpstr>PM-AICD</vt:lpstr>
      <vt:lpstr>Divers</vt:lpstr>
      <vt:lpstr> mensuel</vt:lpstr>
      <vt:lpstr>annuel</vt:lpstr>
      <vt:lpstr>Références</vt:lpstr>
      <vt:lpstr>Lieu_Activité</vt:lpstr>
      <vt:lpstr>Pivot-Prov</vt:lpstr>
      <vt:lpstr>Pivot-cardiologue</vt:lpstr>
      <vt:lpstr>Pivotr-Type Int</vt:lpstr>
      <vt:lpstr>Pivot_Valves</vt:lpstr>
      <vt:lpstr>Pivot délai intervention</vt:lpstr>
      <vt:lpstr>Pivot_Survie</vt:lpstr>
      <vt:lpstr>Pivot_USI</vt:lpstr>
      <vt:lpstr>CALCULS_USI</vt:lpstr>
      <vt:lpstr>Pivot_Hospi</vt:lpstr>
      <vt:lpstr>CALCULS_Hospi</vt:lpstr>
      <vt:lpstr>Pivot-Rév&lt;24h</vt:lpstr>
      <vt:lpstr>Pivot-Réhospi&lt;30j</vt:lpstr>
      <vt:lpstr>Pivot-Réhospi&lt;30j (2)</vt:lpstr>
      <vt:lpstr>Pivot-Inf</vt:lpstr>
      <vt:lpstr>Pivot-Inf (2)</vt:lpstr>
      <vt:lpstr>Pivot-AVC</vt:lpstr>
      <vt:lpstr>Gr_AVC</vt:lpstr>
      <vt:lpstr>Pivot_IM</vt:lpstr>
      <vt:lpstr>Pivot-Transf&gt;48H</vt:lpstr>
      <vt:lpstr>Pivot-Transf&gt;48H (2)</vt:lpstr>
      <vt:lpstr>Pivot-Transf&lt;48H</vt:lpstr>
      <vt:lpstr>Pivot-Transf&lt;48H (2)</vt:lpstr>
      <vt:lpstr>Pivot-Transf_Tout</vt:lpstr>
      <vt:lpstr>Pivot-Transf_Tout (2)</vt:lpstr>
      <vt:lpstr>Test_Hide</vt:lpstr>
      <vt:lpstr>Pivot_HT</vt:lpstr>
      <vt:lpstr>Gr_HT</vt:lpstr>
      <vt:lpstr>Pivot &gt;80 ans</vt:lpstr>
      <vt:lpstr>Gr_Prov-Global</vt:lpstr>
      <vt:lpstr>Gr_Prov_Mens</vt:lpstr>
      <vt:lpstr>Gr_Type Int Intranet</vt:lpstr>
      <vt:lpstr>Gr Type int Stat</vt:lpstr>
      <vt:lpstr>Gr_Type_Int_Gl (2</vt:lpstr>
      <vt:lpstr>Gr_Type_Int_Mens</vt:lpstr>
      <vt:lpstr>Gr_ Comp année</vt:lpstr>
      <vt:lpstr>Gr_Valves_Global</vt:lpstr>
      <vt:lpstr>Gr_Valves_Mens</vt:lpstr>
      <vt:lpstr>GR Statut selon délai </vt:lpstr>
      <vt:lpstr>Gr_délai intervention global</vt:lpstr>
      <vt:lpstr>Gr_délai_intervention_DCD</vt:lpstr>
      <vt:lpstr>Gr_Survie_Global</vt:lpstr>
      <vt:lpstr>Gr_Survie_Global (2)</vt:lpstr>
      <vt:lpstr>Gr_Survie_Mens</vt:lpstr>
      <vt:lpstr>Gr USI_Toutes_Mens_Médiane</vt:lpstr>
      <vt:lpstr>Gr USI_Toutes_Mens_ET</vt:lpstr>
      <vt:lpstr>Gr_USI_Hors_ Mens_Médiane</vt:lpstr>
      <vt:lpstr>Gr_USI_Hors_ Mens_ET</vt:lpstr>
      <vt:lpstr>Gr_USI_LVAD-TX_ Mens_Médiane</vt:lpstr>
      <vt:lpstr>Gr_USI_LVAD-TX_ Mens_ET</vt:lpstr>
      <vt:lpstr>Gr_Hospi_Toutes_Mens_Médiane</vt:lpstr>
      <vt:lpstr>Gr_Hospi_Toutes_Mens_ET</vt:lpstr>
      <vt:lpstr>Gr_Hospi hors_ Mens_Médiane</vt:lpstr>
      <vt:lpstr>Gr_Hospi hors_ Mens_ET</vt:lpstr>
      <vt:lpstr>Gr_Hopsi_LVAD-TX Mens_Médiane</vt:lpstr>
      <vt:lpstr>Gr_Hopsi_LVAD-TX Mens_ET</vt:lpstr>
      <vt:lpstr>Gr_Rév&lt;24h_ Gl</vt:lpstr>
      <vt:lpstr>Gr_Rév&lt;24h Global</vt:lpstr>
      <vt:lpstr>Gr_Rév&lt;24h_Mens</vt:lpstr>
      <vt:lpstr>Gr_Réhospi&lt;30j_Global</vt:lpstr>
      <vt:lpstr>Gr_Réhospi&lt;30j_Global (2)</vt:lpstr>
      <vt:lpstr>Gr_Réhospi&lt;30j_Mens</vt:lpstr>
      <vt:lpstr>Gr_Inf_Gobal% (2)</vt:lpstr>
      <vt:lpstr>Gr_inf_Mens%</vt:lpstr>
      <vt:lpstr>Gr_Inf_Mens_NB</vt:lpstr>
      <vt:lpstr>Gr_Nb moy par pat inf</vt:lpstr>
      <vt:lpstr>Gr_IM</vt:lpstr>
      <vt:lpstr>Gr_Transf&gt;48H_Global</vt:lpstr>
      <vt:lpstr>Gr_Transf&gt;48H_HORS</vt:lpstr>
      <vt:lpstr>Gr_Transf&gt;24h_Global-</vt:lpstr>
      <vt:lpstr>Gr-Transf&gt;24H_Mens_NB</vt:lpstr>
      <vt:lpstr>Gr-Transf&gt;24H_Mens_%</vt:lpstr>
      <vt:lpstr>Gr_ Nb moy tranf &gt;24h_Mens</vt:lpstr>
      <vt:lpstr>Gr_Transf&lt;24H_Global (2)</vt:lpstr>
      <vt:lpstr>Gr_Transf&lt;24_Mens_Nb</vt:lpstr>
      <vt:lpstr>Gr_Transf&lt;24h_Mens_%</vt:lpstr>
      <vt:lpstr>Gr_moy tranf&lt;24h_Mens</vt:lpstr>
      <vt:lpstr>Gr_Transf&lt;48h Hors</vt:lpstr>
      <vt:lpstr>Gr_Transf_Tout_GLOBAL</vt:lpstr>
      <vt:lpstr>Gr_Transf_Tout_Global (2)</vt:lpstr>
      <vt:lpstr>Gr_Transf_Tout_Mens_Nb</vt:lpstr>
      <vt:lpstr>Gr_Transf_Tout_Mens_%</vt:lpstr>
      <vt:lpstr>Gr_moy tranf_Tout_Mens</vt:lpstr>
      <vt:lpstr>Gr-&gt;80 ans</vt:lpstr>
      <vt:lpstr>annuel!Impression_des_titres</vt:lpstr>
      <vt:lpstr>stats</vt:lpstr>
      <vt:lpstr>'Données '!Zone_d_impression</vt:lpstr>
    </vt:vector>
  </TitlesOfParts>
  <Company>Hopital Erasme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Rigaux  Karen</dc:creator>
  <cp:lastModifiedBy>Rigaux  Karen</cp:lastModifiedBy>
  <cp:revision/>
  <cp:lastPrinted>2017-11-15T13:45:47Z</cp:lastPrinted>
  <dcterms:created xsi:type="dcterms:W3CDTF">2016-04-06T07:34:59Z</dcterms:created>
  <dcterms:modified xsi:type="dcterms:W3CDTF">2017-11-22T14:41:59Z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Statistiques CCA 2016 bis - Sauvegarde du 2016_07_01.xlsx</vt:lpwstr>
  </property>
</Properties>
</file>