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120" windowWidth="24000" windowHeight="7890" firstSheet="18" activeTab="8"/>
  </bookViews>
  <sheets>
    <sheet name="Valo" sheetId="7" r:id="rId1"/>
    <sheet name="Dépenses" sheetId="1" r:id="rId2"/>
    <sheet name="Salaires" sheetId="2" r:id="rId3"/>
    <sheet name="Analytique" sheetId="5" r:id="rId4"/>
    <sheet name="Recap dep rec" sheetId="6" r:id="rId5"/>
    <sheet name="Budget Global 2018" sheetId="31" r:id="rId6"/>
    <sheet name="Gouvernance A" sheetId="22" r:id="rId7"/>
    <sheet name="Ecosysteme B" sheetId="23" r:id="rId8"/>
    <sheet name="modele" sheetId="38" r:id="rId9"/>
    <sheet name="Mice Place " sheetId="8" r:id="rId10"/>
    <sheet name="SBE LYON" sheetId="28" r:id="rId11"/>
    <sheet name="Heavent " sheetId="9" r:id="rId12"/>
    <sheet name="Imex " sheetId="10" r:id="rId13"/>
    <sheet name="Workshop Allemagne" sheetId="12" r:id="rId14"/>
    <sheet name="Actions 1er semestre 2018" sheetId="29" r:id="rId15"/>
    <sheet name="Eductours 1et 2" sheetId="13" r:id="rId16"/>
    <sheet name="Workshop UK" sheetId="18" r:id="rId17"/>
    <sheet name="Operation Paris ete" sheetId="32" r:id="rId18"/>
    <sheet name="Workshop Lyon" sheetId="33" r:id="rId19"/>
    <sheet name="Operation Paris C12" sheetId="20" r:id="rId20"/>
    <sheet name="IBTM" sheetId="19" r:id="rId21"/>
    <sheet name="Soutien au dvp international" sheetId="21" r:id="rId22"/>
    <sheet name="Eductour Belge" sheetId="16" r:id="rId23"/>
    <sheet name="MP2" sheetId="35" r:id="rId24"/>
    <sheet name="Demarchages europe " sheetId="25" r:id="rId25"/>
    <sheet name="Application WACAN" sheetId="17" r:id="rId26"/>
    <sheet name="Action Second semestre " sheetId="30" r:id="rId27"/>
    <sheet name="Cellule Gds EV" sheetId="36" r:id="rId28"/>
    <sheet name="Budget D" sheetId="24" r:id="rId29"/>
  </sheets>
  <externalReferences>
    <externalReference r:id="rId30"/>
    <externalReference r:id="rId31"/>
  </externalReferences>
  <definedNames>
    <definedName name="choix">#REF!</definedName>
    <definedName name="test">modele!#REF!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5" i="38" l="1"/>
  <c r="E36" i="38"/>
  <c r="E37" i="38"/>
  <c r="E38" i="38"/>
  <c r="E39" i="38"/>
  <c r="E40" i="38"/>
  <c r="E41" i="38"/>
  <c r="E42" i="38"/>
  <c r="E43" i="38"/>
  <c r="E44" i="38"/>
  <c r="E45" i="38"/>
  <c r="E46" i="38"/>
  <c r="E47" i="38"/>
  <c r="E48" i="38"/>
  <c r="E49" i="38"/>
  <c r="E50" i="38"/>
  <c r="E51" i="38"/>
  <c r="E52" i="38"/>
  <c r="E34" i="38"/>
  <c r="C29" i="38"/>
  <c r="C28" i="38"/>
  <c r="C5" i="38"/>
  <c r="C8" i="38"/>
  <c r="A21" i="38"/>
  <c r="C21" i="38" s="1"/>
  <c r="A20" i="38"/>
  <c r="C20" i="38" s="1"/>
  <c r="A19" i="38"/>
  <c r="C19" i="38" s="1"/>
  <c r="A18" i="38"/>
  <c r="C18" i="38" s="1"/>
  <c r="A17" i="38"/>
  <c r="C17" i="38" s="1"/>
  <c r="A16" i="38"/>
  <c r="C16" i="38" s="1"/>
  <c r="A15" i="38"/>
  <c r="C15" i="38" s="1"/>
  <c r="A14" i="38"/>
  <c r="C14" i="38" s="1"/>
  <c r="A27" i="38"/>
  <c r="C27" i="38" s="1"/>
  <c r="A13" i="38"/>
  <c r="C13" i="38" s="1"/>
  <c r="A12" i="38"/>
  <c r="C12" i="38" s="1"/>
  <c r="A11" i="38"/>
  <c r="C11" i="38" s="1"/>
  <c r="A10" i="38"/>
  <c r="C10" i="38" s="1"/>
  <c r="A9" i="38"/>
  <c r="C9" i="38" s="1"/>
  <c r="A8" i="38"/>
  <c r="A26" i="38"/>
  <c r="C26" i="38" s="1"/>
  <c r="A7" i="38"/>
  <c r="C7" i="38" s="1"/>
  <c r="A6" i="38"/>
  <c r="C6" i="38" s="1"/>
  <c r="A5" i="38"/>
  <c r="A4" i="38"/>
  <c r="C4" i="38" s="1"/>
  <c r="E32" i="38" l="1"/>
  <c r="C22" i="38"/>
  <c r="L7" i="6"/>
  <c r="H7" i="6"/>
  <c r="C12" i="17" s="1"/>
  <c r="O7" i="6"/>
  <c r="C12" i="32" s="1"/>
  <c r="M7" i="6"/>
  <c r="C12" i="13" s="1"/>
  <c r="O27" i="6"/>
  <c r="O42" i="6" s="1"/>
  <c r="M27" i="6"/>
  <c r="M42" i="6" s="1"/>
  <c r="L3" i="6"/>
  <c r="L4" i="6"/>
  <c r="L5" i="6"/>
  <c r="C7" i="12" s="1"/>
  <c r="B7" i="29" s="1"/>
  <c r="L6" i="6"/>
  <c r="L8" i="6"/>
  <c r="L9" i="6"/>
  <c r="C14" i="12" s="1"/>
  <c r="B14" i="29" s="1"/>
  <c r="L10" i="6"/>
  <c r="C15" i="12" s="1"/>
  <c r="B15" i="29" s="1"/>
  <c r="L11" i="6"/>
  <c r="C16" i="12" s="1"/>
  <c r="L12" i="6"/>
  <c r="C17" i="12" s="1"/>
  <c r="B17" i="29" s="1"/>
  <c r="L13" i="6"/>
  <c r="L14" i="6"/>
  <c r="L15" i="6"/>
  <c r="L16" i="6"/>
  <c r="C25" i="12" s="1"/>
  <c r="B25" i="29" s="1"/>
  <c r="L17" i="6"/>
  <c r="C26" i="12" s="1"/>
  <c r="B26" i="29" s="1"/>
  <c r="L19" i="6"/>
  <c r="L20" i="6"/>
  <c r="L21" i="6"/>
  <c r="L22" i="6"/>
  <c r="C33" i="12" s="1"/>
  <c r="B33" i="29" s="1"/>
  <c r="L23" i="6"/>
  <c r="C34" i="12" s="1"/>
  <c r="B34" i="29" s="1"/>
  <c r="L24" i="6"/>
  <c r="C37" i="12" s="1"/>
  <c r="B37" i="29" s="1"/>
  <c r="L25" i="6"/>
  <c r="L26" i="6"/>
  <c r="L27" i="6"/>
  <c r="L42" i="6" s="1"/>
  <c r="H3" i="6"/>
  <c r="H4" i="6"/>
  <c r="C6" i="17" s="1"/>
  <c r="H5" i="6"/>
  <c r="C7" i="17" s="1"/>
  <c r="H6" i="6"/>
  <c r="C8" i="17" s="1"/>
  <c r="B8" i="30" s="1"/>
  <c r="B8" i="31" s="1"/>
  <c r="H8" i="6"/>
  <c r="C13" i="17" s="1"/>
  <c r="H9" i="6"/>
  <c r="C14" i="17" s="1"/>
  <c r="H10" i="6"/>
  <c r="C15" i="17" s="1"/>
  <c r="H11" i="6"/>
  <c r="C16" i="17" s="1"/>
  <c r="H12" i="6"/>
  <c r="C17" i="17" s="1"/>
  <c r="H13" i="6"/>
  <c r="H14" i="6"/>
  <c r="C22" i="17" s="1"/>
  <c r="H15" i="6"/>
  <c r="C24" i="17" s="1"/>
  <c r="H16" i="6"/>
  <c r="C25" i="17" s="1"/>
  <c r="H17" i="6"/>
  <c r="C26" i="17" s="1"/>
  <c r="H18" i="6"/>
  <c r="H19" i="6"/>
  <c r="C27" i="17" s="1"/>
  <c r="H20" i="6"/>
  <c r="C30" i="17" s="1"/>
  <c r="H21" i="6"/>
  <c r="C31" i="17" s="1"/>
  <c r="H22" i="6"/>
  <c r="C33" i="17" s="1"/>
  <c r="H23" i="6"/>
  <c r="C34" i="17" s="1"/>
  <c r="H24" i="6"/>
  <c r="C37" i="17" s="1"/>
  <c r="H25" i="6"/>
  <c r="H26" i="6"/>
  <c r="C46" i="17" s="1"/>
  <c r="H27" i="6"/>
  <c r="O3" i="6"/>
  <c r="O4" i="6"/>
  <c r="O5" i="6"/>
  <c r="O6" i="6"/>
  <c r="O8" i="6"/>
  <c r="O9" i="6"/>
  <c r="O10" i="6"/>
  <c r="C15" i="32" s="1"/>
  <c r="O11" i="6"/>
  <c r="O12" i="6"/>
  <c r="C17" i="32" s="1"/>
  <c r="O13" i="6"/>
  <c r="O14" i="6"/>
  <c r="C22" i="32" s="1"/>
  <c r="O15" i="6"/>
  <c r="C24" i="32" s="1"/>
  <c r="O16" i="6"/>
  <c r="O17" i="6"/>
  <c r="C26" i="32" s="1"/>
  <c r="O19" i="6"/>
  <c r="C27" i="32" s="1"/>
  <c r="O20" i="6"/>
  <c r="C30" i="32" s="1"/>
  <c r="O21" i="6"/>
  <c r="O22" i="6"/>
  <c r="O23" i="6"/>
  <c r="C34" i="32" s="1"/>
  <c r="O24" i="6"/>
  <c r="O25" i="6"/>
  <c r="C41" i="32" s="1"/>
  <c r="O26" i="6"/>
  <c r="M3" i="6"/>
  <c r="C5" i="13" s="1"/>
  <c r="M4" i="6"/>
  <c r="C6" i="13" s="1"/>
  <c r="M5" i="6"/>
  <c r="M6" i="6"/>
  <c r="M8" i="6"/>
  <c r="M9" i="6"/>
  <c r="C14" i="13" s="1"/>
  <c r="M10" i="6"/>
  <c r="M11" i="6"/>
  <c r="M12" i="6"/>
  <c r="M13" i="6"/>
  <c r="M14" i="6"/>
  <c r="C22" i="13" s="1"/>
  <c r="M15" i="6"/>
  <c r="M16" i="6"/>
  <c r="C25" i="13" s="1"/>
  <c r="M17" i="6"/>
  <c r="M19" i="6"/>
  <c r="C27" i="13" s="1"/>
  <c r="M20" i="6"/>
  <c r="C30" i="13" s="1"/>
  <c r="M21" i="6"/>
  <c r="C31" i="13" s="1"/>
  <c r="M22" i="6"/>
  <c r="M23" i="6"/>
  <c r="M24" i="6"/>
  <c r="M25" i="6"/>
  <c r="M26" i="6"/>
  <c r="C5" i="17"/>
  <c r="F28" i="31"/>
  <c r="E23" i="1"/>
  <c r="E20" i="5"/>
  <c r="E149" i="5"/>
  <c r="O32" i="1"/>
  <c r="O31" i="1"/>
  <c r="O30" i="1"/>
  <c r="W33" i="6"/>
  <c r="G44" i="36"/>
  <c r="G41" i="36"/>
  <c r="C51" i="36"/>
  <c r="G50" i="36"/>
  <c r="G55" i="36"/>
  <c r="G39" i="36"/>
  <c r="C5" i="36"/>
  <c r="W4" i="6"/>
  <c r="C6" i="36"/>
  <c r="W5" i="6"/>
  <c r="C7" i="36"/>
  <c r="W6" i="6"/>
  <c r="C8" i="36"/>
  <c r="F20" i="5"/>
  <c r="AA20" i="5"/>
  <c r="W7" i="6"/>
  <c r="C12" i="36"/>
  <c r="W8" i="6"/>
  <c r="C13" i="36"/>
  <c r="W9" i="6"/>
  <c r="C14" i="36"/>
  <c r="W10" i="6"/>
  <c r="C15" i="36"/>
  <c r="W11" i="6"/>
  <c r="C16" i="36"/>
  <c r="W12" i="6"/>
  <c r="C17" i="36"/>
  <c r="W14" i="6"/>
  <c r="C22" i="36"/>
  <c r="W15" i="6"/>
  <c r="C24" i="36"/>
  <c r="W16" i="6"/>
  <c r="C25" i="36"/>
  <c r="W17" i="6"/>
  <c r="C26" i="36"/>
  <c r="W19" i="6"/>
  <c r="C27" i="36"/>
  <c r="W20" i="6"/>
  <c r="C30" i="36"/>
  <c r="W21" i="6"/>
  <c r="C31" i="36"/>
  <c r="E14" i="2"/>
  <c r="AA149" i="5"/>
  <c r="W22" i="6"/>
  <c r="C33" i="36"/>
  <c r="W23" i="6"/>
  <c r="C34" i="36"/>
  <c r="W24" i="6"/>
  <c r="C37" i="36"/>
  <c r="W25" i="6"/>
  <c r="C41" i="36"/>
  <c r="W26" i="6"/>
  <c r="C46" i="36"/>
  <c r="C52" i="36"/>
  <c r="C53" i="36"/>
  <c r="C55" i="36"/>
  <c r="H28" i="36"/>
  <c r="AB40" i="6"/>
  <c r="C40" i="6"/>
  <c r="C33" i="6"/>
  <c r="W41" i="6"/>
  <c r="W40" i="6"/>
  <c r="F14" i="2"/>
  <c r="F18" i="2"/>
  <c r="G14" i="2"/>
  <c r="G18" i="2"/>
  <c r="G25" i="2"/>
  <c r="D3" i="6"/>
  <c r="E3" i="6"/>
  <c r="C3" i="6"/>
  <c r="AB3" i="6"/>
  <c r="F42" i="31"/>
  <c r="F44" i="31"/>
  <c r="F45" i="31"/>
  <c r="C42" i="24"/>
  <c r="B42" i="31"/>
  <c r="D11" i="6"/>
  <c r="C16" i="22"/>
  <c r="E11" i="6"/>
  <c r="C16" i="23"/>
  <c r="B16" i="31"/>
  <c r="H148" i="5"/>
  <c r="H158" i="5"/>
  <c r="I148" i="5"/>
  <c r="I158" i="5"/>
  <c r="AA158" i="5"/>
  <c r="E158" i="5"/>
  <c r="AH158" i="5"/>
  <c r="AF3" i="5"/>
  <c r="I14" i="2"/>
  <c r="I18" i="2"/>
  <c r="K148" i="5"/>
  <c r="K158" i="5"/>
  <c r="J14" i="2"/>
  <c r="J18" i="2"/>
  <c r="L148" i="5"/>
  <c r="L158" i="5"/>
  <c r="K14" i="2"/>
  <c r="K18" i="2"/>
  <c r="M148" i="5"/>
  <c r="M158" i="5"/>
  <c r="L14" i="2"/>
  <c r="L18" i="2"/>
  <c r="N148" i="5"/>
  <c r="N158" i="5"/>
  <c r="M14" i="2"/>
  <c r="M18" i="2"/>
  <c r="O148" i="5"/>
  <c r="O158" i="5"/>
  <c r="X14" i="2"/>
  <c r="X18" i="2"/>
  <c r="Z148" i="5"/>
  <c r="Z158" i="5"/>
  <c r="AG158" i="5"/>
  <c r="F41" i="31"/>
  <c r="E152" i="1"/>
  <c r="E166" i="1"/>
  <c r="E159" i="5"/>
  <c r="A7" i="1"/>
  <c r="B7" i="1"/>
  <c r="C7" i="1"/>
  <c r="E7" i="1"/>
  <c r="A8" i="1"/>
  <c r="B8" i="1"/>
  <c r="C8" i="1"/>
  <c r="E8" i="1"/>
  <c r="A9" i="1"/>
  <c r="B9" i="1"/>
  <c r="C9" i="1"/>
  <c r="E9" i="1"/>
  <c r="A10" i="1"/>
  <c r="B10" i="1"/>
  <c r="C10" i="1"/>
  <c r="E10" i="1"/>
  <c r="A11" i="1"/>
  <c r="B11" i="1"/>
  <c r="C11" i="1"/>
  <c r="E11" i="1"/>
  <c r="A12" i="1"/>
  <c r="B12" i="1"/>
  <c r="C12" i="1"/>
  <c r="E12" i="1"/>
  <c r="A13" i="1"/>
  <c r="B13" i="1"/>
  <c r="C13" i="1"/>
  <c r="E13" i="1"/>
  <c r="A14" i="1"/>
  <c r="B14" i="1"/>
  <c r="C14" i="1"/>
  <c r="E14" i="1"/>
  <c r="A15" i="1"/>
  <c r="B15" i="1"/>
  <c r="C15" i="1"/>
  <c r="E15" i="1"/>
  <c r="A16" i="1"/>
  <c r="B16" i="1"/>
  <c r="C16" i="1"/>
  <c r="E16" i="1"/>
  <c r="A17" i="1"/>
  <c r="B17" i="1"/>
  <c r="C17" i="1"/>
  <c r="E17" i="1"/>
  <c r="A18" i="1"/>
  <c r="B18" i="1"/>
  <c r="C18" i="1"/>
  <c r="E18" i="1"/>
  <c r="A19" i="1"/>
  <c r="B19" i="1"/>
  <c r="C19" i="1"/>
  <c r="E19" i="1"/>
  <c r="A20" i="1"/>
  <c r="B20" i="1"/>
  <c r="C20" i="1"/>
  <c r="E20" i="1"/>
  <c r="A21" i="1"/>
  <c r="B21" i="1"/>
  <c r="C21" i="1"/>
  <c r="E21" i="1"/>
  <c r="A22" i="1"/>
  <c r="B22" i="1"/>
  <c r="C22" i="1"/>
  <c r="E22" i="1"/>
  <c r="A23" i="1"/>
  <c r="B23" i="1"/>
  <c r="C23" i="1"/>
  <c r="A24" i="1"/>
  <c r="B24" i="1"/>
  <c r="C24" i="1"/>
  <c r="E24" i="1"/>
  <c r="A25" i="1"/>
  <c r="B25" i="1"/>
  <c r="C25" i="1"/>
  <c r="E25" i="1"/>
  <c r="A26" i="1"/>
  <c r="B26" i="1"/>
  <c r="C26" i="1"/>
  <c r="E26" i="1"/>
  <c r="A27" i="1"/>
  <c r="B27" i="1"/>
  <c r="C27" i="1"/>
  <c r="E27" i="1"/>
  <c r="A28" i="1"/>
  <c r="B28" i="1"/>
  <c r="C28" i="1"/>
  <c r="E28" i="1"/>
  <c r="A29" i="1"/>
  <c r="B29" i="1"/>
  <c r="C29" i="1"/>
  <c r="E29" i="1"/>
  <c r="A30" i="1"/>
  <c r="B30" i="1"/>
  <c r="C30" i="1"/>
  <c r="E30" i="1"/>
  <c r="A31" i="1"/>
  <c r="B31" i="1"/>
  <c r="C31" i="1"/>
  <c r="E31" i="1"/>
  <c r="A32" i="1"/>
  <c r="B32" i="1"/>
  <c r="C32" i="1"/>
  <c r="E32" i="1"/>
  <c r="A33" i="1"/>
  <c r="B33" i="1"/>
  <c r="C33" i="1"/>
  <c r="E33" i="1"/>
  <c r="A34" i="1"/>
  <c r="B34" i="1"/>
  <c r="C34" i="1"/>
  <c r="E34" i="1"/>
  <c r="A35" i="1"/>
  <c r="B35" i="1"/>
  <c r="C35" i="1"/>
  <c r="E35" i="1"/>
  <c r="A36" i="1"/>
  <c r="B36" i="1"/>
  <c r="C36" i="1"/>
  <c r="E36" i="1"/>
  <c r="A37" i="1"/>
  <c r="B37" i="1"/>
  <c r="C37" i="1"/>
  <c r="E37" i="1"/>
  <c r="A38" i="1"/>
  <c r="B38" i="1"/>
  <c r="C38" i="1"/>
  <c r="E38" i="1"/>
  <c r="A39" i="1"/>
  <c r="B39" i="1"/>
  <c r="C39" i="1"/>
  <c r="E39" i="1"/>
  <c r="A40" i="1"/>
  <c r="B40" i="1"/>
  <c r="C40" i="1"/>
  <c r="E40" i="1"/>
  <c r="A41" i="1"/>
  <c r="B41" i="1"/>
  <c r="C41" i="1"/>
  <c r="E41" i="1"/>
  <c r="A42" i="1"/>
  <c r="B42" i="1"/>
  <c r="C42" i="1"/>
  <c r="E42" i="1"/>
  <c r="A43" i="1"/>
  <c r="B43" i="1"/>
  <c r="C43" i="1"/>
  <c r="E43" i="1"/>
  <c r="A44" i="1"/>
  <c r="B44" i="1"/>
  <c r="C44" i="1"/>
  <c r="E44" i="1"/>
  <c r="A45" i="1"/>
  <c r="B45" i="1"/>
  <c r="C45" i="1"/>
  <c r="E45" i="1"/>
  <c r="A46" i="1"/>
  <c r="B46" i="1"/>
  <c r="C46" i="1"/>
  <c r="E46" i="1"/>
  <c r="A47" i="1"/>
  <c r="B47" i="1"/>
  <c r="E47" i="1"/>
  <c r="A48" i="1"/>
  <c r="B48" i="1"/>
  <c r="C48" i="1"/>
  <c r="E48" i="1"/>
  <c r="A49" i="1"/>
  <c r="B49" i="1"/>
  <c r="C49" i="1"/>
  <c r="E49" i="1"/>
  <c r="A50" i="1"/>
  <c r="B50" i="1"/>
  <c r="C50" i="1"/>
  <c r="E50" i="1"/>
  <c r="A51" i="1"/>
  <c r="B51" i="1"/>
  <c r="C51" i="1"/>
  <c r="E51" i="1"/>
  <c r="A52" i="1"/>
  <c r="B52" i="1"/>
  <c r="C52" i="1"/>
  <c r="E52" i="1"/>
  <c r="A53" i="1"/>
  <c r="B53" i="1"/>
  <c r="C53" i="1"/>
  <c r="E53" i="1"/>
  <c r="A54" i="1"/>
  <c r="B54" i="1"/>
  <c r="C54" i="1"/>
  <c r="E54" i="1"/>
  <c r="A55" i="1"/>
  <c r="B55" i="1"/>
  <c r="C55" i="1"/>
  <c r="E55" i="1"/>
  <c r="A56" i="1"/>
  <c r="B56" i="1"/>
  <c r="C56" i="1"/>
  <c r="E56" i="1"/>
  <c r="A57" i="1"/>
  <c r="B57" i="1"/>
  <c r="C57" i="1"/>
  <c r="E57" i="1"/>
  <c r="A58" i="1"/>
  <c r="B58" i="1"/>
  <c r="C58" i="1"/>
  <c r="E58" i="1"/>
  <c r="A59" i="1"/>
  <c r="B59" i="1"/>
  <c r="C59" i="1"/>
  <c r="E59" i="1"/>
  <c r="A60" i="1"/>
  <c r="B60" i="1"/>
  <c r="C60" i="1"/>
  <c r="E60" i="1"/>
  <c r="A61" i="1"/>
  <c r="B61" i="1"/>
  <c r="C61" i="1"/>
  <c r="E61" i="1"/>
  <c r="A62" i="1"/>
  <c r="B62" i="1"/>
  <c r="C62" i="1"/>
  <c r="E62" i="1"/>
  <c r="A63" i="1"/>
  <c r="B63" i="1"/>
  <c r="C63" i="1"/>
  <c r="E63" i="1"/>
  <c r="A64" i="1"/>
  <c r="B64" i="1"/>
  <c r="C64" i="1"/>
  <c r="E64" i="1"/>
  <c r="A65" i="1"/>
  <c r="B65" i="1"/>
  <c r="C65" i="1"/>
  <c r="E65" i="1"/>
  <c r="A66" i="1"/>
  <c r="B66" i="1"/>
  <c r="C66" i="1"/>
  <c r="E66" i="1"/>
  <c r="A67" i="1"/>
  <c r="B67" i="1"/>
  <c r="C67" i="1"/>
  <c r="E67" i="1"/>
  <c r="A68" i="1"/>
  <c r="B68" i="1"/>
  <c r="C68" i="1"/>
  <c r="E68" i="1"/>
  <c r="A69" i="1"/>
  <c r="B69" i="1"/>
  <c r="C69" i="1"/>
  <c r="E69" i="1"/>
  <c r="A70" i="1"/>
  <c r="B70" i="1"/>
  <c r="C70" i="1"/>
  <c r="E70" i="1"/>
  <c r="A71" i="1"/>
  <c r="B71" i="1"/>
  <c r="C71" i="1"/>
  <c r="E71" i="1"/>
  <c r="A72" i="1"/>
  <c r="B72" i="1"/>
  <c r="C72" i="1"/>
  <c r="E72" i="1"/>
  <c r="A73" i="1"/>
  <c r="B73" i="1"/>
  <c r="C73" i="1"/>
  <c r="E73" i="1"/>
  <c r="A74" i="1"/>
  <c r="B74" i="1"/>
  <c r="C74" i="1"/>
  <c r="E74" i="1"/>
  <c r="A75" i="1"/>
  <c r="B75" i="1"/>
  <c r="C75" i="1"/>
  <c r="E75" i="1"/>
  <c r="A76" i="1"/>
  <c r="B76" i="1"/>
  <c r="C76" i="1"/>
  <c r="E76" i="1"/>
  <c r="A77" i="1"/>
  <c r="B77" i="1"/>
  <c r="C77" i="1"/>
  <c r="E77" i="1"/>
  <c r="A78" i="1"/>
  <c r="B78" i="1"/>
  <c r="C78" i="1"/>
  <c r="E78" i="1"/>
  <c r="A79" i="1"/>
  <c r="B79" i="1"/>
  <c r="C79" i="1"/>
  <c r="E79" i="1"/>
  <c r="A80" i="1"/>
  <c r="B80" i="1"/>
  <c r="C80" i="1"/>
  <c r="E80" i="1"/>
  <c r="A81" i="1"/>
  <c r="B81" i="1"/>
  <c r="C81" i="1"/>
  <c r="E81" i="1"/>
  <c r="A82" i="1"/>
  <c r="B82" i="1"/>
  <c r="C82" i="1"/>
  <c r="E82" i="1"/>
  <c r="A83" i="1"/>
  <c r="B83" i="1"/>
  <c r="C83" i="1"/>
  <c r="E83" i="1"/>
  <c r="A84" i="1"/>
  <c r="B84" i="1"/>
  <c r="C84" i="1"/>
  <c r="E84" i="1"/>
  <c r="A85" i="1"/>
  <c r="B85" i="1"/>
  <c r="C85" i="1"/>
  <c r="E85" i="1"/>
  <c r="A86" i="1"/>
  <c r="B86" i="1"/>
  <c r="C86" i="1"/>
  <c r="E86" i="1"/>
  <c r="A87" i="1"/>
  <c r="B87" i="1"/>
  <c r="C87" i="1"/>
  <c r="E87" i="1"/>
  <c r="A88" i="1"/>
  <c r="B88" i="1"/>
  <c r="C88" i="1"/>
  <c r="E88" i="1"/>
  <c r="A89" i="1"/>
  <c r="B89" i="1"/>
  <c r="C89" i="1"/>
  <c r="E89" i="1"/>
  <c r="A90" i="1"/>
  <c r="B90" i="1"/>
  <c r="C90" i="1"/>
  <c r="E90" i="1"/>
  <c r="A91" i="1"/>
  <c r="B91" i="1"/>
  <c r="C91" i="1"/>
  <c r="E91" i="1"/>
  <c r="A92" i="1"/>
  <c r="B92" i="1"/>
  <c r="C92" i="1"/>
  <c r="E92" i="1"/>
  <c r="A93" i="1"/>
  <c r="B93" i="1"/>
  <c r="C93" i="1"/>
  <c r="E93" i="1"/>
  <c r="A94" i="1"/>
  <c r="B94" i="1"/>
  <c r="C94" i="1"/>
  <c r="E94" i="1"/>
  <c r="A95" i="1"/>
  <c r="B95" i="1"/>
  <c r="C95" i="1"/>
  <c r="E95" i="1"/>
  <c r="A96" i="1"/>
  <c r="B96" i="1"/>
  <c r="C96" i="1"/>
  <c r="E96" i="1"/>
  <c r="A97" i="1"/>
  <c r="B97" i="1"/>
  <c r="C97" i="1"/>
  <c r="E97" i="1"/>
  <c r="A98" i="1"/>
  <c r="B98" i="1"/>
  <c r="C98" i="1"/>
  <c r="E98" i="1"/>
  <c r="A99" i="1"/>
  <c r="B99" i="1"/>
  <c r="C99" i="1"/>
  <c r="E99" i="1"/>
  <c r="A100" i="1"/>
  <c r="B100" i="1"/>
  <c r="C100" i="1"/>
  <c r="E100" i="1"/>
  <c r="A101" i="1"/>
  <c r="B101" i="1"/>
  <c r="C101" i="1"/>
  <c r="E101" i="1"/>
  <c r="A102" i="1"/>
  <c r="B102" i="1"/>
  <c r="C102" i="1"/>
  <c r="E102" i="1"/>
  <c r="A103" i="1"/>
  <c r="B103" i="1"/>
  <c r="C103" i="1"/>
  <c r="E103" i="1"/>
  <c r="A104" i="1"/>
  <c r="B104" i="1"/>
  <c r="C104" i="1"/>
  <c r="E104" i="1"/>
  <c r="A105" i="1"/>
  <c r="B105" i="1"/>
  <c r="C105" i="1"/>
  <c r="E105" i="1"/>
  <c r="A106" i="1"/>
  <c r="B106" i="1"/>
  <c r="C106" i="1"/>
  <c r="E106" i="1"/>
  <c r="A107" i="1"/>
  <c r="B107" i="1"/>
  <c r="C107" i="1"/>
  <c r="E107" i="1"/>
  <c r="A108" i="1"/>
  <c r="B108" i="1"/>
  <c r="C108" i="1"/>
  <c r="E108" i="1"/>
  <c r="A109" i="1"/>
  <c r="B109" i="1"/>
  <c r="C109" i="1"/>
  <c r="E109" i="1"/>
  <c r="A110" i="1"/>
  <c r="B110" i="1"/>
  <c r="C110" i="1"/>
  <c r="E110" i="1"/>
  <c r="A111" i="1"/>
  <c r="B111" i="1"/>
  <c r="C111" i="1"/>
  <c r="E111" i="1"/>
  <c r="A112" i="1"/>
  <c r="B112" i="1"/>
  <c r="C112" i="1"/>
  <c r="E112" i="1"/>
  <c r="A113" i="1"/>
  <c r="B113" i="1"/>
  <c r="C113" i="1"/>
  <c r="E113" i="1"/>
  <c r="A114" i="1"/>
  <c r="B114" i="1"/>
  <c r="C114" i="1"/>
  <c r="E114" i="1"/>
  <c r="A115" i="1"/>
  <c r="B115" i="1"/>
  <c r="C115" i="1"/>
  <c r="E115" i="1"/>
  <c r="A116" i="1"/>
  <c r="B116" i="1"/>
  <c r="C116" i="1"/>
  <c r="E116" i="1"/>
  <c r="A117" i="1"/>
  <c r="B117" i="1"/>
  <c r="C117" i="1"/>
  <c r="E117" i="1"/>
  <c r="A118" i="1"/>
  <c r="B118" i="1"/>
  <c r="C118" i="1"/>
  <c r="E118" i="1"/>
  <c r="A119" i="1"/>
  <c r="B119" i="1"/>
  <c r="C119" i="1"/>
  <c r="E119" i="1"/>
  <c r="A120" i="1"/>
  <c r="B120" i="1"/>
  <c r="C120" i="1"/>
  <c r="E120" i="1"/>
  <c r="A121" i="1"/>
  <c r="B121" i="1"/>
  <c r="C121" i="1"/>
  <c r="E121" i="1"/>
  <c r="A122" i="1"/>
  <c r="B122" i="1"/>
  <c r="C122" i="1"/>
  <c r="E122" i="1"/>
  <c r="A123" i="1"/>
  <c r="B123" i="1"/>
  <c r="C123" i="1"/>
  <c r="E123" i="1"/>
  <c r="A124" i="1"/>
  <c r="B124" i="1"/>
  <c r="C124" i="1"/>
  <c r="E124" i="1"/>
  <c r="A125" i="1"/>
  <c r="B125" i="1"/>
  <c r="C125" i="1"/>
  <c r="E125" i="1"/>
  <c r="A126" i="1"/>
  <c r="B126" i="1"/>
  <c r="C126" i="1"/>
  <c r="E126" i="1"/>
  <c r="A127" i="1"/>
  <c r="B127" i="1"/>
  <c r="C127" i="1"/>
  <c r="E127" i="1"/>
  <c r="A128" i="1"/>
  <c r="B128" i="1"/>
  <c r="C128" i="1"/>
  <c r="E128" i="1"/>
  <c r="A129" i="1"/>
  <c r="B129" i="1"/>
  <c r="C129" i="1"/>
  <c r="E129" i="1"/>
  <c r="A130" i="1"/>
  <c r="B130" i="1"/>
  <c r="E130" i="1"/>
  <c r="A131" i="1"/>
  <c r="B131" i="1"/>
  <c r="C131" i="1"/>
  <c r="E131" i="1"/>
  <c r="A132" i="1"/>
  <c r="B132" i="1"/>
  <c r="C132" i="1"/>
  <c r="E132" i="1"/>
  <c r="A133" i="1"/>
  <c r="B133" i="1"/>
  <c r="C133" i="1"/>
  <c r="E133" i="1"/>
  <c r="A134" i="1"/>
  <c r="B134" i="1"/>
  <c r="C134" i="1"/>
  <c r="E134" i="1"/>
  <c r="A135" i="1"/>
  <c r="B135" i="1"/>
  <c r="C135" i="1"/>
  <c r="E135" i="1"/>
  <c r="A136" i="1"/>
  <c r="B136" i="1"/>
  <c r="C136" i="1"/>
  <c r="E136" i="1"/>
  <c r="A137" i="1"/>
  <c r="B137" i="1"/>
  <c r="C137" i="1"/>
  <c r="E137" i="1"/>
  <c r="A138" i="1"/>
  <c r="B138" i="1"/>
  <c r="C138" i="1"/>
  <c r="E138" i="1"/>
  <c r="A139" i="1"/>
  <c r="B139" i="1"/>
  <c r="C139" i="1"/>
  <c r="E139" i="1"/>
  <c r="A140" i="1"/>
  <c r="B140" i="1"/>
  <c r="C140" i="1"/>
  <c r="E140" i="1"/>
  <c r="A141" i="1"/>
  <c r="B141" i="1"/>
  <c r="C141" i="1"/>
  <c r="E141" i="1"/>
  <c r="A142" i="1"/>
  <c r="B142" i="1"/>
  <c r="C142" i="1"/>
  <c r="E142" i="1"/>
  <c r="A143" i="1"/>
  <c r="B143" i="1"/>
  <c r="C143" i="1"/>
  <c r="E143" i="1"/>
  <c r="A144" i="1"/>
  <c r="B144" i="1"/>
  <c r="C144" i="1"/>
  <c r="E144" i="1"/>
  <c r="A145" i="1"/>
  <c r="B145" i="1"/>
  <c r="C145" i="1"/>
  <c r="E145" i="1"/>
  <c r="A146" i="1"/>
  <c r="B146" i="1"/>
  <c r="C146" i="1"/>
  <c r="E146" i="1"/>
  <c r="A147" i="1"/>
  <c r="B147" i="1"/>
  <c r="C147" i="1"/>
  <c r="E147" i="1"/>
  <c r="A148" i="1"/>
  <c r="B148" i="1"/>
  <c r="C148" i="1"/>
  <c r="E148" i="1"/>
  <c r="A149" i="1"/>
  <c r="B149" i="1"/>
  <c r="C149" i="1"/>
  <c r="E149" i="1"/>
  <c r="A150" i="1"/>
  <c r="B150" i="1"/>
  <c r="C150" i="1"/>
  <c r="E150" i="1"/>
  <c r="A151" i="1"/>
  <c r="B151" i="1"/>
  <c r="C151" i="1"/>
  <c r="A152" i="1"/>
  <c r="B152" i="1"/>
  <c r="C152" i="1"/>
  <c r="A153" i="1"/>
  <c r="B153" i="1"/>
  <c r="C153" i="1"/>
  <c r="E153" i="1"/>
  <c r="A154" i="1"/>
  <c r="B154" i="1"/>
  <c r="C154" i="1"/>
  <c r="E154" i="1"/>
  <c r="A155" i="1"/>
  <c r="B155" i="1"/>
  <c r="C155" i="1"/>
  <c r="E155" i="1"/>
  <c r="A156" i="1"/>
  <c r="B156" i="1"/>
  <c r="C156" i="1"/>
  <c r="E156" i="1"/>
  <c r="A157" i="1"/>
  <c r="B157" i="1"/>
  <c r="C157" i="1"/>
  <c r="E157" i="1"/>
  <c r="A158" i="1"/>
  <c r="B158" i="1"/>
  <c r="C158" i="1"/>
  <c r="E158" i="1"/>
  <c r="A159" i="1"/>
  <c r="B159" i="1"/>
  <c r="C159" i="1"/>
  <c r="E159" i="1"/>
  <c r="A160" i="1"/>
  <c r="B160" i="1"/>
  <c r="C160" i="1"/>
  <c r="A161" i="1"/>
  <c r="B161" i="1"/>
  <c r="C161" i="1"/>
  <c r="A162" i="1"/>
  <c r="B162" i="1"/>
  <c r="C162" i="1"/>
  <c r="A163" i="1"/>
  <c r="B163" i="1"/>
  <c r="C163" i="1"/>
  <c r="E163" i="1"/>
  <c r="A164" i="1"/>
  <c r="B164" i="1"/>
  <c r="C164" i="1"/>
  <c r="E164" i="1"/>
  <c r="A165" i="1"/>
  <c r="B165" i="1"/>
  <c r="C165" i="1"/>
  <c r="E165" i="1"/>
  <c r="B40" i="30"/>
  <c r="B47" i="30"/>
  <c r="G44" i="35"/>
  <c r="G44" i="18"/>
  <c r="F44" i="29"/>
  <c r="G44" i="12"/>
  <c r="G44" i="10"/>
  <c r="G15" i="36"/>
  <c r="A46" i="36"/>
  <c r="A45" i="36"/>
  <c r="A44" i="36"/>
  <c r="A43" i="36"/>
  <c r="A42" i="36"/>
  <c r="A41" i="36"/>
  <c r="A39" i="36"/>
  <c r="A38" i="36"/>
  <c r="A37" i="36"/>
  <c r="A36" i="36"/>
  <c r="A35" i="36"/>
  <c r="A34" i="36"/>
  <c r="A33" i="36"/>
  <c r="A31" i="36"/>
  <c r="A30" i="36"/>
  <c r="A28" i="36"/>
  <c r="A27" i="36"/>
  <c r="A26" i="36"/>
  <c r="A25" i="36"/>
  <c r="A24" i="36"/>
  <c r="A23" i="36"/>
  <c r="A22" i="36"/>
  <c r="A21" i="36"/>
  <c r="A19" i="36"/>
  <c r="A18" i="36"/>
  <c r="A17" i="36"/>
  <c r="A16" i="36"/>
  <c r="A15" i="36"/>
  <c r="A14" i="36"/>
  <c r="A13" i="36"/>
  <c r="A12" i="36"/>
  <c r="A10" i="36"/>
  <c r="A9" i="36"/>
  <c r="A8" i="36"/>
  <c r="A7" i="36"/>
  <c r="A6" i="36"/>
  <c r="A5" i="36"/>
  <c r="E38" i="6"/>
  <c r="E33" i="6"/>
  <c r="D33" i="6"/>
  <c r="D38" i="6"/>
  <c r="W13" i="6"/>
  <c r="AF138" i="5"/>
  <c r="AL12" i="2"/>
  <c r="AL11" i="2"/>
  <c r="BK11" i="2"/>
  <c r="AL10" i="2"/>
  <c r="BK10" i="2"/>
  <c r="AL9" i="2"/>
  <c r="AL8" i="2"/>
  <c r="BK8" i="2"/>
  <c r="AL7" i="2"/>
  <c r="BC18" i="2"/>
  <c r="BK9" i="2"/>
  <c r="BK7" i="2"/>
  <c r="G44" i="17"/>
  <c r="W35" i="6"/>
  <c r="G42" i="36"/>
  <c r="W36" i="6"/>
  <c r="G45" i="36"/>
  <c r="C36" i="6"/>
  <c r="W42" i="6"/>
  <c r="M27" i="1"/>
  <c r="J36" i="1"/>
  <c r="J30" i="1"/>
  <c r="J29" i="1"/>
  <c r="J28" i="1"/>
  <c r="J27" i="1"/>
  <c r="AA152" i="5"/>
  <c r="AF152" i="5"/>
  <c r="F152" i="5"/>
  <c r="AA147" i="5"/>
  <c r="AF147" i="5"/>
  <c r="F147" i="5"/>
  <c r="F145" i="5"/>
  <c r="AA145" i="5"/>
  <c r="AF145" i="5"/>
  <c r="F143" i="5"/>
  <c r="AA143" i="5"/>
  <c r="F137" i="5"/>
  <c r="AA137" i="5"/>
  <c r="AF137" i="5"/>
  <c r="F136" i="5"/>
  <c r="AA136" i="5"/>
  <c r="AF136" i="5"/>
  <c r="F134" i="5"/>
  <c r="AA134" i="5"/>
  <c r="F132" i="5"/>
  <c r="AA132" i="5"/>
  <c r="AF132" i="5"/>
  <c r="F130" i="5"/>
  <c r="AA130" i="5"/>
  <c r="F100" i="5"/>
  <c r="AA100" i="5"/>
  <c r="AF100" i="5"/>
  <c r="F99" i="5"/>
  <c r="AA99" i="5"/>
  <c r="AF99" i="5"/>
  <c r="F98" i="5"/>
  <c r="AA98" i="5"/>
  <c r="AF98" i="5"/>
  <c r="F97" i="5"/>
  <c r="AA97" i="5"/>
  <c r="AF97" i="5"/>
  <c r="F96" i="5"/>
  <c r="AA96" i="5"/>
  <c r="AF96" i="5"/>
  <c r="F95" i="5"/>
  <c r="AA95" i="5"/>
  <c r="AF95" i="5"/>
  <c r="F94" i="5"/>
  <c r="AA94" i="5"/>
  <c r="AF94" i="5"/>
  <c r="F93" i="5"/>
  <c r="AA93" i="5"/>
  <c r="AF93" i="5"/>
  <c r="F92" i="5"/>
  <c r="AA92" i="5"/>
  <c r="AF92" i="5"/>
  <c r="F91" i="5"/>
  <c r="AA91" i="5"/>
  <c r="AF91" i="5"/>
  <c r="F90" i="5"/>
  <c r="AA90" i="5"/>
  <c r="AF90" i="5"/>
  <c r="F89" i="5"/>
  <c r="AA89" i="5"/>
  <c r="AF89" i="5"/>
  <c r="AA70" i="5"/>
  <c r="AF70" i="5"/>
  <c r="F70" i="5"/>
  <c r="F68" i="5"/>
  <c r="AA68" i="5"/>
  <c r="F85" i="5"/>
  <c r="AA85" i="5"/>
  <c r="AF85" i="5"/>
  <c r="F83" i="5"/>
  <c r="AA83" i="5"/>
  <c r="AF83" i="5"/>
  <c r="F81" i="5"/>
  <c r="AA81" i="5"/>
  <c r="AF81" i="5"/>
  <c r="F79" i="5"/>
  <c r="AA79" i="5"/>
  <c r="AF79" i="5"/>
  <c r="F77" i="5"/>
  <c r="AA77" i="5"/>
  <c r="AF77" i="5"/>
  <c r="F65" i="5"/>
  <c r="AA65" i="5"/>
  <c r="AA54" i="5"/>
  <c r="F54" i="5"/>
  <c r="F48" i="5"/>
  <c r="AA48" i="5"/>
  <c r="F61" i="5"/>
  <c r="AA61" i="5"/>
  <c r="AF61" i="5"/>
  <c r="F59" i="5"/>
  <c r="AA59" i="5"/>
  <c r="AF59" i="5"/>
  <c r="F57" i="5"/>
  <c r="AA57" i="5"/>
  <c r="AF57" i="5"/>
  <c r="F51" i="5"/>
  <c r="AA51" i="5"/>
  <c r="F88" i="5"/>
  <c r="AA88" i="5"/>
  <c r="AF88" i="5"/>
  <c r="F73" i="5"/>
  <c r="AA73" i="5"/>
  <c r="AF73" i="5"/>
  <c r="F72" i="5"/>
  <c r="AA72" i="5"/>
  <c r="AF72" i="5"/>
  <c r="F71" i="5"/>
  <c r="AA71" i="5"/>
  <c r="AF71" i="5"/>
  <c r="AF54" i="5"/>
  <c r="W37" i="6"/>
  <c r="W43" i="6"/>
  <c r="AF65" i="5"/>
  <c r="AF68" i="5"/>
  <c r="AF143" i="5"/>
  <c r="AF134" i="5"/>
  <c r="F19" i="5"/>
  <c r="AA19" i="5"/>
  <c r="F18" i="5"/>
  <c r="AA18" i="5"/>
  <c r="F17" i="5"/>
  <c r="AA17" i="5"/>
  <c r="F16" i="5"/>
  <c r="AA16" i="5"/>
  <c r="F15" i="5"/>
  <c r="AA15" i="5"/>
  <c r="F14" i="5"/>
  <c r="AA14" i="5"/>
  <c r="F10" i="5"/>
  <c r="AA10" i="5"/>
  <c r="AF10" i="5"/>
  <c r="F8" i="5"/>
  <c r="AA8" i="5"/>
  <c r="AF8" i="5"/>
  <c r="AG6" i="5"/>
  <c r="F6" i="5"/>
  <c r="AA6" i="5"/>
  <c r="AF6" i="5"/>
  <c r="AG12" i="5"/>
  <c r="AG13" i="5"/>
  <c r="F12" i="5"/>
  <c r="AA12" i="5"/>
  <c r="AG4" i="5"/>
  <c r="F4" i="5"/>
  <c r="AA4" i="5"/>
  <c r="AF4" i="5"/>
  <c r="AA1" i="5"/>
  <c r="E13" i="2"/>
  <c r="Y13" i="2"/>
  <c r="X13" i="2"/>
  <c r="Y14" i="2"/>
  <c r="BK12" i="2"/>
  <c r="J6" i="1"/>
  <c r="J12" i="1"/>
  <c r="AN18" i="2"/>
  <c r="E12" i="2"/>
  <c r="Y12" i="2"/>
  <c r="Q12" i="2"/>
  <c r="U12" i="2"/>
  <c r="T12" i="2"/>
  <c r="W12" i="2"/>
  <c r="C39" i="6"/>
  <c r="J23" i="1"/>
  <c r="J16" i="1"/>
  <c r="J13" i="1"/>
  <c r="J14" i="1"/>
  <c r="V35" i="6"/>
  <c r="U35" i="6"/>
  <c r="T35" i="6"/>
  <c r="S35" i="6"/>
  <c r="G42" i="19"/>
  <c r="R35" i="6"/>
  <c r="Q35" i="6"/>
  <c r="P35" i="6"/>
  <c r="G42" i="33"/>
  <c r="O35" i="6"/>
  <c r="G42" i="32"/>
  <c r="N35" i="6"/>
  <c r="L35" i="6"/>
  <c r="K35" i="6"/>
  <c r="J35" i="6"/>
  <c r="I35" i="6"/>
  <c r="H35" i="6"/>
  <c r="G35" i="6"/>
  <c r="G37" i="6"/>
  <c r="A47" i="24"/>
  <c r="A46" i="24"/>
  <c r="A45" i="24"/>
  <c r="A44" i="24"/>
  <c r="A43" i="24"/>
  <c r="A42" i="24"/>
  <c r="A40" i="24"/>
  <c r="A39" i="24"/>
  <c r="A38" i="24"/>
  <c r="A37" i="24"/>
  <c r="A36" i="24"/>
  <c r="A35" i="24"/>
  <c r="A34" i="24"/>
  <c r="A32" i="24"/>
  <c r="A31" i="24"/>
  <c r="A29" i="24"/>
  <c r="A28" i="24"/>
  <c r="A26" i="24"/>
  <c r="A25" i="24"/>
  <c r="A24" i="24"/>
  <c r="A23" i="24"/>
  <c r="A22" i="24"/>
  <c r="A21" i="24"/>
  <c r="A19" i="24"/>
  <c r="A18" i="24"/>
  <c r="A17" i="24"/>
  <c r="A16" i="24"/>
  <c r="A15" i="24"/>
  <c r="A14" i="24"/>
  <c r="A13" i="24"/>
  <c r="A12" i="24"/>
  <c r="A10" i="24"/>
  <c r="A9" i="24"/>
  <c r="A8" i="24"/>
  <c r="A7" i="24"/>
  <c r="A6" i="24"/>
  <c r="A5" i="24"/>
  <c r="C53" i="17"/>
  <c r="C52" i="17"/>
  <c r="C51" i="17"/>
  <c r="A46" i="20"/>
  <c r="A45" i="20"/>
  <c r="A44" i="20"/>
  <c r="A43" i="20"/>
  <c r="A42" i="20"/>
  <c r="A41" i="20"/>
  <c r="A39" i="20"/>
  <c r="A38" i="20"/>
  <c r="A37" i="20"/>
  <c r="A36" i="20"/>
  <c r="A35" i="20"/>
  <c r="A34" i="20"/>
  <c r="A33" i="20"/>
  <c r="A31" i="20"/>
  <c r="A30" i="20"/>
  <c r="A28" i="20"/>
  <c r="A27" i="20"/>
  <c r="A26" i="20"/>
  <c r="A25" i="20"/>
  <c r="A24" i="20"/>
  <c r="A23" i="20"/>
  <c r="A22" i="20"/>
  <c r="A21" i="20"/>
  <c r="A19" i="20"/>
  <c r="A18" i="20"/>
  <c r="A17" i="20"/>
  <c r="A16" i="20"/>
  <c r="A15" i="20"/>
  <c r="A14" i="20"/>
  <c r="A13" i="20"/>
  <c r="A12" i="20"/>
  <c r="A10" i="20"/>
  <c r="A9" i="20"/>
  <c r="A8" i="20"/>
  <c r="A7" i="20"/>
  <c r="A6" i="20"/>
  <c r="A5" i="20"/>
  <c r="A46" i="25"/>
  <c r="A45" i="25"/>
  <c r="A44" i="25"/>
  <c r="A43" i="25"/>
  <c r="A42" i="25"/>
  <c r="A41" i="25"/>
  <c r="A39" i="25"/>
  <c r="A38" i="25"/>
  <c r="A37" i="25"/>
  <c r="A36" i="25"/>
  <c r="A35" i="25"/>
  <c r="A34" i="25"/>
  <c r="A33" i="25"/>
  <c r="A31" i="25"/>
  <c r="A30" i="25"/>
  <c r="A28" i="25"/>
  <c r="A27" i="25"/>
  <c r="A26" i="25"/>
  <c r="A25" i="25"/>
  <c r="A24" i="25"/>
  <c r="A23" i="25"/>
  <c r="A22" i="25"/>
  <c r="A21" i="25"/>
  <c r="A19" i="25"/>
  <c r="A18" i="25"/>
  <c r="A17" i="25"/>
  <c r="A16" i="25"/>
  <c r="A15" i="25"/>
  <c r="A14" i="25"/>
  <c r="A13" i="25"/>
  <c r="A12" i="25"/>
  <c r="A10" i="25"/>
  <c r="A9" i="25"/>
  <c r="A8" i="25"/>
  <c r="A7" i="25"/>
  <c r="A6" i="25"/>
  <c r="A5" i="25"/>
  <c r="A46" i="35"/>
  <c r="A45" i="35"/>
  <c r="A44" i="35"/>
  <c r="A43" i="35"/>
  <c r="A42" i="35"/>
  <c r="A41" i="35"/>
  <c r="A39" i="35"/>
  <c r="A38" i="35"/>
  <c r="A37" i="35"/>
  <c r="A36" i="35"/>
  <c r="A35" i="35"/>
  <c r="A34" i="35"/>
  <c r="A33" i="35"/>
  <c r="A31" i="35"/>
  <c r="A30" i="35"/>
  <c r="A28" i="35"/>
  <c r="A27" i="35"/>
  <c r="A26" i="35"/>
  <c r="A25" i="35"/>
  <c r="A24" i="35"/>
  <c r="A23" i="35"/>
  <c r="A22" i="35"/>
  <c r="A21" i="35"/>
  <c r="A19" i="35"/>
  <c r="A18" i="35"/>
  <c r="A17" i="35"/>
  <c r="A16" i="35"/>
  <c r="A15" i="35"/>
  <c r="A14" i="35"/>
  <c r="A13" i="35"/>
  <c r="A12" i="35"/>
  <c r="A10" i="35"/>
  <c r="A9" i="35"/>
  <c r="A8" i="35"/>
  <c r="A7" i="35"/>
  <c r="A6" i="35"/>
  <c r="A5" i="35"/>
  <c r="A46" i="16"/>
  <c r="A45" i="16"/>
  <c r="A44" i="16"/>
  <c r="A43" i="16"/>
  <c r="A42" i="16"/>
  <c r="A41" i="16"/>
  <c r="A39" i="16"/>
  <c r="A38" i="16"/>
  <c r="A37" i="16"/>
  <c r="A36" i="16"/>
  <c r="A35" i="16"/>
  <c r="A34" i="16"/>
  <c r="A33" i="16"/>
  <c r="A31" i="16"/>
  <c r="A30" i="16"/>
  <c r="A28" i="16"/>
  <c r="A27" i="16"/>
  <c r="A26" i="16"/>
  <c r="A25" i="16"/>
  <c r="A24" i="16"/>
  <c r="A23" i="16"/>
  <c r="A22" i="16"/>
  <c r="A21" i="16"/>
  <c r="A19" i="16"/>
  <c r="A18" i="16"/>
  <c r="A17" i="16"/>
  <c r="A16" i="16"/>
  <c r="A15" i="16"/>
  <c r="A14" i="16"/>
  <c r="A13" i="16"/>
  <c r="A12" i="16"/>
  <c r="A10" i="16"/>
  <c r="A9" i="16"/>
  <c r="A8" i="16"/>
  <c r="A7" i="16"/>
  <c r="A6" i="16"/>
  <c r="A5" i="16"/>
  <c r="A46" i="19"/>
  <c r="A45" i="19"/>
  <c r="A44" i="19"/>
  <c r="A43" i="19"/>
  <c r="A42" i="19"/>
  <c r="A41" i="19"/>
  <c r="A39" i="19"/>
  <c r="A38" i="19"/>
  <c r="A37" i="19"/>
  <c r="A36" i="19"/>
  <c r="A35" i="19"/>
  <c r="A34" i="19"/>
  <c r="A33" i="19"/>
  <c r="A31" i="19"/>
  <c r="A30" i="19"/>
  <c r="A28" i="19"/>
  <c r="A27" i="19"/>
  <c r="A26" i="19"/>
  <c r="A25" i="19"/>
  <c r="A24" i="19"/>
  <c r="A23" i="19"/>
  <c r="A22" i="19"/>
  <c r="A21" i="19"/>
  <c r="A19" i="19"/>
  <c r="A18" i="19"/>
  <c r="A17" i="19"/>
  <c r="A16" i="19"/>
  <c r="A15" i="19"/>
  <c r="A14" i="19"/>
  <c r="A13" i="19"/>
  <c r="A12" i="19"/>
  <c r="A10" i="19"/>
  <c r="A9" i="19"/>
  <c r="A8" i="19"/>
  <c r="A7" i="19"/>
  <c r="A6" i="19"/>
  <c r="A5" i="19"/>
  <c r="A46" i="21"/>
  <c r="A45" i="21"/>
  <c r="A44" i="21"/>
  <c r="A43" i="21"/>
  <c r="A42" i="21"/>
  <c r="A41" i="21"/>
  <c r="A39" i="21"/>
  <c r="A38" i="21"/>
  <c r="A37" i="21"/>
  <c r="A36" i="21"/>
  <c r="A35" i="21"/>
  <c r="A34" i="21"/>
  <c r="A33" i="21"/>
  <c r="A31" i="21"/>
  <c r="A30" i="21"/>
  <c r="A28" i="21"/>
  <c r="A27" i="21"/>
  <c r="A26" i="21"/>
  <c r="A25" i="21"/>
  <c r="A24" i="21"/>
  <c r="A23" i="21"/>
  <c r="A22" i="21"/>
  <c r="A21" i="21"/>
  <c r="A19" i="21"/>
  <c r="A18" i="21"/>
  <c r="A17" i="21"/>
  <c r="A16" i="21"/>
  <c r="A15" i="21"/>
  <c r="A14" i="21"/>
  <c r="A13" i="21"/>
  <c r="A12" i="21"/>
  <c r="A10" i="21"/>
  <c r="A9" i="21"/>
  <c r="A8" i="21"/>
  <c r="A7" i="21"/>
  <c r="A6" i="21"/>
  <c r="A5" i="21"/>
  <c r="C53" i="33"/>
  <c r="C52" i="33"/>
  <c r="H37" i="6"/>
  <c r="G42" i="17"/>
  <c r="U37" i="6"/>
  <c r="G42" i="35"/>
  <c r="N37" i="6"/>
  <c r="G42" i="18"/>
  <c r="G41" i="35"/>
  <c r="A46" i="33"/>
  <c r="A45" i="33"/>
  <c r="A44" i="33"/>
  <c r="A43" i="33"/>
  <c r="G41" i="33"/>
  <c r="A42" i="33"/>
  <c r="A41" i="33"/>
  <c r="A39" i="33"/>
  <c r="A38" i="33"/>
  <c r="A37" i="33"/>
  <c r="A36" i="33"/>
  <c r="A35" i="33"/>
  <c r="A34" i="33"/>
  <c r="A33" i="33"/>
  <c r="A31" i="33"/>
  <c r="A30" i="33"/>
  <c r="A28" i="33"/>
  <c r="A27" i="33"/>
  <c r="A26" i="33"/>
  <c r="A25" i="33"/>
  <c r="A24" i="33"/>
  <c r="A23" i="33"/>
  <c r="A22" i="33"/>
  <c r="A21" i="33"/>
  <c r="A19" i="33"/>
  <c r="A18" i="33"/>
  <c r="A17" i="33"/>
  <c r="A16" i="33"/>
  <c r="A15" i="33"/>
  <c r="A14" i="33"/>
  <c r="A13" i="33"/>
  <c r="A12" i="33"/>
  <c r="A10" i="33"/>
  <c r="A9" i="33"/>
  <c r="A8" i="33"/>
  <c r="A7" i="33"/>
  <c r="A6" i="33"/>
  <c r="A5" i="33"/>
  <c r="C53" i="32"/>
  <c r="B53" i="30"/>
  <c r="C52" i="32"/>
  <c r="B52" i="30"/>
  <c r="A46" i="32"/>
  <c r="A45" i="32"/>
  <c r="A44" i="32"/>
  <c r="A43" i="32"/>
  <c r="G41" i="32"/>
  <c r="A42" i="32"/>
  <c r="A41" i="32"/>
  <c r="A39" i="32"/>
  <c r="A38" i="32"/>
  <c r="A37" i="32"/>
  <c r="A36" i="32"/>
  <c r="A35" i="32"/>
  <c r="A34" i="32"/>
  <c r="A33" i="32"/>
  <c r="A31" i="32"/>
  <c r="A30" i="32"/>
  <c r="A28" i="32"/>
  <c r="A27" i="32"/>
  <c r="A26" i="32"/>
  <c r="A25" i="32"/>
  <c r="A24" i="32"/>
  <c r="A23" i="32"/>
  <c r="A22" i="32"/>
  <c r="A21" i="32"/>
  <c r="A19" i="32"/>
  <c r="A18" i="32"/>
  <c r="A17" i="32"/>
  <c r="A16" i="32"/>
  <c r="A15" i="32"/>
  <c r="A14" i="32"/>
  <c r="A13" i="32"/>
  <c r="A12" i="32"/>
  <c r="A10" i="32"/>
  <c r="A9" i="32"/>
  <c r="A8" i="32"/>
  <c r="A7" i="32"/>
  <c r="A6" i="32"/>
  <c r="A5" i="32"/>
  <c r="C53" i="18"/>
  <c r="C52" i="18"/>
  <c r="A46" i="18"/>
  <c r="A45" i="18"/>
  <c r="A44" i="18"/>
  <c r="A43" i="18"/>
  <c r="A42" i="18"/>
  <c r="A41" i="18"/>
  <c r="A39" i="18"/>
  <c r="A38" i="18"/>
  <c r="A37" i="18"/>
  <c r="A36" i="18"/>
  <c r="A35" i="18"/>
  <c r="A34" i="18"/>
  <c r="A33" i="18"/>
  <c r="A31" i="18"/>
  <c r="A30" i="18"/>
  <c r="A28" i="18"/>
  <c r="A27" i="18"/>
  <c r="A26" i="18"/>
  <c r="A25" i="18"/>
  <c r="A24" i="18"/>
  <c r="A23" i="18"/>
  <c r="A22" i="18"/>
  <c r="A21" i="18"/>
  <c r="A19" i="18"/>
  <c r="A18" i="18"/>
  <c r="A17" i="18"/>
  <c r="A16" i="18"/>
  <c r="A15" i="18"/>
  <c r="A14" i="18"/>
  <c r="A13" i="18"/>
  <c r="A12" i="18"/>
  <c r="A10" i="18"/>
  <c r="A9" i="18"/>
  <c r="A8" i="18"/>
  <c r="A7" i="18"/>
  <c r="A6" i="18"/>
  <c r="A5" i="18"/>
  <c r="A46" i="17"/>
  <c r="A45" i="17"/>
  <c r="A44" i="17"/>
  <c r="A43" i="17"/>
  <c r="A42" i="17"/>
  <c r="A41" i="17"/>
  <c r="A39" i="17"/>
  <c r="A38" i="17"/>
  <c r="A37" i="17"/>
  <c r="A36" i="17"/>
  <c r="A35" i="17"/>
  <c r="A34" i="17"/>
  <c r="A33" i="17"/>
  <c r="A31" i="17"/>
  <c r="A30" i="17"/>
  <c r="A28" i="17"/>
  <c r="A27" i="17"/>
  <c r="A26" i="17"/>
  <c r="A25" i="17"/>
  <c r="A24" i="17"/>
  <c r="A23" i="17"/>
  <c r="A22" i="17"/>
  <c r="A21" i="17"/>
  <c r="A19" i="17"/>
  <c r="A18" i="17"/>
  <c r="A17" i="17"/>
  <c r="A16" i="17"/>
  <c r="A15" i="17"/>
  <c r="A14" i="17"/>
  <c r="A13" i="17"/>
  <c r="A12" i="17"/>
  <c r="A10" i="17"/>
  <c r="A9" i="17"/>
  <c r="A8" i="17"/>
  <c r="A7" i="17"/>
  <c r="A6" i="17"/>
  <c r="A5" i="17"/>
  <c r="C53" i="13"/>
  <c r="C52" i="13"/>
  <c r="A46" i="13"/>
  <c r="A45" i="13"/>
  <c r="A44" i="13"/>
  <c r="A43" i="13"/>
  <c r="A42" i="13"/>
  <c r="A41" i="13"/>
  <c r="A39" i="13"/>
  <c r="A38" i="13"/>
  <c r="A37" i="13"/>
  <c r="A36" i="13"/>
  <c r="A35" i="13"/>
  <c r="A34" i="13"/>
  <c r="A33" i="13"/>
  <c r="A31" i="13"/>
  <c r="A30" i="13"/>
  <c r="A28" i="13"/>
  <c r="A27" i="13"/>
  <c r="A26" i="13"/>
  <c r="A25" i="13"/>
  <c r="A24" i="13"/>
  <c r="A23" i="13"/>
  <c r="A22" i="13"/>
  <c r="A21" i="13"/>
  <c r="A19" i="13"/>
  <c r="A18" i="13"/>
  <c r="A17" i="13"/>
  <c r="A16" i="13"/>
  <c r="A15" i="13"/>
  <c r="A14" i="13"/>
  <c r="A13" i="13"/>
  <c r="A12" i="13"/>
  <c r="A10" i="13"/>
  <c r="A9" i="13"/>
  <c r="A8" i="13"/>
  <c r="A7" i="13"/>
  <c r="A6" i="13"/>
  <c r="A5" i="13"/>
  <c r="B8" i="29"/>
  <c r="C53" i="12"/>
  <c r="C52" i="12"/>
  <c r="A46" i="12"/>
  <c r="A45" i="12"/>
  <c r="A44" i="12"/>
  <c r="A43" i="12"/>
  <c r="A42" i="12"/>
  <c r="A41" i="12"/>
  <c r="A39" i="12"/>
  <c r="A38" i="12"/>
  <c r="A37" i="12"/>
  <c r="A36" i="12"/>
  <c r="A35" i="12"/>
  <c r="A34" i="12"/>
  <c r="A33" i="12"/>
  <c r="A31" i="12"/>
  <c r="A30" i="12"/>
  <c r="A28" i="12"/>
  <c r="A27" i="12"/>
  <c r="A26" i="12"/>
  <c r="A25" i="12"/>
  <c r="A24" i="12"/>
  <c r="A23" i="12"/>
  <c r="A22" i="12"/>
  <c r="A21" i="12"/>
  <c r="A19" i="12"/>
  <c r="A18" i="12"/>
  <c r="A17" i="12"/>
  <c r="A16" i="12"/>
  <c r="A15" i="12"/>
  <c r="A14" i="12"/>
  <c r="A13" i="12"/>
  <c r="A12" i="12"/>
  <c r="A10" i="12"/>
  <c r="A9" i="12"/>
  <c r="A8" i="12"/>
  <c r="A7" i="12"/>
  <c r="A6" i="12"/>
  <c r="A5" i="12"/>
  <c r="C53" i="10"/>
  <c r="C52" i="10"/>
  <c r="A46" i="10"/>
  <c r="A45" i="10"/>
  <c r="A44" i="10"/>
  <c r="A43" i="10"/>
  <c r="A42" i="10"/>
  <c r="A41" i="10"/>
  <c r="A39" i="10"/>
  <c r="A38" i="10"/>
  <c r="A37" i="10"/>
  <c r="A36" i="10"/>
  <c r="A35" i="10"/>
  <c r="A34" i="10"/>
  <c r="A33" i="10"/>
  <c r="A31" i="10"/>
  <c r="A30" i="10"/>
  <c r="A28" i="10"/>
  <c r="A27" i="10"/>
  <c r="A26" i="10"/>
  <c r="A25" i="10"/>
  <c r="A24" i="10"/>
  <c r="A23" i="10"/>
  <c r="A22" i="10"/>
  <c r="A21" i="10"/>
  <c r="A19" i="10"/>
  <c r="A18" i="10"/>
  <c r="A17" i="10"/>
  <c r="A16" i="10"/>
  <c r="A15" i="10"/>
  <c r="A14" i="10"/>
  <c r="A13" i="10"/>
  <c r="A12" i="10"/>
  <c r="A10" i="10"/>
  <c r="A9" i="10"/>
  <c r="A8" i="10"/>
  <c r="A7" i="10"/>
  <c r="A6" i="10"/>
  <c r="A5" i="10"/>
  <c r="C53" i="9"/>
  <c r="C52" i="9"/>
  <c r="A46" i="9"/>
  <c r="A45" i="9"/>
  <c r="A44" i="9"/>
  <c r="A43" i="9"/>
  <c r="A42" i="9"/>
  <c r="A41" i="9"/>
  <c r="A39" i="9"/>
  <c r="A38" i="9"/>
  <c r="A37" i="9"/>
  <c r="A36" i="9"/>
  <c r="A35" i="9"/>
  <c r="A34" i="9"/>
  <c r="A33" i="9"/>
  <c r="A31" i="9"/>
  <c r="A30" i="9"/>
  <c r="A28" i="9"/>
  <c r="A27" i="9"/>
  <c r="A26" i="9"/>
  <c r="A25" i="9"/>
  <c r="A24" i="9"/>
  <c r="A23" i="9"/>
  <c r="A22" i="9"/>
  <c r="A21" i="9"/>
  <c r="A19" i="9"/>
  <c r="A18" i="9"/>
  <c r="A17" i="9"/>
  <c r="A16" i="9"/>
  <c r="A15" i="9"/>
  <c r="A14" i="9"/>
  <c r="A13" i="9"/>
  <c r="A12" i="9"/>
  <c r="A10" i="9"/>
  <c r="A9" i="9"/>
  <c r="A8" i="9"/>
  <c r="A7" i="9"/>
  <c r="A6" i="9"/>
  <c r="A5" i="9"/>
  <c r="C53" i="28"/>
  <c r="C52" i="28"/>
  <c r="A46" i="28"/>
  <c r="A45" i="28"/>
  <c r="A44" i="28"/>
  <c r="A43" i="28"/>
  <c r="A42" i="28"/>
  <c r="A41" i="28"/>
  <c r="A39" i="28"/>
  <c r="A38" i="28"/>
  <c r="A37" i="28"/>
  <c r="A36" i="28"/>
  <c r="A35" i="28"/>
  <c r="A34" i="28"/>
  <c r="A33" i="28"/>
  <c r="A31" i="28"/>
  <c r="A30" i="28"/>
  <c r="A28" i="28"/>
  <c r="A27" i="28"/>
  <c r="A26" i="28"/>
  <c r="A25" i="28"/>
  <c r="A24" i="28"/>
  <c r="A23" i="28"/>
  <c r="A22" i="28"/>
  <c r="A21" i="28"/>
  <c r="A19" i="28"/>
  <c r="A18" i="28"/>
  <c r="A17" i="28"/>
  <c r="A16" i="28"/>
  <c r="A15" i="28"/>
  <c r="A14" i="28"/>
  <c r="A13" i="28"/>
  <c r="A12" i="28"/>
  <c r="A10" i="28"/>
  <c r="A9" i="28"/>
  <c r="A8" i="28"/>
  <c r="A7" i="28"/>
  <c r="A6" i="28"/>
  <c r="A5" i="28"/>
  <c r="C53" i="8"/>
  <c r="C52" i="8"/>
  <c r="A46" i="8"/>
  <c r="A45" i="8"/>
  <c r="A44" i="8"/>
  <c r="A43" i="8"/>
  <c r="A42" i="8"/>
  <c r="A41" i="8"/>
  <c r="A39" i="8"/>
  <c r="A38" i="8"/>
  <c r="A37" i="8"/>
  <c r="A36" i="8"/>
  <c r="A35" i="8"/>
  <c r="A34" i="8"/>
  <c r="A33" i="8"/>
  <c r="A31" i="8"/>
  <c r="A30" i="8"/>
  <c r="A28" i="8"/>
  <c r="A27" i="8"/>
  <c r="A26" i="8"/>
  <c r="A25" i="8"/>
  <c r="A24" i="8"/>
  <c r="A23" i="8"/>
  <c r="A22" i="8"/>
  <c r="A21" i="8"/>
  <c r="A19" i="8"/>
  <c r="A18" i="8"/>
  <c r="A17" i="8"/>
  <c r="A16" i="8"/>
  <c r="A15" i="8"/>
  <c r="A14" i="8"/>
  <c r="A13" i="8"/>
  <c r="A12" i="8"/>
  <c r="A10" i="8"/>
  <c r="A9" i="8"/>
  <c r="A8" i="8"/>
  <c r="A7" i="8"/>
  <c r="A6" i="8"/>
  <c r="A5" i="8"/>
  <c r="A46" i="23"/>
  <c r="A45" i="23"/>
  <c r="A44" i="23"/>
  <c r="A43" i="23"/>
  <c r="A42" i="23"/>
  <c r="A41" i="23"/>
  <c r="A39" i="23"/>
  <c r="A38" i="23"/>
  <c r="A37" i="23"/>
  <c r="A36" i="23"/>
  <c r="A35" i="23"/>
  <c r="A34" i="23"/>
  <c r="A33" i="23"/>
  <c r="A31" i="23"/>
  <c r="A30" i="23"/>
  <c r="A28" i="23"/>
  <c r="A27" i="23"/>
  <c r="A26" i="23"/>
  <c r="A25" i="23"/>
  <c r="A24" i="23"/>
  <c r="A23" i="23"/>
  <c r="A22" i="23"/>
  <c r="A21" i="23"/>
  <c r="A19" i="23"/>
  <c r="A18" i="23"/>
  <c r="A17" i="23"/>
  <c r="A16" i="23"/>
  <c r="A15" i="23"/>
  <c r="A14" i="23"/>
  <c r="A13" i="23"/>
  <c r="A12" i="23"/>
  <c r="A10" i="23"/>
  <c r="A9" i="23"/>
  <c r="A8" i="23"/>
  <c r="A7" i="23"/>
  <c r="A6" i="23"/>
  <c r="A5" i="23"/>
  <c r="C11" i="22"/>
  <c r="A6" i="22"/>
  <c r="A7" i="22"/>
  <c r="A8" i="22"/>
  <c r="A9" i="22"/>
  <c r="A10" i="22"/>
  <c r="A12" i="22"/>
  <c r="A13" i="22"/>
  <c r="A14" i="22"/>
  <c r="A15" i="22"/>
  <c r="A16" i="22"/>
  <c r="A17" i="22"/>
  <c r="A18" i="22"/>
  <c r="A19" i="22"/>
  <c r="A21" i="22"/>
  <c r="A22" i="22"/>
  <c r="A23" i="22"/>
  <c r="A24" i="22"/>
  <c r="A25" i="22"/>
  <c r="A26" i="22"/>
  <c r="A27" i="22"/>
  <c r="A28" i="22"/>
  <c r="A30" i="22"/>
  <c r="A31" i="22"/>
  <c r="A33" i="22"/>
  <c r="A34" i="22"/>
  <c r="A35" i="22"/>
  <c r="A36" i="22"/>
  <c r="A37" i="22"/>
  <c r="A38" i="22"/>
  <c r="A39" i="22"/>
  <c r="A41" i="22"/>
  <c r="A42" i="22"/>
  <c r="A43" i="22"/>
  <c r="A44" i="22"/>
  <c r="A45" i="22"/>
  <c r="A46" i="22"/>
  <c r="A5" i="22"/>
  <c r="U27" i="6"/>
  <c r="U42" i="6"/>
  <c r="C51" i="35"/>
  <c r="U6" i="6"/>
  <c r="C8" i="35"/>
  <c r="U11" i="6"/>
  <c r="C16" i="35"/>
  <c r="U13" i="6"/>
  <c r="U18" i="6"/>
  <c r="U24" i="6"/>
  <c r="U25" i="6"/>
  <c r="C41" i="35"/>
  <c r="U26" i="6"/>
  <c r="C46" i="35"/>
  <c r="U3" i="6"/>
  <c r="C5" i="35"/>
  <c r="N6" i="6"/>
  <c r="N11" i="6"/>
  <c r="N13" i="6"/>
  <c r="N18" i="6"/>
  <c r="N24" i="6"/>
  <c r="C37" i="18"/>
  <c r="N25" i="6"/>
  <c r="N26" i="6"/>
  <c r="C46" i="18"/>
  <c r="N27" i="6"/>
  <c r="N42" i="6"/>
  <c r="C51" i="18"/>
  <c r="N3" i="6"/>
  <c r="C5" i="18"/>
  <c r="C18" i="6"/>
  <c r="U1" i="6"/>
  <c r="N1" i="6"/>
  <c r="H1" i="6"/>
  <c r="N1" i="5"/>
  <c r="G41" i="17"/>
  <c r="C41" i="18"/>
  <c r="X18" i="6"/>
  <c r="AB18" i="6"/>
  <c r="C16" i="18"/>
  <c r="Y18" i="6"/>
  <c r="C27" i="24"/>
  <c r="B53" i="29"/>
  <c r="B52" i="29"/>
  <c r="G142" i="5"/>
  <c r="I44" i="5"/>
  <c r="AF44" i="5"/>
  <c r="AG44" i="5"/>
  <c r="X1" i="5"/>
  <c r="AU18" i="2"/>
  <c r="J45" i="1"/>
  <c r="J47" i="1" s="1"/>
  <c r="J48" i="1" s="1"/>
  <c r="J25" i="1"/>
  <c r="J11" i="1"/>
  <c r="C35" i="6"/>
  <c r="J9" i="1"/>
  <c r="J8" i="1"/>
  <c r="J7" i="1"/>
  <c r="E6" i="1"/>
  <c r="C44" i="5"/>
  <c r="C47" i="1"/>
  <c r="C6" i="1"/>
  <c r="B6" i="1"/>
  <c r="A6" i="1"/>
  <c r="E35" i="6"/>
  <c r="F117" i="5"/>
  <c r="I117" i="5"/>
  <c r="AF117" i="5"/>
  <c r="F113" i="5"/>
  <c r="I113" i="5"/>
  <c r="AF113" i="5"/>
  <c r="F107" i="5"/>
  <c r="G78" i="5"/>
  <c r="G64" i="5"/>
  <c r="G84" i="5"/>
  <c r="G66" i="5"/>
  <c r="F37" i="5"/>
  <c r="I37" i="5"/>
  <c r="F36" i="5"/>
  <c r="I36" i="5"/>
  <c r="W20" i="7"/>
  <c r="V20" i="7"/>
  <c r="E19" i="7"/>
  <c r="V19" i="7"/>
  <c r="W18" i="7"/>
  <c r="V18" i="7"/>
  <c r="W17" i="7"/>
  <c r="V17" i="7"/>
  <c r="E16" i="7"/>
  <c r="V16" i="7"/>
  <c r="W15" i="7"/>
  <c r="V15" i="7"/>
  <c r="W14" i="7"/>
  <c r="V14" i="7"/>
  <c r="E13" i="7"/>
  <c r="V13" i="7"/>
  <c r="E12" i="7"/>
  <c r="V12" i="7"/>
  <c r="W11" i="7"/>
  <c r="V11" i="7"/>
  <c r="E10" i="7"/>
  <c r="W10" i="7"/>
  <c r="E9" i="7"/>
  <c r="W9" i="7"/>
  <c r="E8" i="7"/>
  <c r="W8" i="7"/>
  <c r="E7" i="7"/>
  <c r="W7" i="7"/>
  <c r="E6" i="7"/>
  <c r="W6" i="7"/>
  <c r="E5" i="7"/>
  <c r="W5" i="7"/>
  <c r="E11" i="2"/>
  <c r="Y11" i="2"/>
  <c r="E10" i="2"/>
  <c r="Y10" i="2"/>
  <c r="E9" i="2"/>
  <c r="Y9" i="2"/>
  <c r="E8" i="2"/>
  <c r="Y8" i="2"/>
  <c r="E7" i="2"/>
  <c r="V10" i="7"/>
  <c r="X15" i="7"/>
  <c r="X17" i="7"/>
  <c r="H7" i="2"/>
  <c r="E148" i="5"/>
  <c r="E151" i="1"/>
  <c r="Y7" i="2"/>
  <c r="V8" i="7"/>
  <c r="X8" i="7"/>
  <c r="Q9" i="2"/>
  <c r="W9" i="2"/>
  <c r="Q10" i="2"/>
  <c r="W10" i="2"/>
  <c r="W7" i="2"/>
  <c r="Q13" i="2"/>
  <c r="Q17" i="2"/>
  <c r="Q15" i="2"/>
  <c r="Q16" i="2"/>
  <c r="Q14" i="2"/>
  <c r="Q7" i="2"/>
  <c r="Q8" i="2"/>
  <c r="W8" i="2"/>
  <c r="X10" i="7"/>
  <c r="X18" i="7"/>
  <c r="Q11" i="2"/>
  <c r="W11" i="2"/>
  <c r="V7" i="7"/>
  <c r="X7" i="7"/>
  <c r="V9" i="7"/>
  <c r="X9" i="7"/>
  <c r="X11" i="7"/>
  <c r="X14" i="7"/>
  <c r="W16" i="7"/>
  <c r="X20" i="7"/>
  <c r="Y107" i="5"/>
  <c r="J107" i="5"/>
  <c r="AF107" i="5"/>
  <c r="X16" i="7"/>
  <c r="V5" i="7"/>
  <c r="X5" i="7"/>
  <c r="V6" i="7"/>
  <c r="X6" i="7"/>
  <c r="W12" i="7"/>
  <c r="X12" i="7"/>
  <c r="W13" i="7"/>
  <c r="X13" i="7"/>
  <c r="W19" i="7"/>
  <c r="X19" i="7"/>
  <c r="F124" i="5"/>
  <c r="G121" i="5"/>
  <c r="F62" i="5"/>
  <c r="I62" i="5"/>
  <c r="F41" i="5"/>
  <c r="J41" i="5"/>
  <c r="L41" i="5"/>
  <c r="J16" i="2"/>
  <c r="J15" i="2"/>
  <c r="J13" i="2"/>
  <c r="J12" i="2"/>
  <c r="J11" i="2"/>
  <c r="J10" i="2"/>
  <c r="J9" i="2"/>
  <c r="J8" i="2"/>
  <c r="J7" i="2"/>
  <c r="J6" i="2"/>
  <c r="F31" i="5"/>
  <c r="I31" i="5"/>
  <c r="F24" i="5"/>
  <c r="J24" i="5"/>
  <c r="Y24" i="5"/>
  <c r="U7" i="6"/>
  <c r="C12" i="35"/>
  <c r="W13" i="2"/>
  <c r="W14" i="2"/>
  <c r="W15" i="2"/>
  <c r="W16" i="2"/>
  <c r="W17" i="2"/>
  <c r="W6" i="2"/>
  <c r="BA18" i="2"/>
  <c r="F21" i="5"/>
  <c r="F13" i="5"/>
  <c r="I13" i="5"/>
  <c r="G11" i="5"/>
  <c r="AA148" i="5"/>
  <c r="Y18" i="2"/>
  <c r="Q18" i="2"/>
  <c r="T148" i="5"/>
  <c r="W18" i="2"/>
  <c r="X21" i="7"/>
  <c r="E157" i="5"/>
  <c r="E160" i="1"/>
  <c r="V21" i="7"/>
  <c r="H157" i="5"/>
  <c r="W21" i="7"/>
  <c r="I157" i="5"/>
  <c r="F50" i="30"/>
  <c r="AF157" i="5"/>
  <c r="Y148" i="5"/>
  <c r="G44" i="25"/>
  <c r="BB4" i="2"/>
  <c r="G44" i="16"/>
  <c r="AD75" i="5"/>
  <c r="AE75" i="5"/>
  <c r="AD87" i="5"/>
  <c r="AD101" i="5"/>
  <c r="AD102" i="5"/>
  <c r="AD103" i="5"/>
  <c r="AD104" i="5"/>
  <c r="G42" i="25"/>
  <c r="G42" i="16"/>
  <c r="G41" i="16"/>
  <c r="AZ4" i="2"/>
  <c r="G41" i="25"/>
  <c r="AG156" i="5"/>
  <c r="B51" i="29"/>
  <c r="G45" i="24"/>
  <c r="G44" i="21"/>
  <c r="G42" i="23"/>
  <c r="G44" i="23"/>
  <c r="G15" i="23"/>
  <c r="G41" i="23"/>
  <c r="G44" i="22"/>
  <c r="G15" i="22"/>
  <c r="G41" i="22"/>
  <c r="X35" i="6"/>
  <c r="X38" i="6"/>
  <c r="AB41" i="5"/>
  <c r="X37" i="6"/>
  <c r="C38" i="6"/>
  <c r="AA43" i="6"/>
  <c r="Z43" i="6"/>
  <c r="Y1" i="6"/>
  <c r="G42" i="21"/>
  <c r="G42" i="20"/>
  <c r="G41" i="20"/>
  <c r="G42" i="12"/>
  <c r="G41" i="12"/>
  <c r="G42" i="10"/>
  <c r="G41" i="10"/>
  <c r="G42" i="9"/>
  <c r="G41" i="9"/>
  <c r="G42" i="28"/>
  <c r="G42" i="8"/>
  <c r="G41" i="8"/>
  <c r="F42" i="29"/>
  <c r="G41" i="28"/>
  <c r="F35" i="6"/>
  <c r="AB35" i="6"/>
  <c r="F41" i="29"/>
  <c r="BJ18" i="2"/>
  <c r="BI18" i="2"/>
  <c r="AA1" i="6"/>
  <c r="Z1" i="5"/>
  <c r="W1" i="5"/>
  <c r="V1" i="5"/>
  <c r="U1" i="5"/>
  <c r="Q1" i="5"/>
  <c r="P1" i="5"/>
  <c r="O1" i="5"/>
  <c r="M1" i="5"/>
  <c r="K1" i="5"/>
  <c r="F139" i="5"/>
  <c r="H139" i="5"/>
  <c r="AF139" i="5"/>
  <c r="X26" i="5"/>
  <c r="J26" i="5"/>
  <c r="Z1" i="6"/>
  <c r="G74" i="5"/>
  <c r="F109" i="5"/>
  <c r="M109" i="5"/>
  <c r="J109" i="5"/>
  <c r="AF109" i="5"/>
  <c r="AY4" i="2"/>
  <c r="AX4" i="2"/>
  <c r="AW4" i="2"/>
  <c r="AV4" i="2"/>
  <c r="AT4" i="2"/>
  <c r="AS4" i="2"/>
  <c r="AR4" i="2"/>
  <c r="AQ4" i="2"/>
  <c r="AP4" i="2"/>
  <c r="AO4" i="2"/>
  <c r="AM4" i="2"/>
  <c r="G41" i="18"/>
  <c r="G50" i="25"/>
  <c r="Y37" i="6"/>
  <c r="Y41" i="6"/>
  <c r="Y43" i="6"/>
  <c r="F149" i="5"/>
  <c r="AB149" i="5"/>
  <c r="AF149" i="5"/>
  <c r="F128" i="5"/>
  <c r="AB128" i="5"/>
  <c r="AF128" i="5"/>
  <c r="F156" i="5"/>
  <c r="AA156" i="5"/>
  <c r="W27" i="6"/>
  <c r="AB156" i="5"/>
  <c r="AF156" i="5"/>
  <c r="P37" i="6"/>
  <c r="Q37" i="6"/>
  <c r="R37" i="6"/>
  <c r="S37" i="6"/>
  <c r="T37" i="6"/>
  <c r="I37" i="6"/>
  <c r="G40" i="24"/>
  <c r="K37" i="6"/>
  <c r="G56" i="24"/>
  <c r="G39" i="23"/>
  <c r="G44" i="19"/>
  <c r="F44" i="30"/>
  <c r="G41" i="19"/>
  <c r="G41" i="21"/>
  <c r="V37" i="6"/>
  <c r="C51" i="8"/>
  <c r="AL17" i="2"/>
  <c r="BD6" i="2"/>
  <c r="BK6" i="2"/>
  <c r="AH6" i="2"/>
  <c r="BD13" i="2"/>
  <c r="BK13" i="2"/>
  <c r="AH13" i="2"/>
  <c r="BD14" i="2"/>
  <c r="BK14" i="2"/>
  <c r="AH14" i="2"/>
  <c r="BD15" i="2"/>
  <c r="BK15" i="2"/>
  <c r="AH15" i="2"/>
  <c r="BD16" i="2"/>
  <c r="BK16" i="2"/>
  <c r="AH16" i="2"/>
  <c r="BD17" i="2"/>
  <c r="Z17" i="2"/>
  <c r="AO18" i="2"/>
  <c r="AM18" i="2"/>
  <c r="AP18" i="2"/>
  <c r="AQ18" i="2"/>
  <c r="AR18" i="2"/>
  <c r="AT18" i="2"/>
  <c r="AV18" i="2"/>
  <c r="AW18" i="2"/>
  <c r="AY18" i="2"/>
  <c r="AZ18" i="2"/>
  <c r="BB18" i="2"/>
  <c r="AK18" i="2"/>
  <c r="AJ18" i="2"/>
  <c r="G52" i="5"/>
  <c r="AS18" i="2"/>
  <c r="AX18" i="2"/>
  <c r="G76" i="5"/>
  <c r="G80" i="5"/>
  <c r="G82" i="5"/>
  <c r="G86" i="5"/>
  <c r="G115" i="5"/>
  <c r="G120" i="5"/>
  <c r="G125" i="5"/>
  <c r="G151" i="5"/>
  <c r="G154" i="5"/>
  <c r="F104" i="5"/>
  <c r="O104" i="5"/>
  <c r="J104" i="5"/>
  <c r="AF104" i="5"/>
  <c r="F111" i="5"/>
  <c r="F112" i="5"/>
  <c r="F114" i="5"/>
  <c r="G126" i="5"/>
  <c r="G127" i="5"/>
  <c r="G129" i="5"/>
  <c r="G131" i="5"/>
  <c r="G135" i="5"/>
  <c r="G144" i="5"/>
  <c r="G146" i="5"/>
  <c r="H6" i="2"/>
  <c r="H13" i="2"/>
  <c r="H14" i="2"/>
  <c r="H15" i="2"/>
  <c r="H16" i="2"/>
  <c r="I6" i="2"/>
  <c r="I13" i="2"/>
  <c r="I15" i="2"/>
  <c r="I16" i="2"/>
  <c r="I17" i="2"/>
  <c r="K6" i="2"/>
  <c r="K13" i="2"/>
  <c r="K15" i="2"/>
  <c r="K16" i="2"/>
  <c r="K17" i="2"/>
  <c r="L6" i="2"/>
  <c r="L13" i="2"/>
  <c r="L15" i="2"/>
  <c r="L16" i="2"/>
  <c r="L17" i="2"/>
  <c r="M6" i="2"/>
  <c r="M13" i="2"/>
  <c r="M15" i="2"/>
  <c r="M16" i="2"/>
  <c r="M17" i="2"/>
  <c r="N6" i="2"/>
  <c r="N13" i="2"/>
  <c r="N14" i="2"/>
  <c r="N15" i="2"/>
  <c r="N16" i="2"/>
  <c r="N17" i="2"/>
  <c r="O6" i="2"/>
  <c r="O13" i="2"/>
  <c r="O14" i="2"/>
  <c r="O15" i="2"/>
  <c r="O16" i="2"/>
  <c r="O17" i="2"/>
  <c r="P6" i="2"/>
  <c r="P13" i="2"/>
  <c r="P14" i="2"/>
  <c r="P15" i="2"/>
  <c r="P16" i="2"/>
  <c r="P17" i="2"/>
  <c r="R6" i="2"/>
  <c r="R13" i="2"/>
  <c r="R14" i="2"/>
  <c r="R15" i="2"/>
  <c r="R16" i="2"/>
  <c r="R17" i="2"/>
  <c r="S6" i="2"/>
  <c r="S13" i="2"/>
  <c r="S14" i="2"/>
  <c r="S15" i="2"/>
  <c r="S16" i="2"/>
  <c r="S17" i="2"/>
  <c r="T6" i="2"/>
  <c r="T13" i="2"/>
  <c r="T14" i="2"/>
  <c r="T15" i="2"/>
  <c r="T16" i="2"/>
  <c r="T17" i="2"/>
  <c r="U6" i="2"/>
  <c r="U13" i="2"/>
  <c r="U14" i="2"/>
  <c r="U15" i="2"/>
  <c r="U16" i="2"/>
  <c r="U17" i="2"/>
  <c r="V6" i="2"/>
  <c r="V13" i="2"/>
  <c r="V14" i="2"/>
  <c r="V15" i="2"/>
  <c r="V16" i="2"/>
  <c r="V17" i="2"/>
  <c r="G150" i="5"/>
  <c r="AG157" i="5"/>
  <c r="G5" i="5"/>
  <c r="G7" i="5"/>
  <c r="G9" i="5"/>
  <c r="U21" i="5"/>
  <c r="J21" i="5"/>
  <c r="F22" i="5"/>
  <c r="F25" i="5"/>
  <c r="F26" i="5"/>
  <c r="F27" i="5"/>
  <c r="F30" i="5"/>
  <c r="Z30" i="5"/>
  <c r="J30" i="5"/>
  <c r="F32" i="5"/>
  <c r="F39" i="5"/>
  <c r="S39" i="5"/>
  <c r="J39" i="5"/>
  <c r="F42" i="5"/>
  <c r="F43" i="5"/>
  <c r="Q43" i="5"/>
  <c r="G45" i="5"/>
  <c r="G46" i="5"/>
  <c r="G47" i="5"/>
  <c r="G49" i="5"/>
  <c r="G50" i="5"/>
  <c r="G56" i="5"/>
  <c r="G58" i="5"/>
  <c r="G63" i="5"/>
  <c r="F69" i="5"/>
  <c r="Q69" i="5"/>
  <c r="F87" i="5"/>
  <c r="F101" i="5"/>
  <c r="N101" i="5"/>
  <c r="J101" i="5"/>
  <c r="AF101" i="5"/>
  <c r="F102" i="5"/>
  <c r="Q102" i="5"/>
  <c r="J102" i="5"/>
  <c r="AF102" i="5"/>
  <c r="F103" i="5"/>
  <c r="E37" i="6"/>
  <c r="F36" i="6"/>
  <c r="AB36" i="6"/>
  <c r="F40" i="6"/>
  <c r="J1" i="6"/>
  <c r="F39" i="6"/>
  <c r="D39" i="6"/>
  <c r="D41" i="6"/>
  <c r="X41" i="6"/>
  <c r="I124" i="5"/>
  <c r="AF124" i="5"/>
  <c r="F38" i="5"/>
  <c r="H38" i="5"/>
  <c r="AF38" i="5"/>
  <c r="F75" i="5"/>
  <c r="H75" i="5"/>
  <c r="AF75" i="5"/>
  <c r="F118" i="5"/>
  <c r="H118" i="5"/>
  <c r="AF118" i="5"/>
  <c r="F123" i="5"/>
  <c r="H123" i="5"/>
  <c r="AF123" i="5"/>
  <c r="F6" i="2"/>
  <c r="F11" i="2"/>
  <c r="F13" i="2"/>
  <c r="F15" i="2"/>
  <c r="F16" i="2"/>
  <c r="F17" i="2"/>
  <c r="S1" i="6"/>
  <c r="T1" i="6"/>
  <c r="V1" i="6"/>
  <c r="X1" i="6"/>
  <c r="AB1" i="6"/>
  <c r="E1" i="6"/>
  <c r="F1" i="6"/>
  <c r="G1" i="6"/>
  <c r="I1" i="6"/>
  <c r="K1" i="6"/>
  <c r="L1" i="6"/>
  <c r="M1" i="6"/>
  <c r="O1" i="6"/>
  <c r="P1" i="6"/>
  <c r="Q1" i="6"/>
  <c r="R1" i="6"/>
  <c r="D1" i="6"/>
  <c r="F157" i="5"/>
  <c r="F153" i="5"/>
  <c r="AC153" i="5"/>
  <c r="AB153" i="5"/>
  <c r="AF153" i="5"/>
  <c r="F23" i="5"/>
  <c r="O23" i="5"/>
  <c r="J23" i="5"/>
  <c r="F28" i="5"/>
  <c r="F29" i="5"/>
  <c r="W29" i="5"/>
  <c r="J29" i="5"/>
  <c r="F33" i="5"/>
  <c r="F34" i="5"/>
  <c r="I34" i="5"/>
  <c r="F35" i="5"/>
  <c r="F40" i="5"/>
  <c r="I40" i="5"/>
  <c r="F55" i="5"/>
  <c r="AC55" i="5"/>
  <c r="F67" i="5"/>
  <c r="I67" i="5"/>
  <c r="AF67" i="5"/>
  <c r="F106" i="5"/>
  <c r="P106" i="5"/>
  <c r="J106" i="5"/>
  <c r="AF106" i="5"/>
  <c r="F108" i="5"/>
  <c r="W108" i="5"/>
  <c r="J108" i="5"/>
  <c r="AF108" i="5"/>
  <c r="F110" i="5"/>
  <c r="F119" i="5"/>
  <c r="I119" i="5"/>
  <c r="AF119" i="5"/>
  <c r="F122" i="5"/>
  <c r="I122" i="5"/>
  <c r="AF122" i="5"/>
  <c r="F133" i="5"/>
  <c r="I133" i="5"/>
  <c r="AF133" i="5"/>
  <c r="F140" i="5"/>
  <c r="C127" i="5"/>
  <c r="C130" i="1"/>
  <c r="D158" i="5"/>
  <c r="BH18" i="2"/>
  <c r="BG18" i="2"/>
  <c r="BF18" i="2"/>
  <c r="BE18" i="2"/>
  <c r="C18" i="2"/>
  <c r="B18" i="2"/>
  <c r="AD17" i="2"/>
  <c r="AC17" i="2"/>
  <c r="AB17" i="2"/>
  <c r="AA17" i="2"/>
  <c r="G17" i="2"/>
  <c r="AD16" i="2"/>
  <c r="AC16" i="2"/>
  <c r="AB16" i="2"/>
  <c r="AA16" i="2"/>
  <c r="G16" i="2"/>
  <c r="AD15" i="2"/>
  <c r="AC15" i="2"/>
  <c r="AB15" i="2"/>
  <c r="AA15" i="2"/>
  <c r="G15" i="2"/>
  <c r="AD14" i="2"/>
  <c r="AC14" i="2"/>
  <c r="AB14" i="2"/>
  <c r="AA14" i="2"/>
  <c r="AD13" i="2"/>
  <c r="AC13" i="2"/>
  <c r="AB13" i="2"/>
  <c r="AA13" i="2"/>
  <c r="G13" i="2"/>
  <c r="Z11" i="2"/>
  <c r="AD11" i="2"/>
  <c r="G11" i="2"/>
  <c r="AD6" i="2"/>
  <c r="AC6" i="2"/>
  <c r="AB6" i="2"/>
  <c r="AA6" i="2"/>
  <c r="G6" i="2"/>
  <c r="G8" i="2"/>
  <c r="E41" i="6"/>
  <c r="Z14" i="2"/>
  <c r="Z16" i="2"/>
  <c r="J32" i="5"/>
  <c r="R32" i="5"/>
  <c r="N7" i="6"/>
  <c r="C12" i="18"/>
  <c r="J112" i="5"/>
  <c r="AF112" i="5"/>
  <c r="R112" i="5"/>
  <c r="Z6" i="2"/>
  <c r="V12" i="2"/>
  <c r="X12" i="2"/>
  <c r="V8" i="2"/>
  <c r="X8" i="2"/>
  <c r="X11" i="2"/>
  <c r="V11" i="2"/>
  <c r="V7" i="2"/>
  <c r="X7" i="2"/>
  <c r="X9" i="2"/>
  <c r="V9" i="2"/>
  <c r="X10" i="2"/>
  <c r="V10" i="2"/>
  <c r="F105" i="5"/>
  <c r="X105" i="5"/>
  <c r="J105" i="5"/>
  <c r="AF105" i="5"/>
  <c r="AC140" i="5"/>
  <c r="AB55" i="5"/>
  <c r="AF55" i="5"/>
  <c r="G155" i="5"/>
  <c r="R12" i="2"/>
  <c r="F8" i="2"/>
  <c r="U11" i="2"/>
  <c r="S11" i="2"/>
  <c r="I10" i="2"/>
  <c r="P9" i="2"/>
  <c r="T33" i="5"/>
  <c r="J33" i="5"/>
  <c r="K87" i="5"/>
  <c r="J87" i="5"/>
  <c r="AF87" i="5"/>
  <c r="T111" i="5"/>
  <c r="J111" i="5"/>
  <c r="AF111" i="5"/>
  <c r="Q103" i="5"/>
  <c r="J103" i="5"/>
  <c r="AF103" i="5"/>
  <c r="P27" i="5"/>
  <c r="J27" i="5"/>
  <c r="M28" i="5"/>
  <c r="J28" i="5"/>
  <c r="S114" i="5"/>
  <c r="J114" i="5"/>
  <c r="AF114" i="5"/>
  <c r="U110" i="5"/>
  <c r="J110" i="5"/>
  <c r="AF110" i="5"/>
  <c r="V42" i="5"/>
  <c r="J42" i="5"/>
  <c r="K22" i="5"/>
  <c r="J22" i="5"/>
  <c r="N25" i="5"/>
  <c r="AC10" i="2"/>
  <c r="AA11" i="2"/>
  <c r="P11" i="2"/>
  <c r="AB11" i="2"/>
  <c r="O11" i="2"/>
  <c r="AC11" i="2"/>
  <c r="BK17" i="2"/>
  <c r="AH17" i="2"/>
  <c r="AI17" i="2"/>
  <c r="AB9" i="2"/>
  <c r="AA8" i="2"/>
  <c r="AC9" i="2"/>
  <c r="U9" i="2"/>
  <c r="I9" i="2"/>
  <c r="L10" i="2"/>
  <c r="Z15" i="2"/>
  <c r="AI15" i="2"/>
  <c r="Z13" i="2"/>
  <c r="AI13" i="2"/>
  <c r="AD10" i="2"/>
  <c r="H17" i="2"/>
  <c r="T11" i="2"/>
  <c r="K11" i="2"/>
  <c r="R11" i="2"/>
  <c r="M11" i="2"/>
  <c r="Z8" i="2"/>
  <c r="U8" i="2"/>
  <c r="T8" i="2"/>
  <c r="S8" i="2"/>
  <c r="R8" i="2"/>
  <c r="N8" i="2"/>
  <c r="M8" i="2"/>
  <c r="L8" i="2"/>
  <c r="K8" i="2"/>
  <c r="I8" i="2"/>
  <c r="P8" i="2"/>
  <c r="O8" i="2"/>
  <c r="AB8" i="2"/>
  <c r="AC8" i="2"/>
  <c r="AD8" i="2"/>
  <c r="K9" i="2"/>
  <c r="AH12" i="2"/>
  <c r="AD9" i="2"/>
  <c r="T10" i="2"/>
  <c r="O9" i="2"/>
  <c r="N10" i="2"/>
  <c r="I11" i="2"/>
  <c r="AB12" i="2"/>
  <c r="E18" i="2"/>
  <c r="T9" i="2"/>
  <c r="N9" i="2"/>
  <c r="AC7" i="2"/>
  <c r="AH10" i="2"/>
  <c r="G9" i="2"/>
  <c r="AA9" i="2"/>
  <c r="Z9" i="2"/>
  <c r="AC12" i="2"/>
  <c r="F9" i="2"/>
  <c r="R9" i="2"/>
  <c r="L9" i="2"/>
  <c r="H9" i="2"/>
  <c r="AH9" i="2"/>
  <c r="AI14" i="2"/>
  <c r="C41" i="6"/>
  <c r="AF39" i="5"/>
  <c r="O37" i="6"/>
  <c r="C34" i="6"/>
  <c r="H10" i="2"/>
  <c r="AD7" i="2"/>
  <c r="AB10" i="2"/>
  <c r="R10" i="2"/>
  <c r="O10" i="2"/>
  <c r="Z7" i="2"/>
  <c r="G7" i="2"/>
  <c r="AA10" i="2"/>
  <c r="BD18" i="2"/>
  <c r="F10" i="2"/>
  <c r="AI6" i="2"/>
  <c r="U10" i="2"/>
  <c r="S10" i="2"/>
  <c r="AI16" i="2"/>
  <c r="N12" i="2"/>
  <c r="M10" i="2"/>
  <c r="K10" i="2"/>
  <c r="AA7" i="2"/>
  <c r="F7" i="2"/>
  <c r="G10" i="2"/>
  <c r="Z10" i="2"/>
  <c r="AB7" i="2"/>
  <c r="S9" i="2"/>
  <c r="P10" i="2"/>
  <c r="N11" i="2"/>
  <c r="M9" i="2"/>
  <c r="L11" i="2"/>
  <c r="AF29" i="5"/>
  <c r="AF23" i="5"/>
  <c r="AF40" i="5"/>
  <c r="L12" i="2"/>
  <c r="P12" i="2"/>
  <c r="S12" i="2"/>
  <c r="AD12" i="2"/>
  <c r="G12" i="2"/>
  <c r="K12" i="2"/>
  <c r="O12" i="2"/>
  <c r="F141" i="5"/>
  <c r="AG41" i="5"/>
  <c r="AF41" i="5"/>
  <c r="I12" i="2"/>
  <c r="F138" i="5"/>
  <c r="AH8" i="2"/>
  <c r="H8" i="2"/>
  <c r="I35" i="5"/>
  <c r="G60" i="5"/>
  <c r="Z12" i="2"/>
  <c r="AF34" i="5"/>
  <c r="G19" i="22"/>
  <c r="F19" i="31"/>
  <c r="AB39" i="6"/>
  <c r="F116" i="5"/>
  <c r="I116" i="5"/>
  <c r="AF116" i="5"/>
  <c r="AA12" i="2"/>
  <c r="F53" i="5"/>
  <c r="I53" i="5"/>
  <c r="AF53" i="5"/>
  <c r="F12" i="2"/>
  <c r="M12" i="2"/>
  <c r="L7" i="2"/>
  <c r="P7" i="2"/>
  <c r="S7" i="2"/>
  <c r="I7" i="2"/>
  <c r="K7" i="2"/>
  <c r="M7" i="2"/>
  <c r="N7" i="2"/>
  <c r="O7" i="2"/>
  <c r="R7" i="2"/>
  <c r="T7" i="2"/>
  <c r="U7" i="2"/>
  <c r="H11" i="2"/>
  <c r="H12" i="2"/>
  <c r="AH11" i="2"/>
  <c r="AL18" i="2"/>
  <c r="AF21" i="5"/>
  <c r="M34" i="6"/>
  <c r="G42" i="13"/>
  <c r="F42" i="30"/>
  <c r="F41" i="30"/>
  <c r="Y19" i="2"/>
  <c r="AA2" i="5"/>
  <c r="J19" i="2"/>
  <c r="L2" i="5"/>
  <c r="Q19" i="2"/>
  <c r="T2" i="5"/>
  <c r="AG32" i="5"/>
  <c r="AG102" i="5"/>
  <c r="AG29" i="5"/>
  <c r="AG104" i="5"/>
  <c r="AG106" i="5"/>
  <c r="AG21" i="5"/>
  <c r="AG30" i="5"/>
  <c r="AG105" i="5"/>
  <c r="AG108" i="5"/>
  <c r="AG23" i="5"/>
  <c r="AG116" i="5"/>
  <c r="AG128" i="5"/>
  <c r="AG124" i="5"/>
  <c r="AG34" i="5"/>
  <c r="AG149" i="5"/>
  <c r="AG53" i="5"/>
  <c r="AG118" i="5"/>
  <c r="AG122" i="5"/>
  <c r="AG119" i="5"/>
  <c r="AG133" i="5"/>
  <c r="AG55" i="5"/>
  <c r="AG153" i="5"/>
  <c r="AG38" i="5"/>
  <c r="AG141" i="5"/>
  <c r="AG67" i="5"/>
  <c r="AG75" i="5"/>
  <c r="AG123" i="5"/>
  <c r="AG140" i="5"/>
  <c r="AG138" i="5"/>
  <c r="AG40" i="5"/>
  <c r="AG35" i="5"/>
  <c r="AG26" i="5"/>
  <c r="AG109" i="5"/>
  <c r="AG39" i="5"/>
  <c r="AG101" i="5"/>
  <c r="AG110" i="5"/>
  <c r="AG112" i="5"/>
  <c r="AF22" i="5"/>
  <c r="AG22" i="5"/>
  <c r="AG42" i="5"/>
  <c r="AG27" i="5"/>
  <c r="AG33" i="5"/>
  <c r="AG28" i="5"/>
  <c r="AG114" i="5"/>
  <c r="AG111" i="5"/>
  <c r="AG103" i="5"/>
  <c r="AG87" i="5"/>
  <c r="U19" i="2"/>
  <c r="W2" i="5"/>
  <c r="W19" i="2"/>
  <c r="Y2" i="5"/>
  <c r="M37" i="6"/>
  <c r="AB140" i="5"/>
  <c r="AF140" i="5"/>
  <c r="AF27" i="5"/>
  <c r="AC141" i="5"/>
  <c r="AF26" i="5"/>
  <c r="AE19" i="2"/>
  <c r="AF19" i="2"/>
  <c r="AE18" i="2"/>
  <c r="AF18" i="2"/>
  <c r="AF28" i="5"/>
  <c r="J25" i="5"/>
  <c r="AF42" i="5"/>
  <c r="AF33" i="5"/>
  <c r="Z18" i="2"/>
  <c r="AC18" i="2"/>
  <c r="AD18" i="2"/>
  <c r="R18" i="2"/>
  <c r="R148" i="5"/>
  <c r="AF32" i="5"/>
  <c r="AI9" i="2"/>
  <c r="T18" i="2"/>
  <c r="S18" i="2"/>
  <c r="AA18" i="2"/>
  <c r="AB18" i="2"/>
  <c r="AI10" i="2"/>
  <c r="O18" i="2"/>
  <c r="N18" i="2"/>
  <c r="P18" i="2"/>
  <c r="U18" i="2"/>
  <c r="W148" i="5"/>
  <c r="C37" i="6"/>
  <c r="G42" i="22"/>
  <c r="D37" i="6"/>
  <c r="F34" i="6"/>
  <c r="AB34" i="6"/>
  <c r="AI11" i="2"/>
  <c r="H18" i="2"/>
  <c r="J148" i="5"/>
  <c r="V18" i="2"/>
  <c r="AI12" i="2"/>
  <c r="J69" i="5"/>
  <c r="AF69" i="5"/>
  <c r="AI8" i="2"/>
  <c r="AF35" i="5"/>
  <c r="G39" i="22"/>
  <c r="J43" i="5"/>
  <c r="BK18" i="2"/>
  <c r="AH7" i="2"/>
  <c r="K19" i="2"/>
  <c r="M2" i="5"/>
  <c r="I19" i="2"/>
  <c r="K2" i="5"/>
  <c r="L19" i="2"/>
  <c r="N2" i="5"/>
  <c r="M19" i="2"/>
  <c r="O2" i="5"/>
  <c r="N19" i="2"/>
  <c r="P2" i="5"/>
  <c r="P19" i="2"/>
  <c r="S2" i="5"/>
  <c r="R19" i="2"/>
  <c r="R2" i="5"/>
  <c r="S19" i="2"/>
  <c r="U2" i="5"/>
  <c r="V19" i="2"/>
  <c r="X2" i="5"/>
  <c r="X19" i="2"/>
  <c r="Z2" i="5"/>
  <c r="T19" i="2"/>
  <c r="V2" i="5"/>
  <c r="O19" i="2"/>
  <c r="Q2" i="5"/>
  <c r="G41" i="13"/>
  <c r="E20" i="2"/>
  <c r="H19" i="2"/>
  <c r="J2" i="5"/>
  <c r="AF25" i="5"/>
  <c r="AG25" i="5"/>
  <c r="X148" i="5"/>
  <c r="AB148" i="5"/>
  <c r="AB141" i="5"/>
  <c r="AF141" i="5"/>
  <c r="AC158" i="5"/>
  <c r="AF30" i="5"/>
  <c r="P148" i="5"/>
  <c r="Q148" i="5"/>
  <c r="V148" i="5"/>
  <c r="U148" i="5"/>
  <c r="S148" i="5"/>
  <c r="AF148" i="5"/>
  <c r="G50" i="22"/>
  <c r="G55" i="22"/>
  <c r="AG43" i="5"/>
  <c r="AF43" i="5"/>
  <c r="G50" i="23"/>
  <c r="AG69" i="5"/>
  <c r="AI7" i="2"/>
  <c r="AI18" i="2"/>
  <c r="AH18" i="2"/>
  <c r="Z19" i="2"/>
  <c r="AB2" i="5"/>
  <c r="AB130" i="5"/>
  <c r="AF130" i="5"/>
  <c r="F19" i="2"/>
  <c r="G19" i="2"/>
  <c r="I2" i="5"/>
  <c r="I129" i="5"/>
  <c r="J78" i="5"/>
  <c r="AA78" i="5"/>
  <c r="J76" i="5"/>
  <c r="J127" i="5"/>
  <c r="J121" i="5"/>
  <c r="J125" i="5"/>
  <c r="AA125" i="5"/>
  <c r="J144" i="5"/>
  <c r="J7" i="5"/>
  <c r="J49" i="5"/>
  <c r="J58" i="5"/>
  <c r="AA58" i="5"/>
  <c r="J50" i="5"/>
  <c r="J135" i="5"/>
  <c r="J129" i="5"/>
  <c r="J142" i="5"/>
  <c r="J47" i="5"/>
  <c r="J63" i="5"/>
  <c r="J150" i="5"/>
  <c r="J84" i="5"/>
  <c r="J52" i="5"/>
  <c r="J120" i="5"/>
  <c r="J5" i="5"/>
  <c r="J64" i="5"/>
  <c r="J11" i="5"/>
  <c r="J86" i="5"/>
  <c r="J80" i="5"/>
  <c r="J9" i="5"/>
  <c r="J56" i="5"/>
  <c r="J66" i="5"/>
  <c r="J74" i="5"/>
  <c r="J151" i="5"/>
  <c r="J60" i="5"/>
  <c r="J155" i="5"/>
  <c r="J146" i="5"/>
  <c r="J154" i="5"/>
  <c r="J115" i="5"/>
  <c r="J45" i="5"/>
  <c r="J82" i="5"/>
  <c r="J126" i="5"/>
  <c r="J131" i="5"/>
  <c r="J46" i="5"/>
  <c r="R150" i="5"/>
  <c r="N22" i="6"/>
  <c r="C33" i="18"/>
  <c r="F148" i="5"/>
  <c r="F158" i="5"/>
  <c r="AG148" i="5"/>
  <c r="G55" i="23"/>
  <c r="H2" i="5"/>
  <c r="P135" i="5"/>
  <c r="S126" i="5"/>
  <c r="AA126" i="5"/>
  <c r="Q154" i="5"/>
  <c r="AA154" i="5"/>
  <c r="P151" i="5"/>
  <c r="AA151" i="5"/>
  <c r="U9" i="5"/>
  <c r="AA9" i="5"/>
  <c r="S64" i="5"/>
  <c r="AA64" i="5"/>
  <c r="Q84" i="5"/>
  <c r="AA84" i="5"/>
  <c r="O142" i="5"/>
  <c r="AA142" i="5"/>
  <c r="Z82" i="5"/>
  <c r="AA82" i="5"/>
  <c r="Q74" i="5"/>
  <c r="AA74" i="5"/>
  <c r="Z5" i="5"/>
  <c r="AA5" i="5"/>
  <c r="Z46" i="5"/>
  <c r="AA46" i="5"/>
  <c r="V45" i="5"/>
  <c r="AA45" i="5"/>
  <c r="K155" i="5"/>
  <c r="AA155" i="5"/>
  <c r="N66" i="5"/>
  <c r="AA66" i="5"/>
  <c r="V86" i="5"/>
  <c r="AA86" i="5"/>
  <c r="X120" i="5"/>
  <c r="AA120" i="5"/>
  <c r="T63" i="5"/>
  <c r="AA63" i="5"/>
  <c r="K135" i="5"/>
  <c r="AA135" i="5"/>
  <c r="N7" i="5"/>
  <c r="AA7" i="5"/>
  <c r="L127" i="5"/>
  <c r="AA127" i="5"/>
  <c r="R146" i="5"/>
  <c r="AA146" i="5"/>
  <c r="T80" i="5"/>
  <c r="AA80" i="5"/>
  <c r="Z80" i="5"/>
  <c r="N150" i="5"/>
  <c r="AA150" i="5"/>
  <c r="O129" i="5"/>
  <c r="AA129" i="5"/>
  <c r="O49" i="5"/>
  <c r="AA49" i="5"/>
  <c r="X121" i="5"/>
  <c r="AA121" i="5"/>
  <c r="S131" i="5"/>
  <c r="AA131" i="5"/>
  <c r="R115" i="5"/>
  <c r="AA115" i="5"/>
  <c r="L60" i="5"/>
  <c r="AA60" i="5"/>
  <c r="S56" i="5"/>
  <c r="AA56" i="5"/>
  <c r="M11" i="5"/>
  <c r="AA11" i="5"/>
  <c r="S52" i="5"/>
  <c r="AA52" i="5"/>
  <c r="R47" i="5"/>
  <c r="AA47" i="5"/>
  <c r="V50" i="5"/>
  <c r="AA50" i="5"/>
  <c r="V144" i="5"/>
  <c r="AA144" i="5"/>
  <c r="Y76" i="5"/>
  <c r="AA76" i="5"/>
  <c r="O80" i="5"/>
  <c r="W74" i="5"/>
  <c r="O146" i="5"/>
  <c r="I144" i="5"/>
  <c r="S74" i="5"/>
  <c r="W82" i="5"/>
  <c r="I52" i="5"/>
  <c r="N129" i="5"/>
  <c r="S49" i="5"/>
  <c r="I7" i="5"/>
  <c r="P7" i="5"/>
  <c r="W120" i="5"/>
  <c r="X144" i="5"/>
  <c r="P129" i="5"/>
  <c r="Z49" i="5"/>
  <c r="P82" i="5"/>
  <c r="O5" i="5"/>
  <c r="I126" i="5"/>
  <c r="U150" i="5"/>
  <c r="S129" i="5"/>
  <c r="X49" i="5"/>
  <c r="Q80" i="5"/>
  <c r="I49" i="5"/>
  <c r="I9" i="5"/>
  <c r="M150" i="5"/>
  <c r="I64" i="5"/>
  <c r="K129" i="5"/>
  <c r="O50" i="5"/>
  <c r="N80" i="5"/>
  <c r="V5" i="5"/>
  <c r="I58" i="5"/>
  <c r="N146" i="5"/>
  <c r="S121" i="5"/>
  <c r="P84" i="5"/>
  <c r="E21" i="2"/>
  <c r="R50" i="5"/>
  <c r="X129" i="5"/>
  <c r="U49" i="5"/>
  <c r="N49" i="5"/>
  <c r="V80" i="5"/>
  <c r="X80" i="5"/>
  <c r="U5" i="5"/>
  <c r="I5" i="5"/>
  <c r="I50" i="5"/>
  <c r="Q47" i="5"/>
  <c r="N121" i="5"/>
  <c r="R129" i="5"/>
  <c r="Q129" i="5"/>
  <c r="V142" i="5"/>
  <c r="Q49" i="5"/>
  <c r="T82" i="5"/>
  <c r="U80" i="5"/>
  <c r="S5" i="5"/>
  <c r="P5" i="5"/>
  <c r="I45" i="5"/>
  <c r="I47" i="5"/>
  <c r="I142" i="5"/>
  <c r="M121" i="5"/>
  <c r="Z56" i="5"/>
  <c r="R5" i="5"/>
  <c r="L129" i="5"/>
  <c r="Q82" i="5"/>
  <c r="S146" i="5"/>
  <c r="X150" i="5"/>
  <c r="T74" i="5"/>
  <c r="I155" i="5"/>
  <c r="L80" i="5"/>
  <c r="T129" i="5"/>
  <c r="K49" i="5"/>
  <c r="N82" i="5"/>
  <c r="K80" i="5"/>
  <c r="W5" i="5"/>
  <c r="Q5" i="5"/>
  <c r="I76" i="5"/>
  <c r="I135" i="5"/>
  <c r="I80" i="5"/>
  <c r="I131" i="5"/>
  <c r="I60" i="5"/>
  <c r="I82" i="5"/>
  <c r="V146" i="5"/>
  <c r="K146" i="5"/>
  <c r="S150" i="5"/>
  <c r="V121" i="5"/>
  <c r="K74" i="5"/>
  <c r="I74" i="5"/>
  <c r="X64" i="5"/>
  <c r="L74" i="5"/>
  <c r="L126" i="5"/>
  <c r="T142" i="5"/>
  <c r="U64" i="5"/>
  <c r="U129" i="5"/>
  <c r="U151" i="5"/>
  <c r="T49" i="5"/>
  <c r="O82" i="5"/>
  <c r="M80" i="5"/>
  <c r="W126" i="5"/>
  <c r="V129" i="5"/>
  <c r="V49" i="5"/>
  <c r="V82" i="5"/>
  <c r="U82" i="5"/>
  <c r="S80" i="5"/>
  <c r="X5" i="5"/>
  <c r="I46" i="5"/>
  <c r="I146" i="5"/>
  <c r="I56" i="5"/>
  <c r="I125" i="5"/>
  <c r="I120" i="5"/>
  <c r="M146" i="5"/>
  <c r="X146" i="5"/>
  <c r="O150" i="5"/>
  <c r="Y64" i="5"/>
  <c r="Y154" i="5"/>
  <c r="L154" i="5"/>
  <c r="S154" i="5"/>
  <c r="N154" i="5"/>
  <c r="Y9" i="5"/>
  <c r="Q9" i="5"/>
  <c r="R9" i="5"/>
  <c r="W9" i="5"/>
  <c r="K9" i="5"/>
  <c r="Y84" i="5"/>
  <c r="R84" i="5"/>
  <c r="O84" i="5"/>
  <c r="Z84" i="5"/>
  <c r="V84" i="5"/>
  <c r="Y58" i="5"/>
  <c r="U58" i="5"/>
  <c r="N58" i="5"/>
  <c r="Z58" i="5"/>
  <c r="W58" i="5"/>
  <c r="Y125" i="5"/>
  <c r="Q125" i="5"/>
  <c r="Z125" i="5"/>
  <c r="V125" i="5"/>
  <c r="O125" i="5"/>
  <c r="W125" i="5"/>
  <c r="M9" i="5"/>
  <c r="R125" i="5"/>
  <c r="Y82" i="5"/>
  <c r="L82" i="5"/>
  <c r="X82" i="5"/>
  <c r="K82" i="5"/>
  <c r="S82" i="5"/>
  <c r="M82" i="5"/>
  <c r="Y146" i="5"/>
  <c r="T146" i="5"/>
  <c r="U146" i="5"/>
  <c r="W146" i="5"/>
  <c r="L146" i="5"/>
  <c r="Z146" i="5"/>
  <c r="Y74" i="5"/>
  <c r="Z74" i="5"/>
  <c r="X74" i="5"/>
  <c r="O74" i="5"/>
  <c r="M74" i="5"/>
  <c r="P74" i="5"/>
  <c r="U74" i="5"/>
  <c r="Y80" i="5"/>
  <c r="R80" i="5"/>
  <c r="P80" i="5"/>
  <c r="W80" i="5"/>
  <c r="Y5" i="5"/>
  <c r="K5" i="5"/>
  <c r="M5" i="5"/>
  <c r="T5" i="5"/>
  <c r="N5" i="5"/>
  <c r="Y150" i="5"/>
  <c r="U22" i="6"/>
  <c r="C33" i="35"/>
  <c r="Q150" i="5"/>
  <c r="W150" i="5"/>
  <c r="Z150" i="5"/>
  <c r="V150" i="5"/>
  <c r="K150" i="5"/>
  <c r="T150" i="5"/>
  <c r="Y129" i="5"/>
  <c r="W129" i="5"/>
  <c r="M129" i="5"/>
  <c r="Z129" i="5"/>
  <c r="W49" i="5"/>
  <c r="M49" i="5"/>
  <c r="P49" i="5"/>
  <c r="L49" i="5"/>
  <c r="Y121" i="5"/>
  <c r="Z121" i="5"/>
  <c r="L121" i="5"/>
  <c r="W121" i="5"/>
  <c r="K121" i="5"/>
  <c r="P121" i="5"/>
  <c r="O121" i="5"/>
  <c r="Q121" i="5"/>
  <c r="I78" i="5"/>
  <c r="I66" i="5"/>
  <c r="I11" i="5"/>
  <c r="I121" i="5"/>
  <c r="I115" i="5"/>
  <c r="I127" i="5"/>
  <c r="I150" i="5"/>
  <c r="I86" i="5"/>
  <c r="I151" i="5"/>
  <c r="I154" i="5"/>
  <c r="I63" i="5"/>
  <c r="I84" i="5"/>
  <c r="Y126" i="5"/>
  <c r="V126" i="5"/>
  <c r="Y151" i="5"/>
  <c r="U23" i="6"/>
  <c r="C34" i="35"/>
  <c r="K151" i="5"/>
  <c r="T151" i="5"/>
  <c r="L151" i="5"/>
  <c r="M64" i="5"/>
  <c r="W64" i="5"/>
  <c r="R64" i="5"/>
  <c r="Q64" i="5"/>
  <c r="T64" i="5"/>
  <c r="Y142" i="5"/>
  <c r="R142" i="5"/>
  <c r="K142" i="5"/>
  <c r="Q142" i="5"/>
  <c r="N151" i="5"/>
  <c r="P142" i="5"/>
  <c r="Q126" i="5"/>
  <c r="O58" i="5"/>
  <c r="O151" i="5"/>
  <c r="M151" i="5"/>
  <c r="X142" i="5"/>
  <c r="P126" i="5"/>
  <c r="Q146" i="5"/>
  <c r="P146" i="5"/>
  <c r="T154" i="5"/>
  <c r="V58" i="5"/>
  <c r="P150" i="5"/>
  <c r="U121" i="5"/>
  <c r="T121" i="5"/>
  <c r="S125" i="5"/>
  <c r="O9" i="5"/>
  <c r="V74" i="5"/>
  <c r="N74" i="5"/>
  <c r="L150" i="5"/>
  <c r="V64" i="5"/>
  <c r="S84" i="5"/>
  <c r="L5" i="5"/>
  <c r="R49" i="5"/>
  <c r="P50" i="5"/>
  <c r="Z60" i="5"/>
  <c r="O131" i="5"/>
  <c r="Q56" i="5"/>
  <c r="T11" i="5"/>
  <c r="L56" i="5"/>
  <c r="X151" i="5"/>
  <c r="W151" i="5"/>
  <c r="V151" i="5"/>
  <c r="M142" i="5"/>
  <c r="Z142" i="5"/>
  <c r="U142" i="5"/>
  <c r="X126" i="5"/>
  <c r="Z126" i="5"/>
  <c r="X115" i="5"/>
  <c r="O52" i="5"/>
  <c r="P154" i="5"/>
  <c r="O154" i="5"/>
  <c r="P60" i="5"/>
  <c r="X58" i="5"/>
  <c r="Q58" i="5"/>
  <c r="P58" i="5"/>
  <c r="T125" i="5"/>
  <c r="U125" i="5"/>
  <c r="N125" i="5"/>
  <c r="M125" i="5"/>
  <c r="U131" i="5"/>
  <c r="Z9" i="5"/>
  <c r="X9" i="5"/>
  <c r="S9" i="5"/>
  <c r="Z11" i="5"/>
  <c r="Z151" i="5"/>
  <c r="S151" i="5"/>
  <c r="Q151" i="5"/>
  <c r="W142" i="5"/>
  <c r="N142" i="5"/>
  <c r="S142" i="5"/>
  <c r="O126" i="5"/>
  <c r="U126" i="5"/>
  <c r="P115" i="5"/>
  <c r="M52" i="5"/>
  <c r="W154" i="5"/>
  <c r="M47" i="5"/>
  <c r="S58" i="5"/>
  <c r="T58" i="5"/>
  <c r="M58" i="5"/>
  <c r="K58" i="5"/>
  <c r="X125" i="5"/>
  <c r="P125" i="5"/>
  <c r="K125" i="5"/>
  <c r="W144" i="5"/>
  <c r="P9" i="5"/>
  <c r="V9" i="5"/>
  <c r="T9" i="5"/>
  <c r="N9" i="5"/>
  <c r="K64" i="5"/>
  <c r="L64" i="5"/>
  <c r="Z64" i="5"/>
  <c r="K84" i="5"/>
  <c r="M84" i="5"/>
  <c r="U84" i="5"/>
  <c r="R74" i="5"/>
  <c r="R154" i="5"/>
  <c r="R82" i="5"/>
  <c r="R126" i="5"/>
  <c r="R121" i="5"/>
  <c r="R144" i="5"/>
  <c r="L58" i="5"/>
  <c r="R151" i="5"/>
  <c r="N23" i="6"/>
  <c r="C34" i="18"/>
  <c r="T84" i="5"/>
  <c r="P64" i="5"/>
  <c r="O64" i="5"/>
  <c r="N64" i="5"/>
  <c r="W84" i="5"/>
  <c r="N84" i="5"/>
  <c r="X84" i="5"/>
  <c r="L84" i="5"/>
  <c r="L9" i="5"/>
  <c r="L125" i="5"/>
  <c r="R58" i="5"/>
  <c r="L142" i="5"/>
  <c r="Q86" i="5"/>
  <c r="N46" i="5"/>
  <c r="K50" i="5"/>
  <c r="T115" i="5"/>
  <c r="W63" i="5"/>
  <c r="P52" i="5"/>
  <c r="S76" i="5"/>
  <c r="Z47" i="5"/>
  <c r="T60" i="5"/>
  <c r="Z144" i="5"/>
  <c r="N131" i="5"/>
  <c r="U56" i="5"/>
  <c r="P11" i="5"/>
  <c r="U46" i="5"/>
  <c r="M50" i="5"/>
  <c r="N126" i="5"/>
  <c r="T126" i="5"/>
  <c r="M126" i="5"/>
  <c r="K126" i="5"/>
  <c r="U115" i="5"/>
  <c r="X45" i="5"/>
  <c r="Z52" i="5"/>
  <c r="Z154" i="5"/>
  <c r="V154" i="5"/>
  <c r="X76" i="5"/>
  <c r="P47" i="5"/>
  <c r="O60" i="5"/>
  <c r="U144" i="5"/>
  <c r="M131" i="5"/>
  <c r="V56" i="5"/>
  <c r="L52" i="5"/>
  <c r="V135" i="5"/>
  <c r="V7" i="5"/>
  <c r="T7" i="5"/>
  <c r="X46" i="5"/>
  <c r="S120" i="5"/>
  <c r="K63" i="5"/>
  <c r="U45" i="5"/>
  <c r="K127" i="5"/>
  <c r="W135" i="5"/>
  <c r="W7" i="5"/>
  <c r="O7" i="5"/>
  <c r="O46" i="5"/>
  <c r="X50" i="5"/>
  <c r="S50" i="5"/>
  <c r="N86" i="5"/>
  <c r="K120" i="5"/>
  <c r="W115" i="5"/>
  <c r="K115" i="5"/>
  <c r="V63" i="5"/>
  <c r="N45" i="5"/>
  <c r="U52" i="5"/>
  <c r="T52" i="5"/>
  <c r="V76" i="5"/>
  <c r="P76" i="5"/>
  <c r="V47" i="5"/>
  <c r="X47" i="5"/>
  <c r="V60" i="5"/>
  <c r="S60" i="5"/>
  <c r="O144" i="5"/>
  <c r="P144" i="5"/>
  <c r="K131" i="5"/>
  <c r="K56" i="5"/>
  <c r="O11" i="5"/>
  <c r="V11" i="5"/>
  <c r="U155" i="5"/>
  <c r="P66" i="5"/>
  <c r="L11" i="5"/>
  <c r="L50" i="5"/>
  <c r="U135" i="5"/>
  <c r="T50" i="5"/>
  <c r="N115" i="5"/>
  <c r="V115" i="5"/>
  <c r="K52" i="5"/>
  <c r="M76" i="5"/>
  <c r="T76" i="5"/>
  <c r="N47" i="5"/>
  <c r="O47" i="5"/>
  <c r="Q60" i="5"/>
  <c r="X131" i="5"/>
  <c r="X56" i="5"/>
  <c r="W11" i="5"/>
  <c r="L135" i="5"/>
  <c r="L47" i="5"/>
  <c r="Y46" i="5"/>
  <c r="R46" i="5"/>
  <c r="K46" i="5"/>
  <c r="M46" i="5"/>
  <c r="T46" i="5"/>
  <c r="S46" i="5"/>
  <c r="P46" i="5"/>
  <c r="V46" i="5"/>
  <c r="W46" i="5"/>
  <c r="L46" i="5"/>
  <c r="Y45" i="5"/>
  <c r="Q45" i="5"/>
  <c r="W45" i="5"/>
  <c r="Z45" i="5"/>
  <c r="L45" i="5"/>
  <c r="S45" i="5"/>
  <c r="O45" i="5"/>
  <c r="R45" i="5"/>
  <c r="N10" i="6"/>
  <c r="C15" i="18"/>
  <c r="M45" i="5"/>
  <c r="K45" i="5"/>
  <c r="T45" i="5"/>
  <c r="Y155" i="5"/>
  <c r="U21" i="6"/>
  <c r="C31" i="35"/>
  <c r="R155" i="5"/>
  <c r="M155" i="5"/>
  <c r="Z155" i="5"/>
  <c r="L155" i="5"/>
  <c r="Q155" i="5"/>
  <c r="X155" i="5"/>
  <c r="W155" i="5"/>
  <c r="P155" i="5"/>
  <c r="T155" i="5"/>
  <c r="O155" i="5"/>
  <c r="V155" i="5"/>
  <c r="S155" i="5"/>
  <c r="R66" i="5"/>
  <c r="V66" i="5"/>
  <c r="M66" i="5"/>
  <c r="L66" i="5"/>
  <c r="O66" i="5"/>
  <c r="Y66" i="5"/>
  <c r="Z66" i="5"/>
  <c r="X66" i="5"/>
  <c r="W66" i="5"/>
  <c r="Q66" i="5"/>
  <c r="T66" i="5"/>
  <c r="S66" i="5"/>
  <c r="U66" i="5"/>
  <c r="K66" i="5"/>
  <c r="L86" i="5"/>
  <c r="M86" i="5"/>
  <c r="O86" i="5"/>
  <c r="X86" i="5"/>
  <c r="Y86" i="5"/>
  <c r="P86" i="5"/>
  <c r="Z86" i="5"/>
  <c r="W86" i="5"/>
  <c r="U86" i="5"/>
  <c r="T86" i="5"/>
  <c r="R86" i="5"/>
  <c r="Y120" i="5"/>
  <c r="R120" i="5"/>
  <c r="V120" i="5"/>
  <c r="M120" i="5"/>
  <c r="O120" i="5"/>
  <c r="Q120" i="5"/>
  <c r="P120" i="5"/>
  <c r="T120" i="5"/>
  <c r="N120" i="5"/>
  <c r="U120" i="5"/>
  <c r="Y63" i="5"/>
  <c r="O63" i="5"/>
  <c r="U63" i="5"/>
  <c r="S63" i="5"/>
  <c r="Q63" i="5"/>
  <c r="R63" i="5"/>
  <c r="X63" i="5"/>
  <c r="M63" i="5"/>
  <c r="N63" i="5"/>
  <c r="Z63" i="5"/>
  <c r="L63" i="5"/>
  <c r="Y135" i="5"/>
  <c r="U19" i="6"/>
  <c r="C27" i="35"/>
  <c r="X135" i="5"/>
  <c r="Z135" i="5"/>
  <c r="Q135" i="5"/>
  <c r="T135" i="5"/>
  <c r="N135" i="5"/>
  <c r="M135" i="5"/>
  <c r="R135" i="5"/>
  <c r="N19" i="6"/>
  <c r="C27" i="18"/>
  <c r="Y7" i="5"/>
  <c r="R7" i="5"/>
  <c r="X7" i="5"/>
  <c r="Z7" i="5"/>
  <c r="Q7" i="5"/>
  <c r="K7" i="5"/>
  <c r="S7" i="5"/>
  <c r="L7" i="5"/>
  <c r="Y127" i="5"/>
  <c r="R127" i="5"/>
  <c r="T127" i="5"/>
  <c r="U127" i="5"/>
  <c r="W127" i="5"/>
  <c r="O127" i="5"/>
  <c r="Z127" i="5"/>
  <c r="Q127" i="5"/>
  <c r="X127" i="5"/>
  <c r="N127" i="5"/>
  <c r="V127" i="5"/>
  <c r="P127" i="5"/>
  <c r="M127" i="5"/>
  <c r="S135" i="5"/>
  <c r="O135" i="5"/>
  <c r="M7" i="5"/>
  <c r="U7" i="5"/>
  <c r="Q46" i="5"/>
  <c r="S86" i="5"/>
  <c r="K86" i="5"/>
  <c r="Z120" i="5"/>
  <c r="P63" i="5"/>
  <c r="P45" i="5"/>
  <c r="S127" i="5"/>
  <c r="N155" i="5"/>
  <c r="L120" i="5"/>
  <c r="Y131" i="5"/>
  <c r="R131" i="5"/>
  <c r="Q131" i="5"/>
  <c r="W131" i="5"/>
  <c r="Z131" i="5"/>
  <c r="Y115" i="5"/>
  <c r="M115" i="5"/>
  <c r="O115" i="5"/>
  <c r="S115" i="5"/>
  <c r="Y60" i="5"/>
  <c r="R60" i="5"/>
  <c r="W60" i="5"/>
  <c r="M60" i="5"/>
  <c r="U60" i="5"/>
  <c r="R56" i="5"/>
  <c r="N56" i="5"/>
  <c r="P56" i="5"/>
  <c r="T56" i="5"/>
  <c r="Y56" i="5"/>
  <c r="Y11" i="5"/>
  <c r="K11" i="5"/>
  <c r="S11" i="5"/>
  <c r="X11" i="5"/>
  <c r="Y52" i="5"/>
  <c r="R52" i="5"/>
  <c r="N52" i="5"/>
  <c r="Q52" i="5"/>
  <c r="V52" i="5"/>
  <c r="Y47" i="5"/>
  <c r="T47" i="5"/>
  <c r="U47" i="5"/>
  <c r="W47" i="5"/>
  <c r="Y50" i="5"/>
  <c r="Q50" i="5"/>
  <c r="W50" i="5"/>
  <c r="Z50" i="5"/>
  <c r="Y144" i="5"/>
  <c r="K144" i="5"/>
  <c r="M144" i="5"/>
  <c r="T144" i="5"/>
  <c r="N144" i="5"/>
  <c r="K76" i="5"/>
  <c r="R76" i="5"/>
  <c r="Z76" i="5"/>
  <c r="U76" i="5"/>
  <c r="W76" i="5"/>
  <c r="U50" i="5"/>
  <c r="N50" i="5"/>
  <c r="Z115" i="5"/>
  <c r="Q115" i="5"/>
  <c r="W52" i="5"/>
  <c r="X52" i="5"/>
  <c r="Q76" i="5"/>
  <c r="N76" i="5"/>
  <c r="O76" i="5"/>
  <c r="S47" i="5"/>
  <c r="K47" i="5"/>
  <c r="K60" i="5"/>
  <c r="X60" i="5"/>
  <c r="N60" i="5"/>
  <c r="S144" i="5"/>
  <c r="Q144" i="5"/>
  <c r="T131" i="5"/>
  <c r="P131" i="5"/>
  <c r="V131" i="5"/>
  <c r="O56" i="5"/>
  <c r="W56" i="5"/>
  <c r="M56" i="5"/>
  <c r="U11" i="5"/>
  <c r="N11" i="5"/>
  <c r="Q11" i="5"/>
  <c r="L115" i="5"/>
  <c r="L131" i="5"/>
  <c r="R11" i="5"/>
  <c r="N4" i="6"/>
  <c r="C6" i="18"/>
  <c r="L144" i="5"/>
  <c r="L76" i="5"/>
  <c r="X154" i="5"/>
  <c r="U154" i="5"/>
  <c r="M154" i="5"/>
  <c r="K154" i="5"/>
  <c r="L78" i="5"/>
  <c r="Q78" i="5"/>
  <c r="S78" i="5"/>
  <c r="T78" i="5"/>
  <c r="Y78" i="5"/>
  <c r="Z78" i="5"/>
  <c r="R78" i="5"/>
  <c r="M78" i="5"/>
  <c r="O78" i="5"/>
  <c r="P78" i="5"/>
  <c r="V78" i="5"/>
  <c r="W78" i="5"/>
  <c r="X78" i="5"/>
  <c r="U78" i="5"/>
  <c r="K78" i="5"/>
  <c r="N78" i="5"/>
  <c r="AE130" i="5"/>
  <c r="AD130" i="5"/>
  <c r="AB66" i="5"/>
  <c r="AD66" i="5"/>
  <c r="AB51" i="5"/>
  <c r="AF51" i="5"/>
  <c r="AB58" i="5"/>
  <c r="AD58" i="5"/>
  <c r="AB74" i="5"/>
  <c r="AD74" i="5"/>
  <c r="AB47" i="5"/>
  <c r="AD47" i="5"/>
  <c r="AB115" i="5"/>
  <c r="AE115" i="5"/>
  <c r="AB63" i="5"/>
  <c r="AD63" i="5"/>
  <c r="AB154" i="5"/>
  <c r="AD154" i="5"/>
  <c r="AB60" i="5"/>
  <c r="AD60" i="5"/>
  <c r="AB45" i="5"/>
  <c r="AD45" i="5"/>
  <c r="AB46" i="5"/>
  <c r="AD46" i="5"/>
  <c r="AB144" i="5"/>
  <c r="AE144" i="5"/>
  <c r="AB131" i="5"/>
  <c r="AE131" i="5"/>
  <c r="AB7" i="5"/>
  <c r="AD7" i="5"/>
  <c r="AB80" i="5"/>
  <c r="AD80" i="5"/>
  <c r="AB120" i="5"/>
  <c r="AE120" i="5"/>
  <c r="AB150" i="5"/>
  <c r="AD150" i="5"/>
  <c r="AB127" i="5"/>
  <c r="AE127" i="5"/>
  <c r="AB5" i="5"/>
  <c r="AD5" i="5"/>
  <c r="AB155" i="5"/>
  <c r="AE155" i="5"/>
  <c r="AB64" i="5"/>
  <c r="AB12" i="5"/>
  <c r="AF12" i="5"/>
  <c r="AB146" i="5"/>
  <c r="AD146" i="5"/>
  <c r="AB86" i="5"/>
  <c r="AD86" i="5"/>
  <c r="AB142" i="5"/>
  <c r="AE142" i="5"/>
  <c r="AB62" i="5"/>
  <c r="AB135" i="5"/>
  <c r="AE135" i="5"/>
  <c r="AB82" i="5"/>
  <c r="AD82" i="5"/>
  <c r="AB50" i="5"/>
  <c r="AE50" i="5"/>
  <c r="AB121" i="5"/>
  <c r="AE121" i="5"/>
  <c r="AB13" i="5"/>
  <c r="AF13" i="5"/>
  <c r="AB52" i="5"/>
  <c r="AD52" i="5"/>
  <c r="AB49" i="5"/>
  <c r="AE49" i="5"/>
  <c r="AB125" i="5"/>
  <c r="AE125" i="5"/>
  <c r="AB9" i="5"/>
  <c r="AE9" i="5"/>
  <c r="AB76" i="5"/>
  <c r="AD76" i="5"/>
  <c r="AB151" i="5"/>
  <c r="AD151" i="5"/>
  <c r="AB126" i="5"/>
  <c r="AD126" i="5"/>
  <c r="AB56" i="5"/>
  <c r="AE56" i="5"/>
  <c r="AB129" i="5"/>
  <c r="AD129" i="5"/>
  <c r="AB11" i="5"/>
  <c r="AD11" i="5"/>
  <c r="AB84" i="5"/>
  <c r="AE84" i="5"/>
  <c r="H64" i="5"/>
  <c r="H78" i="5"/>
  <c r="H66" i="5"/>
  <c r="H84" i="5"/>
  <c r="AF84" i="5"/>
  <c r="H155" i="5"/>
  <c r="H11" i="5"/>
  <c r="H74" i="5"/>
  <c r="AG139" i="5"/>
  <c r="AG62" i="5"/>
  <c r="H121" i="5"/>
  <c r="H142" i="5"/>
  <c r="AF142" i="5"/>
  <c r="H7" i="5"/>
  <c r="H47" i="5"/>
  <c r="H56" i="5"/>
  <c r="AF56" i="5"/>
  <c r="H63" i="5"/>
  <c r="AF63" i="5"/>
  <c r="H76" i="5"/>
  <c r="AF76" i="5"/>
  <c r="H115" i="5"/>
  <c r="H120" i="5"/>
  <c r="H126" i="5"/>
  <c r="H135" i="5"/>
  <c r="AF135" i="5"/>
  <c r="H154" i="5"/>
  <c r="H9" i="5"/>
  <c r="H49" i="5"/>
  <c r="H58" i="5"/>
  <c r="AF58" i="5"/>
  <c r="H80" i="5"/>
  <c r="H127" i="5"/>
  <c r="H144" i="5"/>
  <c r="H150" i="5"/>
  <c r="AF150" i="5"/>
  <c r="H5" i="5"/>
  <c r="H46" i="5"/>
  <c r="H52" i="5"/>
  <c r="H86" i="5"/>
  <c r="AF86" i="5"/>
  <c r="H125" i="5"/>
  <c r="H131" i="5"/>
  <c r="H151" i="5"/>
  <c r="AF151" i="5"/>
  <c r="H50" i="5"/>
  <c r="AF50" i="5"/>
  <c r="H45" i="5"/>
  <c r="H129" i="5"/>
  <c r="AF129" i="5"/>
  <c r="H146" i="5"/>
  <c r="AF146" i="5"/>
  <c r="H60" i="5"/>
  <c r="AF60" i="5"/>
  <c r="H82" i="5"/>
  <c r="AF9" i="5"/>
  <c r="AF144" i="5"/>
  <c r="AF74" i="5"/>
  <c r="AD62" i="5"/>
  <c r="AF62" i="5"/>
  <c r="AF7" i="5"/>
  <c r="AF52" i="5"/>
  <c r="AF126" i="5"/>
  <c r="AF66" i="5"/>
  <c r="AF131" i="5"/>
  <c r="AF127" i="5"/>
  <c r="AF120" i="5"/>
  <c r="AF121" i="5"/>
  <c r="AF11" i="5"/>
  <c r="AF78" i="5"/>
  <c r="AF82" i="5"/>
  <c r="AF125" i="5"/>
  <c r="AF5" i="5"/>
  <c r="AF80" i="5"/>
  <c r="AF154" i="5"/>
  <c r="AF115" i="5"/>
  <c r="AF47" i="5"/>
  <c r="AF155" i="5"/>
  <c r="AF64" i="5"/>
  <c r="U12" i="6"/>
  <c r="C17" i="35"/>
  <c r="N17" i="6"/>
  <c r="C26" i="18"/>
  <c r="AG58" i="5"/>
  <c r="AG150" i="5"/>
  <c r="AG146" i="5"/>
  <c r="N14" i="6"/>
  <c r="C22" i="18"/>
  <c r="N9" i="6"/>
  <c r="C14" i="18"/>
  <c r="U15" i="6"/>
  <c r="C24" i="35"/>
  <c r="AG121" i="5"/>
  <c r="AG151" i="5"/>
  <c r="N12" i="6"/>
  <c r="C17" i="18"/>
  <c r="AG49" i="5"/>
  <c r="AG129" i="5"/>
  <c r="AG80" i="5"/>
  <c r="AG74" i="5"/>
  <c r="AG82" i="5"/>
  <c r="U14" i="6"/>
  <c r="C22" i="35"/>
  <c r="U20" i="6"/>
  <c r="C30" i="35"/>
  <c r="U17" i="6"/>
  <c r="C26" i="35"/>
  <c r="N16" i="6"/>
  <c r="C25" i="18"/>
  <c r="AG125" i="5"/>
  <c r="N20" i="6"/>
  <c r="C30" i="18"/>
  <c r="AG142" i="5"/>
  <c r="AG47" i="5"/>
  <c r="AG76" i="5"/>
  <c r="U8" i="6"/>
  <c r="C13" i="35"/>
  <c r="AG52" i="5"/>
  <c r="AG56" i="5"/>
  <c r="AG60" i="5"/>
  <c r="N15" i="6"/>
  <c r="C24" i="18"/>
  <c r="N21" i="6"/>
  <c r="C31" i="18"/>
  <c r="AG126" i="5"/>
  <c r="U16" i="6"/>
  <c r="C25" i="35"/>
  <c r="AG120" i="5"/>
  <c r="AG144" i="5"/>
  <c r="AG115" i="5"/>
  <c r="AG154" i="5"/>
  <c r="AG131" i="5"/>
  <c r="AG11" i="5"/>
  <c r="AG155" i="5"/>
  <c r="AG46" i="5"/>
  <c r="N8" i="6"/>
  <c r="C13" i="18"/>
  <c r="U9" i="6"/>
  <c r="C14" i="35"/>
  <c r="AG127" i="5"/>
  <c r="AG135" i="5"/>
  <c r="AG86" i="5"/>
  <c r="AG63" i="5"/>
  <c r="AG45" i="5"/>
  <c r="AG50" i="5"/>
  <c r="U10" i="6"/>
  <c r="C15" i="35"/>
  <c r="AD115" i="5"/>
  <c r="AE45" i="5"/>
  <c r="AE66" i="5"/>
  <c r="AE51" i="5"/>
  <c r="AD51" i="5"/>
  <c r="AE58" i="5"/>
  <c r="AE7" i="5"/>
  <c r="AE47" i="5"/>
  <c r="AE74" i="5"/>
  <c r="AE63" i="5"/>
  <c r="AE80" i="5"/>
  <c r="AE154" i="5"/>
  <c r="AE46" i="5"/>
  <c r="AD9" i="5"/>
  <c r="AD131" i="5"/>
  <c r="AE60" i="5"/>
  <c r="AE150" i="5"/>
  <c r="AD144" i="5"/>
  <c r="AD120" i="5"/>
  <c r="AF46" i="5"/>
  <c r="AD155" i="5"/>
  <c r="AE5" i="5"/>
  <c r="AE126" i="5"/>
  <c r="AD135" i="5"/>
  <c r="AD49" i="5"/>
  <c r="AD50" i="5"/>
  <c r="AE151" i="5"/>
  <c r="AD142" i="5"/>
  <c r="AD127" i="5"/>
  <c r="AD125" i="5"/>
  <c r="AD121" i="5"/>
  <c r="AE62" i="5"/>
  <c r="AE11" i="5"/>
  <c r="AD84" i="5"/>
  <c r="AD13" i="5"/>
  <c r="AD56" i="5"/>
  <c r="AE146" i="5"/>
  <c r="AE13" i="5"/>
  <c r="AE12" i="5"/>
  <c r="AD12" i="5"/>
  <c r="AE129" i="5"/>
  <c r="AE76" i="5"/>
  <c r="AE82" i="5"/>
  <c r="AE86" i="5"/>
  <c r="AE52" i="5"/>
  <c r="AD64" i="5"/>
  <c r="AE64" i="5"/>
  <c r="AF49" i="5"/>
  <c r="AF45" i="5"/>
  <c r="J37" i="6"/>
  <c r="AA24" i="6"/>
  <c r="E6" i="6"/>
  <c r="P22" i="6"/>
  <c r="C33" i="33"/>
  <c r="S9" i="6"/>
  <c r="C14" i="19"/>
  <c r="R27" i="6"/>
  <c r="R42" i="6"/>
  <c r="C51" i="21"/>
  <c r="Q17" i="6"/>
  <c r="C26" i="20"/>
  <c r="C24" i="6"/>
  <c r="V21" i="6"/>
  <c r="C31" i="25"/>
  <c r="V17" i="6"/>
  <c r="C26" i="25"/>
  <c r="G8" i="6"/>
  <c r="C13" i="8"/>
  <c r="P3" i="6"/>
  <c r="C5" i="33"/>
  <c r="V3" i="6"/>
  <c r="C5" i="25"/>
  <c r="C20" i="6"/>
  <c r="K7" i="6"/>
  <c r="C12" i="10"/>
  <c r="I14" i="6"/>
  <c r="C22" i="28"/>
  <c r="S14" i="6"/>
  <c r="C22" i="19"/>
  <c r="I21" i="6"/>
  <c r="C31" i="28"/>
  <c r="I8" i="6"/>
  <c r="C13" i="28"/>
  <c r="G21" i="6"/>
  <c r="C31" i="8"/>
  <c r="I3" i="6"/>
  <c r="C5" i="28"/>
  <c r="E25" i="6"/>
  <c r="C41" i="23"/>
  <c r="S3" i="6"/>
  <c r="C5" i="19"/>
  <c r="G17" i="6"/>
  <c r="C26" i="8"/>
  <c r="D4" i="6"/>
  <c r="K3" i="6"/>
  <c r="C5" i="10"/>
  <c r="P21" i="6"/>
  <c r="C31" i="33"/>
  <c r="D21" i="6"/>
  <c r="X27" i="6"/>
  <c r="X42" i="6"/>
  <c r="J21" i="6"/>
  <c r="C31" i="9"/>
  <c r="K14" i="6"/>
  <c r="C22" i="10"/>
  <c r="T27" i="6"/>
  <c r="T42" i="6"/>
  <c r="C51" i="16"/>
  <c r="C11" i="6"/>
  <c r="G25" i="6"/>
  <c r="C41" i="8"/>
  <c r="F9" i="6"/>
  <c r="T25" i="6"/>
  <c r="C41" i="16"/>
  <c r="J3" i="6"/>
  <c r="C5" i="9"/>
  <c r="G16" i="6"/>
  <c r="C25" i="8"/>
  <c r="E21" i="6"/>
  <c r="C31" i="23"/>
  <c r="E27" i="6"/>
  <c r="E42" i="6"/>
  <c r="D27" i="6"/>
  <c r="Y4" i="6"/>
  <c r="C7" i="6"/>
  <c r="V10" i="6"/>
  <c r="C15" i="25"/>
  <c r="C27" i="6"/>
  <c r="V8" i="6"/>
  <c r="C13" i="25"/>
  <c r="Q21" i="6"/>
  <c r="C31" i="20"/>
  <c r="S10" i="6"/>
  <c r="C15" i="19"/>
  <c r="Q19" i="6"/>
  <c r="C27" i="20"/>
  <c r="T16" i="6"/>
  <c r="C25" i="16"/>
  <c r="V14" i="6"/>
  <c r="C22" i="25"/>
  <c r="AA3" i="6"/>
  <c r="J27" i="6"/>
  <c r="J42" i="6"/>
  <c r="C51" i="9"/>
  <c r="R26" i="6"/>
  <c r="C46" i="21"/>
  <c r="S11" i="6"/>
  <c r="C16" i="19"/>
  <c r="J15" i="6"/>
  <c r="C24" i="9"/>
  <c r="P13" i="6"/>
  <c r="X9" i="6"/>
  <c r="C14" i="24"/>
  <c r="T9" i="6"/>
  <c r="C14" i="16"/>
  <c r="T12" i="6"/>
  <c r="C17" i="16"/>
  <c r="D17" i="6"/>
  <c r="D20" i="6"/>
  <c r="AA16" i="6"/>
  <c r="G24" i="6"/>
  <c r="C37" i="8"/>
  <c r="R12" i="6"/>
  <c r="C17" i="21"/>
  <c r="R15" i="6"/>
  <c r="C24" i="21"/>
  <c r="E7" i="6"/>
  <c r="C12" i="23"/>
  <c r="AA15" i="6"/>
  <c r="V23" i="6"/>
  <c r="C34" i="25"/>
  <c r="R6" i="6"/>
  <c r="C8" i="21"/>
  <c r="X4" i="6"/>
  <c r="C6" i="24"/>
  <c r="X8" i="6"/>
  <c r="C13" i="24"/>
  <c r="D13" i="6"/>
  <c r="R13" i="6"/>
  <c r="V6" i="6"/>
  <c r="C8" i="25"/>
  <c r="K23" i="6"/>
  <c r="C34" i="10"/>
  <c r="T20" i="6"/>
  <c r="C30" i="16"/>
  <c r="X13" i="6"/>
  <c r="E12" i="6"/>
  <c r="C17" i="23"/>
  <c r="AA4" i="6"/>
  <c r="T6" i="6"/>
  <c r="S20" i="6"/>
  <c r="C30" i="19"/>
  <c r="X24" i="6"/>
  <c r="G20" i="6"/>
  <c r="C30" i="8"/>
  <c r="S24" i="6"/>
  <c r="AA17" i="6"/>
  <c r="Q22" i="6"/>
  <c r="C33" i="20"/>
  <c r="T15" i="6"/>
  <c r="C24" i="16"/>
  <c r="D9" i="6"/>
  <c r="Y27" i="6"/>
  <c r="E9" i="6"/>
  <c r="C14" i="23"/>
  <c r="I25" i="6"/>
  <c r="C41" i="28"/>
  <c r="Q15" i="6"/>
  <c r="C24" i="20"/>
  <c r="F16" i="6"/>
  <c r="Z8" i="6"/>
  <c r="J25" i="6"/>
  <c r="C41" i="9"/>
  <c r="S26" i="6"/>
  <c r="C46" i="19"/>
  <c r="J24" i="6"/>
  <c r="C37" i="9"/>
  <c r="Q11" i="6"/>
  <c r="C16" i="20"/>
  <c r="P6" i="6"/>
  <c r="P15" i="6"/>
  <c r="C24" i="33"/>
  <c r="I22" i="6"/>
  <c r="C33" i="28"/>
  <c r="D10" i="6"/>
  <c r="P23" i="6"/>
  <c r="C34" i="33"/>
  <c r="G15" i="6"/>
  <c r="C24" i="8"/>
  <c r="V25" i="6"/>
  <c r="C41" i="25"/>
  <c r="Z20" i="6"/>
  <c r="Z15" i="6"/>
  <c r="S13" i="6"/>
  <c r="X12" i="6"/>
  <c r="C17" i="24"/>
  <c r="Z21" i="6"/>
  <c r="Z25" i="6"/>
  <c r="E20" i="6"/>
  <c r="C30" i="23"/>
  <c r="V11" i="6"/>
  <c r="C16" i="25"/>
  <c r="AA14" i="6"/>
  <c r="K15" i="6"/>
  <c r="C24" i="10"/>
  <c r="Y21" i="6"/>
  <c r="Q27" i="6"/>
  <c r="Q42" i="6"/>
  <c r="C51" i="20"/>
  <c r="V7" i="6"/>
  <c r="C12" i="25"/>
  <c r="Y6" i="6"/>
  <c r="F24" i="6"/>
  <c r="R20" i="6"/>
  <c r="C30" i="21"/>
  <c r="I23" i="6"/>
  <c r="C34" i="28"/>
  <c r="Q24" i="6"/>
  <c r="S12" i="6"/>
  <c r="C17" i="19"/>
  <c r="Y13" i="6"/>
  <c r="K12" i="6"/>
  <c r="C17" i="10"/>
  <c r="Q6" i="6"/>
  <c r="D7" i="6"/>
  <c r="T22" i="6"/>
  <c r="C33" i="16"/>
  <c r="S25" i="6"/>
  <c r="C41" i="19"/>
  <c r="I6" i="6"/>
  <c r="AA7" i="6"/>
  <c r="F17" i="6"/>
  <c r="J26" i="6"/>
  <c r="C46" i="9"/>
  <c r="V13" i="6"/>
  <c r="E10" i="6"/>
  <c r="C15" i="23"/>
  <c r="AA9" i="6"/>
  <c r="K25" i="6"/>
  <c r="C41" i="10"/>
  <c r="AA19" i="6"/>
  <c r="R9" i="6"/>
  <c r="C14" i="21"/>
  <c r="X21" i="6"/>
  <c r="C32" i="24"/>
  <c r="F8" i="6"/>
  <c r="AA12" i="6"/>
  <c r="S23" i="6"/>
  <c r="C34" i="19"/>
  <c r="K22" i="6"/>
  <c r="C33" i="10"/>
  <c r="J23" i="6"/>
  <c r="C34" i="9"/>
  <c r="X17" i="6"/>
  <c r="C26" i="24"/>
  <c r="D26" i="6"/>
  <c r="J12" i="6"/>
  <c r="C17" i="9"/>
  <c r="Z6" i="6"/>
  <c r="T23" i="6"/>
  <c r="C34" i="16"/>
  <c r="P26" i="6"/>
  <c r="C46" i="33"/>
  <c r="AA11" i="6"/>
  <c r="E13" i="6"/>
  <c r="C21" i="23"/>
  <c r="Q12" i="6"/>
  <c r="C17" i="20"/>
  <c r="F12" i="6"/>
  <c r="Z4" i="6"/>
  <c r="G23" i="6"/>
  <c r="C34" i="8"/>
  <c r="D14" i="6"/>
  <c r="I11" i="6"/>
  <c r="C16" i="28"/>
  <c r="K11" i="6"/>
  <c r="C16" i="10"/>
  <c r="AA27" i="6"/>
  <c r="Z7" i="6"/>
  <c r="D6" i="6"/>
  <c r="G12" i="6"/>
  <c r="C17" i="8"/>
  <c r="D12" i="6"/>
  <c r="E14" i="6"/>
  <c r="C22" i="23"/>
  <c r="P9" i="6"/>
  <c r="C14" i="33"/>
  <c r="D8" i="6"/>
  <c r="T13" i="6"/>
  <c r="G6" i="6"/>
  <c r="J20" i="6"/>
  <c r="C30" i="9"/>
  <c r="F20" i="6"/>
  <c r="Q26" i="6"/>
  <c r="C46" i="20"/>
  <c r="S15" i="6"/>
  <c r="C24" i="19"/>
  <c r="AA8" i="6"/>
  <c r="F23" i="6"/>
  <c r="S6" i="6"/>
  <c r="C8" i="19"/>
  <c r="Y15" i="6"/>
  <c r="Y12" i="6"/>
  <c r="Y19" i="6"/>
  <c r="C13" i="6"/>
  <c r="C6" i="6"/>
  <c r="F15" i="6"/>
  <c r="Z16" i="6"/>
  <c r="X7" i="6"/>
  <c r="C12" i="24"/>
  <c r="F19" i="6"/>
  <c r="Q20" i="6"/>
  <c r="C30" i="20"/>
  <c r="Q25" i="6"/>
  <c r="C41" i="20"/>
  <c r="F6" i="6"/>
  <c r="R11" i="6"/>
  <c r="C16" i="21"/>
  <c r="G26" i="6"/>
  <c r="C46" i="8"/>
  <c r="AA23" i="6"/>
  <c r="K26" i="6"/>
  <c r="C46" i="10"/>
  <c r="J6" i="6"/>
  <c r="P20" i="6"/>
  <c r="C30" i="33"/>
  <c r="F4" i="6"/>
  <c r="F10" i="6"/>
  <c r="I24" i="6"/>
  <c r="C37" i="28"/>
  <c r="X19" i="6"/>
  <c r="C28" i="24"/>
  <c r="I9" i="6"/>
  <c r="C14" i="28"/>
  <c r="R23" i="6"/>
  <c r="C34" i="21"/>
  <c r="R24" i="6"/>
  <c r="V24" i="6"/>
  <c r="F7" i="6"/>
  <c r="V22" i="6"/>
  <c r="C33" i="25"/>
  <c r="E24" i="6"/>
  <c r="C37" i="23"/>
  <c r="F25" i="6"/>
  <c r="T26" i="6"/>
  <c r="C46" i="16"/>
  <c r="K20" i="6"/>
  <c r="C30" i="10"/>
  <c r="K13" i="6"/>
  <c r="F21" i="6"/>
  <c r="G13" i="6"/>
  <c r="K9" i="6"/>
  <c r="C14" i="10"/>
  <c r="C14" i="6"/>
  <c r="Y7" i="6"/>
  <c r="G27" i="6"/>
  <c r="G42" i="6"/>
  <c r="C22" i="6"/>
  <c r="J16" i="6"/>
  <c r="C25" i="9"/>
  <c r="F22" i="6"/>
  <c r="V9" i="6"/>
  <c r="C14" i="25"/>
  <c r="AA25" i="6"/>
  <c r="X15" i="6"/>
  <c r="C24" i="24"/>
  <c r="Z19" i="6"/>
  <c r="X22" i="6"/>
  <c r="C34" i="24"/>
  <c r="E23" i="6"/>
  <c r="C34" i="23"/>
  <c r="F14" i="6"/>
  <c r="G22" i="6"/>
  <c r="C33" i="8"/>
  <c r="K24" i="6"/>
  <c r="C37" i="10"/>
  <c r="E17" i="6"/>
  <c r="C26" i="23"/>
  <c r="P11" i="6"/>
  <c r="C16" i="33"/>
  <c r="D15" i="6"/>
  <c r="X23" i="6"/>
  <c r="C35" i="24"/>
  <c r="D25" i="6"/>
  <c r="Z23" i="6"/>
  <c r="E22" i="6"/>
  <c r="C33" i="23"/>
  <c r="F26" i="6"/>
  <c r="F11" i="6"/>
  <c r="Q9" i="6"/>
  <c r="C14" i="20"/>
  <c r="V20" i="6"/>
  <c r="C30" i="25"/>
  <c r="J13" i="6"/>
  <c r="G11" i="6"/>
  <c r="C16" i="8"/>
  <c r="Q23" i="6"/>
  <c r="C34" i="20"/>
  <c r="E26" i="6"/>
  <c r="C46" i="23"/>
  <c r="D24" i="6"/>
  <c r="X14" i="6"/>
  <c r="C22" i="24"/>
  <c r="J9" i="6"/>
  <c r="C14" i="9"/>
  <c r="Z22" i="6"/>
  <c r="D23" i="6"/>
  <c r="X6" i="6"/>
  <c r="C8" i="24"/>
  <c r="I13" i="6"/>
  <c r="I26" i="6"/>
  <c r="C46" i="28"/>
  <c r="G9" i="6"/>
  <c r="C14" i="8"/>
  <c r="S27" i="6"/>
  <c r="S42" i="6"/>
  <c r="C51" i="19"/>
  <c r="C4" i="6"/>
  <c r="C15" i="6"/>
  <c r="T8" i="6"/>
  <c r="C13" i="16"/>
  <c r="C17" i="6"/>
  <c r="Q13" i="6"/>
  <c r="Z14" i="6"/>
  <c r="P24" i="6"/>
  <c r="C37" i="33"/>
  <c r="Z24" i="6"/>
  <c r="F13" i="6"/>
  <c r="Z9" i="6"/>
  <c r="Y26" i="6"/>
  <c r="E15" i="6"/>
  <c r="C24" i="23"/>
  <c r="Z17" i="6"/>
  <c r="Y23" i="6"/>
  <c r="X25" i="6"/>
  <c r="I20" i="6"/>
  <c r="C30" i="28"/>
  <c r="I12" i="6"/>
  <c r="C17" i="28"/>
  <c r="Z11" i="6"/>
  <c r="Z10" i="6"/>
  <c r="Y9" i="6"/>
  <c r="Y8" i="6"/>
  <c r="Y14" i="6"/>
  <c r="T14" i="6"/>
  <c r="C22" i="16"/>
  <c r="I10" i="6"/>
  <c r="C15" i="28"/>
  <c r="Z27" i="6"/>
  <c r="I15" i="6"/>
  <c r="C24" i="28"/>
  <c r="J11" i="6"/>
  <c r="C16" i="9"/>
  <c r="V12" i="6"/>
  <c r="C17" i="25"/>
  <c r="V26" i="6"/>
  <c r="C46" i="25"/>
  <c r="P12" i="6"/>
  <c r="C17" i="33"/>
  <c r="J22" i="6"/>
  <c r="C33" i="9"/>
  <c r="T11" i="6"/>
  <c r="C16" i="16"/>
  <c r="AA26" i="6"/>
  <c r="Z26" i="6"/>
  <c r="K6" i="6"/>
  <c r="X26" i="6"/>
  <c r="C47" i="24"/>
  <c r="AA13" i="6"/>
  <c r="X11" i="6"/>
  <c r="C16" i="24"/>
  <c r="AA6" i="6"/>
  <c r="I27" i="6"/>
  <c r="I42" i="6"/>
  <c r="C51" i="28"/>
  <c r="C23" i="6"/>
  <c r="R4" i="6"/>
  <c r="C6" i="21"/>
  <c r="Y16" i="6"/>
  <c r="C21" i="6"/>
  <c r="K21" i="6"/>
  <c r="C31" i="10"/>
  <c r="J4" i="6"/>
  <c r="C6" i="9"/>
  <c r="I4" i="6"/>
  <c r="C6" i="28"/>
  <c r="P4" i="6"/>
  <c r="C6" i="33"/>
  <c r="Y22" i="6"/>
  <c r="E8" i="6"/>
  <c r="C13" i="23"/>
  <c r="S22" i="6"/>
  <c r="C33" i="19"/>
  <c r="AA21" i="6"/>
  <c r="Z12" i="6"/>
  <c r="P25" i="6"/>
  <c r="C41" i="33"/>
  <c r="P27" i="6"/>
  <c r="P42" i="6"/>
  <c r="C51" i="33"/>
  <c r="Z3" i="6"/>
  <c r="R7" i="6"/>
  <c r="C12" i="21"/>
  <c r="Y20" i="6"/>
  <c r="R21" i="6"/>
  <c r="C31" i="21"/>
  <c r="P19" i="6"/>
  <c r="C27" i="33"/>
  <c r="P17" i="6"/>
  <c r="C26" i="33"/>
  <c r="K17" i="6"/>
  <c r="C26" i="10"/>
  <c r="Y11" i="6"/>
  <c r="J8" i="6"/>
  <c r="C13" i="9"/>
  <c r="Q10" i="6"/>
  <c r="C15" i="20"/>
  <c r="T17" i="6"/>
  <c r="C26" i="16"/>
  <c r="J7" i="6"/>
  <c r="C12" i="9"/>
  <c r="K19" i="6"/>
  <c r="C27" i="10"/>
  <c r="P8" i="6"/>
  <c r="C13" i="33"/>
  <c r="C8" i="6"/>
  <c r="T21" i="6"/>
  <c r="C31" i="16"/>
  <c r="P10" i="6"/>
  <c r="C15" i="33"/>
  <c r="C9" i="6"/>
  <c r="E4" i="6"/>
  <c r="C6" i="23"/>
  <c r="I16" i="6"/>
  <c r="C25" i="28"/>
  <c r="C5" i="22"/>
  <c r="G7" i="6"/>
  <c r="C12" i="8"/>
  <c r="F27" i="6"/>
  <c r="F42" i="6"/>
  <c r="Y17" i="6"/>
  <c r="C25" i="6"/>
  <c r="C26" i="6"/>
  <c r="D22" i="6"/>
  <c r="X10" i="6"/>
  <c r="C15" i="24"/>
  <c r="AA22" i="6"/>
  <c r="X20" i="6"/>
  <c r="X16" i="6"/>
  <c r="C25" i="24"/>
  <c r="V15" i="6"/>
  <c r="C24" i="25"/>
  <c r="R25" i="6"/>
  <c r="C41" i="21"/>
  <c r="V27" i="6"/>
  <c r="V42" i="6"/>
  <c r="C51" i="25"/>
  <c r="S4" i="6"/>
  <c r="C6" i="19"/>
  <c r="Y25" i="6"/>
  <c r="C10" i="6"/>
  <c r="F3" i="6"/>
  <c r="R16" i="6"/>
  <c r="C25" i="21"/>
  <c r="Y10" i="6"/>
  <c r="V19" i="6"/>
  <c r="C27" i="25"/>
  <c r="Q7" i="6"/>
  <c r="C12" i="20"/>
  <c r="J14" i="6"/>
  <c r="C22" i="9"/>
  <c r="E16" i="6"/>
  <c r="C25" i="23"/>
  <c r="R10" i="6"/>
  <c r="C15" i="21"/>
  <c r="Q8" i="6"/>
  <c r="C13" i="20"/>
  <c r="S21" i="6"/>
  <c r="C31" i="19"/>
  <c r="R14" i="6"/>
  <c r="C22" i="21"/>
  <c r="C5" i="23"/>
  <c r="Q14" i="6"/>
  <c r="C22" i="20"/>
  <c r="T19" i="6"/>
  <c r="C27" i="16"/>
  <c r="P16" i="6"/>
  <c r="C25" i="33"/>
  <c r="V4" i="6"/>
  <c r="C6" i="25"/>
  <c r="S17" i="6"/>
  <c r="C26" i="19"/>
  <c r="K27" i="6"/>
  <c r="K42" i="6"/>
  <c r="I7" i="6"/>
  <c r="C12" i="28"/>
  <c r="S7" i="6"/>
  <c r="C12" i="19"/>
  <c r="I19" i="6"/>
  <c r="C27" i="28"/>
  <c r="J17" i="6"/>
  <c r="C26" i="9"/>
  <c r="P14" i="6"/>
  <c r="C22" i="33"/>
  <c r="T3" i="6"/>
  <c r="C5" i="16"/>
  <c r="D16" i="6"/>
  <c r="Q3" i="6"/>
  <c r="C5" i="20"/>
  <c r="T4" i="6"/>
  <c r="C6" i="16"/>
  <c r="C16" i="6"/>
  <c r="Q4" i="6"/>
  <c r="C6" i="20"/>
  <c r="Y3" i="6"/>
  <c r="S8" i="6"/>
  <c r="C13" i="19"/>
  <c r="J19" i="6"/>
  <c r="C27" i="9"/>
  <c r="I17" i="6"/>
  <c r="C26" i="28"/>
  <c r="R17" i="6"/>
  <c r="C26" i="21"/>
  <c r="G19" i="6"/>
  <c r="C27" i="8"/>
  <c r="X3" i="6"/>
  <c r="C5" i="24"/>
  <c r="D19" i="6"/>
  <c r="R8" i="6"/>
  <c r="C13" i="21"/>
  <c r="J10" i="6"/>
  <c r="C15" i="9"/>
  <c r="AA10" i="6"/>
  <c r="AA20" i="6"/>
  <c r="R3" i="6"/>
  <c r="C5" i="21"/>
  <c r="G10" i="6"/>
  <c r="C15" i="8"/>
  <c r="K16" i="6"/>
  <c r="C25" i="10"/>
  <c r="S19" i="6"/>
  <c r="C27" i="19"/>
  <c r="T7" i="6"/>
  <c r="C12" i="16"/>
  <c r="C19" i="6"/>
  <c r="G3" i="6"/>
  <c r="C5" i="8"/>
  <c r="G14" i="6"/>
  <c r="C22" i="8"/>
  <c r="G4" i="6"/>
  <c r="C6" i="8"/>
  <c r="Q16" i="6"/>
  <c r="C25" i="20"/>
  <c r="K4" i="6"/>
  <c r="C6" i="10"/>
  <c r="C12" i="6"/>
  <c r="P7" i="6"/>
  <c r="C12" i="33"/>
  <c r="T10" i="6"/>
  <c r="C15" i="16"/>
  <c r="E19" i="6"/>
  <c r="C27" i="23"/>
  <c r="S16" i="6"/>
  <c r="C25" i="19"/>
  <c r="V16" i="6"/>
  <c r="C25" i="25"/>
  <c r="K10" i="6"/>
  <c r="C15" i="10"/>
  <c r="K8" i="6"/>
  <c r="C13" i="10"/>
  <c r="R19" i="6"/>
  <c r="C27" i="21"/>
  <c r="Y5" i="6"/>
  <c r="Y24" i="6"/>
  <c r="Z13" i="6"/>
  <c r="T24" i="6"/>
  <c r="R22" i="6"/>
  <c r="C33" i="21"/>
  <c r="C15" i="22"/>
  <c r="AB10" i="6"/>
  <c r="C14" i="22"/>
  <c r="AB9" i="6"/>
  <c r="C13" i="22"/>
  <c r="AB8" i="6"/>
  <c r="C46" i="22"/>
  <c r="AB26" i="6"/>
  <c r="D42" i="6"/>
  <c r="AB27" i="6"/>
  <c r="C31" i="22"/>
  <c r="AB21" i="6"/>
  <c r="C27" i="22"/>
  <c r="AB19" i="6"/>
  <c r="C25" i="22"/>
  <c r="AB16" i="6"/>
  <c r="AB11" i="6"/>
  <c r="C24" i="22"/>
  <c r="AB15" i="6"/>
  <c r="C12" i="22"/>
  <c r="AB7" i="6"/>
  <c r="AB13" i="6"/>
  <c r="C26" i="22"/>
  <c r="AB17" i="6"/>
  <c r="C33" i="22"/>
  <c r="AB22" i="6"/>
  <c r="C17" i="22"/>
  <c r="AB12" i="6"/>
  <c r="C22" i="22"/>
  <c r="AB14" i="6"/>
  <c r="C41" i="22"/>
  <c r="AB25" i="6"/>
  <c r="C6" i="22"/>
  <c r="AB4" i="6"/>
  <c r="C34" i="22"/>
  <c r="AB23" i="6"/>
  <c r="C37" i="22"/>
  <c r="AB24" i="6"/>
  <c r="C8" i="22"/>
  <c r="AB6" i="6"/>
  <c r="C30" i="22"/>
  <c r="AB20" i="6"/>
  <c r="X43" i="6"/>
  <c r="C52" i="24"/>
  <c r="C51" i="22"/>
  <c r="E43" i="6"/>
  <c r="C51" i="23"/>
  <c r="C51" i="10"/>
  <c r="Y29" i="6"/>
  <c r="C42" i="6"/>
  <c r="AB42" i="6"/>
  <c r="D43" i="6"/>
  <c r="Y44" i="6"/>
  <c r="Y45" i="6"/>
  <c r="C43" i="6"/>
  <c r="C5" i="6"/>
  <c r="G3" i="5"/>
  <c r="J3" i="5"/>
  <c r="AA3" i="5"/>
  <c r="R3" i="5"/>
  <c r="J158" i="5"/>
  <c r="G158" i="5"/>
  <c r="H3" i="5"/>
  <c r="I3" i="5"/>
  <c r="AB3" i="5"/>
  <c r="AB158" i="5"/>
  <c r="C29" i="6"/>
  <c r="W29" i="6"/>
  <c r="W45" i="6"/>
  <c r="R158" i="5"/>
  <c r="N5" i="6"/>
  <c r="C45" i="6"/>
  <c r="C44" i="6"/>
  <c r="C30" i="6"/>
  <c r="E5" i="6"/>
  <c r="D5" i="6"/>
  <c r="AD3" i="5"/>
  <c r="AE3" i="5"/>
  <c r="X5" i="6"/>
  <c r="L3" i="5"/>
  <c r="F5" i="6"/>
  <c r="F29" i="6"/>
  <c r="Y3" i="5"/>
  <c r="X3" i="5"/>
  <c r="P3" i="5"/>
  <c r="V3" i="5"/>
  <c r="T3" i="5"/>
  <c r="U3" i="5"/>
  <c r="S3" i="5"/>
  <c r="K3" i="5"/>
  <c r="O3" i="5"/>
  <c r="Q3" i="5"/>
  <c r="N3" i="5"/>
  <c r="Z3" i="5"/>
  <c r="W3" i="5"/>
  <c r="M3" i="5"/>
  <c r="AF158" i="5"/>
  <c r="AB5" i="6"/>
  <c r="C7" i="22"/>
  <c r="X29" i="6"/>
  <c r="C7" i="24"/>
  <c r="C7" i="18"/>
  <c r="C55" i="18"/>
  <c r="N29" i="6"/>
  <c r="N38" i="6"/>
  <c r="E29" i="6"/>
  <c r="E44" i="6"/>
  <c r="C7" i="23"/>
  <c r="C55" i="23"/>
  <c r="W158" i="5"/>
  <c r="S5" i="6"/>
  <c r="C7" i="19"/>
  <c r="K5" i="6"/>
  <c r="C7" i="10"/>
  <c r="C55" i="10"/>
  <c r="U158" i="5"/>
  <c r="Q5" i="6"/>
  <c r="C7" i="20"/>
  <c r="X158" i="5"/>
  <c r="T5" i="6"/>
  <c r="C7" i="16"/>
  <c r="Z5" i="6"/>
  <c r="Z29" i="6"/>
  <c r="Z44" i="6"/>
  <c r="AD158" i="5"/>
  <c r="X45" i="6"/>
  <c r="D29" i="6"/>
  <c r="AB29" i="6"/>
  <c r="V5" i="6"/>
  <c r="C7" i="25"/>
  <c r="T158" i="5"/>
  <c r="P5" i="6"/>
  <c r="C7" i="33"/>
  <c r="AG5" i="5"/>
  <c r="J5" i="6"/>
  <c r="C7" i="9"/>
  <c r="G5" i="6"/>
  <c r="C7" i="8"/>
  <c r="V158" i="5"/>
  <c r="R5" i="6"/>
  <c r="C7" i="21"/>
  <c r="AG3" i="5"/>
  <c r="I5" i="6"/>
  <c r="C7" i="28"/>
  <c r="Q158" i="5"/>
  <c r="S158" i="5"/>
  <c r="P158" i="5"/>
  <c r="F30" i="6"/>
  <c r="AA5" i="6"/>
  <c r="AA29" i="6"/>
  <c r="AA44" i="6"/>
  <c r="AE158" i="5"/>
  <c r="N41" i="6"/>
  <c r="G15" i="18"/>
  <c r="C56" i="36"/>
  <c r="E45" i="6"/>
  <c r="C56" i="18"/>
  <c r="C55" i="33"/>
  <c r="C56" i="24"/>
  <c r="D7" i="24"/>
  <c r="E30" i="6"/>
  <c r="X30" i="6"/>
  <c r="N43" i="6"/>
  <c r="N44" i="6"/>
  <c r="N45" i="6"/>
  <c r="X44" i="6"/>
  <c r="C56" i="23"/>
  <c r="D15" i="23"/>
  <c r="H50" i="23"/>
  <c r="D30" i="23"/>
  <c r="D27" i="23"/>
  <c r="D33" i="23"/>
  <c r="D34" i="23"/>
  <c r="D12" i="23"/>
  <c r="D16" i="23"/>
  <c r="D13" i="23"/>
  <c r="D14" i="23"/>
  <c r="D26" i="23"/>
  <c r="D25" i="23"/>
  <c r="D21" i="23"/>
  <c r="D31" i="23"/>
  <c r="H15" i="23"/>
  <c r="H39" i="23"/>
  <c r="D22" i="23"/>
  <c r="D6" i="23"/>
  <c r="H41" i="23"/>
  <c r="D17" i="23"/>
  <c r="D51" i="23"/>
  <c r="T29" i="6"/>
  <c r="R29" i="6"/>
  <c r="P29" i="6"/>
  <c r="Q29" i="6"/>
  <c r="S29" i="6"/>
  <c r="V29" i="6"/>
  <c r="K29" i="6"/>
  <c r="K38" i="6"/>
  <c r="C55" i="9"/>
  <c r="J29" i="6"/>
  <c r="D7" i="23"/>
  <c r="I29" i="6"/>
  <c r="G29" i="6"/>
  <c r="U5" i="6"/>
  <c r="C7" i="35"/>
  <c r="AG7" i="5"/>
  <c r="D44" i="6"/>
  <c r="D45" i="6"/>
  <c r="D30" i="6"/>
  <c r="D46" i="36"/>
  <c r="D51" i="36"/>
  <c r="D53" i="36"/>
  <c r="D52" i="36"/>
  <c r="D37" i="36"/>
  <c r="D41" i="36"/>
  <c r="D33" i="36"/>
  <c r="D34" i="36"/>
  <c r="D30" i="36"/>
  <c r="D31" i="36"/>
  <c r="D22" i="36"/>
  <c r="D26" i="36"/>
  <c r="D24" i="36"/>
  <c r="D25" i="36"/>
  <c r="D27" i="36"/>
  <c r="D16" i="36"/>
  <c r="D14" i="36"/>
  <c r="D12" i="36"/>
  <c r="D15" i="36"/>
  <c r="D13" i="36"/>
  <c r="D17" i="36"/>
  <c r="D5" i="36"/>
  <c r="D7" i="36"/>
  <c r="D8" i="36"/>
  <c r="D6" i="36"/>
  <c r="AB30" i="6"/>
  <c r="D27" i="24"/>
  <c r="D42" i="24"/>
  <c r="D35" i="24"/>
  <c r="D24" i="24"/>
  <c r="D15" i="24"/>
  <c r="D16" i="24"/>
  <c r="D52" i="24"/>
  <c r="D28" i="24"/>
  <c r="D12" i="24"/>
  <c r="D47" i="24"/>
  <c r="D22" i="24"/>
  <c r="D25" i="24"/>
  <c r="D13" i="24"/>
  <c r="D6" i="24"/>
  <c r="D32" i="24"/>
  <c r="D26" i="24"/>
  <c r="D14" i="24"/>
  <c r="D8" i="24"/>
  <c r="D34" i="24"/>
  <c r="D17" i="24"/>
  <c r="D5" i="24"/>
  <c r="C56" i="33"/>
  <c r="H41" i="33"/>
  <c r="D52" i="33"/>
  <c r="D53" i="33"/>
  <c r="D33" i="33"/>
  <c r="D5" i="33"/>
  <c r="D12" i="33"/>
  <c r="D13" i="33"/>
  <c r="D17" i="33"/>
  <c r="D16" i="33"/>
  <c r="D26" i="33"/>
  <c r="D46" i="33"/>
  <c r="D6" i="33"/>
  <c r="D27" i="33"/>
  <c r="D37" i="33"/>
  <c r="D51" i="33"/>
  <c r="D22" i="33"/>
  <c r="D14" i="33"/>
  <c r="D41" i="33"/>
  <c r="D30" i="33"/>
  <c r="D25" i="33"/>
  <c r="D24" i="33"/>
  <c r="D34" i="33"/>
  <c r="D31" i="33"/>
  <c r="D15" i="33"/>
  <c r="C57" i="24"/>
  <c r="D7" i="33"/>
  <c r="G15" i="10"/>
  <c r="G39" i="10"/>
  <c r="G55" i="10"/>
  <c r="K41" i="6"/>
  <c r="K43" i="6"/>
  <c r="K44" i="6"/>
  <c r="C56" i="10"/>
  <c r="D46" i="9"/>
  <c r="D51" i="9"/>
  <c r="D52" i="9"/>
  <c r="D53" i="9"/>
  <c r="D37" i="9"/>
  <c r="D41" i="9"/>
  <c r="D33" i="9"/>
  <c r="D34" i="9"/>
  <c r="D30" i="9"/>
  <c r="D31" i="9"/>
  <c r="D25" i="9"/>
  <c r="D22" i="9"/>
  <c r="D26" i="9"/>
  <c r="D24" i="9"/>
  <c r="D27" i="9"/>
  <c r="D13" i="9"/>
  <c r="D12" i="9"/>
  <c r="D16" i="9"/>
  <c r="D14" i="9"/>
  <c r="D15" i="9"/>
  <c r="D17" i="9"/>
  <c r="D5" i="9"/>
  <c r="D6" i="9"/>
  <c r="D7" i="9"/>
  <c r="C55" i="28"/>
  <c r="V30" i="6"/>
  <c r="V38" i="6"/>
  <c r="C55" i="20"/>
  <c r="T30" i="6"/>
  <c r="T38" i="6"/>
  <c r="C55" i="8"/>
  <c r="D16" i="8"/>
  <c r="J38" i="6"/>
  <c r="J30" i="6"/>
  <c r="S38" i="6"/>
  <c r="G15" i="19"/>
  <c r="S30" i="6"/>
  <c r="C55" i="21"/>
  <c r="C55" i="16"/>
  <c r="D24" i="16"/>
  <c r="AG9" i="5"/>
  <c r="Q30" i="6"/>
  <c r="Q38" i="6"/>
  <c r="G30" i="6"/>
  <c r="G38" i="6"/>
  <c r="C55" i="25"/>
  <c r="R30" i="6"/>
  <c r="R38" i="6"/>
  <c r="I30" i="6"/>
  <c r="I38" i="6"/>
  <c r="K30" i="6"/>
  <c r="C55" i="19"/>
  <c r="D51" i="19"/>
  <c r="P38" i="6"/>
  <c r="G15" i="33"/>
  <c r="P30" i="6"/>
  <c r="D41" i="19"/>
  <c r="D46" i="19"/>
  <c r="D33" i="19"/>
  <c r="D34" i="19"/>
  <c r="D30" i="19"/>
  <c r="D31" i="19"/>
  <c r="D22" i="19"/>
  <c r="D26" i="19"/>
  <c r="D24" i="19"/>
  <c r="D25" i="19"/>
  <c r="D27" i="19"/>
  <c r="D14" i="19"/>
  <c r="D16" i="19"/>
  <c r="D12" i="19"/>
  <c r="D15" i="19"/>
  <c r="D13" i="19"/>
  <c r="D17" i="19"/>
  <c r="D8" i="19"/>
  <c r="D6" i="19"/>
  <c r="D7" i="19"/>
  <c r="K45" i="6"/>
  <c r="Y158" i="5"/>
  <c r="U4" i="6"/>
  <c r="C6" i="35"/>
  <c r="D51" i="20"/>
  <c r="C56" i="20"/>
  <c r="G39" i="33"/>
  <c r="G55" i="33"/>
  <c r="H15" i="33"/>
  <c r="H39" i="33"/>
  <c r="D7" i="28"/>
  <c r="D37" i="28"/>
  <c r="D25" i="28"/>
  <c r="D5" i="28"/>
  <c r="D33" i="28"/>
  <c r="D22" i="28"/>
  <c r="D34" i="28"/>
  <c r="D16" i="28"/>
  <c r="D26" i="28"/>
  <c r="D51" i="28"/>
  <c r="D15" i="28"/>
  <c r="D52" i="28"/>
  <c r="D31" i="28"/>
  <c r="D13" i="28"/>
  <c r="D46" i="28"/>
  <c r="D27" i="28"/>
  <c r="D24" i="28"/>
  <c r="D12" i="28"/>
  <c r="D41" i="28"/>
  <c r="D17" i="28"/>
  <c r="D6" i="28"/>
  <c r="D30" i="28"/>
  <c r="D53" i="28"/>
  <c r="D14" i="28"/>
  <c r="D41" i="20"/>
  <c r="D46" i="20"/>
  <c r="D33" i="20"/>
  <c r="D34" i="20"/>
  <c r="D30" i="20"/>
  <c r="D31" i="20"/>
  <c r="D25" i="20"/>
  <c r="D26" i="20"/>
  <c r="D27" i="20"/>
  <c r="D22" i="20"/>
  <c r="D24" i="20"/>
  <c r="D16" i="20"/>
  <c r="D17" i="20"/>
  <c r="D15" i="20"/>
  <c r="D12" i="20"/>
  <c r="D13" i="20"/>
  <c r="D14" i="20"/>
  <c r="D6" i="20"/>
  <c r="D7" i="20"/>
  <c r="D5" i="20"/>
  <c r="D51" i="25"/>
  <c r="C56" i="25"/>
  <c r="D24" i="25"/>
  <c r="D41" i="25"/>
  <c r="D46" i="25"/>
  <c r="D33" i="25"/>
  <c r="D34" i="25"/>
  <c r="D30" i="25"/>
  <c r="D31" i="25"/>
  <c r="D22" i="25"/>
  <c r="D26" i="25"/>
  <c r="D25" i="25"/>
  <c r="D27" i="25"/>
  <c r="D16" i="25"/>
  <c r="D14" i="25"/>
  <c r="D12" i="25"/>
  <c r="D15" i="25"/>
  <c r="D13" i="25"/>
  <c r="D17" i="25"/>
  <c r="D6" i="25"/>
  <c r="D7" i="25"/>
  <c r="D8" i="25"/>
  <c r="D5" i="25"/>
  <c r="D51" i="16"/>
  <c r="C56" i="16"/>
  <c r="D16" i="16"/>
  <c r="D17" i="16"/>
  <c r="D41" i="16"/>
  <c r="D46" i="16"/>
  <c r="D33" i="16"/>
  <c r="D34" i="16"/>
  <c r="D30" i="16"/>
  <c r="D31" i="16"/>
  <c r="D22" i="16"/>
  <c r="D25" i="16"/>
  <c r="D26" i="16"/>
  <c r="D27" i="16"/>
  <c r="D14" i="16"/>
  <c r="D12" i="16"/>
  <c r="D15" i="16"/>
  <c r="D13" i="16"/>
  <c r="D6" i="16"/>
  <c r="D7" i="16"/>
  <c r="D5" i="16"/>
  <c r="D5" i="19"/>
  <c r="D5" i="21"/>
  <c r="C56" i="21"/>
  <c r="D46" i="18"/>
  <c r="D51" i="18"/>
  <c r="D52" i="18"/>
  <c r="D53" i="18"/>
  <c r="D37" i="18"/>
  <c r="D41" i="18"/>
  <c r="D33" i="18"/>
  <c r="D34" i="18"/>
  <c r="D31" i="18"/>
  <c r="D30" i="18"/>
  <c r="D22" i="18"/>
  <c r="D25" i="18"/>
  <c r="D26" i="18"/>
  <c r="D27" i="18"/>
  <c r="D24" i="18"/>
  <c r="D15" i="18"/>
  <c r="D17" i="18"/>
  <c r="D12" i="18"/>
  <c r="D16" i="18"/>
  <c r="D14" i="18"/>
  <c r="D13" i="18"/>
  <c r="D7" i="18"/>
  <c r="D6" i="18"/>
  <c r="D5" i="18"/>
  <c r="D46" i="10"/>
  <c r="D51" i="10"/>
  <c r="D52" i="10"/>
  <c r="D53" i="10"/>
  <c r="D37" i="10"/>
  <c r="D41" i="10"/>
  <c r="D33" i="10"/>
  <c r="D34" i="10"/>
  <c r="D30" i="10"/>
  <c r="D31" i="10"/>
  <c r="D22" i="10"/>
  <c r="D26" i="10"/>
  <c r="D27" i="10"/>
  <c r="D24" i="10"/>
  <c r="D25" i="10"/>
  <c r="D14" i="10"/>
  <c r="D15" i="10"/>
  <c r="D13" i="10"/>
  <c r="D12" i="10"/>
  <c r="D17" i="10"/>
  <c r="D16" i="10"/>
  <c r="D7" i="10"/>
  <c r="D6" i="10"/>
  <c r="D5" i="10"/>
  <c r="D12" i="8"/>
  <c r="D17" i="8"/>
  <c r="D26" i="8"/>
  <c r="D33" i="8"/>
  <c r="D46" i="8"/>
  <c r="D13" i="8"/>
  <c r="D22" i="8"/>
  <c r="D27" i="8"/>
  <c r="D34" i="8"/>
  <c r="D51" i="8"/>
  <c r="D6" i="8"/>
  <c r="D14" i="8"/>
  <c r="D24" i="8"/>
  <c r="D30" i="8"/>
  <c r="D37" i="8"/>
  <c r="D52" i="8"/>
  <c r="D7" i="8"/>
  <c r="D15" i="8"/>
  <c r="D25" i="8"/>
  <c r="D31" i="8"/>
  <c r="D41" i="8"/>
  <c r="D53" i="8"/>
  <c r="D5" i="8"/>
  <c r="H41" i="8"/>
  <c r="V41" i="6"/>
  <c r="G15" i="25"/>
  <c r="P41" i="6"/>
  <c r="G41" i="6"/>
  <c r="G15" i="8"/>
  <c r="H15" i="10"/>
  <c r="H39" i="10"/>
  <c r="H41" i="10"/>
  <c r="D14" i="21"/>
  <c r="D6" i="21"/>
  <c r="D12" i="21"/>
  <c r="D27" i="21"/>
  <c r="D25" i="21"/>
  <c r="D15" i="21"/>
  <c r="D13" i="21"/>
  <c r="D26" i="21"/>
  <c r="D31" i="21"/>
  <c r="D22" i="21"/>
  <c r="D34" i="21"/>
  <c r="D30" i="21"/>
  <c r="D33" i="21"/>
  <c r="H41" i="18"/>
  <c r="H41" i="16"/>
  <c r="G15" i="21"/>
  <c r="R41" i="6"/>
  <c r="G15" i="20"/>
  <c r="Q41" i="6"/>
  <c r="G15" i="28"/>
  <c r="I41" i="6"/>
  <c r="H41" i="25"/>
  <c r="D7" i="21"/>
  <c r="S41" i="6"/>
  <c r="G15" i="9"/>
  <c r="J41" i="6"/>
  <c r="G15" i="16"/>
  <c r="T41" i="6"/>
  <c r="H41" i="36"/>
  <c r="H15" i="36"/>
  <c r="H39" i="36"/>
  <c r="U29" i="6"/>
  <c r="U38" i="6"/>
  <c r="G15" i="35"/>
  <c r="G39" i="35"/>
  <c r="G55" i="35"/>
  <c r="G39" i="19"/>
  <c r="G55" i="19"/>
  <c r="H15" i="19"/>
  <c r="H39" i="19"/>
  <c r="G39" i="28"/>
  <c r="G55" i="28"/>
  <c r="H41" i="28"/>
  <c r="R43" i="6"/>
  <c r="R45" i="6"/>
  <c r="J45" i="6"/>
  <c r="J43" i="6"/>
  <c r="G39" i="9"/>
  <c r="G55" i="9"/>
  <c r="H41" i="9"/>
  <c r="Q43" i="6"/>
  <c r="Q45" i="6"/>
  <c r="G39" i="8"/>
  <c r="G55" i="8"/>
  <c r="H15" i="8"/>
  <c r="H39" i="8"/>
  <c r="G39" i="18"/>
  <c r="G55" i="18"/>
  <c r="H15" i="18"/>
  <c r="H39" i="18"/>
  <c r="G39" i="16"/>
  <c r="G55" i="16"/>
  <c r="H15" i="16"/>
  <c r="H39" i="16"/>
  <c r="V45" i="6"/>
  <c r="V43" i="6"/>
  <c r="G39" i="21"/>
  <c r="G55" i="21"/>
  <c r="H41" i="21"/>
  <c r="P45" i="6"/>
  <c r="P43" i="6"/>
  <c r="T43" i="6"/>
  <c r="T45" i="6"/>
  <c r="S45" i="6"/>
  <c r="S43" i="6"/>
  <c r="I43" i="6"/>
  <c r="I45" i="6"/>
  <c r="G39" i="20"/>
  <c r="G55" i="20"/>
  <c r="H41" i="20"/>
  <c r="G43" i="6"/>
  <c r="G45" i="6"/>
  <c r="H15" i="25"/>
  <c r="G39" i="25"/>
  <c r="U41" i="6"/>
  <c r="C55" i="35"/>
  <c r="D51" i="35"/>
  <c r="H15" i="9"/>
  <c r="H39" i="9"/>
  <c r="H15" i="28"/>
  <c r="H39" i="28"/>
  <c r="I44" i="6"/>
  <c r="C56" i="28"/>
  <c r="T44" i="6"/>
  <c r="S44" i="6"/>
  <c r="C56" i="19"/>
  <c r="V44" i="6"/>
  <c r="H15" i="20"/>
  <c r="H39" i="20"/>
  <c r="J44" i="6"/>
  <c r="C56" i="9"/>
  <c r="P44" i="6"/>
  <c r="G44" i="6"/>
  <c r="C56" i="8"/>
  <c r="G55" i="25"/>
  <c r="H39" i="25"/>
  <c r="H15" i="21"/>
  <c r="H39" i="21"/>
  <c r="Q44" i="6"/>
  <c r="R44" i="6"/>
  <c r="H44" i="19"/>
  <c r="H41" i="19"/>
  <c r="D41" i="35"/>
  <c r="D46" i="35"/>
  <c r="D33" i="35"/>
  <c r="D34" i="35"/>
  <c r="D30" i="35"/>
  <c r="D31" i="35"/>
  <c r="D22" i="35"/>
  <c r="D26" i="35"/>
  <c r="D24" i="35"/>
  <c r="D25" i="35"/>
  <c r="D27" i="35"/>
  <c r="D16" i="35"/>
  <c r="D14" i="35"/>
  <c r="D12" i="35"/>
  <c r="D13" i="35"/>
  <c r="D17" i="35"/>
  <c r="D15" i="35"/>
  <c r="D7" i="35"/>
  <c r="D8" i="35"/>
  <c r="D6" i="35"/>
  <c r="D5" i="35"/>
  <c r="H41" i="35"/>
  <c r="C56" i="35"/>
  <c r="H15" i="35"/>
  <c r="H39" i="35"/>
  <c r="U45" i="6"/>
  <c r="U43" i="6"/>
  <c r="U44" i="6"/>
  <c r="C55" i="22"/>
  <c r="H15" i="22"/>
  <c r="C56" i="22"/>
  <c r="D25" i="22"/>
  <c r="D31" i="22"/>
  <c r="D30" i="22"/>
  <c r="D12" i="22"/>
  <c r="D14" i="22"/>
  <c r="D33" i="22"/>
  <c r="D27" i="22"/>
  <c r="H41" i="22"/>
  <c r="D7" i="22"/>
  <c r="D13" i="22"/>
  <c r="D34" i="22"/>
  <c r="D15" i="22"/>
  <c r="D22" i="22"/>
  <c r="H50" i="22"/>
  <c r="D6" i="22"/>
  <c r="D26" i="22"/>
  <c r="H19" i="22"/>
  <c r="D51" i="22"/>
  <c r="H39" i="22"/>
  <c r="L37" i="6"/>
  <c r="F33" i="6"/>
  <c r="AB33" i="6"/>
  <c r="F37" i="6"/>
  <c r="AB37" i="6"/>
  <c r="A40" i="22"/>
  <c r="E29" i="38" l="1"/>
  <c r="C37" i="13"/>
  <c r="C24" i="13"/>
  <c r="B24" i="30" s="1"/>
  <c r="C33" i="32"/>
  <c r="C6" i="32"/>
  <c r="B6" i="30" s="1"/>
  <c r="C31" i="12"/>
  <c r="B31" i="29" s="1"/>
  <c r="C15" i="13"/>
  <c r="B15" i="30" s="1"/>
  <c r="B15" i="31" s="1"/>
  <c r="C25" i="32"/>
  <c r="B25" i="30" s="1"/>
  <c r="B25" i="31" s="1"/>
  <c r="C13" i="32"/>
  <c r="C46" i="13"/>
  <c r="C33" i="13"/>
  <c r="C26" i="13"/>
  <c r="B26" i="30" s="1"/>
  <c r="B26" i="31" s="1"/>
  <c r="C37" i="32"/>
  <c r="C16" i="32"/>
  <c r="C51" i="12"/>
  <c r="C27" i="12"/>
  <c r="B27" i="29" s="1"/>
  <c r="C22" i="12"/>
  <c r="B22" i="29" s="1"/>
  <c r="C51" i="32"/>
  <c r="C12" i="12"/>
  <c r="B12" i="29" s="1"/>
  <c r="C16" i="13"/>
  <c r="C14" i="32"/>
  <c r="B14" i="30" s="1"/>
  <c r="B14" i="31" s="1"/>
  <c r="C41" i="12"/>
  <c r="B41" i="29" s="1"/>
  <c r="B41" i="31" s="1"/>
  <c r="C13" i="12"/>
  <c r="B13" i="29" s="1"/>
  <c r="C5" i="12"/>
  <c r="B5" i="29" s="1"/>
  <c r="C34" i="13"/>
  <c r="B34" i="30" s="1"/>
  <c r="B34" i="31" s="1"/>
  <c r="C7" i="13"/>
  <c r="C31" i="32"/>
  <c r="B31" i="30" s="1"/>
  <c r="C5" i="32"/>
  <c r="B5" i="30" s="1"/>
  <c r="C30" i="12"/>
  <c r="B30" i="29" s="1"/>
  <c r="C24" i="12"/>
  <c r="B24" i="29" s="1"/>
  <c r="C51" i="13"/>
  <c r="C41" i="13"/>
  <c r="C17" i="13"/>
  <c r="B17" i="30" s="1"/>
  <c r="B17" i="31" s="1"/>
  <c r="C13" i="13"/>
  <c r="C7" i="32"/>
  <c r="C46" i="12"/>
  <c r="B46" i="29" s="1"/>
  <c r="B46" i="31" s="1"/>
  <c r="C6" i="12"/>
  <c r="B6" i="29" s="1"/>
  <c r="O29" i="6"/>
  <c r="O30" i="6" s="1"/>
  <c r="H29" i="6"/>
  <c r="H38" i="6" s="1"/>
  <c r="H41" i="6" s="1"/>
  <c r="B30" i="30"/>
  <c r="B22" i="30"/>
  <c r="L29" i="6"/>
  <c r="B27" i="30"/>
  <c r="C46" i="32"/>
  <c r="C41" i="17"/>
  <c r="C55" i="17" s="1"/>
  <c r="M29" i="6"/>
  <c r="B12" i="30"/>
  <c r="B31" i="31" l="1"/>
  <c r="B7" i="30"/>
  <c r="B7" i="31" s="1"/>
  <c r="B37" i="30"/>
  <c r="B30" i="31"/>
  <c r="B5" i="31"/>
  <c r="B6" i="31"/>
  <c r="B24" i="31"/>
  <c r="B27" i="31"/>
  <c r="O38" i="6"/>
  <c r="O41" i="6" s="1"/>
  <c r="B55" i="29"/>
  <c r="C14" i="29" s="1"/>
  <c r="C55" i="13"/>
  <c r="D26" i="13" s="1"/>
  <c r="B51" i="30"/>
  <c r="B51" i="31" s="1"/>
  <c r="F50" i="31" s="1"/>
  <c r="B33" i="30"/>
  <c r="B33" i="31" s="1"/>
  <c r="B13" i="30"/>
  <c r="B13" i="31" s="1"/>
  <c r="C55" i="12"/>
  <c r="D30" i="12" s="1"/>
  <c r="C55" i="32"/>
  <c r="D5" i="32" s="1"/>
  <c r="B22" i="31"/>
  <c r="G15" i="17"/>
  <c r="G39" i="17" s="1"/>
  <c r="D37" i="17"/>
  <c r="D34" i="17"/>
  <c r="D7" i="17"/>
  <c r="C56" i="17"/>
  <c r="D15" i="17"/>
  <c r="D51" i="17"/>
  <c r="D46" i="17"/>
  <c r="D24" i="17"/>
  <c r="D16" i="17"/>
  <c r="D12" i="17"/>
  <c r="D17" i="17"/>
  <c r="D26" i="17"/>
  <c r="D13" i="17"/>
  <c r="D27" i="17"/>
  <c r="D22" i="17"/>
  <c r="D14" i="17"/>
  <c r="D53" i="17"/>
  <c r="D6" i="17"/>
  <c r="D33" i="17"/>
  <c r="D31" i="17"/>
  <c r="D5" i="17"/>
  <c r="D30" i="17"/>
  <c r="D52" i="17"/>
  <c r="D8" i="17"/>
  <c r="D25" i="17"/>
  <c r="L38" i="6"/>
  <c r="L30" i="6"/>
  <c r="M38" i="6"/>
  <c r="M30" i="6"/>
  <c r="D41" i="17"/>
  <c r="H43" i="6"/>
  <c r="H44" i="6" s="1"/>
  <c r="H45" i="6"/>
  <c r="B12" i="31"/>
  <c r="C12" i="29" l="1"/>
  <c r="C56" i="13"/>
  <c r="C52" i="29"/>
  <c r="D14" i="13"/>
  <c r="C31" i="29"/>
  <c r="D6" i="13"/>
  <c r="H41" i="13"/>
  <c r="D46" i="13"/>
  <c r="C15" i="29"/>
  <c r="D12" i="12"/>
  <c r="D33" i="13"/>
  <c r="C46" i="29"/>
  <c r="D24" i="13"/>
  <c r="D12" i="13"/>
  <c r="D7" i="13"/>
  <c r="D51" i="13"/>
  <c r="D31" i="13"/>
  <c r="D25" i="13"/>
  <c r="D16" i="13"/>
  <c r="D15" i="13"/>
  <c r="D37" i="13"/>
  <c r="D27" i="13"/>
  <c r="D41" i="13"/>
  <c r="D53" i="13"/>
  <c r="D34" i="13"/>
  <c r="D5" i="13"/>
  <c r="D17" i="13"/>
  <c r="D22" i="13"/>
  <c r="D52" i="13"/>
  <c r="D30" i="13"/>
  <c r="D52" i="32"/>
  <c r="C56" i="32"/>
  <c r="C7" i="29"/>
  <c r="D25" i="12"/>
  <c r="D34" i="32"/>
  <c r="D24" i="32"/>
  <c r="O43" i="6"/>
  <c r="O44" i="6" s="1"/>
  <c r="O45" i="6"/>
  <c r="D15" i="12"/>
  <c r="D33" i="12"/>
  <c r="D27" i="12"/>
  <c r="D46" i="12"/>
  <c r="D52" i="12"/>
  <c r="D51" i="32"/>
  <c r="D31" i="12"/>
  <c r="D17" i="12"/>
  <c r="D7" i="12"/>
  <c r="D53" i="12"/>
  <c r="D14" i="32"/>
  <c r="D37" i="32"/>
  <c r="D41" i="12"/>
  <c r="G15" i="32"/>
  <c r="G39" i="32" s="1"/>
  <c r="G55" i="32" s="1"/>
  <c r="H15" i="32" s="1"/>
  <c r="H39" i="32" s="1"/>
  <c r="C22" i="29"/>
  <c r="C25" i="29"/>
  <c r="C41" i="29"/>
  <c r="C8" i="29"/>
  <c r="C17" i="29"/>
  <c r="C37" i="29"/>
  <c r="C26" i="29"/>
  <c r="C53" i="29"/>
  <c r="C13" i="29"/>
  <c r="D6" i="32"/>
  <c r="D22" i="32"/>
  <c r="D31" i="32"/>
  <c r="D13" i="13"/>
  <c r="C51" i="29"/>
  <c r="C6" i="29"/>
  <c r="C16" i="29"/>
  <c r="C5" i="29"/>
  <c r="G41" i="29"/>
  <c r="C30" i="29"/>
  <c r="C34" i="29"/>
  <c r="C27" i="29"/>
  <c r="C33" i="29"/>
  <c r="D27" i="32"/>
  <c r="D15" i="32"/>
  <c r="D12" i="32"/>
  <c r="D53" i="32"/>
  <c r="B55" i="31"/>
  <c r="G28" i="31" s="1"/>
  <c r="H41" i="12"/>
  <c r="C56" i="12"/>
  <c r="D14" i="12"/>
  <c r="D34" i="12"/>
  <c r="D22" i="12"/>
  <c r="D26" i="12"/>
  <c r="D30" i="32"/>
  <c r="D25" i="32"/>
  <c r="D41" i="32"/>
  <c r="D33" i="32"/>
  <c r="H41" i="32"/>
  <c r="D17" i="32"/>
  <c r="B55" i="30"/>
  <c r="C6" i="30" s="1"/>
  <c r="D16" i="12"/>
  <c r="D13" i="12"/>
  <c r="D37" i="12"/>
  <c r="D51" i="12"/>
  <c r="D5" i="12"/>
  <c r="D24" i="12"/>
  <c r="D6" i="12"/>
  <c r="D7" i="32"/>
  <c r="D26" i="32"/>
  <c r="D16" i="32"/>
  <c r="D46" i="32"/>
  <c r="D13" i="32"/>
  <c r="G15" i="12"/>
  <c r="L41" i="6"/>
  <c r="F38" i="6"/>
  <c r="G15" i="13"/>
  <c r="M41" i="6"/>
  <c r="G55" i="17"/>
  <c r="H39" i="17" s="1"/>
  <c r="C14" i="31" l="1"/>
  <c r="C7" i="31"/>
  <c r="C26" i="31"/>
  <c r="C33" i="31"/>
  <c r="C31" i="30"/>
  <c r="C34" i="31"/>
  <c r="C15" i="31"/>
  <c r="C14" i="30"/>
  <c r="C26" i="30"/>
  <c r="C34" i="30"/>
  <c r="C12" i="31"/>
  <c r="C31" i="31"/>
  <c r="C27" i="31"/>
  <c r="C27" i="30"/>
  <c r="C51" i="30"/>
  <c r="G41" i="30"/>
  <c r="C22" i="31"/>
  <c r="G50" i="31"/>
  <c r="C6" i="31"/>
  <c r="G41" i="31"/>
  <c r="G19" i="31"/>
  <c r="C15" i="30"/>
  <c r="B56" i="30"/>
  <c r="C30" i="30"/>
  <c r="C25" i="30"/>
  <c r="C13" i="31"/>
  <c r="C30" i="31"/>
  <c r="C25" i="31"/>
  <c r="C51" i="31"/>
  <c r="C7" i="30"/>
  <c r="C13" i="30"/>
  <c r="C22" i="30"/>
  <c r="G39" i="13"/>
  <c r="G55" i="13" s="1"/>
  <c r="H15" i="13" s="1"/>
  <c r="H39" i="13" s="1"/>
  <c r="F15" i="30"/>
  <c r="F41" i="6"/>
  <c r="AB38" i="6"/>
  <c r="L45" i="6"/>
  <c r="L43" i="6"/>
  <c r="L44" i="6" s="1"/>
  <c r="M45" i="6"/>
  <c r="M43" i="6"/>
  <c r="M44" i="6" s="1"/>
  <c r="F15" i="29"/>
  <c r="G39" i="12"/>
  <c r="G55" i="12" s="1"/>
  <c r="H15" i="12"/>
  <c r="H39" i="12" s="1"/>
  <c r="H41" i="17"/>
  <c r="H15" i="17"/>
  <c r="AB41" i="6" l="1"/>
  <c r="F45" i="6"/>
  <c r="F43" i="6"/>
  <c r="F15" i="31"/>
  <c r="G15" i="30"/>
  <c r="F39" i="30"/>
  <c r="G15" i="29"/>
  <c r="G39" i="29" s="1"/>
  <c r="F39" i="29"/>
  <c r="F55" i="29" s="1"/>
  <c r="F55" i="30" l="1"/>
  <c r="G39" i="30"/>
  <c r="F39" i="31"/>
  <c r="F55" i="31" s="1"/>
  <c r="F56" i="31" s="1"/>
  <c r="G15" i="31"/>
  <c r="G39" i="31" s="1"/>
  <c r="AB43" i="6"/>
  <c r="F47" i="6"/>
  <c r="F44" i="6"/>
  <c r="AB44" i="6" s="1"/>
  <c r="D47" i="6"/>
  <c r="E47" i="6"/>
</calcChain>
</file>

<file path=xl/comments1.xml><?xml version="1.0" encoding="utf-8"?>
<comments xmlns="http://schemas.openxmlformats.org/spreadsheetml/2006/main">
  <authors>
    <author>Laura SAROYAN</author>
  </authors>
  <commentList>
    <comment ref="E96" authorId="0">
      <text>
        <r>
          <rPr>
            <b/>
            <sz val="9"/>
            <color indexed="81"/>
            <rFont val="Tahoma"/>
            <family val="2"/>
          </rPr>
          <t>CB :</t>
        </r>
        <r>
          <rPr>
            <sz val="9"/>
            <color indexed="81"/>
            <rFont val="Tahoma"/>
            <family val="2"/>
          </rPr>
          <t xml:space="preserve">
Coisation sur la valeur ajoutée des entreprises</t>
        </r>
      </text>
    </comment>
  </commentList>
</comments>
</file>

<file path=xl/sharedStrings.xml><?xml version="1.0" encoding="utf-8"?>
<sst xmlns="http://schemas.openxmlformats.org/spreadsheetml/2006/main" count="1937" uniqueCount="447">
  <si>
    <t>Compte</t>
  </si>
  <si>
    <t>Intitulé des dépenses</t>
  </si>
  <si>
    <t>Intitulé des recettes</t>
  </si>
  <si>
    <t>EDF</t>
  </si>
  <si>
    <t>COTISATIONS ADHERENTS</t>
  </si>
  <si>
    <t>COTISATIONS MEMBRES FONDATEURS</t>
  </si>
  <si>
    <t>COTISATIONS TETE RESEAU</t>
  </si>
  <si>
    <t>COTISATION EDUCTOUR</t>
  </si>
  <si>
    <t>FOURNITURES ADMINISTRATIVES</t>
  </si>
  <si>
    <t>Remboursement complément eductour</t>
  </si>
  <si>
    <t>MICE PLACE</t>
  </si>
  <si>
    <t>HEAVENT</t>
  </si>
  <si>
    <t>IMEX</t>
  </si>
  <si>
    <t>SUBVENTION REGION</t>
  </si>
  <si>
    <t>Benevolat</t>
  </si>
  <si>
    <t>FOND DE ROULEMENT</t>
  </si>
  <si>
    <t>AXA RC</t>
  </si>
  <si>
    <t>LOCATION VEHICULE</t>
  </si>
  <si>
    <t>SERVICES BANCAIRES</t>
  </si>
  <si>
    <t>COM GESTION DAILLY</t>
  </si>
  <si>
    <t>MAINTENANCE UBIQUS</t>
  </si>
  <si>
    <t>MAINTENANCE TECHNISOFT (maintenance parc 1 000 cet antivirus 177 ht)</t>
  </si>
  <si>
    <t>MAINTENANCE CLIM</t>
  </si>
  <si>
    <t>EXPERT COMPTABLE</t>
  </si>
  <si>
    <t>TELEPHONE</t>
  </si>
  <si>
    <t>FRAIS BANCAIRES ET ASSIMILES</t>
  </si>
  <si>
    <t>TAXE D'APPRENTISSAGE</t>
  </si>
  <si>
    <t>FORMATION PRO</t>
  </si>
  <si>
    <t>MEDECINE DU TRAVAIL</t>
  </si>
  <si>
    <t>Bénévolat</t>
  </si>
  <si>
    <t xml:space="preserve">CHARGES DE PERSONNEL </t>
  </si>
  <si>
    <t>Nom</t>
  </si>
  <si>
    <t>Brut</t>
  </si>
  <si>
    <t>Charges</t>
  </si>
  <si>
    <t>Prime</t>
  </si>
  <si>
    <t xml:space="preserve">Coût global </t>
  </si>
  <si>
    <t>A</t>
  </si>
  <si>
    <t>B</t>
  </si>
  <si>
    <t>C</t>
  </si>
  <si>
    <t>D</t>
  </si>
  <si>
    <t>D1</t>
  </si>
  <si>
    <t>D2</t>
  </si>
  <si>
    <t>D3</t>
  </si>
  <si>
    <t>D4</t>
  </si>
  <si>
    <t>Contrôle</t>
  </si>
  <si>
    <t>TOTAL C</t>
  </si>
  <si>
    <t>TOTAL D</t>
  </si>
  <si>
    <t/>
  </si>
  <si>
    <t>MALIKA BOULDI</t>
  </si>
  <si>
    <t>Laurie LELU</t>
  </si>
  <si>
    <t>Ilham BOURENANE Chelmoun</t>
  </si>
  <si>
    <t>TOTAL GENERAL</t>
  </si>
  <si>
    <t>CLE FRAIS GENERAUX</t>
  </si>
  <si>
    <t>TOTAL ETP</t>
  </si>
  <si>
    <t>Vérif</t>
  </si>
  <si>
    <t>CVAE</t>
  </si>
  <si>
    <t>DEPLACEMENT laurie HORS SALONS(PARIS ET MICE LYON )</t>
  </si>
  <si>
    <t>Club de prestataires</t>
  </si>
  <si>
    <t>vérif</t>
  </si>
  <si>
    <t>Charges directes</t>
  </si>
  <si>
    <t>Frais Généraux</t>
  </si>
  <si>
    <t>Repartition</t>
  </si>
  <si>
    <t xml:space="preserve">A </t>
  </si>
  <si>
    <t xml:space="preserve">B </t>
  </si>
  <si>
    <t>Racine</t>
  </si>
  <si>
    <t>615 - Entretien Reparation et Maintenance</t>
  </si>
  <si>
    <t>616 - Assurance</t>
  </si>
  <si>
    <t xml:space="preserve">617 - Etudes et recherche </t>
  </si>
  <si>
    <t xml:space="preserve">625 - Déplacements, missions et réceptions </t>
  </si>
  <si>
    <t>626 - Frais postaux et frais de télécom.</t>
  </si>
  <si>
    <t>628 - Adhésion association</t>
  </si>
  <si>
    <t>641 - Rémunérations de personnel</t>
  </si>
  <si>
    <t>645 - Charges sociales</t>
  </si>
  <si>
    <t>65 - Autres charges de gestion courante</t>
  </si>
  <si>
    <t>661 - Charges d'intérêts</t>
  </si>
  <si>
    <t xml:space="preserve">681 - Dotations aux amortissements </t>
  </si>
  <si>
    <t xml:space="preserve"> Etudes et prestations diverses</t>
  </si>
  <si>
    <t xml:space="preserve">Achats de matériels, équipements </t>
  </si>
  <si>
    <t xml:space="preserve"> Achats .. fournitures</t>
  </si>
  <si>
    <t>Achats de marchandises</t>
  </si>
  <si>
    <t>Sous traitance générale</t>
  </si>
  <si>
    <t xml:space="preserve"> Locations bureaux</t>
  </si>
  <si>
    <t xml:space="preserve">Divers </t>
  </si>
  <si>
    <t xml:space="preserve">Rémunérations d'intermédiaires </t>
  </si>
  <si>
    <t xml:space="preserve"> Publicité, public., relations publiques </t>
  </si>
  <si>
    <t>Impots et taxes</t>
  </si>
  <si>
    <t>Total dépenses</t>
  </si>
  <si>
    <t>Cotisations</t>
  </si>
  <si>
    <t>Prestations de services</t>
  </si>
  <si>
    <t>Autres</t>
  </si>
  <si>
    <t>Sous total fonds privés</t>
  </si>
  <si>
    <t>région PACA</t>
  </si>
  <si>
    <t>CG84</t>
  </si>
  <si>
    <t>Sous total aides publiques</t>
  </si>
  <si>
    <t>bénévolat</t>
  </si>
  <si>
    <t>Total recettes</t>
  </si>
  <si>
    <t>Ecart</t>
  </si>
  <si>
    <t>% public</t>
  </si>
  <si>
    <t>Personnel extérieur</t>
  </si>
  <si>
    <t>Taxes</t>
  </si>
  <si>
    <t>Cotisation Eductour</t>
  </si>
  <si>
    <t>RESSOURCES</t>
  </si>
  <si>
    <t>DEPENSES</t>
  </si>
  <si>
    <t>A/B</t>
  </si>
  <si>
    <t>NOM</t>
  </si>
  <si>
    <t>PRENOM</t>
  </si>
  <si>
    <t>QUALITE</t>
  </si>
  <si>
    <t>TAUX</t>
  </si>
  <si>
    <t>NBR D'H</t>
  </si>
  <si>
    <t>Heures CA</t>
  </si>
  <si>
    <t>RT</t>
  </si>
  <si>
    <t>Réunion de travail PCE</t>
  </si>
  <si>
    <t>RDV Partenaires</t>
  </si>
  <si>
    <t>Parcours de Croissance</t>
  </si>
  <si>
    <t>Stratégie à l'international</t>
  </si>
  <si>
    <t>innovation</t>
  </si>
  <si>
    <t>TOTAL A</t>
  </si>
  <si>
    <t>TOTAL B</t>
  </si>
  <si>
    <t>Total</t>
  </si>
  <si>
    <t>ROUCARIES</t>
  </si>
  <si>
    <t>Pierre Louis</t>
  </si>
  <si>
    <t>Président</t>
  </si>
  <si>
    <t>Trésorier</t>
  </si>
  <si>
    <t>DORE</t>
  </si>
  <si>
    <t>Eric</t>
  </si>
  <si>
    <t>Vice Président</t>
  </si>
  <si>
    <t>Secrétaire</t>
  </si>
  <si>
    <t>vérif c</t>
  </si>
  <si>
    <t>% ABC</t>
  </si>
  <si>
    <t xml:space="preserve">Intitulé des dépenses </t>
  </si>
  <si>
    <t xml:space="preserve">HT </t>
  </si>
  <si>
    <t>%</t>
  </si>
  <si>
    <t>Ressources</t>
  </si>
  <si>
    <t xml:space="preserve">60 - Achats </t>
  </si>
  <si>
    <t xml:space="preserve">74 - Subventions </t>
  </si>
  <si>
    <t>604 - Etudes et prestations diverses</t>
  </si>
  <si>
    <t xml:space="preserve">605 - Achats de matériels, équipements </t>
  </si>
  <si>
    <t xml:space="preserve">Etat </t>
  </si>
  <si>
    <t>606 - Achats .. fournitures</t>
  </si>
  <si>
    <t>607 - Achats de marchandises</t>
  </si>
  <si>
    <t>Union Européenne</t>
  </si>
  <si>
    <t>61 - Services extérieurs</t>
  </si>
  <si>
    <t>611 - Sous traitance générale</t>
  </si>
  <si>
    <t>Région</t>
  </si>
  <si>
    <t xml:space="preserve">618 - Divers </t>
  </si>
  <si>
    <t xml:space="preserve">Département </t>
  </si>
  <si>
    <t>62 - Autres services extérieurs</t>
  </si>
  <si>
    <t xml:space="preserve">622 - Rémunérations d'intermédiaires </t>
  </si>
  <si>
    <t xml:space="preserve">et honoraires </t>
  </si>
  <si>
    <t xml:space="preserve">623 - Publicité, public., relations publiques </t>
  </si>
  <si>
    <t>EPCI</t>
  </si>
  <si>
    <t>Communes</t>
  </si>
  <si>
    <t>64 - Charges de personnel</t>
  </si>
  <si>
    <t>Autres établissements publics</t>
  </si>
  <si>
    <t>Total des financements publics</t>
  </si>
  <si>
    <t>66- Charges financières</t>
  </si>
  <si>
    <t>Autofinancement</t>
  </si>
  <si>
    <t>Ventes de marchandises</t>
  </si>
  <si>
    <t xml:space="preserve">68 - Dotations </t>
  </si>
  <si>
    <t>aux amortissement et aux provisions</t>
  </si>
  <si>
    <t>Autres fonds propres</t>
  </si>
  <si>
    <t>et aux provisions</t>
  </si>
  <si>
    <t>Contributions en nature</t>
  </si>
  <si>
    <t>Emplois des contributions en nature</t>
  </si>
  <si>
    <t>Valorisation du bénévolat</t>
  </si>
  <si>
    <t>Dons en nature</t>
  </si>
  <si>
    <t>Locaux et métériels</t>
  </si>
  <si>
    <t>Prestations</t>
  </si>
  <si>
    <t xml:space="preserve">Total  dépenses </t>
  </si>
  <si>
    <t>Total  ressources</t>
  </si>
  <si>
    <t xml:space="preserve">613 - Locations </t>
  </si>
  <si>
    <t>63 - impôts et taxes</t>
  </si>
  <si>
    <t>631 - Taxes</t>
  </si>
  <si>
    <t>635- Impôts et taxes</t>
  </si>
  <si>
    <t>Département CG Vaucluse</t>
  </si>
  <si>
    <t>621-Personnel extèrieur</t>
  </si>
  <si>
    <t>Benevolat Cellule Gds Evenements</t>
  </si>
  <si>
    <t xml:space="preserve">Opportunités : Soutien aux actions à l'international  </t>
  </si>
  <si>
    <t>SBE Lyon</t>
  </si>
  <si>
    <t>Campagne E mailing</t>
  </si>
  <si>
    <t>IBTM</t>
  </si>
  <si>
    <t>ROADSHOW PCE AVEC FRAIS DE DEPLACEMENT</t>
  </si>
  <si>
    <t>MOBILIER PCE ET AGENCEMENT</t>
  </si>
  <si>
    <t>HEAVENT CANNES déplacement : 2 pax et MB 1 jour</t>
  </si>
  <si>
    <t>Soutien aux actions a l'international</t>
  </si>
  <si>
    <t xml:space="preserve">Total </t>
  </si>
  <si>
    <t xml:space="preserve">Reunions de travail Elus </t>
  </si>
  <si>
    <t>Autres rdv de travail</t>
  </si>
  <si>
    <t>GAYMARD</t>
  </si>
  <si>
    <t>Vincent</t>
  </si>
  <si>
    <t>LAVERGNE</t>
  </si>
  <si>
    <t>Fabrice</t>
  </si>
  <si>
    <t>TISSOT</t>
  </si>
  <si>
    <t>Maxime</t>
  </si>
  <si>
    <t>D frais complémentaires</t>
  </si>
  <si>
    <t>Demarchages europe</t>
  </si>
  <si>
    <t>ACTION EN NOM PROPRE: Workshop Brake the ice</t>
  </si>
  <si>
    <t>Depenses Prévs 2018</t>
  </si>
  <si>
    <t>OPERATION PARIS DECEMBRE</t>
  </si>
  <si>
    <t>MP2</t>
  </si>
  <si>
    <t>Eductour Belgique</t>
  </si>
  <si>
    <t>Workshop Lyon</t>
  </si>
  <si>
    <t>Journée d'études PCE "numérique au service du tourisme d'affaires" sur le salon VEM à St Raphael les 15 et 16 fevrier 2018 avec intervenants et Gr Témoin,</t>
  </si>
  <si>
    <t xml:space="preserve">Plan de communication dont PRESSE/ frais invit AG/ carte vœux/ impression plaquette et crea nvx support de com(vidéos, chiffres clés de la filière..) + achats photos + vidéo PCE MICE </t>
  </si>
  <si>
    <t>Operation Paris Été</t>
  </si>
  <si>
    <t>OPERATION PARIS ÉTÉ</t>
  </si>
  <si>
    <t>Application Wacan</t>
  </si>
  <si>
    <t xml:space="preserve">Opportunités : Soutien aux actions à l'international  (Panel Experts auto, FamTrip d'Ikebana et un autre projet à identifier) </t>
  </si>
  <si>
    <t>LOCATION SUR BIENS IMMOBILIERS - Actinet</t>
  </si>
  <si>
    <t>FOURMI VOLANTE</t>
  </si>
  <si>
    <t>PUBLICITE RELATIONS PUBLIQUES ( key 2 business - compoceans-sarbacane -carte de vœux - invit AG)</t>
  </si>
  <si>
    <t>Eductour Belgique déplacement 1 pers + Frais restauration clients et hébergement clients</t>
  </si>
  <si>
    <t>EDUCTOUR Belgique</t>
  </si>
  <si>
    <t>Workshop Allemagne déplacement 1 pers + restauration clients</t>
  </si>
  <si>
    <t>WORKSHOP PCE ÉTÉ PARIS déplacement 3 pax PCE + PLR</t>
  </si>
  <si>
    <t xml:space="preserve">Deplacement Workshop Lyon (2 pax) </t>
  </si>
  <si>
    <t>DEPLACEMENT PLR (total gr inclus)</t>
  </si>
  <si>
    <t>RAF - Recrutement</t>
  </si>
  <si>
    <t>LAETITIA MORI</t>
  </si>
  <si>
    <t>Formation initiale et continue</t>
  </si>
  <si>
    <t>Réunion Région</t>
  </si>
  <si>
    <t>Stratégie de Promotion</t>
  </si>
  <si>
    <t>Chaire sur la sécurite</t>
  </si>
  <si>
    <t>Grand Prix Formule 1</t>
  </si>
  <si>
    <t>BODIN</t>
  </si>
  <si>
    <t xml:space="preserve">Nicolas </t>
  </si>
  <si>
    <t>CHOVELON</t>
  </si>
  <si>
    <t>Loic</t>
  </si>
  <si>
    <t>Membre fondateur</t>
  </si>
  <si>
    <t>SANCHIS</t>
  </si>
  <si>
    <t xml:space="preserve">Richard </t>
  </si>
  <si>
    <t xml:space="preserve">Membre bureau </t>
  </si>
  <si>
    <t>MEZZIANI</t>
  </si>
  <si>
    <t xml:space="preserve">Zohra </t>
  </si>
  <si>
    <t xml:space="preserve">Administrateur </t>
  </si>
  <si>
    <t>VALLAURI</t>
  </si>
  <si>
    <t xml:space="preserve">Franck </t>
  </si>
  <si>
    <t>CHERRIER COUETTE</t>
  </si>
  <si>
    <t xml:space="preserve">Marie Christine </t>
  </si>
  <si>
    <t>BŒUF</t>
  </si>
  <si>
    <t xml:space="preserve">Jean Pierre </t>
  </si>
  <si>
    <t xml:space="preserve">COURRIER </t>
  </si>
  <si>
    <t xml:space="preserve">Hubert </t>
  </si>
  <si>
    <t>ROUSTA GIROUD</t>
  </si>
  <si>
    <t>Maryam</t>
  </si>
  <si>
    <t>CIPPOLINI</t>
  </si>
  <si>
    <t xml:space="preserve">Denis </t>
  </si>
  <si>
    <t xml:space="preserve">CHEVILLON </t>
  </si>
  <si>
    <t xml:space="preserve">Michel </t>
  </si>
  <si>
    <t xml:space="preserve">Soutien Escaet : Licence Bac + 3 pour septembre 2018 </t>
  </si>
  <si>
    <t xml:space="preserve">Chaire sur la sécurité : projet avec Ecoles avec participation financière de PCE </t>
  </si>
  <si>
    <t>CADEAU CLIENTELE DEMARCHAGES</t>
  </si>
  <si>
    <t>FRAIS DE DEMENAGEMENT</t>
  </si>
  <si>
    <t>CADEAUX CLIENTELE SALONS</t>
  </si>
  <si>
    <t xml:space="preserve">FRAIS D'ACTES ET CONTENTIEUX </t>
  </si>
  <si>
    <t>FRAIS D'HONORAIRES AGENCE (Déménagement)</t>
  </si>
  <si>
    <t xml:space="preserve">SALON MP2 - deplacement PLR </t>
  </si>
  <si>
    <t xml:space="preserve">Workshop UK déplacement 1 pers  </t>
  </si>
  <si>
    <r>
      <rPr>
        <b/>
        <sz val="11"/>
        <rFont val="Calibri"/>
        <family val="2"/>
        <scheme val="minor"/>
      </rPr>
      <t xml:space="preserve">Workshop </t>
    </r>
    <r>
      <rPr>
        <sz val="11"/>
        <rFont val="Calibri"/>
        <family val="2"/>
        <scheme val="minor"/>
      </rPr>
      <t>REUNIR Déplacement personne TOULOUSE</t>
    </r>
  </si>
  <si>
    <t>DEPLACEMENT laurie ACTION EN NOM PROPRE BRAKE THE ICE</t>
  </si>
  <si>
    <t>FOURNITURES ENTRETIEN DIVERS</t>
  </si>
  <si>
    <t>INVESTISSEMENT INFORMATIQUE</t>
  </si>
  <si>
    <t>SALON MICE PLACE FEV: MEET AND COM</t>
  </si>
  <si>
    <t>IMEX ATOUT France</t>
  </si>
  <si>
    <t xml:space="preserve">HEAVENT CANNES </t>
  </si>
  <si>
    <t>WORKSHOP Allemagne</t>
  </si>
  <si>
    <t>SALON SBE LYON</t>
  </si>
  <si>
    <t>SALON IBTM</t>
  </si>
  <si>
    <t>TROIS DEMARCHAGES EUROPE(ALLG)</t>
  </si>
  <si>
    <t>WORKSHOP REUNIR TOULOUSE</t>
  </si>
  <si>
    <t>DEMARCHAGE UK</t>
  </si>
  <si>
    <t>WORKSHOP LYON</t>
  </si>
  <si>
    <t>FRAIS D'ASSEMBLEE GENERALE PCE</t>
  </si>
  <si>
    <t>APPLICATION WACAN</t>
  </si>
  <si>
    <t>EDUCTOUR 1&amp;2</t>
  </si>
  <si>
    <t>ALLIANZ DIRIGEANT</t>
  </si>
  <si>
    <t>ALLIANZ MULTIRISQUES ASSO</t>
  </si>
  <si>
    <t>CREDIT BAIL INFORMATIQUE</t>
  </si>
  <si>
    <t>LOCATION ANF</t>
  </si>
  <si>
    <t>TRADUCTIONS SUPPORTS DE COM</t>
  </si>
  <si>
    <t>FRAIS DE COLLOQUES ET SEMINAIRES</t>
  </si>
  <si>
    <t>CADEAUX CLIENTELE EDUCTOURS</t>
  </si>
  <si>
    <t>PERSONNELS EXTERIEURS (Marc PAUL)</t>
  </si>
  <si>
    <t>HONORAIRES DIVERS RAPIN</t>
  </si>
  <si>
    <t>MICE PLACE DEP PLR</t>
  </si>
  <si>
    <t>EDUCTOUR 1 TRAIN ET HOTELS CLIENTS</t>
  </si>
  <si>
    <t>EDUCTOUR 2 TGV ET HOTELS CLIENTS</t>
  </si>
  <si>
    <t>SALON IMEX DEPLACEMENT 1 pers</t>
  </si>
  <si>
    <t>SALON IBTM DEPLACEMENT 1 pers</t>
  </si>
  <si>
    <t>SALON SBE LYON DEP 1 pers</t>
  </si>
  <si>
    <t>WORKSHOP PARIS DECEMBE DEP 4 pers + PLR</t>
  </si>
  <si>
    <t>DEPL TS LES 15j à Marseille Anne Hobon</t>
  </si>
  <si>
    <t>DEPLACEMENT MB HORS SALONS</t>
  </si>
  <si>
    <t>DEPLACEMENT PCE VISITE ADHERENTS</t>
  </si>
  <si>
    <t>DEPLACEMENT EQUIPE (RT et CA)</t>
  </si>
  <si>
    <t>FRAIS CAFE &amp; DEP FORMATION PRO ADHERENTS</t>
  </si>
  <si>
    <t>FSCEF/UNIMEV DEP</t>
  </si>
  <si>
    <t>DEP MISSION ECO AVEC REGION</t>
  </si>
  <si>
    <t>FRAIS VEHICULES ESSENCE</t>
  </si>
  <si>
    <t>FRAIS KILOMETRIQUES</t>
  </si>
  <si>
    <t>FRAIS DE DEP CELLULE GDS EVENEMENTS</t>
  </si>
  <si>
    <t>AFFRANCHISSEMENT</t>
  </si>
  <si>
    <t>ADHESION ICCA</t>
  </si>
  <si>
    <t>ADHESION ATOUT France</t>
  </si>
  <si>
    <t>ADHESION UNIMEV</t>
  </si>
  <si>
    <t>ADHESION AHTOP + CRT PACA</t>
  </si>
  <si>
    <t>TAXE SUR SALAIRES (CDD)</t>
  </si>
  <si>
    <t>SALAIRES</t>
  </si>
  <si>
    <t>SALAIRES CELLULE GRANDS EVENEMENTS</t>
  </si>
  <si>
    <t>TICKETS RESTAURANTS</t>
  </si>
  <si>
    <t>INTERETS BANQUE</t>
  </si>
  <si>
    <t>IMPOTS FONCIERS</t>
  </si>
  <si>
    <t>BENEVOLAT CELLULE GRANDS EVENEMENTS</t>
  </si>
  <si>
    <t xml:space="preserve">BENEVOLAT </t>
  </si>
  <si>
    <t>BUDGET 2018</t>
  </si>
  <si>
    <t>Recettes Prev 2018</t>
  </si>
  <si>
    <t xml:space="preserve">Workshop Allemagne </t>
  </si>
  <si>
    <t>Demarchage Europe</t>
  </si>
  <si>
    <t>Workshop UK (ex BOG)</t>
  </si>
  <si>
    <t>CG du Vaucluse</t>
  </si>
  <si>
    <t>WORKSHOP GRANDE BRETAGNE</t>
  </si>
  <si>
    <t>WORKSHOP UK</t>
  </si>
  <si>
    <t>WORKSHOP ALLG</t>
  </si>
  <si>
    <t>627-Frais Bancaires</t>
  </si>
  <si>
    <t>Budget prévisionnel Gouvernance  2018
 PROVENCE COTE D'AZUR EVENTS</t>
  </si>
  <si>
    <t>ben</t>
  </si>
  <si>
    <t>Budget prévisionnel Ecosystème  2018
 PROVENCE COTE D'AZUR EVENTS</t>
  </si>
  <si>
    <t>Budget prévisionnel Mice Place  2018
PROVENCE COTE D'AZUR EVENTS</t>
  </si>
  <si>
    <t>Budget prévisionnel Workshop Allemagne 2018
  PROVENCE COTE D'AZUR EVENTS</t>
  </si>
  <si>
    <t>Budget prévisionnel Imex 2018
  PROVENCE COTE D'AZUR EVENTS</t>
  </si>
  <si>
    <t>Budget prévisionnel Heavent Meetings 2018
 PROVENCE COTE D'AZUR EVENTS</t>
  </si>
  <si>
    <t>Budget prévisionnel SBE Lyon 2018
 PROVENCE COTE D'AZUR EVENTS</t>
  </si>
  <si>
    <t>Budget prévisionnel Actions 1er semestre 2018
 PROVENCE COTE D'AZUR EVENTS</t>
  </si>
  <si>
    <t>Budget prévisionnel Opération Paris été 2018
 PROVENCE COTE D'AZUR EVENTS</t>
  </si>
  <si>
    <t>Budget prévisionnel Workshop Lyon 2018
 PROVENCE COTE D'AZUR EVENTS</t>
  </si>
  <si>
    <t>Budget prévisionnel soutien au développement à l'international 2018
 PROVENCE COTE D'AZUR EVENTS</t>
  </si>
  <si>
    <t>Budget prévisionnel IBTM 2018
  PROVENCE COTE D'AZUR EVENTS</t>
  </si>
  <si>
    <t>Budget prévisionnel EDUCTOUR BELGE 2018
  PROVENCE COTE D'AZUR EVENTS</t>
  </si>
  <si>
    <t>Budget prévisionnel Salon MP2 - 2018
  PROVENCE COTE D'AZUR EVENTS</t>
  </si>
  <si>
    <t>Budget prévisionnel Démarchages Europe 2018
 PROVENCE COTE D'AZUR EVENTS</t>
  </si>
  <si>
    <t>Budget prévisionnel Application Wacan 2018
PROVENCE COTE D'AZUR EVENTS</t>
  </si>
  <si>
    <t>Budget prévisionnel Global  2018
 PROVENCE COTE D'AZUR EVENTS</t>
  </si>
  <si>
    <t>Budget prévisionnel 2018 Eductours 1 et 2
  PROVENCE COTE D'AZUR EVENTS</t>
  </si>
  <si>
    <t>Budget prévisionnel Workshop UK 2018
 PROVENCE COTE D'AZUR EVENTS</t>
  </si>
  <si>
    <t>Budget prévisionnel Operation Paris Décembre Paris 2018
PROVENCE COTE D'AZUR EVENTS</t>
  </si>
  <si>
    <t>Budget prévisionnel Seconde semestre 2018
 PROVENCE COTE D'AZUR EVENTS</t>
  </si>
  <si>
    <t>Budget prévisionnel D 2018
 PROVENCE COTE D'AZUR EVENTS</t>
  </si>
  <si>
    <t xml:space="preserve">Stagiaire </t>
  </si>
  <si>
    <t>POSTE SENIOR</t>
  </si>
  <si>
    <t>Cellule Grands Evenements</t>
  </si>
  <si>
    <t>EDF CELLULE GDS EVENEMENTS</t>
  </si>
  <si>
    <t>MOBILIER CELLULE GDS EVENEMENTS ET AGENCEMENT</t>
  </si>
  <si>
    <t>Cellule Gds Evenements</t>
  </si>
  <si>
    <t>FOURNITURES ENTRETIEN DIVERS CELLULE GDS EVENEMENTS</t>
  </si>
  <si>
    <t>INVESTISSEMENT INFORMATIQUE CELLULE GDS EVENEMENTS</t>
  </si>
  <si>
    <t>FOURNITURES ADMINISTRATIVES CELLULE GSD EVENEMENTS</t>
  </si>
  <si>
    <t>DEMARCHAGE 1 DECIDEURS GDS EVENEMENTS</t>
  </si>
  <si>
    <t>SALON SPECIALISE DECIDEURS GDS EVENEMENTS 1</t>
  </si>
  <si>
    <t>SALON SPECIALISE DECIDEURS GDS EVENEMENTS 2</t>
  </si>
  <si>
    <t>DEMARCHAGE 2 DECIDEURS GDS EVENEMENTS</t>
  </si>
  <si>
    <t>ACCUEIL DELEGATION DECIDEURS</t>
  </si>
  <si>
    <t>EDUCTOURS DECIDEURS GDS EVENEMENTS</t>
  </si>
  <si>
    <t>ACTIONS DE PROMOTION A IDENTIFIER</t>
  </si>
  <si>
    <t>ETUDES &amp; OBSERVATIONS</t>
  </si>
  <si>
    <t>FORMATION CALCULATEUR UNIMEV</t>
  </si>
  <si>
    <t>PLAN DE COMMUNICATION PORTAIL GDS EVENEMENTS RELATION PRESSE VALO WELCOME PACK</t>
  </si>
  <si>
    <t>REUNION PARTENAIRES DE LA CELLULE</t>
  </si>
  <si>
    <t>LOCATION ANF CELLULE</t>
  </si>
  <si>
    <t xml:space="preserve">LOCATION SUR BIENS IMMOBILIERS CELLULE GDS EVENEMENTS - Actinet </t>
  </si>
  <si>
    <t>MAINTENANCE UBIQUS CELLULE GDS EVENEMENTS</t>
  </si>
  <si>
    <t>MAINTENANCE TECHNISOFT CELLULE GDS EVENEMENTS</t>
  </si>
  <si>
    <t>AXA RC CELLULE GDS EVENEMENTS</t>
  </si>
  <si>
    <t>TRADUCTIONS SUPPORTS DE COM CELLULE GDS EVENEMENTS</t>
  </si>
  <si>
    <t>FRAIS DE COLLOQUES ET SEMINAIRES CELLULE GDS EVENEMENTS DONT UNIMEV ET ICCA</t>
  </si>
  <si>
    <t>HONORAIRES DIVERS RAPIN CELLULE GDS EVENEMENTS</t>
  </si>
  <si>
    <t>FRAIS D'HONORAIRES AGENCE (Déménagement) CELLULE GDS EVENEMENTS</t>
  </si>
  <si>
    <t>EXPERT COMPTABLE CELLULE GDS EVENEMENTS</t>
  </si>
  <si>
    <t xml:space="preserve">HONORAIRES CAC HOUENOUSSI </t>
  </si>
  <si>
    <t>HONORAIRES CAC HOUENOUSSI CELLULE GDS EVENEMENTS</t>
  </si>
  <si>
    <t>FRAIS D'ACTES ET CONTENTIEUX  CELLULE GDS EVENEMENTS</t>
  </si>
  <si>
    <t>CADEAU CLIENTELE DEMARCHAGES CELLULE GDS EVENEMENTS</t>
  </si>
  <si>
    <t>CADEAUX CLIENTELE EDUCTOURS CELLULE GDS EVENEMENTS</t>
  </si>
  <si>
    <t>SALON SPECIALISE 1  CELLULE Dep 1 pax</t>
  </si>
  <si>
    <t>SALON SPECIALISE 2  CELLULE Dep 1 pax</t>
  </si>
  <si>
    <t>EDUCTOUR 1 CELLULE GDS EV  BILLETS AVION ET HOTEL</t>
  </si>
  <si>
    <t>FRAIS DE  DEMARCHAGE 1 pour 1 pax CELLULE GDS EV</t>
  </si>
  <si>
    <t>FRAIS DE  DEMARCHAGE 2 pour 1 pax CELLULE GDS EV</t>
  </si>
  <si>
    <t>DEP CELLULE GDS EV PROFIL SENIOR POUR CONVENTION AEROPORT</t>
  </si>
  <si>
    <t>DEP CELLULE GDS EV PROFIL CHARGE DE MISSION POUR SUIVI DOSSIERS</t>
  </si>
  <si>
    <t>DEPLACEMENT CELLULE RDV DES PARTENAIRES</t>
  </si>
  <si>
    <t>DEPLACEMENT CELLULE PRESIDENT</t>
  </si>
  <si>
    <t>DEPLACEMENT CELLULE EQUIPE (REUNIONS GOUV)</t>
  </si>
  <si>
    <t>FRAIS KLM CELLULE</t>
  </si>
  <si>
    <t>RECEPTION (RESTAURATION HORS SALONS)</t>
  </si>
  <si>
    <t>AFFRANCHISSEMENT CELLULE GDS EVENEMENTS</t>
  </si>
  <si>
    <t>TELEPHONE CELLULE GDS EVENEMENTS</t>
  </si>
  <si>
    <t>ADHESION ICCA CELLULE GDS EVENEMENTS</t>
  </si>
  <si>
    <t>ADHESION ATOUT France CELLULE GDS EVENEMENTS</t>
  </si>
  <si>
    <t>ADHESION RESEAUX INTERNATIONAUX CELLULE GDS EVENEMENTS</t>
  </si>
  <si>
    <t>TAXE SUR SALAIRES (CDD) CELLULE GDS</t>
  </si>
  <si>
    <t>TAXE D'APPRENTISSAGE CELLULE GDS</t>
  </si>
  <si>
    <t>FORMATION PRO CELLULE</t>
  </si>
  <si>
    <t>MEDECINE DU TRAVAIL CELLULE GDS</t>
  </si>
  <si>
    <t xml:space="preserve">COTISATION CELLULE  Financement METROPOLES </t>
  </si>
  <si>
    <t xml:space="preserve">COTISATION CELLULE Financement VILLES hors Metropoles </t>
  </si>
  <si>
    <t>COTISATION CELLULE 2 CRT</t>
  </si>
  <si>
    <t xml:space="preserve">COTISATION CELLULE Financement CCIR et CCI 06 ET CCI 13 </t>
  </si>
  <si>
    <t>PRESTATION CELLULE Salon 1 avec partenaires</t>
  </si>
  <si>
    <t>PRESTATION CELLULE Salon 2 avec partenaires</t>
  </si>
  <si>
    <t>PRESTATION CELLULE Démarchage 1</t>
  </si>
  <si>
    <t>PRESTATION CELLULE Démarchage 2</t>
  </si>
  <si>
    <t xml:space="preserve">PRESTATION CELLULE Eductours </t>
  </si>
  <si>
    <t xml:space="preserve">COTISATION CELLULE Financement Aéroports </t>
  </si>
  <si>
    <t>Prestations CELLULE lobbying et prospection</t>
  </si>
  <si>
    <t>COTISATION CELLULE Financement sponsors privés</t>
  </si>
  <si>
    <t>FINANCEMENT PCE CELLULE</t>
  </si>
  <si>
    <t>SUBVENTION REGION CELLULE</t>
  </si>
  <si>
    <t>Budget prévisionnel Cellule Grands Evènements 2018
PROVENCE COTE D'AZUR EVENTS</t>
  </si>
  <si>
    <t>Total BP 2018</t>
  </si>
  <si>
    <t>Marseille le 31/07/2017</t>
  </si>
  <si>
    <t>Pierre Louis ROUCARIES Président</t>
  </si>
  <si>
    <t>Metropoles</t>
  </si>
  <si>
    <t>Cotisations cellule</t>
  </si>
  <si>
    <t>sub metropoles</t>
  </si>
  <si>
    <t>presta cellule</t>
  </si>
  <si>
    <t>POSTE COMMERCIAL</t>
  </si>
  <si>
    <t>Heavent</t>
  </si>
  <si>
    <t>Imex</t>
  </si>
  <si>
    <t>Mice Place</t>
  </si>
  <si>
    <t>623 - Cadeaux clients</t>
  </si>
  <si>
    <t>CHARGES FIXES                                       HT</t>
  </si>
  <si>
    <t>CHARGES VARIABLES                        HT</t>
  </si>
  <si>
    <t>DEPENSES REELLES</t>
  </si>
  <si>
    <t>PU / HT</t>
  </si>
  <si>
    <t>Qt</t>
  </si>
  <si>
    <t>Total HT</t>
  </si>
  <si>
    <t>Liste des opérations</t>
  </si>
  <si>
    <t>SBE LYON</t>
  </si>
  <si>
    <t>MACRO</t>
  </si>
  <si>
    <t>Workshop Allemagne</t>
  </si>
  <si>
    <t>Eductour 1 et 2</t>
  </si>
  <si>
    <t>Workshop UK</t>
  </si>
  <si>
    <t>Opération Paris été</t>
  </si>
  <si>
    <t>Opération Paris C12</t>
  </si>
  <si>
    <t>Soutien au dvp international</t>
  </si>
  <si>
    <t>Eductour Belge</t>
  </si>
  <si>
    <t>Application WACAN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</si>
</sst>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1" formatCode="_-* #,##0\ _€_-;\-* #,##0\ _€_-;_-* &quot;-&quot;\ _€_-;_-@_-"/>
    <numFmt numFmtId="44" formatCode="_-* #,##0.00\ &quot;€&quot;_-;\-* #,##0.00\ &quot;€&quot;_-;_-* &quot;-&quot;??\ &quot;€&quot;_-;_-@_-"/>
    <numFmt numFmtId="164" formatCode="0.0%"/>
    <numFmt numFmtId="165" formatCode="#,##0.00\ &quot;€&quot;"/>
  </numFmts>
  <fonts count="3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5"/>
      <color rgb="FFFF000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1"/>
      <color theme="0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sz val="10"/>
      <name val="Arial"/>
      <family val="2"/>
    </font>
    <font>
      <b/>
      <sz val="7"/>
      <name val="Arial"/>
      <family val="2"/>
    </font>
    <font>
      <sz val="11"/>
      <color theme="1"/>
      <name val="Calibri Light"/>
      <family val="2"/>
      <scheme val="major"/>
    </font>
    <font>
      <sz val="11"/>
      <name val="Calibri Light"/>
      <family val="2"/>
      <scheme val="major"/>
    </font>
    <font>
      <sz val="11"/>
      <color indexed="8"/>
      <name val="Calibri Light"/>
      <family val="2"/>
      <scheme val="major"/>
    </font>
    <font>
      <b/>
      <sz val="11"/>
      <color theme="1"/>
      <name val="Calibri Light"/>
      <family val="2"/>
      <scheme val="major"/>
    </font>
    <font>
      <b/>
      <sz val="12"/>
      <color theme="0"/>
      <name val="Calibri"/>
      <family val="2"/>
      <scheme val="minor"/>
    </font>
    <font>
      <sz val="10"/>
      <name val="Arial"/>
      <family val="2"/>
    </font>
    <font>
      <i/>
      <sz val="10"/>
      <color rgb="FFFF0000"/>
      <name val="Calibri Light"/>
      <family val="2"/>
      <scheme val="major"/>
    </font>
    <font>
      <i/>
      <sz val="10"/>
      <color theme="1"/>
      <name val="Calibri Light"/>
      <family val="2"/>
      <scheme val="major"/>
    </font>
    <font>
      <b/>
      <sz val="12"/>
      <name val="Arial"/>
      <family val="2"/>
    </font>
    <font>
      <b/>
      <sz val="12"/>
      <name val="Times New Roman"/>
      <family val="1"/>
    </font>
    <font>
      <b/>
      <sz val="11"/>
      <name val="Arial"/>
      <family val="2"/>
    </font>
    <font>
      <sz val="11"/>
      <name val="Arial"/>
      <family val="2"/>
    </font>
    <font>
      <b/>
      <i/>
      <sz val="11"/>
      <name val="Arial"/>
      <family val="2"/>
    </font>
    <font>
      <i/>
      <sz val="11"/>
      <name val="Arial"/>
      <family val="2"/>
    </font>
    <font>
      <b/>
      <sz val="11"/>
      <color indexed="8"/>
      <name val="Arial"/>
      <family val="2"/>
    </font>
    <font>
      <sz val="11"/>
      <color indexed="8"/>
      <name val="Arial"/>
      <family val="2"/>
    </font>
    <font>
      <sz val="12"/>
      <name val="Times New Roman"/>
      <family val="1"/>
    </font>
    <font>
      <b/>
      <sz val="18"/>
      <color theme="3"/>
      <name val="Calibri Light"/>
      <family val="2"/>
      <scheme val="major"/>
    </font>
    <font>
      <b/>
      <sz val="13"/>
      <color theme="3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8"/>
      <color rgb="FF0070C0"/>
      <name val="Calibri Light"/>
      <family val="2"/>
      <scheme val="major"/>
    </font>
  </fonts>
  <fills count="2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2"/>
        <bgColor indexed="64"/>
      </patternFill>
    </fill>
  </fills>
  <borders count="6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ck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9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4" fontId="22" fillId="0" borderId="0" applyFont="0" applyFill="0" applyBorder="0" applyAlignment="0" applyProtection="0"/>
    <xf numFmtId="0" fontId="34" fillId="0" borderId="0" applyNumberFormat="0" applyFill="0" applyBorder="0" applyAlignment="0" applyProtection="0"/>
    <xf numFmtId="0" fontId="35" fillId="0" borderId="56" applyNumberFormat="0" applyFill="0" applyAlignment="0" applyProtection="0"/>
    <xf numFmtId="0" fontId="36" fillId="22" borderId="57" applyNumberFormat="0" applyAlignment="0" applyProtection="0"/>
    <xf numFmtId="0" fontId="13" fillId="23" borderId="58" applyNumberFormat="0" applyAlignment="0" applyProtection="0"/>
    <xf numFmtId="0" fontId="1" fillId="24" borderId="59" applyNumberFormat="0" applyFont="0" applyAlignment="0" applyProtection="0"/>
  </cellStyleXfs>
  <cellXfs count="370">
    <xf numFmtId="0" fontId="0" fillId="0" borderId="0" xfId="0"/>
    <xf numFmtId="0" fontId="0" fillId="0" borderId="0" xfId="0" applyFill="1"/>
    <xf numFmtId="0" fontId="5" fillId="0" borderId="1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0" fillId="0" borderId="2" xfId="0" applyBorder="1"/>
    <xf numFmtId="0" fontId="6" fillId="0" borderId="4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6" fillId="0" borderId="3" xfId="0" applyFont="1" applyFill="1" applyBorder="1" applyAlignment="1">
      <alignment horizontal="center" wrapText="1"/>
    </xf>
    <xf numFmtId="0" fontId="3" fillId="0" borderId="5" xfId="0" applyFont="1" applyBorder="1" applyAlignment="1">
      <alignment horizontal="left"/>
    </xf>
    <xf numFmtId="0" fontId="0" fillId="0" borderId="5" xfId="0" applyBorder="1"/>
    <xf numFmtId="4" fontId="0" fillId="0" borderId="5" xfId="0" applyNumberFormat="1" applyBorder="1"/>
    <xf numFmtId="0" fontId="0" fillId="0" borderId="5" xfId="0" applyBorder="1" applyAlignment="1">
      <alignment horizontal="left"/>
    </xf>
    <xf numFmtId="0" fontId="0" fillId="0" borderId="5" xfId="0" applyBorder="1" applyAlignment="1">
      <alignment wrapText="1"/>
    </xf>
    <xf numFmtId="44" fontId="4" fillId="0" borderId="5" xfId="1" applyFont="1" applyFill="1" applyBorder="1"/>
    <xf numFmtId="0" fontId="4" fillId="0" borderId="5" xfId="0" applyFont="1" applyBorder="1"/>
    <xf numFmtId="4" fontId="0" fillId="0" borderId="0" xfId="0" applyNumberFormat="1" applyFill="1" applyBorder="1"/>
    <xf numFmtId="0" fontId="0" fillId="0" borderId="5" xfId="0" applyBorder="1" applyAlignment="1">
      <alignment horizontal="left" vertical="center"/>
    </xf>
    <xf numFmtId="0" fontId="0" fillId="0" borderId="5" xfId="0" applyBorder="1" applyAlignment="1">
      <alignment vertical="center" wrapText="1"/>
    </xf>
    <xf numFmtId="0" fontId="0" fillId="0" borderId="5" xfId="0" applyBorder="1" applyAlignment="1">
      <alignment vertical="center"/>
    </xf>
    <xf numFmtId="0" fontId="0" fillId="0" borderId="5" xfId="0" applyFill="1" applyBorder="1"/>
    <xf numFmtId="0" fontId="5" fillId="0" borderId="0" xfId="0" applyFont="1"/>
    <xf numFmtId="0" fontId="0" fillId="0" borderId="5" xfId="0" applyFill="1" applyBorder="1" applyAlignment="1">
      <alignment wrapText="1"/>
    </xf>
    <xf numFmtId="0" fontId="0" fillId="0" borderId="5" xfId="0" applyFill="1" applyBorder="1" applyAlignment="1">
      <alignment vertical="center" wrapText="1"/>
    </xf>
    <xf numFmtId="4" fontId="0" fillId="0" borderId="0" xfId="0" applyNumberFormat="1"/>
    <xf numFmtId="0" fontId="0" fillId="0" borderId="0" xfId="0" applyBorder="1" applyAlignment="1">
      <alignment horizontal="left"/>
    </xf>
    <xf numFmtId="0" fontId="0" fillId="0" borderId="0" xfId="0" applyBorder="1" applyAlignment="1">
      <alignment vertical="center" wrapText="1"/>
    </xf>
    <xf numFmtId="0" fontId="0" fillId="0" borderId="0" xfId="0" applyBorder="1"/>
    <xf numFmtId="0" fontId="0" fillId="0" borderId="0" xfId="0" applyFill="1" applyBorder="1"/>
    <xf numFmtId="4" fontId="8" fillId="0" borderId="0" xfId="0" applyNumberFormat="1" applyFont="1" applyFill="1" applyAlignment="1">
      <alignment horizontal="left"/>
    </xf>
    <xf numFmtId="0" fontId="0" fillId="0" borderId="7" xfId="0" applyBorder="1"/>
    <xf numFmtId="0" fontId="3" fillId="0" borderId="8" xfId="0" applyFont="1" applyBorder="1"/>
    <xf numFmtId="0" fontId="0" fillId="0" borderId="8" xfId="0" applyBorder="1"/>
    <xf numFmtId="44" fontId="9" fillId="0" borderId="0" xfId="0" applyNumberFormat="1" applyFont="1" applyFill="1"/>
    <xf numFmtId="0" fontId="3" fillId="0" borderId="0" xfId="0" applyFont="1" applyBorder="1"/>
    <xf numFmtId="0" fontId="4" fillId="0" borderId="5" xfId="0" applyFont="1" applyFill="1" applyBorder="1" applyAlignment="1">
      <alignment wrapText="1"/>
    </xf>
    <xf numFmtId="0" fontId="0" fillId="0" borderId="5" xfId="0" applyFill="1" applyBorder="1" applyAlignment="1">
      <alignment vertical="center"/>
    </xf>
    <xf numFmtId="4" fontId="7" fillId="0" borderId="0" xfId="0" applyNumberFormat="1" applyFont="1" applyFill="1" applyBorder="1" applyAlignment="1">
      <alignment horizontal="center" vertical="center" wrapText="1"/>
    </xf>
    <xf numFmtId="0" fontId="2" fillId="0" borderId="0" xfId="0" applyFont="1"/>
    <xf numFmtId="0" fontId="0" fillId="0" borderId="0" xfId="0" applyAlignment="1">
      <alignment vertical="center"/>
    </xf>
    <xf numFmtId="0" fontId="0" fillId="0" borderId="9" xfId="0" applyBorder="1"/>
    <xf numFmtId="0" fontId="0" fillId="0" borderId="10" xfId="0" applyBorder="1"/>
    <xf numFmtId="4" fontId="5" fillId="0" borderId="10" xfId="0" applyNumberFormat="1" applyFont="1" applyBorder="1"/>
    <xf numFmtId="2" fontId="0" fillId="0" borderId="0" xfId="0" applyNumberFormat="1"/>
    <xf numFmtId="4" fontId="0" fillId="0" borderId="0" xfId="0" applyNumberFormat="1" applyFill="1"/>
    <xf numFmtId="0" fontId="13" fillId="3" borderId="0" xfId="0" quotePrefix="1" applyFont="1" applyFill="1" applyBorder="1" applyAlignment="1">
      <alignment horizontal="center" vertical="center" wrapText="1"/>
    </xf>
    <xf numFmtId="0" fontId="13" fillId="3" borderId="0" xfId="0" applyFont="1" applyFill="1" applyBorder="1" applyAlignment="1">
      <alignment horizontal="center" vertical="center" wrapText="1"/>
    </xf>
    <xf numFmtId="0" fontId="13" fillId="3" borderId="3" xfId="0" applyFont="1" applyFill="1" applyBorder="1" applyAlignment="1">
      <alignment horizontal="center" vertical="center" wrapText="1"/>
    </xf>
    <xf numFmtId="0" fontId="13" fillId="3" borderId="1" xfId="0" applyFont="1" applyFill="1" applyBorder="1" applyAlignment="1">
      <alignment horizontal="center" vertical="center" wrapText="1"/>
    </xf>
    <xf numFmtId="0" fontId="13" fillId="3" borderId="2" xfId="0" applyFont="1" applyFill="1" applyBorder="1" applyAlignment="1">
      <alignment horizontal="center" vertical="center" wrapText="1"/>
    </xf>
    <xf numFmtId="0" fontId="13" fillId="3" borderId="4" xfId="0" applyFont="1" applyFill="1" applyBorder="1" applyAlignment="1">
      <alignment horizontal="center" vertical="center" wrapText="1"/>
    </xf>
    <xf numFmtId="0" fontId="0" fillId="4" borderId="0" xfId="0" quotePrefix="1" applyFill="1" applyBorder="1"/>
    <xf numFmtId="0" fontId="0" fillId="0" borderId="12" xfId="0" applyBorder="1"/>
    <xf numFmtId="0" fontId="0" fillId="0" borderId="3" xfId="0" applyBorder="1"/>
    <xf numFmtId="0" fontId="0" fillId="0" borderId="13" xfId="0" applyBorder="1"/>
    <xf numFmtId="9" fontId="0" fillId="0" borderId="0" xfId="0" applyNumberFormat="1" applyBorder="1"/>
    <xf numFmtId="0" fontId="0" fillId="0" borderId="0" xfId="0" quotePrefix="1" applyBorder="1"/>
    <xf numFmtId="3" fontId="0" fillId="0" borderId="0" xfId="0" applyNumberFormat="1" applyBorder="1"/>
    <xf numFmtId="3" fontId="1" fillId="0" borderId="0" xfId="2" applyNumberFormat="1" applyFont="1" applyBorder="1"/>
    <xf numFmtId="3" fontId="0" fillId="5" borderId="0" xfId="0" applyNumberFormat="1" applyFill="1" applyBorder="1"/>
    <xf numFmtId="9" fontId="0" fillId="0" borderId="12" xfId="0" applyNumberFormat="1" applyBorder="1"/>
    <xf numFmtId="9" fontId="0" fillId="0" borderId="13" xfId="0" applyNumberFormat="1" applyFill="1" applyBorder="1"/>
    <xf numFmtId="10" fontId="0" fillId="0" borderId="0" xfId="0" applyNumberFormat="1" applyBorder="1"/>
    <xf numFmtId="9" fontId="0" fillId="0" borderId="13" xfId="0" applyNumberFormat="1" applyBorder="1"/>
    <xf numFmtId="0" fontId="0" fillId="0" borderId="0" xfId="0" quotePrefix="1" applyFill="1" applyBorder="1"/>
    <xf numFmtId="0" fontId="0" fillId="0" borderId="0" xfId="0" quotePrefix="1" applyFill="1" applyBorder="1" applyAlignment="1">
      <alignment wrapText="1"/>
    </xf>
    <xf numFmtId="3" fontId="0" fillId="0" borderId="0" xfId="0" applyNumberFormat="1" applyFill="1" applyBorder="1"/>
    <xf numFmtId="0" fontId="0" fillId="6" borderId="0" xfId="0" quotePrefix="1" applyFill="1" applyBorder="1"/>
    <xf numFmtId="3" fontId="0" fillId="6" borderId="0" xfId="0" quotePrefix="1" applyNumberFormat="1" applyFill="1" applyBorder="1"/>
    <xf numFmtId="4" fontId="0" fillId="6" borderId="0" xfId="0" quotePrefix="1" applyNumberFormat="1" applyFill="1" applyBorder="1"/>
    <xf numFmtId="3" fontId="0" fillId="6" borderId="14" xfId="0" quotePrefix="1" applyNumberFormat="1" applyFill="1" applyBorder="1"/>
    <xf numFmtId="3" fontId="0" fillId="6" borderId="10" xfId="0" quotePrefix="1" applyNumberFormat="1" applyFill="1" applyBorder="1"/>
    <xf numFmtId="3" fontId="0" fillId="6" borderId="11" xfId="0" quotePrefix="1" applyNumberFormat="1" applyFill="1" applyBorder="1"/>
    <xf numFmtId="3" fontId="0" fillId="0" borderId="0" xfId="0" quotePrefix="1" applyNumberFormat="1" applyBorder="1"/>
    <xf numFmtId="3" fontId="3" fillId="0" borderId="0" xfId="0" quotePrefix="1" applyNumberFormat="1" applyFont="1" applyBorder="1"/>
    <xf numFmtId="9" fontId="1" fillId="7" borderId="5" xfId="2" quotePrefix="1" applyFont="1" applyFill="1" applyBorder="1"/>
    <xf numFmtId="9" fontId="1" fillId="2" borderId="5" xfId="2" quotePrefix="1" applyFont="1" applyFill="1" applyBorder="1"/>
    <xf numFmtId="9" fontId="1" fillId="2" borderId="0" xfId="2" quotePrefix="1" applyFont="1" applyFill="1" applyBorder="1"/>
    <xf numFmtId="2" fontId="1" fillId="2" borderId="5" xfId="2" quotePrefix="1" applyNumberFormat="1" applyFont="1" applyFill="1" applyBorder="1"/>
    <xf numFmtId="0" fontId="14" fillId="0" borderId="0" xfId="0" applyFont="1" applyBorder="1"/>
    <xf numFmtId="3" fontId="14" fillId="0" borderId="0" xfId="0" applyNumberFormat="1" applyFont="1" applyBorder="1"/>
    <xf numFmtId="9" fontId="1" fillId="0" borderId="0" xfId="2" applyNumberFormat="1" applyFont="1" applyBorder="1"/>
    <xf numFmtId="0" fontId="0" fillId="2" borderId="5" xfId="0" applyFill="1" applyBorder="1" applyAlignment="1">
      <alignment wrapText="1"/>
    </xf>
    <xf numFmtId="0" fontId="0" fillId="2" borderId="5" xfId="0" applyFill="1" applyBorder="1"/>
    <xf numFmtId="44" fontId="10" fillId="0" borderId="10" xfId="1" applyFont="1" applyFill="1" applyBorder="1" applyAlignment="1"/>
    <xf numFmtId="0" fontId="5" fillId="0" borderId="5" xfId="0" applyFont="1" applyBorder="1" applyAlignment="1">
      <alignment horizontal="center"/>
    </xf>
    <xf numFmtId="0" fontId="6" fillId="0" borderId="5" xfId="0" applyFont="1" applyFill="1" applyBorder="1" applyAlignment="1">
      <alignment horizontal="center" vertical="center" wrapText="1"/>
    </xf>
    <xf numFmtId="0" fontId="0" fillId="0" borderId="16" xfId="0" applyBorder="1" applyAlignment="1">
      <alignment wrapText="1"/>
    </xf>
    <xf numFmtId="41" fontId="15" fillId="0" borderId="5" xfId="0" applyNumberFormat="1" applyFont="1" applyFill="1" applyBorder="1" applyAlignment="1">
      <alignment horizontal="center" vertical="center"/>
    </xf>
    <xf numFmtId="41" fontId="15" fillId="0" borderId="5" xfId="0" applyNumberFormat="1" applyFont="1" applyFill="1" applyBorder="1" applyAlignment="1">
      <alignment horizontal="center" vertical="center" wrapText="1"/>
    </xf>
    <xf numFmtId="41" fontId="16" fillId="0" borderId="5" xfId="0" applyNumberFormat="1" applyFont="1" applyFill="1" applyBorder="1" applyAlignment="1">
      <alignment horizontal="center" vertical="center" wrapText="1"/>
    </xf>
    <xf numFmtId="0" fontId="5" fillId="2" borderId="5" xfId="0" applyFont="1" applyFill="1" applyBorder="1" applyAlignment="1">
      <alignment horizontal="center"/>
    </xf>
    <xf numFmtId="9" fontId="0" fillId="2" borderId="5" xfId="0" applyNumberFormat="1" applyFill="1" applyBorder="1"/>
    <xf numFmtId="44" fontId="0" fillId="0" borderId="5" xfId="0" applyNumberFormat="1" applyBorder="1"/>
    <xf numFmtId="44" fontId="0" fillId="0" borderId="0" xfId="0" applyNumberFormat="1"/>
    <xf numFmtId="0" fontId="3" fillId="0" borderId="5" xfId="0" applyFont="1" applyBorder="1"/>
    <xf numFmtId="44" fontId="3" fillId="0" borderId="5" xfId="0" applyNumberFormat="1" applyFont="1" applyBorder="1"/>
    <xf numFmtId="44" fontId="0" fillId="0" borderId="5" xfId="0" applyNumberFormat="1" applyFill="1" applyBorder="1"/>
    <xf numFmtId="44" fontId="0" fillId="2" borderId="0" xfId="0" applyNumberFormat="1" applyFill="1"/>
    <xf numFmtId="9" fontId="17" fillId="0" borderId="0" xfId="2" applyFont="1"/>
    <xf numFmtId="0" fontId="13" fillId="9" borderId="3" xfId="0" applyFont="1" applyFill="1" applyBorder="1" applyAlignment="1">
      <alignment horizontal="center" wrapText="1"/>
    </xf>
    <xf numFmtId="0" fontId="13" fillId="11" borderId="3" xfId="0" applyFont="1" applyFill="1" applyBorder="1" applyAlignment="1">
      <alignment horizontal="center" wrapText="1"/>
    </xf>
    <xf numFmtId="0" fontId="3" fillId="12" borderId="18" xfId="0" applyFont="1" applyFill="1" applyBorder="1" applyAlignment="1">
      <alignment horizontal="center"/>
    </xf>
    <xf numFmtId="0" fontId="3" fillId="12" borderId="19" xfId="0" applyFont="1" applyFill="1" applyBorder="1" applyAlignment="1">
      <alignment horizontal="center"/>
    </xf>
    <xf numFmtId="0" fontId="3" fillId="12" borderId="20" xfId="0" applyFont="1" applyFill="1" applyBorder="1" applyAlignment="1">
      <alignment horizontal="center"/>
    </xf>
    <xf numFmtId="0" fontId="3" fillId="0" borderId="21" xfId="0" applyFont="1" applyFill="1" applyBorder="1" applyAlignment="1">
      <alignment horizontal="center"/>
    </xf>
    <xf numFmtId="0" fontId="3" fillId="0" borderId="22" xfId="0" applyFont="1" applyFill="1" applyBorder="1" applyAlignment="1">
      <alignment horizontal="center" wrapText="1"/>
    </xf>
    <xf numFmtId="0" fontId="3" fillId="0" borderId="26" xfId="0" applyFont="1" applyFill="1" applyBorder="1" applyAlignment="1">
      <alignment horizontal="center" wrapText="1"/>
    </xf>
    <xf numFmtId="0" fontId="13" fillId="9" borderId="27" xfId="0" applyFont="1" applyFill="1" applyBorder="1" applyAlignment="1">
      <alignment horizontal="center" wrapText="1"/>
    </xf>
    <xf numFmtId="0" fontId="13" fillId="11" borderId="19" xfId="0" applyFont="1" applyFill="1" applyBorder="1" applyAlignment="1">
      <alignment horizontal="center" wrapText="1"/>
    </xf>
    <xf numFmtId="0" fontId="3" fillId="0" borderId="20" xfId="0" applyFont="1" applyFill="1" applyBorder="1" applyAlignment="1">
      <alignment horizontal="center"/>
    </xf>
    <xf numFmtId="0" fontId="0" fillId="12" borderId="29" xfId="0" applyFill="1" applyBorder="1"/>
    <xf numFmtId="0" fontId="0" fillId="0" borderId="36" xfId="0" applyBorder="1"/>
    <xf numFmtId="0" fontId="13" fillId="9" borderId="17" xfId="0" applyFont="1" applyFill="1" applyBorder="1" applyAlignment="1">
      <alignment horizontal="center"/>
    </xf>
    <xf numFmtId="0" fontId="13" fillId="11" borderId="17" xfId="0" applyFont="1" applyFill="1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40" xfId="0" applyBorder="1"/>
    <xf numFmtId="0" fontId="0" fillId="12" borderId="41" xfId="0" applyFill="1" applyBorder="1"/>
    <xf numFmtId="0" fontId="0" fillId="0" borderId="43" xfId="0" applyBorder="1"/>
    <xf numFmtId="0" fontId="0" fillId="0" borderId="42" xfId="0" applyBorder="1"/>
    <xf numFmtId="0" fontId="0" fillId="0" borderId="44" xfId="0" applyBorder="1"/>
    <xf numFmtId="0" fontId="0" fillId="0" borderId="41" xfId="0" applyBorder="1"/>
    <xf numFmtId="0" fontId="0" fillId="0" borderId="45" xfId="0" applyBorder="1"/>
    <xf numFmtId="0" fontId="0" fillId="0" borderId="46" xfId="0" applyBorder="1"/>
    <xf numFmtId="0" fontId="0" fillId="0" borderId="47" xfId="0" applyBorder="1"/>
    <xf numFmtId="0" fontId="21" fillId="9" borderId="50" xfId="0" applyFont="1" applyFill="1" applyBorder="1" applyAlignment="1">
      <alignment horizontal="center"/>
    </xf>
    <xf numFmtId="0" fontId="21" fillId="11" borderId="48" xfId="0" applyFont="1" applyFill="1" applyBorder="1" applyAlignment="1">
      <alignment horizontal="center"/>
    </xf>
    <xf numFmtId="0" fontId="3" fillId="0" borderId="49" xfId="0" applyFont="1" applyBorder="1" applyAlignment="1">
      <alignment horizontal="center"/>
    </xf>
    <xf numFmtId="164" fontId="0" fillId="0" borderId="0" xfId="2" applyNumberFormat="1" applyFont="1"/>
    <xf numFmtId="3" fontId="20" fillId="0" borderId="0" xfId="0" applyNumberFormat="1" applyFont="1"/>
    <xf numFmtId="3" fontId="17" fillId="0" borderId="0" xfId="0" applyNumberFormat="1" applyFont="1"/>
    <xf numFmtId="3" fontId="17" fillId="0" borderId="0" xfId="2" applyNumberFormat="1" applyFont="1"/>
    <xf numFmtId="3" fontId="17" fillId="13" borderId="0" xfId="0" applyNumberFormat="1" applyFont="1" applyFill="1" applyBorder="1"/>
    <xf numFmtId="3" fontId="17" fillId="0" borderId="0" xfId="0" applyNumberFormat="1" applyFont="1" applyFill="1" applyBorder="1"/>
    <xf numFmtId="3" fontId="20" fillId="8" borderId="0" xfId="0" applyNumberFormat="1" applyFont="1" applyFill="1"/>
    <xf numFmtId="3" fontId="20" fillId="8" borderId="0" xfId="0" applyNumberFormat="1" applyFont="1" applyFill="1" applyBorder="1"/>
    <xf numFmtId="3" fontId="17" fillId="8" borderId="0" xfId="0" applyNumberFormat="1" applyFont="1" applyFill="1" applyBorder="1"/>
    <xf numFmtId="3" fontId="17" fillId="8" borderId="0" xfId="0" applyNumberFormat="1" applyFont="1" applyFill="1"/>
    <xf numFmtId="3" fontId="23" fillId="8" borderId="0" xfId="0" applyNumberFormat="1" applyFont="1" applyFill="1"/>
    <xf numFmtId="3" fontId="23" fillId="0" borderId="0" xfId="0" applyNumberFormat="1" applyFont="1"/>
    <xf numFmtId="3" fontId="18" fillId="13" borderId="51" xfId="0" applyNumberFormat="1" applyFont="1" applyFill="1" applyBorder="1"/>
    <xf numFmtId="3" fontId="17" fillId="13" borderId="12" xfId="0" applyNumberFormat="1" applyFont="1" applyFill="1" applyBorder="1"/>
    <xf numFmtId="3" fontId="17" fillId="13" borderId="13" xfId="0" applyNumberFormat="1" applyFont="1" applyFill="1" applyBorder="1"/>
    <xf numFmtId="3" fontId="18" fillId="13" borderId="51" xfId="0" applyNumberFormat="1" applyFont="1" applyFill="1" applyBorder="1" applyAlignment="1">
      <alignment horizontal="left" wrapText="1"/>
    </xf>
    <xf numFmtId="3" fontId="17" fillId="13" borderId="14" xfId="0" applyNumberFormat="1" applyFont="1" applyFill="1" applyBorder="1"/>
    <xf numFmtId="3" fontId="17" fillId="13" borderId="10" xfId="0" applyNumberFormat="1" applyFont="1" applyFill="1" applyBorder="1"/>
    <xf numFmtId="3" fontId="17" fillId="13" borderId="11" xfId="0" applyNumberFormat="1" applyFont="1" applyFill="1" applyBorder="1"/>
    <xf numFmtId="3" fontId="18" fillId="0" borderId="51" xfId="0" applyNumberFormat="1" applyFont="1" applyFill="1" applyBorder="1"/>
    <xf numFmtId="3" fontId="17" fillId="0" borderId="12" xfId="0" applyNumberFormat="1" applyFont="1" applyFill="1" applyBorder="1"/>
    <xf numFmtId="3" fontId="17" fillId="0" borderId="0" xfId="0" applyNumberFormat="1" applyFont="1" applyFill="1"/>
    <xf numFmtId="3" fontId="17" fillId="0" borderId="13" xfId="0" applyNumberFormat="1" applyFont="1" applyFill="1" applyBorder="1"/>
    <xf numFmtId="3" fontId="20" fillId="13" borderId="7" xfId="0" applyNumberFormat="1" applyFont="1" applyFill="1" applyBorder="1"/>
    <xf numFmtId="3" fontId="20" fillId="13" borderId="26" xfId="0" applyNumberFormat="1" applyFont="1" applyFill="1" applyBorder="1"/>
    <xf numFmtId="3" fontId="20" fillId="13" borderId="8" xfId="0" applyNumberFormat="1" applyFont="1" applyFill="1" applyBorder="1"/>
    <xf numFmtId="3" fontId="20" fillId="13" borderId="25" xfId="0" applyNumberFormat="1" applyFont="1" applyFill="1" applyBorder="1"/>
    <xf numFmtId="3" fontId="23" fillId="0" borderId="12" xfId="0" applyNumberFormat="1" applyFont="1" applyBorder="1"/>
    <xf numFmtId="3" fontId="23" fillId="0" borderId="0" xfId="0" applyNumberFormat="1" applyFont="1" applyBorder="1"/>
    <xf numFmtId="3" fontId="23" fillId="0" borderId="13" xfId="0" applyNumberFormat="1" applyFont="1" applyBorder="1"/>
    <xf numFmtId="3" fontId="20" fillId="14" borderId="51" xfId="0" applyNumberFormat="1" applyFont="1" applyFill="1" applyBorder="1"/>
    <xf numFmtId="3" fontId="17" fillId="14" borderId="51" xfId="0" applyNumberFormat="1" applyFont="1" applyFill="1" applyBorder="1"/>
    <xf numFmtId="3" fontId="17" fillId="14" borderId="12" xfId="0" applyNumberFormat="1" applyFont="1" applyFill="1" applyBorder="1"/>
    <xf numFmtId="3" fontId="17" fillId="14" borderId="0" xfId="0" applyNumberFormat="1" applyFont="1" applyFill="1" applyBorder="1"/>
    <xf numFmtId="3" fontId="17" fillId="14" borderId="13" xfId="0" applyNumberFormat="1" applyFont="1" applyFill="1" applyBorder="1"/>
    <xf numFmtId="3" fontId="20" fillId="14" borderId="12" xfId="0" applyNumberFormat="1" applyFont="1" applyFill="1" applyBorder="1"/>
    <xf numFmtId="3" fontId="20" fillId="14" borderId="0" xfId="0" applyNumberFormat="1" applyFont="1" applyFill="1" applyBorder="1"/>
    <xf numFmtId="3" fontId="20" fillId="14" borderId="13" xfId="0" applyNumberFormat="1" applyFont="1" applyFill="1" applyBorder="1"/>
    <xf numFmtId="3" fontId="20" fillId="14" borderId="7" xfId="0" applyNumberFormat="1" applyFont="1" applyFill="1" applyBorder="1"/>
    <xf numFmtId="3" fontId="20" fillId="14" borderId="26" xfId="0" applyNumberFormat="1" applyFont="1" applyFill="1" applyBorder="1"/>
    <xf numFmtId="3" fontId="20" fillId="14" borderId="8" xfId="0" applyNumberFormat="1" applyFont="1" applyFill="1" applyBorder="1"/>
    <xf numFmtId="3" fontId="20" fillId="14" borderId="25" xfId="0" applyNumberFormat="1" applyFont="1" applyFill="1" applyBorder="1"/>
    <xf numFmtId="3" fontId="24" fillId="0" borderId="0" xfId="0" applyNumberFormat="1" applyFont="1"/>
    <xf numFmtId="3" fontId="20" fillId="8" borderId="0" xfId="0" applyNumberFormat="1" applyFont="1" applyFill="1" applyAlignment="1">
      <alignment wrapText="1"/>
    </xf>
    <xf numFmtId="3" fontId="20" fillId="0" borderId="1" xfId="0" applyNumberFormat="1" applyFont="1" applyBorder="1" applyAlignment="1">
      <alignment wrapText="1"/>
    </xf>
    <xf numFmtId="3" fontId="20" fillId="0" borderId="26" xfId="0" applyNumberFormat="1" applyFont="1" applyBorder="1" applyAlignment="1">
      <alignment horizontal="center" wrapText="1"/>
    </xf>
    <xf numFmtId="3" fontId="20" fillId="0" borderId="0" xfId="0" applyNumberFormat="1" applyFont="1" applyAlignment="1">
      <alignment wrapText="1"/>
    </xf>
    <xf numFmtId="9" fontId="17" fillId="8" borderId="0" xfId="2" applyFont="1" applyFill="1"/>
    <xf numFmtId="0" fontId="26" fillId="0" borderId="0" xfId="0" applyFont="1" applyBorder="1" applyAlignment="1">
      <alignment horizontal="center" vertical="center" shrinkToFit="1"/>
    </xf>
    <xf numFmtId="0" fontId="26" fillId="0" borderId="0" xfId="0" applyFont="1" applyBorder="1" applyAlignment="1">
      <alignment horizontal="center" vertical="center"/>
    </xf>
    <xf numFmtId="10" fontId="26" fillId="0" borderId="0" xfId="0" applyNumberFormat="1" applyFont="1" applyBorder="1" applyAlignment="1">
      <alignment horizontal="center" vertical="center"/>
    </xf>
    <xf numFmtId="0" fontId="27" fillId="0" borderId="5" xfId="0" applyFont="1" applyBorder="1" applyAlignment="1">
      <alignment horizontal="center" vertical="center"/>
    </xf>
    <xf numFmtId="0" fontId="27" fillId="0" borderId="16" xfId="0" applyFont="1" applyBorder="1" applyAlignment="1">
      <alignment horizontal="center" vertical="center"/>
    </xf>
    <xf numFmtId="10" fontId="27" fillId="0" borderId="5" xfId="0" applyNumberFormat="1" applyFont="1" applyBorder="1" applyAlignment="1">
      <alignment horizontal="center" vertical="center"/>
    </xf>
    <xf numFmtId="0" fontId="28" fillId="0" borderId="0" xfId="0" applyFont="1"/>
    <xf numFmtId="0" fontId="27" fillId="0" borderId="52" xfId="0" applyFont="1" applyBorder="1"/>
    <xf numFmtId="1" fontId="27" fillId="0" borderId="53" xfId="3" applyNumberFormat="1" applyFont="1" applyBorder="1"/>
    <xf numFmtId="10" fontId="29" fillId="0" borderId="52" xfId="3" applyNumberFormat="1" applyFont="1" applyBorder="1" applyAlignment="1">
      <alignment horizontal="right"/>
    </xf>
    <xf numFmtId="3" fontId="29" fillId="0" borderId="54" xfId="3" applyNumberFormat="1" applyFont="1" applyFill="1" applyBorder="1"/>
    <xf numFmtId="10" fontId="29" fillId="0" borderId="17" xfId="3" applyNumberFormat="1" applyFont="1" applyFill="1" applyBorder="1" applyAlignment="1">
      <alignment horizontal="right"/>
    </xf>
    <xf numFmtId="0" fontId="28" fillId="0" borderId="17" xfId="0" applyFont="1" applyBorder="1"/>
    <xf numFmtId="10" fontId="27" fillId="0" borderId="17" xfId="3" applyNumberFormat="1" applyFont="1" applyBorder="1"/>
    <xf numFmtId="0" fontId="27" fillId="0" borderId="17" xfId="0" applyFont="1" applyBorder="1"/>
    <xf numFmtId="3" fontId="27" fillId="0" borderId="17" xfId="3" applyNumberFormat="1" applyFont="1" applyBorder="1"/>
    <xf numFmtId="0" fontId="28" fillId="0" borderId="17" xfId="0" applyFont="1" applyBorder="1" applyAlignment="1">
      <alignment horizontal="left" wrapText="1"/>
    </xf>
    <xf numFmtId="10" fontId="0" fillId="0" borderId="17" xfId="0" applyNumberFormat="1" applyBorder="1"/>
    <xf numFmtId="3" fontId="27" fillId="0" borderId="54" xfId="3" applyNumberFormat="1" applyFont="1" applyBorder="1"/>
    <xf numFmtId="9" fontId="27" fillId="0" borderId="17" xfId="3" applyNumberFormat="1" applyFont="1" applyBorder="1"/>
    <xf numFmtId="0" fontId="30" fillId="0" borderId="17" xfId="0" applyFont="1" applyBorder="1"/>
    <xf numFmtId="3" fontId="27" fillId="0" borderId="54" xfId="3" applyNumberFormat="1" applyFont="1" applyFill="1" applyBorder="1"/>
    <xf numFmtId="10" fontId="27" fillId="0" borderId="17" xfId="3" applyNumberFormat="1" applyFont="1" applyFill="1" applyBorder="1"/>
    <xf numFmtId="0" fontId="27" fillId="0" borderId="17" xfId="0" applyFont="1" applyFill="1" applyBorder="1"/>
    <xf numFmtId="0" fontId="28" fillId="0" borderId="17" xfId="0" applyFont="1" applyFill="1" applyBorder="1"/>
    <xf numFmtId="0" fontId="28" fillId="0" borderId="54" xfId="0" applyFont="1" applyFill="1" applyBorder="1"/>
    <xf numFmtId="0" fontId="0" fillId="0" borderId="54" xfId="0" applyBorder="1"/>
    <xf numFmtId="0" fontId="30" fillId="0" borderId="17" xfId="0" applyFont="1" applyFill="1" applyBorder="1"/>
    <xf numFmtId="0" fontId="28" fillId="0" borderId="0" xfId="0" applyFont="1" applyBorder="1"/>
    <xf numFmtId="0" fontId="27" fillId="0" borderId="54" xfId="0" applyFont="1" applyBorder="1"/>
    <xf numFmtId="3" fontId="28" fillId="0" borderId="54" xfId="0" applyNumberFormat="1" applyFont="1" applyBorder="1"/>
    <xf numFmtId="10" fontId="28" fillId="0" borderId="17" xfId="0" applyNumberFormat="1" applyFont="1" applyBorder="1"/>
    <xf numFmtId="165" fontId="27" fillId="0" borderId="17" xfId="0" applyNumberFormat="1" applyFont="1" applyBorder="1"/>
    <xf numFmtId="165" fontId="27" fillId="15" borderId="17" xfId="0" applyNumberFormat="1" applyFont="1" applyFill="1" applyBorder="1"/>
    <xf numFmtId="3" fontId="27" fillId="15" borderId="17" xfId="3" applyNumberFormat="1" applyFont="1" applyFill="1" applyBorder="1"/>
    <xf numFmtId="10" fontId="27" fillId="15" borderId="17" xfId="3" applyNumberFormat="1" applyFont="1" applyFill="1" applyBorder="1"/>
    <xf numFmtId="3" fontId="31" fillId="0" borderId="17" xfId="3" applyNumberFormat="1" applyFont="1" applyBorder="1"/>
    <xf numFmtId="0" fontId="32" fillId="0" borderId="17" xfId="0" applyFont="1" applyBorder="1"/>
    <xf numFmtId="1" fontId="29" fillId="0" borderId="54" xfId="3" applyNumberFormat="1" applyFont="1" applyFill="1" applyBorder="1"/>
    <xf numFmtId="1" fontId="27" fillId="0" borderId="17" xfId="3" applyNumberFormat="1" applyFont="1" applyBorder="1"/>
    <xf numFmtId="1" fontId="27" fillId="0" borderId="54" xfId="3" applyNumberFormat="1" applyFont="1" applyBorder="1"/>
    <xf numFmtId="0" fontId="33" fillId="0" borderId="0" xfId="0" applyFont="1"/>
    <xf numFmtId="0" fontId="28" fillId="0" borderId="33" xfId="0" applyFont="1" applyBorder="1"/>
    <xf numFmtId="1" fontId="27" fillId="0" borderId="55" xfId="3" applyNumberFormat="1" applyFont="1" applyBorder="1"/>
    <xf numFmtId="10" fontId="27" fillId="0" borderId="33" xfId="3" applyNumberFormat="1" applyFont="1" applyBorder="1"/>
    <xf numFmtId="0" fontId="27" fillId="15" borderId="5" xfId="0" applyFont="1" applyFill="1" applyBorder="1" applyAlignment="1">
      <alignment horizontal="right"/>
    </xf>
    <xf numFmtId="3" fontId="27" fillId="15" borderId="16" xfId="3" applyNumberFormat="1" applyFont="1" applyFill="1" applyBorder="1"/>
    <xf numFmtId="10" fontId="27" fillId="15" borderId="5" xfId="3" applyNumberFormat="1" applyFont="1" applyFill="1" applyBorder="1"/>
    <xf numFmtId="3" fontId="27" fillId="15" borderId="5" xfId="3" applyNumberFormat="1" applyFont="1" applyFill="1" applyBorder="1"/>
    <xf numFmtId="1" fontId="28" fillId="0" borderId="0" xfId="0" applyNumberFormat="1" applyFont="1"/>
    <xf numFmtId="10" fontId="28" fillId="0" borderId="0" xfId="0" applyNumberFormat="1" applyFont="1"/>
    <xf numFmtId="10" fontId="27" fillId="0" borderId="0" xfId="3" applyNumberFormat="1" applyFont="1" applyBorder="1"/>
    <xf numFmtId="1" fontId="33" fillId="0" borderId="0" xfId="0" applyNumberFormat="1" applyFont="1"/>
    <xf numFmtId="10" fontId="33" fillId="0" borderId="0" xfId="0" applyNumberFormat="1" applyFont="1"/>
    <xf numFmtId="10" fontId="27" fillId="0" borderId="0" xfId="3" applyNumberFormat="1" applyFont="1" applyFill="1" applyBorder="1"/>
    <xf numFmtId="1" fontId="0" fillId="0" borderId="0" xfId="0" applyNumberFormat="1"/>
    <xf numFmtId="10" fontId="0" fillId="0" borderId="0" xfId="0" applyNumberFormat="1"/>
    <xf numFmtId="0" fontId="3" fillId="0" borderId="5" xfId="0" applyFont="1" applyFill="1" applyBorder="1" applyAlignment="1">
      <alignment horizontal="left"/>
    </xf>
    <xf numFmtId="44" fontId="0" fillId="0" borderId="0" xfId="0" applyNumberFormat="1" applyFill="1"/>
    <xf numFmtId="3" fontId="27" fillId="0" borderId="17" xfId="3" applyNumberFormat="1" applyFont="1" applyFill="1" applyBorder="1"/>
    <xf numFmtId="3" fontId="29" fillId="0" borderId="17" xfId="3" applyNumberFormat="1" applyFont="1" applyFill="1" applyBorder="1"/>
    <xf numFmtId="3" fontId="28" fillId="0" borderId="17" xfId="0" applyNumberFormat="1" applyFont="1" applyBorder="1"/>
    <xf numFmtId="3" fontId="20" fillId="0" borderId="0" xfId="0" applyNumberFormat="1" applyFont="1" applyBorder="1" applyAlignment="1">
      <alignment horizontal="left"/>
    </xf>
    <xf numFmtId="3" fontId="17" fillId="13" borderId="3" xfId="0" applyNumberFormat="1" applyFont="1" applyFill="1" applyBorder="1"/>
    <xf numFmtId="3" fontId="20" fillId="8" borderId="26" xfId="0" applyNumberFormat="1" applyFont="1" applyFill="1" applyBorder="1" applyAlignment="1">
      <alignment horizontal="left"/>
    </xf>
    <xf numFmtId="3" fontId="17" fillId="14" borderId="3" xfId="0" applyNumberFormat="1" applyFont="1" applyFill="1" applyBorder="1"/>
    <xf numFmtId="3" fontId="17" fillId="14" borderId="14" xfId="0" applyNumberFormat="1" applyFont="1" applyFill="1" applyBorder="1"/>
    <xf numFmtId="44" fontId="7" fillId="0" borderId="6" xfId="1" applyFont="1" applyFill="1" applyBorder="1" applyAlignment="1">
      <alignment horizontal="center"/>
    </xf>
    <xf numFmtId="0" fontId="4" fillId="0" borderId="5" xfId="0" applyFont="1" applyFill="1" applyBorder="1"/>
    <xf numFmtId="9" fontId="0" fillId="0" borderId="0" xfId="0" applyNumberFormat="1" applyFill="1" applyBorder="1"/>
    <xf numFmtId="9" fontId="0" fillId="0" borderId="12" xfId="0" applyNumberFormat="1" applyFill="1" applyBorder="1"/>
    <xf numFmtId="3" fontId="20" fillId="8" borderId="25" xfId="0" applyNumberFormat="1" applyFont="1" applyFill="1" applyBorder="1" applyAlignment="1">
      <alignment horizontal="left"/>
    </xf>
    <xf numFmtId="3" fontId="20" fillId="8" borderId="25" xfId="0" applyNumberFormat="1" applyFont="1" applyFill="1" applyBorder="1" applyAlignment="1">
      <alignment horizontal="left"/>
    </xf>
    <xf numFmtId="3" fontId="18" fillId="13" borderId="1" xfId="0" applyNumberFormat="1" applyFont="1" applyFill="1" applyBorder="1"/>
    <xf numFmtId="3" fontId="17" fillId="13" borderId="2" xfId="0" applyNumberFormat="1" applyFont="1" applyFill="1" applyBorder="1"/>
    <xf numFmtId="3" fontId="17" fillId="13" borderId="4" xfId="0" applyNumberFormat="1" applyFont="1" applyFill="1" applyBorder="1"/>
    <xf numFmtId="3" fontId="19" fillId="13" borderId="9" xfId="0" applyNumberFormat="1" applyFont="1" applyFill="1" applyBorder="1"/>
    <xf numFmtId="3" fontId="18" fillId="13" borderId="7" xfId="0" applyNumberFormat="1" applyFont="1" applyFill="1" applyBorder="1"/>
    <xf numFmtId="3" fontId="17" fillId="13" borderId="26" xfId="0" applyNumberFormat="1" applyFont="1" applyFill="1" applyBorder="1"/>
    <xf numFmtId="3" fontId="17" fillId="13" borderId="8" xfId="0" applyNumberFormat="1" applyFont="1" applyFill="1" applyBorder="1"/>
    <xf numFmtId="3" fontId="17" fillId="13" borderId="25" xfId="0" applyNumberFormat="1" applyFont="1" applyFill="1" applyBorder="1"/>
    <xf numFmtId="3" fontId="0" fillId="0" borderId="5" xfId="0" applyNumberFormat="1" applyBorder="1"/>
    <xf numFmtId="44" fontId="0" fillId="0" borderId="0" xfId="0" applyNumberFormat="1" applyAlignment="1"/>
    <xf numFmtId="44" fontId="4" fillId="0" borderId="5" xfId="1" applyFont="1" applyFill="1" applyBorder="1" applyAlignment="1">
      <alignment horizontal="right"/>
    </xf>
    <xf numFmtId="44" fontId="4" fillId="0" borderId="5" xfId="1" applyFont="1" applyFill="1" applyBorder="1" applyAlignment="1">
      <alignment horizontal="center" vertical="center"/>
    </xf>
    <xf numFmtId="10" fontId="17" fillId="0" borderId="0" xfId="2" applyNumberFormat="1" applyFont="1"/>
    <xf numFmtId="3" fontId="28" fillId="0" borderId="54" xfId="0" applyNumberFormat="1" applyFont="1" applyFill="1" applyBorder="1"/>
    <xf numFmtId="9" fontId="27" fillId="0" borderId="17" xfId="3" applyNumberFormat="1" applyFont="1" applyFill="1" applyBorder="1"/>
    <xf numFmtId="9" fontId="29" fillId="0" borderId="17" xfId="3" applyNumberFormat="1" applyFont="1" applyFill="1" applyBorder="1" applyAlignment="1">
      <alignment horizontal="right"/>
    </xf>
    <xf numFmtId="9" fontId="27" fillId="15" borderId="17" xfId="3" applyNumberFormat="1" applyFont="1" applyFill="1" applyBorder="1"/>
    <xf numFmtId="44" fontId="4" fillId="0" borderId="5" xfId="0" applyNumberFormat="1" applyFont="1" applyFill="1" applyBorder="1"/>
    <xf numFmtId="0" fontId="13" fillId="11" borderId="4" xfId="0" applyFont="1" applyFill="1" applyBorder="1" applyAlignment="1">
      <alignment horizontal="center" wrapText="1"/>
    </xf>
    <xf numFmtId="0" fontId="3" fillId="16" borderId="23" xfId="0" applyFont="1" applyFill="1" applyBorder="1" applyAlignment="1">
      <alignment horizontal="center"/>
    </xf>
    <xf numFmtId="0" fontId="3" fillId="16" borderId="24" xfId="0" applyFont="1" applyFill="1" applyBorder="1" applyAlignment="1">
      <alignment horizontal="center" wrapText="1"/>
    </xf>
    <xf numFmtId="0" fontId="3" fillId="16" borderId="22" xfId="0" applyFont="1" applyFill="1" applyBorder="1" applyAlignment="1">
      <alignment horizontal="center" wrapText="1"/>
    </xf>
    <xf numFmtId="0" fontId="3" fillId="16" borderId="25" xfId="0" applyFont="1" applyFill="1" applyBorder="1" applyAlignment="1">
      <alignment horizontal="center" wrapText="1"/>
    </xf>
    <xf numFmtId="0" fontId="4" fillId="12" borderId="28" xfId="0" applyFont="1" applyFill="1" applyBorder="1"/>
    <xf numFmtId="0" fontId="4" fillId="12" borderId="5" xfId="0" applyFont="1" applyFill="1" applyBorder="1"/>
    <xf numFmtId="0" fontId="4" fillId="12" borderId="29" xfId="0" applyFont="1" applyFill="1" applyBorder="1"/>
    <xf numFmtId="0" fontId="4" fillId="0" borderId="30" xfId="0" applyFont="1" applyBorder="1"/>
    <xf numFmtId="0" fontId="4" fillId="0" borderId="31" xfId="0" applyFont="1" applyBorder="1"/>
    <xf numFmtId="0" fontId="4" fillId="0" borderId="32" xfId="0" applyFont="1" applyBorder="1"/>
    <xf numFmtId="0" fontId="4" fillId="0" borderId="33" xfId="0" applyFont="1" applyBorder="1"/>
    <xf numFmtId="0" fontId="4" fillId="0" borderId="34" xfId="0" applyFont="1" applyBorder="1"/>
    <xf numFmtId="0" fontId="4" fillId="0" borderId="35" xfId="0" applyFont="1" applyBorder="1"/>
    <xf numFmtId="0" fontId="4" fillId="0" borderId="6" xfId="0" applyFont="1" applyBorder="1"/>
    <xf numFmtId="0" fontId="4" fillId="0" borderId="29" xfId="0" applyFont="1" applyBorder="1"/>
    <xf numFmtId="0" fontId="4" fillId="0" borderId="28" xfId="0" applyFont="1" applyBorder="1"/>
    <xf numFmtId="0" fontId="4" fillId="0" borderId="38" xfId="0" applyFont="1" applyBorder="1"/>
    <xf numFmtId="0" fontId="4" fillId="0" borderId="39" xfId="0" applyFont="1" applyBorder="1"/>
    <xf numFmtId="0" fontId="4" fillId="12" borderId="6" xfId="0" applyFont="1" applyFill="1" applyBorder="1"/>
    <xf numFmtId="0" fontId="4" fillId="12" borderId="5" xfId="0" applyFont="1" applyFill="1" applyBorder="1" applyAlignment="1">
      <alignment wrapText="1"/>
    </xf>
    <xf numFmtId="0" fontId="4" fillId="12" borderId="41" xfId="0" applyFont="1" applyFill="1" applyBorder="1"/>
    <xf numFmtId="3" fontId="0" fillId="0" borderId="0" xfId="0" applyNumberFormat="1"/>
    <xf numFmtId="2" fontId="0" fillId="0" borderId="0" xfId="0" applyNumberFormat="1" applyFill="1" applyBorder="1"/>
    <xf numFmtId="0" fontId="4" fillId="0" borderId="5" xfId="0" applyFont="1" applyFill="1" applyBorder="1" applyAlignment="1">
      <alignment vertical="center" wrapText="1"/>
    </xf>
    <xf numFmtId="0" fontId="2" fillId="0" borderId="5" xfId="0" applyFont="1" applyFill="1" applyBorder="1" applyAlignment="1">
      <alignment vertical="center"/>
    </xf>
    <xf numFmtId="44" fontId="4" fillId="2" borderId="5" xfId="1" applyFont="1" applyFill="1" applyBorder="1"/>
    <xf numFmtId="0" fontId="0" fillId="2" borderId="16" xfId="0" applyFill="1" applyBorder="1"/>
    <xf numFmtId="4" fontId="0" fillId="0" borderId="16" xfId="0" applyNumberFormat="1" applyFill="1" applyBorder="1"/>
    <xf numFmtId="4" fontId="2" fillId="0" borderId="16" xfId="0" applyNumberFormat="1" applyFont="1" applyFill="1" applyBorder="1"/>
    <xf numFmtId="4" fontId="4" fillId="0" borderId="16" xfId="0" applyNumberFormat="1" applyFont="1" applyFill="1" applyBorder="1"/>
    <xf numFmtId="0" fontId="6" fillId="2" borderId="5" xfId="0" applyFont="1" applyFill="1" applyBorder="1" applyAlignment="1">
      <alignment horizontal="center" vertical="center" wrapText="1"/>
    </xf>
    <xf numFmtId="44" fontId="7" fillId="0" borderId="5" xfId="1" applyFont="1" applyFill="1" applyBorder="1" applyAlignment="1">
      <alignment horizontal="center"/>
    </xf>
    <xf numFmtId="44" fontId="4" fillId="0" borderId="5" xfId="1" applyFont="1" applyFill="1" applyBorder="1" applyAlignment="1">
      <alignment vertical="center" wrapText="1"/>
    </xf>
    <xf numFmtId="0" fontId="13" fillId="17" borderId="0" xfId="0" applyFont="1" applyFill="1" applyBorder="1" applyAlignment="1">
      <alignment horizontal="center" vertical="center" wrapText="1"/>
    </xf>
    <xf numFmtId="0" fontId="0" fillId="2" borderId="0" xfId="0" applyFill="1" applyBorder="1"/>
    <xf numFmtId="3" fontId="20" fillId="0" borderId="1" xfId="0" applyNumberFormat="1" applyFont="1" applyBorder="1" applyAlignment="1"/>
    <xf numFmtId="3" fontId="20" fillId="0" borderId="2" xfId="0" applyNumberFormat="1" applyFont="1" applyBorder="1" applyAlignment="1"/>
    <xf numFmtId="3" fontId="20" fillId="0" borderId="4" xfId="0" applyNumberFormat="1" applyFont="1" applyBorder="1" applyAlignment="1"/>
    <xf numFmtId="3" fontId="20" fillId="8" borderId="7" xfId="0" applyNumberFormat="1" applyFont="1" applyFill="1" applyBorder="1" applyAlignment="1"/>
    <xf numFmtId="3" fontId="20" fillId="8" borderId="8" xfId="0" applyNumberFormat="1" applyFont="1" applyFill="1" applyBorder="1" applyAlignment="1"/>
    <xf numFmtId="3" fontId="20" fillId="8" borderId="25" xfId="0" applyNumberFormat="1" applyFont="1" applyFill="1" applyBorder="1" applyAlignment="1"/>
    <xf numFmtId="3" fontId="26" fillId="0" borderId="0" xfId="0" applyNumberFormat="1" applyFont="1" applyBorder="1" applyAlignment="1">
      <alignment horizontal="center" vertical="center"/>
    </xf>
    <xf numFmtId="3" fontId="27" fillId="0" borderId="16" xfId="0" applyNumberFormat="1" applyFont="1" applyBorder="1" applyAlignment="1">
      <alignment horizontal="center" vertical="center"/>
    </xf>
    <xf numFmtId="3" fontId="27" fillId="0" borderId="53" xfId="3" applyNumberFormat="1" applyFont="1" applyBorder="1"/>
    <xf numFmtId="3" fontId="27" fillId="0" borderId="0" xfId="3" applyNumberFormat="1" applyFont="1" applyBorder="1"/>
    <xf numFmtId="3" fontId="27" fillId="0" borderId="55" xfId="3" applyNumberFormat="1" applyFont="1" applyBorder="1"/>
    <xf numFmtId="3" fontId="28" fillId="0" borderId="0" xfId="0" applyNumberFormat="1" applyFont="1"/>
    <xf numFmtId="3" fontId="33" fillId="0" borderId="0" xfId="0" applyNumberFormat="1" applyFont="1"/>
    <xf numFmtId="0" fontId="28" fillId="0" borderId="17" xfId="0" applyFont="1" applyBorder="1" applyAlignment="1">
      <alignment wrapText="1"/>
    </xf>
    <xf numFmtId="3" fontId="27" fillId="0" borderId="52" xfId="3" applyNumberFormat="1" applyFont="1" applyBorder="1"/>
    <xf numFmtId="3" fontId="27" fillId="0" borderId="33" xfId="3" applyNumberFormat="1" applyFont="1" applyBorder="1"/>
    <xf numFmtId="0" fontId="0" fillId="0" borderId="0" xfId="0" applyAlignment="1">
      <alignment horizontal="left"/>
    </xf>
    <xf numFmtId="3" fontId="20" fillId="18" borderId="8" xfId="0" applyNumberFormat="1" applyFont="1" applyFill="1" applyBorder="1" applyAlignment="1">
      <alignment horizontal="center" wrapText="1"/>
    </xf>
    <xf numFmtId="3" fontId="20" fillId="18" borderId="25" xfId="0" applyNumberFormat="1" applyFont="1" applyFill="1" applyBorder="1" applyAlignment="1">
      <alignment horizontal="center" wrapText="1"/>
    </xf>
    <xf numFmtId="0" fontId="0" fillId="19" borderId="5" xfId="0" applyFill="1" applyBorder="1"/>
    <xf numFmtId="0" fontId="0" fillId="19" borderId="5" xfId="0" applyFill="1" applyBorder="1" applyAlignment="1">
      <alignment wrapText="1"/>
    </xf>
    <xf numFmtId="44" fontId="6" fillId="0" borderId="0" xfId="0" applyNumberFormat="1" applyFont="1" applyFill="1"/>
    <xf numFmtId="0" fontId="0" fillId="19" borderId="5" xfId="0" applyFill="1" applyBorder="1" applyAlignment="1">
      <alignment vertical="center" wrapText="1"/>
    </xf>
    <xf numFmtId="4" fontId="26" fillId="0" borderId="0" xfId="0" applyNumberFormat="1" applyFont="1" applyBorder="1" applyAlignment="1">
      <alignment horizontal="center" vertical="center"/>
    </xf>
    <xf numFmtId="4" fontId="27" fillId="0" borderId="5" xfId="0" applyNumberFormat="1" applyFont="1" applyBorder="1" applyAlignment="1">
      <alignment horizontal="center" vertical="center"/>
    </xf>
    <xf numFmtId="4" fontId="29" fillId="0" borderId="54" xfId="3" applyNumberFormat="1" applyFont="1" applyFill="1" applyBorder="1"/>
    <xf numFmtId="4" fontId="28" fillId="0" borderId="0" xfId="0" applyNumberFormat="1" applyFont="1"/>
    <xf numFmtId="4" fontId="33" fillId="0" borderId="0" xfId="0" applyNumberFormat="1" applyFont="1"/>
    <xf numFmtId="4" fontId="27" fillId="0" borderId="16" xfId="0" applyNumberFormat="1" applyFont="1" applyBorder="1" applyAlignment="1">
      <alignment horizontal="center" vertical="center"/>
    </xf>
    <xf numFmtId="3" fontId="27" fillId="0" borderId="5" xfId="0" applyNumberFormat="1" applyFont="1" applyBorder="1" applyAlignment="1">
      <alignment horizontal="center" vertical="center"/>
    </xf>
    <xf numFmtId="44" fontId="4" fillId="20" borderId="5" xfId="1" applyFont="1" applyFill="1" applyBorder="1"/>
    <xf numFmtId="44" fontId="4" fillId="21" borderId="5" xfId="1" applyFont="1" applyFill="1" applyBorder="1"/>
    <xf numFmtId="0" fontId="0" fillId="2" borderId="0" xfId="0" applyFill="1"/>
    <xf numFmtId="0" fontId="0" fillId="20" borderId="0" xfId="0" applyFill="1"/>
    <xf numFmtId="44" fontId="4" fillId="15" borderId="5" xfId="1" applyFont="1" applyFill="1" applyBorder="1"/>
    <xf numFmtId="0" fontId="0" fillId="15" borderId="0" xfId="0" applyFill="1"/>
    <xf numFmtId="0" fontId="27" fillId="0" borderId="5" xfId="0" applyFont="1" applyBorder="1" applyAlignment="1">
      <alignment horizontal="left" vertical="center"/>
    </xf>
    <xf numFmtId="0" fontId="25" fillId="25" borderId="5" xfId="0" applyFont="1" applyFill="1" applyBorder="1" applyAlignment="1">
      <alignment horizontal="left" vertical="center"/>
    </xf>
    <xf numFmtId="0" fontId="28" fillId="0" borderId="52" xfId="0" applyFont="1" applyBorder="1"/>
    <xf numFmtId="3" fontId="28" fillId="0" borderId="52" xfId="3" applyNumberFormat="1" applyFont="1" applyBorder="1"/>
    <xf numFmtId="3" fontId="28" fillId="0" borderId="17" xfId="3" applyNumberFormat="1" applyFont="1" applyBorder="1"/>
    <xf numFmtId="3" fontId="28" fillId="0" borderId="33" xfId="3" applyNumberFormat="1" applyFont="1" applyBorder="1"/>
    <xf numFmtId="0" fontId="32" fillId="0" borderId="0" xfId="0" applyFont="1" applyBorder="1"/>
    <xf numFmtId="3" fontId="27" fillId="25" borderId="0" xfId="3" applyNumberFormat="1" applyFont="1" applyFill="1" applyBorder="1"/>
    <xf numFmtId="0" fontId="32" fillId="0" borderId="33" xfId="0" applyFont="1" applyBorder="1"/>
    <xf numFmtId="0" fontId="37" fillId="0" borderId="0" xfId="4" applyFont="1"/>
    <xf numFmtId="0" fontId="0" fillId="0" borderId="60" xfId="0" applyBorder="1"/>
    <xf numFmtId="0" fontId="0" fillId="0" borderId="61" xfId="0" applyBorder="1"/>
    <xf numFmtId="3" fontId="0" fillId="0" borderId="5" xfId="0" applyNumberFormat="1" applyBorder="1" applyAlignment="1">
      <alignment horizontal="center"/>
    </xf>
    <xf numFmtId="3" fontId="0" fillId="0" borderId="62" xfId="0" applyNumberFormat="1" applyBorder="1"/>
    <xf numFmtId="3" fontId="0" fillId="0" borderId="63" xfId="0" applyNumberFormat="1" applyBorder="1"/>
    <xf numFmtId="3" fontId="13" fillId="23" borderId="58" xfId="7" applyNumberFormat="1"/>
    <xf numFmtId="3" fontId="0" fillId="0" borderId="0" xfId="0" applyNumberFormat="1" applyAlignment="1">
      <alignment horizontal="center"/>
    </xf>
    <xf numFmtId="0" fontId="36" fillId="22" borderId="57" xfId="6"/>
    <xf numFmtId="3" fontId="35" fillId="0" borderId="56" xfId="5" applyNumberFormat="1" applyFill="1"/>
    <xf numFmtId="3" fontId="0" fillId="0" borderId="62" xfId="0" applyNumberFormat="1" applyBorder="1" applyAlignment="1">
      <alignment horizontal="center"/>
    </xf>
    <xf numFmtId="3" fontId="0" fillId="0" borderId="63" xfId="0" applyNumberFormat="1" applyBorder="1" applyAlignment="1">
      <alignment horizontal="center"/>
    </xf>
    <xf numFmtId="0" fontId="3" fillId="0" borderId="0" xfId="0" applyFont="1"/>
    <xf numFmtId="0" fontId="3" fillId="10" borderId="1" xfId="0" applyFont="1" applyFill="1" applyBorder="1" applyAlignment="1">
      <alignment horizontal="center"/>
    </xf>
    <xf numFmtId="0" fontId="3" fillId="10" borderId="4" xfId="0" applyFont="1" applyFill="1" applyBorder="1" applyAlignment="1">
      <alignment horizontal="center"/>
    </xf>
    <xf numFmtId="0" fontId="13" fillId="11" borderId="1" xfId="0" applyFont="1" applyFill="1" applyBorder="1" applyAlignment="1">
      <alignment horizontal="center" wrapText="1"/>
    </xf>
    <xf numFmtId="0" fontId="13" fillId="11" borderId="2" xfId="0" applyFont="1" applyFill="1" applyBorder="1" applyAlignment="1">
      <alignment horizontal="center" wrapText="1"/>
    </xf>
    <xf numFmtId="0" fontId="13" fillId="11" borderId="4" xfId="0" applyFont="1" applyFill="1" applyBorder="1" applyAlignment="1">
      <alignment horizontal="center" wrapText="1"/>
    </xf>
    <xf numFmtId="0" fontId="25" fillId="15" borderId="16" xfId="0" applyFont="1" applyFill="1" applyBorder="1" applyAlignment="1">
      <alignment horizontal="center" vertical="center" wrapText="1"/>
    </xf>
    <xf numFmtId="0" fontId="25" fillId="15" borderId="15" xfId="0" applyFont="1" applyFill="1" applyBorder="1" applyAlignment="1">
      <alignment horizontal="center" vertical="center" wrapText="1"/>
    </xf>
    <xf numFmtId="0" fontId="25" fillId="15" borderId="6" xfId="0" applyFont="1" applyFill="1" applyBorder="1" applyAlignment="1">
      <alignment horizontal="center" vertical="center" wrapText="1"/>
    </xf>
    <xf numFmtId="3" fontId="3" fillId="24" borderId="59" xfId="8" applyNumberFormat="1" applyFont="1" applyAlignment="1">
      <alignment horizontal="center" vertical="center"/>
    </xf>
  </cellXfs>
  <cellStyles count="9">
    <cellStyle name="Calcul" xfId="6" builtinId="22"/>
    <cellStyle name="Commentaire" xfId="8" builtinId="10"/>
    <cellStyle name="Euro" xfId="3"/>
    <cellStyle name="Monétaire" xfId="1" builtinId="4"/>
    <cellStyle name="Normal" xfId="0" builtinId="0"/>
    <cellStyle name="Pourcentage" xfId="2" builtinId="5"/>
    <cellStyle name="Titre" xfId="4" builtinId="15"/>
    <cellStyle name="Titre 2" xfId="5" builtinId="17"/>
    <cellStyle name="Vérification" xfId="7" builtinId="23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externalLink" Target="externalLinks/externalLink1.xml"/><Relationship Id="rId35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276225</xdr:colOff>
      <xdr:row>58</xdr:row>
      <xdr:rowOff>95250</xdr:rowOff>
    </xdr:from>
    <xdr:to>
      <xdr:col>1</xdr:col>
      <xdr:colOff>1720215</xdr:colOff>
      <xdr:row>61</xdr:row>
      <xdr:rowOff>67310</xdr:rowOff>
    </xdr:to>
    <xdr:pic>
      <xdr:nvPicPr>
        <xdr:cNvPr id="2" name="Image 1" descr="S:\LOGOS-SIGNATURES ELECTRONIQUES\PLR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050" y="11439525"/>
          <a:ext cx="1443990" cy="55308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58</xdr:row>
      <xdr:rowOff>0</xdr:rowOff>
    </xdr:from>
    <xdr:to>
      <xdr:col>1</xdr:col>
      <xdr:colOff>1443990</xdr:colOff>
      <xdr:row>60</xdr:row>
      <xdr:rowOff>162560</xdr:rowOff>
    </xdr:to>
    <xdr:pic>
      <xdr:nvPicPr>
        <xdr:cNvPr id="2" name="Image 1" descr="S:\LOGOS-SIGNATURES ELECTRONIQUES\PLR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" y="11220450"/>
          <a:ext cx="1443990" cy="55308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59</xdr:row>
      <xdr:rowOff>0</xdr:rowOff>
    </xdr:from>
    <xdr:to>
      <xdr:col>0</xdr:col>
      <xdr:colOff>1443990</xdr:colOff>
      <xdr:row>61</xdr:row>
      <xdr:rowOff>172085</xdr:rowOff>
    </xdr:to>
    <xdr:pic>
      <xdr:nvPicPr>
        <xdr:cNvPr id="3" name="Image 2" descr="S:\LOGOS-SIGNATURES ELECTRONIQUES\PLR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468100"/>
          <a:ext cx="1443990" cy="55308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28575</xdr:colOff>
      <xdr:row>58</xdr:row>
      <xdr:rowOff>142875</xdr:rowOff>
    </xdr:from>
    <xdr:to>
      <xdr:col>1</xdr:col>
      <xdr:colOff>1472565</xdr:colOff>
      <xdr:row>61</xdr:row>
      <xdr:rowOff>114935</xdr:rowOff>
    </xdr:to>
    <xdr:pic>
      <xdr:nvPicPr>
        <xdr:cNvPr id="3" name="Image 2" descr="S:\LOGOS-SIGNATURES ELECTRONIQUES\PLR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553825"/>
          <a:ext cx="1443990" cy="55308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e/AppData/Local/Microsoft/Windows/INetCache/Content.Outlook/7S93TC7M/Budget%20pr&#233;visionnel%202018%20version%20Malika%2012%2007%202017%20v%202%20avec%20Wacan%202018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Comptabilit&#233;/SUIVIBUDGET/COMPTABILITE%20PCE%202015/PREVISIONNEL%202015/OPTION%20BAISSE%20BUDGET/BUDGET%2024%20PREVISIONNEL%20201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alo"/>
      <sheetName val="Depenses-Recettes"/>
      <sheetName val="Analytique"/>
      <sheetName val="Feuil3"/>
    </sheetNames>
    <sheetDataSet>
      <sheetData sheetId="0">
        <row r="21">
          <cell r="X21">
            <v>40821.720000000008</v>
          </cell>
        </row>
      </sheetData>
      <sheetData sheetId="1"/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alo"/>
      <sheetName val="Recettes"/>
      <sheetName val="Data"/>
      <sheetName val="Bugets consolidés"/>
      <sheetName val="Masse salariale"/>
      <sheetName val="détail analytique"/>
      <sheetName val="Budget A GOUV"/>
      <sheetName val="Budget B ECO"/>
      <sheetName val="C1 livre augmenté"/>
      <sheetName val="C2 Mice Place"/>
      <sheetName val="C3 Roadshow Allg"/>
      <sheetName val="C4 Heavent Cannes"/>
      <sheetName val="C5 Imex"/>
      <sheetName val="C6 Eductour 1"/>
      <sheetName val="C7 Eductour 2"/>
      <sheetName val="C8 Demarchage Belgique "/>
      <sheetName val="C9 Reunir"/>
      <sheetName val="C10 Be our Guest"/>
      <sheetName val="C11 Séminiare expo"/>
      <sheetName val="C12 Workshop Paris"/>
      <sheetName val="C13 Développement Inter"/>
      <sheetName val="C14 Formation pro adh "/>
      <sheetName val="Budget D"/>
      <sheetName val="BUDGET REGION CONSOLIDE"/>
      <sheetName val="BUDGET REGION GOUV"/>
      <sheetName val="BUDGET REGION ECO"/>
      <sheetName val="BUDGET LIVRE AUGMENTE"/>
      <sheetName val="BUDGET REGION MICE PLACE"/>
      <sheetName val="BUDGET REGION ROADSHOW ALLG"/>
      <sheetName val="BUDGET REGION HEAVENT"/>
      <sheetName val="BUDGET IMEX"/>
      <sheetName val="BUDGET EDUCTOUR 1 et 2"/>
      <sheetName val="DEMARCHAGE BELGIQUE"/>
      <sheetName val="BUDGET REUNIR"/>
      <sheetName val="BUDGET BE OUR GUEST"/>
      <sheetName val="BUDGET SEMINAIRE EXPO"/>
      <sheetName val="BUDGET WORKSHOP PARIS"/>
      <sheetName val="BUDGET DVP INTERNATIONAL"/>
      <sheetName val="BUDGET FORMATION PRO ADH"/>
      <sheetName val="BUDGET CONSO Beour semexpo reun"/>
      <sheetName val="BUDGET CONSO DVP INTER &amp; D,Belg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>
        <row r="60">
          <cell r="C60">
            <v>0</v>
          </cell>
        </row>
      </sheetData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Y24"/>
  <sheetViews>
    <sheetView workbookViewId="0"/>
  </sheetViews>
  <sheetFormatPr baseColWidth="10" defaultRowHeight="15" x14ac:dyDescent="0.25"/>
  <cols>
    <col min="1" max="1" width="16.7109375" bestFit="1" customWidth="1"/>
    <col min="2" max="2" width="15.42578125" customWidth="1"/>
    <col min="3" max="3" width="17.7109375" customWidth="1"/>
    <col min="16" max="16" width="15" customWidth="1"/>
  </cols>
  <sheetData>
    <row r="2" spans="1:25" thickBot="1" x14ac:dyDescent="0.4"/>
    <row r="3" spans="1:25" thickBot="1" x14ac:dyDescent="0.4">
      <c r="F3" s="361" t="s">
        <v>103</v>
      </c>
      <c r="G3" s="362"/>
      <c r="H3" s="363" t="s">
        <v>37</v>
      </c>
      <c r="I3" s="364"/>
      <c r="J3" s="364"/>
      <c r="K3" s="364"/>
      <c r="L3" s="364"/>
      <c r="M3" s="364"/>
      <c r="N3" s="364"/>
      <c r="O3" s="365"/>
      <c r="P3" s="267"/>
      <c r="Q3" s="267"/>
      <c r="R3" s="267"/>
      <c r="S3" s="267"/>
      <c r="T3" s="100" t="s">
        <v>36</v>
      </c>
      <c r="U3" s="101" t="s">
        <v>37</v>
      </c>
    </row>
    <row r="4" spans="1:25" ht="45.75" thickBot="1" x14ac:dyDescent="0.3">
      <c r="A4" s="102" t="s">
        <v>104</v>
      </c>
      <c r="B4" s="103" t="s">
        <v>105</v>
      </c>
      <c r="C4" s="103" t="s">
        <v>106</v>
      </c>
      <c r="D4" s="103" t="s">
        <v>107</v>
      </c>
      <c r="E4" s="104" t="s">
        <v>108</v>
      </c>
      <c r="F4" s="105" t="s">
        <v>109</v>
      </c>
      <c r="G4" s="106" t="s">
        <v>187</v>
      </c>
      <c r="H4" s="268" t="s">
        <v>110</v>
      </c>
      <c r="I4" s="269" t="s">
        <v>219</v>
      </c>
      <c r="J4" s="269" t="s">
        <v>111</v>
      </c>
      <c r="K4" s="269" t="s">
        <v>220</v>
      </c>
      <c r="L4" s="269" t="s">
        <v>112</v>
      </c>
      <c r="M4" s="269" t="s">
        <v>186</v>
      </c>
      <c r="N4" s="269" t="s">
        <v>113</v>
      </c>
      <c r="O4" s="270" t="s">
        <v>221</v>
      </c>
      <c r="P4" s="271" t="s">
        <v>114</v>
      </c>
      <c r="Q4" s="271" t="s">
        <v>115</v>
      </c>
      <c r="R4" s="271" t="s">
        <v>222</v>
      </c>
      <c r="S4" s="271" t="s">
        <v>223</v>
      </c>
      <c r="T4" s="107"/>
      <c r="U4" s="107"/>
      <c r="V4" s="108" t="s">
        <v>116</v>
      </c>
      <c r="W4" s="109" t="s">
        <v>117</v>
      </c>
      <c r="X4" s="110" t="s">
        <v>118</v>
      </c>
    </row>
    <row r="5" spans="1:25" x14ac:dyDescent="0.25">
      <c r="A5" s="272" t="s">
        <v>119</v>
      </c>
      <c r="B5" s="273" t="s">
        <v>120</v>
      </c>
      <c r="C5" s="273" t="s">
        <v>121</v>
      </c>
      <c r="D5" s="273">
        <v>60</v>
      </c>
      <c r="E5" s="274">
        <f t="shared" ref="E5:E10" si="0">F5+G5+H5+I5+J5+K5+L5+M5+N5+O5+P5+Q5+R5+S5</f>
        <v>173</v>
      </c>
      <c r="F5" s="275">
        <v>18</v>
      </c>
      <c r="G5" s="276">
        <v>20</v>
      </c>
      <c r="H5" s="277">
        <v>15</v>
      </c>
      <c r="I5" s="278">
        <v>10</v>
      </c>
      <c r="J5" s="278">
        <v>15</v>
      </c>
      <c r="K5" s="278">
        <v>10</v>
      </c>
      <c r="L5" s="278">
        <v>18</v>
      </c>
      <c r="M5" s="278">
        <v>6</v>
      </c>
      <c r="N5" s="278">
        <v>10</v>
      </c>
      <c r="O5" s="276">
        <v>15</v>
      </c>
      <c r="P5" s="279">
        <v>10</v>
      </c>
      <c r="Q5" s="279">
        <v>10</v>
      </c>
      <c r="R5" s="279">
        <v>12</v>
      </c>
      <c r="S5" s="279">
        <v>4</v>
      </c>
      <c r="T5" s="280">
        <v>0</v>
      </c>
      <c r="U5" s="112">
        <v>0</v>
      </c>
      <c r="V5" s="113">
        <f t="shared" ref="V5:V20" si="1">(T5+(F5*0.1)+(G5*0.1))*E5</f>
        <v>657.4</v>
      </c>
      <c r="W5" s="114">
        <f t="shared" ref="W5:W20" si="2">((F5*0.9)+(G5*0.09)+H5+I5+J5+K5+L5+M5+N5+O5+P5+Q5+R5+S5)*E5</f>
        <v>26469</v>
      </c>
      <c r="X5" s="115">
        <f>W5+V5</f>
        <v>27126.400000000001</v>
      </c>
      <c r="Y5">
        <v>0</v>
      </c>
    </row>
    <row r="6" spans="1:25" x14ac:dyDescent="0.25">
      <c r="A6" s="272" t="s">
        <v>188</v>
      </c>
      <c r="B6" s="273" t="s">
        <v>189</v>
      </c>
      <c r="C6" s="273" t="s">
        <v>122</v>
      </c>
      <c r="D6" s="273">
        <v>76</v>
      </c>
      <c r="E6" s="274">
        <f t="shared" si="0"/>
        <v>60</v>
      </c>
      <c r="F6" s="281">
        <v>12</v>
      </c>
      <c r="G6" s="282">
        <v>10</v>
      </c>
      <c r="H6" s="283">
        <v>0</v>
      </c>
      <c r="I6" s="15">
        <v>0</v>
      </c>
      <c r="J6" s="15">
        <v>6</v>
      </c>
      <c r="K6" s="15"/>
      <c r="L6" s="15">
        <v>4</v>
      </c>
      <c r="M6" s="15">
        <v>2</v>
      </c>
      <c r="N6" s="15">
        <v>6</v>
      </c>
      <c r="O6" s="282">
        <v>7</v>
      </c>
      <c r="P6" s="284">
        <v>6</v>
      </c>
      <c r="Q6" s="284">
        <v>7</v>
      </c>
      <c r="R6" s="284"/>
      <c r="S6" s="284"/>
      <c r="T6" s="285"/>
      <c r="U6" s="116"/>
      <c r="V6" s="113">
        <f t="shared" si="1"/>
        <v>132</v>
      </c>
      <c r="W6" s="114">
        <f t="shared" si="2"/>
        <v>2982</v>
      </c>
      <c r="X6" s="115">
        <f t="shared" ref="X6:X20" si="3">W6+V6</f>
        <v>3114</v>
      </c>
      <c r="Y6">
        <v>0</v>
      </c>
    </row>
    <row r="7" spans="1:25" x14ac:dyDescent="0.25">
      <c r="A7" s="272" t="s">
        <v>123</v>
      </c>
      <c r="B7" s="273" t="s">
        <v>124</v>
      </c>
      <c r="C7" s="273" t="s">
        <v>125</v>
      </c>
      <c r="D7" s="273">
        <v>60</v>
      </c>
      <c r="E7" s="274">
        <f t="shared" si="0"/>
        <v>66</v>
      </c>
      <c r="F7" s="281">
        <v>18</v>
      </c>
      <c r="G7" s="282">
        <v>8</v>
      </c>
      <c r="H7" s="283">
        <v>0</v>
      </c>
      <c r="I7" s="15">
        <v>0</v>
      </c>
      <c r="J7" s="15">
        <v>4</v>
      </c>
      <c r="K7" s="15">
        <v>0</v>
      </c>
      <c r="L7" s="15">
        <v>2</v>
      </c>
      <c r="M7" s="15">
        <v>2</v>
      </c>
      <c r="N7" s="15">
        <v>3</v>
      </c>
      <c r="O7" s="282">
        <v>15</v>
      </c>
      <c r="P7" s="284">
        <v>8</v>
      </c>
      <c r="Q7" s="284">
        <v>0</v>
      </c>
      <c r="R7" s="284">
        <v>2</v>
      </c>
      <c r="S7" s="284">
        <v>4</v>
      </c>
      <c r="T7" s="285">
        <v>0</v>
      </c>
      <c r="U7" s="116"/>
      <c r="V7" s="113">
        <f t="shared" si="1"/>
        <v>171.6</v>
      </c>
      <c r="W7" s="114">
        <f t="shared" si="2"/>
        <v>3756.7200000000003</v>
      </c>
      <c r="X7" s="115">
        <f t="shared" si="3"/>
        <v>3928.32</v>
      </c>
      <c r="Y7">
        <v>0</v>
      </c>
    </row>
    <row r="8" spans="1:25" x14ac:dyDescent="0.25">
      <c r="A8" s="272" t="s">
        <v>224</v>
      </c>
      <c r="B8" s="273" t="s">
        <v>225</v>
      </c>
      <c r="C8" s="273" t="s">
        <v>126</v>
      </c>
      <c r="D8" s="273">
        <v>33</v>
      </c>
      <c r="E8" s="274">
        <f t="shared" si="0"/>
        <v>32</v>
      </c>
      <c r="F8" s="281">
        <v>18</v>
      </c>
      <c r="G8" s="282">
        <v>6</v>
      </c>
      <c r="H8" s="283"/>
      <c r="I8" s="15"/>
      <c r="J8" s="15"/>
      <c r="K8" s="15"/>
      <c r="L8" s="15">
        <v>2</v>
      </c>
      <c r="M8" s="15"/>
      <c r="N8" s="15"/>
      <c r="O8" s="282">
        <v>6</v>
      </c>
      <c r="P8" s="284"/>
      <c r="Q8" s="284"/>
      <c r="R8" s="284"/>
      <c r="S8" s="284"/>
      <c r="T8" s="285"/>
      <c r="U8" s="116"/>
      <c r="V8" s="113">
        <f t="shared" si="1"/>
        <v>76.800000000000011</v>
      </c>
      <c r="W8" s="114">
        <f t="shared" si="2"/>
        <v>791.68</v>
      </c>
      <c r="X8" s="115">
        <f t="shared" si="3"/>
        <v>868.48</v>
      </c>
      <c r="Y8">
        <v>0</v>
      </c>
    </row>
    <row r="9" spans="1:25" x14ac:dyDescent="0.25">
      <c r="A9" s="272" t="s">
        <v>190</v>
      </c>
      <c r="B9" s="273" t="s">
        <v>191</v>
      </c>
      <c r="C9" s="273" t="s">
        <v>125</v>
      </c>
      <c r="D9" s="273">
        <v>76</v>
      </c>
      <c r="E9" s="274">
        <f t="shared" si="0"/>
        <v>41</v>
      </c>
      <c r="F9" s="281">
        <v>18</v>
      </c>
      <c r="G9" s="282">
        <v>4</v>
      </c>
      <c r="H9" s="283"/>
      <c r="I9" s="15"/>
      <c r="J9" s="15">
        <v>4</v>
      </c>
      <c r="K9" s="15"/>
      <c r="L9" s="15"/>
      <c r="M9" s="15"/>
      <c r="N9" s="15">
        <v>2</v>
      </c>
      <c r="O9" s="282"/>
      <c r="P9" s="284"/>
      <c r="Q9" s="284">
        <v>2</v>
      </c>
      <c r="R9" s="284">
        <v>7</v>
      </c>
      <c r="S9" s="284">
        <v>4</v>
      </c>
      <c r="T9" s="285"/>
      <c r="U9" s="116"/>
      <c r="V9" s="113">
        <f t="shared" si="1"/>
        <v>90.2</v>
      </c>
      <c r="W9" s="114">
        <f t="shared" si="2"/>
        <v>1457.96</v>
      </c>
      <c r="X9" s="115">
        <f t="shared" si="3"/>
        <v>1548.16</v>
      </c>
      <c r="Y9">
        <v>0</v>
      </c>
    </row>
    <row r="10" spans="1:25" x14ac:dyDescent="0.25">
      <c r="A10" s="272" t="s">
        <v>192</v>
      </c>
      <c r="B10" s="273" t="s">
        <v>193</v>
      </c>
      <c r="C10" s="273" t="s">
        <v>125</v>
      </c>
      <c r="D10" s="273">
        <v>33</v>
      </c>
      <c r="E10" s="274">
        <f t="shared" si="0"/>
        <v>38</v>
      </c>
      <c r="F10" s="281">
        <v>18</v>
      </c>
      <c r="G10" s="282">
        <v>4</v>
      </c>
      <c r="H10" s="283"/>
      <c r="I10" s="15"/>
      <c r="J10" s="15"/>
      <c r="K10" s="15"/>
      <c r="L10" s="15"/>
      <c r="M10" s="15"/>
      <c r="N10" s="15">
        <v>6</v>
      </c>
      <c r="O10" s="282">
        <v>2</v>
      </c>
      <c r="P10" s="284"/>
      <c r="Q10" s="284"/>
      <c r="R10" s="284"/>
      <c r="S10" s="284">
        <v>8</v>
      </c>
      <c r="T10" s="285"/>
      <c r="U10" s="116"/>
      <c r="V10" s="113">
        <f t="shared" si="1"/>
        <v>83.600000000000009</v>
      </c>
      <c r="W10" s="114">
        <f t="shared" si="2"/>
        <v>1237.2800000000002</v>
      </c>
      <c r="X10" s="115">
        <f t="shared" si="3"/>
        <v>1320.88</v>
      </c>
      <c r="Y10">
        <v>0</v>
      </c>
    </row>
    <row r="11" spans="1:25" ht="14.45" x14ac:dyDescent="0.35">
      <c r="A11" s="286" t="s">
        <v>226</v>
      </c>
      <c r="B11" s="273" t="s">
        <v>227</v>
      </c>
      <c r="C11" s="273" t="s">
        <v>228</v>
      </c>
      <c r="D11" s="273">
        <v>33</v>
      </c>
      <c r="E11" s="274">
        <v>34</v>
      </c>
      <c r="F11" s="281">
        <v>12</v>
      </c>
      <c r="G11" s="282">
        <v>8</v>
      </c>
      <c r="H11" s="283"/>
      <c r="I11" s="15"/>
      <c r="J11" s="15">
        <v>4</v>
      </c>
      <c r="K11" s="15"/>
      <c r="L11" s="15"/>
      <c r="M11" s="15"/>
      <c r="N11" s="15"/>
      <c r="O11" s="282">
        <v>2</v>
      </c>
      <c r="P11" s="284">
        <v>2</v>
      </c>
      <c r="Q11" s="284"/>
      <c r="R11" s="284"/>
      <c r="S11" s="284">
        <v>6</v>
      </c>
      <c r="T11" s="285"/>
      <c r="U11" s="116"/>
      <c r="V11" s="113">
        <f t="shared" si="1"/>
        <v>68</v>
      </c>
      <c r="W11" s="114">
        <f t="shared" si="2"/>
        <v>867.68000000000006</v>
      </c>
      <c r="X11" s="115">
        <f t="shared" si="3"/>
        <v>935.68000000000006</v>
      </c>
      <c r="Y11">
        <v>0</v>
      </c>
    </row>
    <row r="12" spans="1:25" ht="14.45" x14ac:dyDescent="0.35">
      <c r="A12" s="273" t="s">
        <v>229</v>
      </c>
      <c r="B12" s="273" t="s">
        <v>230</v>
      </c>
      <c r="C12" s="273" t="s">
        <v>231</v>
      </c>
      <c r="D12" s="273">
        <v>76</v>
      </c>
      <c r="E12" s="274">
        <f>F12+G12+H12+I12+J12+K12+L12+M12+N12+O12+P12+Q12+R12+S12</f>
        <v>28</v>
      </c>
      <c r="F12" s="281">
        <v>12</v>
      </c>
      <c r="G12" s="282"/>
      <c r="H12" s="283"/>
      <c r="I12" s="15"/>
      <c r="J12" s="15">
        <v>4</v>
      </c>
      <c r="K12" s="15"/>
      <c r="L12" s="15"/>
      <c r="M12" s="15"/>
      <c r="N12" s="15">
        <v>10</v>
      </c>
      <c r="O12" s="282"/>
      <c r="P12" s="284">
        <v>2</v>
      </c>
      <c r="Q12" s="284"/>
      <c r="R12" s="284"/>
      <c r="S12" s="284"/>
      <c r="T12" s="285"/>
      <c r="U12" s="116"/>
      <c r="V12" s="113">
        <f t="shared" si="1"/>
        <v>33.600000000000009</v>
      </c>
      <c r="W12" s="114">
        <f t="shared" si="2"/>
        <v>750.4</v>
      </c>
      <c r="X12" s="115">
        <f t="shared" si="3"/>
        <v>784</v>
      </c>
      <c r="Y12">
        <v>0</v>
      </c>
    </row>
    <row r="13" spans="1:25" x14ac:dyDescent="0.25">
      <c r="A13" s="273" t="s">
        <v>232</v>
      </c>
      <c r="B13" s="273" t="s">
        <v>233</v>
      </c>
      <c r="C13" s="273" t="s">
        <v>234</v>
      </c>
      <c r="D13" s="273">
        <v>33</v>
      </c>
      <c r="E13" s="274">
        <f>F13+G13+H13+I13+J13+K13+L13+M13+N13+O13+P13+Q13+R13+S13</f>
        <v>18</v>
      </c>
      <c r="F13" s="281">
        <v>12</v>
      </c>
      <c r="G13" s="282"/>
      <c r="H13" s="283"/>
      <c r="I13" s="15">
        <v>2</v>
      </c>
      <c r="J13" s="15">
        <v>2</v>
      </c>
      <c r="K13" s="15"/>
      <c r="L13" s="15"/>
      <c r="M13" s="15"/>
      <c r="N13" s="15"/>
      <c r="O13" s="282">
        <v>2</v>
      </c>
      <c r="P13" s="284"/>
      <c r="Q13" s="284"/>
      <c r="R13" s="284"/>
      <c r="S13" s="284"/>
      <c r="T13" s="285"/>
      <c r="U13" s="116"/>
      <c r="V13" s="113">
        <f t="shared" si="1"/>
        <v>21.6</v>
      </c>
      <c r="W13" s="114">
        <f t="shared" si="2"/>
        <v>302.40000000000003</v>
      </c>
      <c r="X13" s="115">
        <f t="shared" si="3"/>
        <v>324.00000000000006</v>
      </c>
      <c r="Y13">
        <v>0</v>
      </c>
    </row>
    <row r="14" spans="1:25" x14ac:dyDescent="0.25">
      <c r="A14" s="273" t="s">
        <v>235</v>
      </c>
      <c r="B14" s="273" t="s">
        <v>236</v>
      </c>
      <c r="C14" s="273" t="s">
        <v>234</v>
      </c>
      <c r="D14" s="273">
        <v>76</v>
      </c>
      <c r="E14" s="274">
        <v>16</v>
      </c>
      <c r="F14" s="281">
        <v>8</v>
      </c>
      <c r="G14" s="282"/>
      <c r="H14" s="283"/>
      <c r="I14" s="15"/>
      <c r="J14" s="15"/>
      <c r="K14" s="15"/>
      <c r="L14" s="15"/>
      <c r="M14" s="15"/>
      <c r="N14" s="15"/>
      <c r="O14" s="282"/>
      <c r="P14" s="284">
        <v>4</v>
      </c>
      <c r="Q14" s="284"/>
      <c r="R14" s="284"/>
      <c r="S14" s="284"/>
      <c r="T14" s="285"/>
      <c r="U14" s="116"/>
      <c r="V14" s="113">
        <f t="shared" si="1"/>
        <v>12.8</v>
      </c>
      <c r="W14" s="114">
        <f t="shared" si="2"/>
        <v>179.2</v>
      </c>
      <c r="X14" s="115">
        <f t="shared" si="3"/>
        <v>192</v>
      </c>
      <c r="Y14">
        <v>0</v>
      </c>
    </row>
    <row r="15" spans="1:25" ht="30" x14ac:dyDescent="0.25">
      <c r="A15" s="287" t="s">
        <v>237</v>
      </c>
      <c r="B15" s="273" t="s">
        <v>238</v>
      </c>
      <c r="C15" s="273" t="s">
        <v>234</v>
      </c>
      <c r="D15" s="273">
        <v>76</v>
      </c>
      <c r="E15" s="274">
        <v>16</v>
      </c>
      <c r="F15" s="281">
        <v>12</v>
      </c>
      <c r="G15" s="282"/>
      <c r="H15" s="283"/>
      <c r="I15" s="15"/>
      <c r="J15" s="15">
        <v>4</v>
      </c>
      <c r="K15" s="15"/>
      <c r="L15" s="15"/>
      <c r="M15" s="15"/>
      <c r="N15" s="15"/>
      <c r="O15" s="282"/>
      <c r="P15" s="284"/>
      <c r="Q15" s="284"/>
      <c r="R15" s="284"/>
      <c r="S15" s="284"/>
      <c r="T15" s="285"/>
      <c r="U15" s="116"/>
      <c r="V15" s="113">
        <f t="shared" si="1"/>
        <v>19.200000000000003</v>
      </c>
      <c r="W15" s="114">
        <f t="shared" si="2"/>
        <v>236.8</v>
      </c>
      <c r="X15" s="115">
        <f t="shared" si="3"/>
        <v>256</v>
      </c>
      <c r="Y15">
        <v>0</v>
      </c>
    </row>
    <row r="16" spans="1:25" x14ac:dyDescent="0.25">
      <c r="A16" s="273" t="s">
        <v>239</v>
      </c>
      <c r="B16" s="273" t="s">
        <v>240</v>
      </c>
      <c r="C16" s="273" t="s">
        <v>234</v>
      </c>
      <c r="D16" s="273">
        <v>60</v>
      </c>
      <c r="E16" s="274">
        <f>F16+G16+H16+I16+J16+K16+L16+M16+N16+O16+P16+Q16+R16+S16</f>
        <v>12</v>
      </c>
      <c r="F16" s="281">
        <v>6</v>
      </c>
      <c r="G16" s="282"/>
      <c r="H16" s="283"/>
      <c r="I16" s="15"/>
      <c r="J16" s="15"/>
      <c r="K16" s="15"/>
      <c r="L16" s="15"/>
      <c r="M16" s="15"/>
      <c r="N16" s="15"/>
      <c r="O16" s="282"/>
      <c r="P16" s="284"/>
      <c r="Q16" s="284"/>
      <c r="R16" s="284">
        <v>6</v>
      </c>
      <c r="S16" s="284"/>
      <c r="T16" s="285"/>
      <c r="U16" s="116"/>
      <c r="V16" s="113">
        <f t="shared" si="1"/>
        <v>7.2000000000000011</v>
      </c>
      <c r="W16" s="114">
        <f t="shared" si="2"/>
        <v>136.80000000000001</v>
      </c>
      <c r="X16" s="115">
        <f t="shared" si="3"/>
        <v>144</v>
      </c>
      <c r="Y16">
        <v>0</v>
      </c>
    </row>
    <row r="17" spans="1:25" x14ac:dyDescent="0.25">
      <c r="A17" s="273" t="s">
        <v>241</v>
      </c>
      <c r="B17" s="273" t="s">
        <v>242</v>
      </c>
      <c r="C17" s="273" t="s">
        <v>234</v>
      </c>
      <c r="D17" s="273">
        <v>33</v>
      </c>
      <c r="E17" s="274">
        <v>12</v>
      </c>
      <c r="F17" s="281">
        <v>8</v>
      </c>
      <c r="G17" s="282"/>
      <c r="H17" s="283"/>
      <c r="I17" s="15"/>
      <c r="J17" s="15">
        <v>2</v>
      </c>
      <c r="K17" s="15"/>
      <c r="L17" s="15"/>
      <c r="M17" s="15"/>
      <c r="N17" s="15"/>
      <c r="O17" s="282">
        <v>2</v>
      </c>
      <c r="P17" s="284"/>
      <c r="Q17" s="284"/>
      <c r="R17" s="284"/>
      <c r="S17" s="284"/>
      <c r="T17" s="285"/>
      <c r="U17" s="116"/>
      <c r="V17" s="113">
        <f t="shared" si="1"/>
        <v>9.6000000000000014</v>
      </c>
      <c r="W17" s="114">
        <f t="shared" si="2"/>
        <v>134.39999999999998</v>
      </c>
      <c r="X17" s="115">
        <f t="shared" si="3"/>
        <v>143.99999999999997</v>
      </c>
      <c r="Y17">
        <v>0</v>
      </c>
    </row>
    <row r="18" spans="1:25" x14ac:dyDescent="0.25">
      <c r="A18" s="273" t="s">
        <v>243</v>
      </c>
      <c r="B18" s="273" t="s">
        <v>244</v>
      </c>
      <c r="C18" s="273" t="s">
        <v>234</v>
      </c>
      <c r="D18" s="273">
        <v>60</v>
      </c>
      <c r="E18" s="274">
        <v>6</v>
      </c>
      <c r="F18" s="281">
        <v>6</v>
      </c>
      <c r="G18" s="282"/>
      <c r="H18" s="283"/>
      <c r="I18" s="15"/>
      <c r="J18" s="15"/>
      <c r="K18" s="15"/>
      <c r="L18" s="15"/>
      <c r="M18" s="15"/>
      <c r="N18" s="15"/>
      <c r="O18" s="282"/>
      <c r="P18" s="284"/>
      <c r="Q18" s="284"/>
      <c r="R18" s="284"/>
      <c r="S18" s="284"/>
      <c r="T18" s="285"/>
      <c r="U18" s="116"/>
      <c r="V18" s="113">
        <f t="shared" si="1"/>
        <v>3.6000000000000005</v>
      </c>
      <c r="W18" s="114">
        <f t="shared" si="2"/>
        <v>32.400000000000006</v>
      </c>
      <c r="X18" s="115">
        <f t="shared" si="3"/>
        <v>36.000000000000007</v>
      </c>
      <c r="Y18">
        <v>0</v>
      </c>
    </row>
    <row r="19" spans="1:25" x14ac:dyDescent="0.25">
      <c r="A19" s="272" t="s">
        <v>245</v>
      </c>
      <c r="B19" s="273" t="s">
        <v>246</v>
      </c>
      <c r="C19" s="273" t="s">
        <v>234</v>
      </c>
      <c r="D19" s="273">
        <v>60</v>
      </c>
      <c r="E19" s="274">
        <f>F19+G19+H19+I19+J19+K19+L19+M19+N19+O19+P19+Q19+R19+S19</f>
        <v>10</v>
      </c>
      <c r="F19" s="281">
        <v>4</v>
      </c>
      <c r="G19" s="282">
        <v>2</v>
      </c>
      <c r="H19" s="283"/>
      <c r="I19" s="15"/>
      <c r="J19" s="15"/>
      <c r="K19" s="15"/>
      <c r="L19" s="15"/>
      <c r="M19" s="15"/>
      <c r="N19" s="15"/>
      <c r="O19" s="282"/>
      <c r="P19" s="284"/>
      <c r="Q19" s="284"/>
      <c r="R19" s="284">
        <v>4</v>
      </c>
      <c r="S19" s="284"/>
      <c r="T19" s="285"/>
      <c r="U19" s="116"/>
      <c r="V19" s="113">
        <f t="shared" si="1"/>
        <v>6.0000000000000009</v>
      </c>
      <c r="W19" s="114">
        <f t="shared" si="2"/>
        <v>77.8</v>
      </c>
      <c r="X19" s="115">
        <f t="shared" si="3"/>
        <v>83.8</v>
      </c>
      <c r="Y19">
        <v>0</v>
      </c>
    </row>
    <row r="20" spans="1:25" ht="15.75" thickBot="1" x14ac:dyDescent="0.3">
      <c r="A20" s="272" t="s">
        <v>247</v>
      </c>
      <c r="B20" s="288" t="s">
        <v>248</v>
      </c>
      <c r="C20" s="273" t="s">
        <v>228</v>
      </c>
      <c r="D20" s="117">
        <v>60</v>
      </c>
      <c r="E20" s="111">
        <v>4</v>
      </c>
      <c r="F20" s="118">
        <v>4</v>
      </c>
      <c r="G20" s="119"/>
      <c r="H20" s="120"/>
      <c r="I20" s="121"/>
      <c r="J20" s="121"/>
      <c r="K20" s="121"/>
      <c r="L20" s="121"/>
      <c r="M20" s="121"/>
      <c r="N20" s="121"/>
      <c r="O20" s="119"/>
      <c r="P20" s="122"/>
      <c r="Q20" s="122"/>
      <c r="R20" s="122"/>
      <c r="S20" s="122"/>
      <c r="T20" s="123"/>
      <c r="U20" s="124"/>
      <c r="V20" s="113">
        <f t="shared" si="1"/>
        <v>1.6</v>
      </c>
      <c r="W20" s="114">
        <f t="shared" si="2"/>
        <v>14.4</v>
      </c>
      <c r="X20" s="115">
        <f t="shared" si="3"/>
        <v>16</v>
      </c>
      <c r="Y20">
        <v>0</v>
      </c>
    </row>
    <row r="21" spans="1:25" ht="16.5" thickBot="1" x14ac:dyDescent="0.3">
      <c r="V21" s="125">
        <f>SUM(V5:V20)</f>
        <v>1394.7999999999995</v>
      </c>
      <c r="W21" s="126">
        <f>SUM(W5:W20)</f>
        <v>39426.920000000013</v>
      </c>
      <c r="X21" s="127">
        <f>SUM(X5:X20)</f>
        <v>40821.720000000008</v>
      </c>
      <c r="Y21">
        <v>0</v>
      </c>
    </row>
    <row r="23" spans="1:25" x14ac:dyDescent="0.25">
      <c r="B23" s="128"/>
    </row>
    <row r="24" spans="1:25" x14ac:dyDescent="0.25">
      <c r="B24" s="128"/>
      <c r="X24" s="289">
        <v>40000</v>
      </c>
    </row>
  </sheetData>
  <mergeCells count="2">
    <mergeCell ref="F3:G3"/>
    <mergeCell ref="H3:O3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4:O166"/>
  <sheetViews>
    <sheetView topLeftCell="B73" workbookViewId="0">
      <selection activeCell="B84" sqref="B84"/>
    </sheetView>
  </sheetViews>
  <sheetFormatPr baseColWidth="10" defaultRowHeight="15" x14ac:dyDescent="0.25"/>
  <cols>
    <col min="1" max="2" width="10" customWidth="1"/>
    <col min="3" max="3" width="54.7109375" customWidth="1"/>
    <col min="4" max="4" width="17" hidden="1" customWidth="1"/>
    <col min="5" max="5" width="20" style="1" customWidth="1"/>
    <col min="6" max="6" width="8.7109375" customWidth="1"/>
    <col min="7" max="7" width="7.85546875" customWidth="1"/>
    <col min="8" max="8" width="24.140625" customWidth="1"/>
    <col min="9" max="9" width="0" hidden="1" customWidth="1"/>
    <col min="10" max="10" width="18" style="1" customWidth="1"/>
    <col min="13" max="13" width="12.85546875" bestFit="1" customWidth="1"/>
    <col min="15" max="15" width="11.85546875" bestFit="1" customWidth="1"/>
  </cols>
  <sheetData>
    <row r="4" spans="1:10" thickBot="1" x14ac:dyDescent="0.4"/>
    <row r="5" spans="1:10" ht="31.5" x14ac:dyDescent="0.25">
      <c r="A5" s="2" t="s">
        <v>0</v>
      </c>
      <c r="B5" s="3" t="s">
        <v>64</v>
      </c>
      <c r="C5" s="3"/>
      <c r="D5" s="4"/>
      <c r="E5" s="5" t="s">
        <v>197</v>
      </c>
      <c r="G5" s="6" t="s">
        <v>0</v>
      </c>
      <c r="H5" s="7" t="s">
        <v>2</v>
      </c>
      <c r="I5" s="4"/>
      <c r="J5" s="8" t="s">
        <v>315</v>
      </c>
    </row>
    <row r="6" spans="1:10" x14ac:dyDescent="0.25">
      <c r="A6" s="9">
        <f>Analytique!A3</f>
        <v>6061</v>
      </c>
      <c r="B6" s="9">
        <f>Analytique!B3</f>
        <v>606</v>
      </c>
      <c r="C6" s="10" t="str">
        <f>Analytique!C3</f>
        <v>EDF</v>
      </c>
      <c r="D6" s="11">
        <v>600</v>
      </c>
      <c r="E6" s="243">
        <f>Analytique!E3</f>
        <v>880</v>
      </c>
      <c r="G6" s="12">
        <v>756</v>
      </c>
      <c r="H6" s="13" t="s">
        <v>4</v>
      </c>
      <c r="I6" s="10"/>
      <c r="J6" s="14">
        <f>(165*470+250+115+115)*91%-722.01+26.4</f>
        <v>70311.69</v>
      </c>
    </row>
    <row r="7" spans="1:10" ht="30" x14ac:dyDescent="0.25">
      <c r="A7" s="9">
        <f>Analytique!A4</f>
        <v>6061</v>
      </c>
      <c r="B7" s="9">
        <f>Analytique!B4</f>
        <v>606</v>
      </c>
      <c r="C7" s="10" t="str">
        <f>Analytique!C4</f>
        <v>EDF CELLULE GDS EVENEMENTS</v>
      </c>
      <c r="D7" s="11">
        <v>601</v>
      </c>
      <c r="E7" s="243">
        <f>Analytique!E4</f>
        <v>120</v>
      </c>
      <c r="G7" s="12">
        <v>75601</v>
      </c>
      <c r="H7" s="13" t="s">
        <v>5</v>
      </c>
      <c r="I7" s="10" t="s">
        <v>5</v>
      </c>
      <c r="J7" s="14">
        <f>1820*3</f>
        <v>5460</v>
      </c>
    </row>
    <row r="8" spans="1:10" ht="30" x14ac:dyDescent="0.25">
      <c r="A8" s="9">
        <f>Analytique!A5</f>
        <v>6063</v>
      </c>
      <c r="B8" s="9">
        <f>Analytique!B5</f>
        <v>606</v>
      </c>
      <c r="C8" s="10" t="str">
        <f>Analytique!C5</f>
        <v>FOURNITURES ENTRETIEN DIVERS</v>
      </c>
      <c r="D8" s="11">
        <v>602</v>
      </c>
      <c r="E8" s="243">
        <f>Analytique!E5</f>
        <v>490</v>
      </c>
      <c r="G8" s="12">
        <v>75602</v>
      </c>
      <c r="H8" s="13" t="s">
        <v>6</v>
      </c>
      <c r="I8" s="10"/>
      <c r="J8" s="14">
        <f>8*5100+2*3400</f>
        <v>47600</v>
      </c>
    </row>
    <row r="9" spans="1:10" x14ac:dyDescent="0.25">
      <c r="A9" s="9">
        <f>Analytique!A6</f>
        <v>6063</v>
      </c>
      <c r="B9" s="9">
        <f>Analytique!B6</f>
        <v>606</v>
      </c>
      <c r="C9" s="10" t="str">
        <f>Analytique!C6</f>
        <v>FOURNITURES ENTRETIEN DIVERS CELLULE GDS EVENEMENTS</v>
      </c>
      <c r="D9" s="11">
        <v>603</v>
      </c>
      <c r="E9" s="243">
        <f>Analytique!E6</f>
        <v>110</v>
      </c>
      <c r="G9" s="12">
        <v>7580</v>
      </c>
      <c r="H9" s="13" t="s">
        <v>7</v>
      </c>
      <c r="I9" s="10"/>
      <c r="J9" s="14">
        <f>8*1320+2100*3</f>
        <v>16860</v>
      </c>
    </row>
    <row r="10" spans="1:10" ht="30.75" customHeight="1" x14ac:dyDescent="0.25">
      <c r="A10" s="9">
        <f>Analytique!A7</f>
        <v>6063</v>
      </c>
      <c r="B10" s="9">
        <f>Analytique!B7</f>
        <v>606</v>
      </c>
      <c r="C10" s="10" t="str">
        <f>Analytique!C7</f>
        <v>INVESTISSEMENT INFORMATIQUE</v>
      </c>
      <c r="D10" s="11">
        <v>604</v>
      </c>
      <c r="E10" s="243">
        <f>Analytique!E7</f>
        <v>1980</v>
      </c>
      <c r="G10" s="12">
        <v>7580</v>
      </c>
      <c r="H10" s="13" t="s">
        <v>9</v>
      </c>
      <c r="I10" s="10"/>
      <c r="J10" s="14">
        <v>1000</v>
      </c>
    </row>
    <row r="11" spans="1:10" x14ac:dyDescent="0.25">
      <c r="A11" s="9">
        <f>Analytique!A8</f>
        <v>6063</v>
      </c>
      <c r="B11" s="9">
        <f>Analytique!B8</f>
        <v>606</v>
      </c>
      <c r="C11" s="10" t="str">
        <f>Analytique!C8</f>
        <v>INVESTISSEMENT INFORMATIQUE CELLULE GDS EVENEMENTS</v>
      </c>
      <c r="D11" s="11">
        <v>605</v>
      </c>
      <c r="E11" s="243">
        <f>Analytique!E8</f>
        <v>1500</v>
      </c>
      <c r="F11" s="16"/>
      <c r="G11" s="12">
        <v>7580</v>
      </c>
      <c r="H11" s="13" t="s">
        <v>179</v>
      </c>
      <c r="I11" s="10"/>
      <c r="J11" s="14">
        <f>3500+111.2</f>
        <v>3611.2</v>
      </c>
    </row>
    <row r="12" spans="1:10" x14ac:dyDescent="0.25">
      <c r="A12" s="9">
        <f>Analytique!A9</f>
        <v>6064</v>
      </c>
      <c r="B12" s="9">
        <f>Analytique!B9</f>
        <v>606</v>
      </c>
      <c r="C12" s="10" t="str">
        <f>Analytique!C9</f>
        <v>FOURNITURES ADMINISTRATIVES</v>
      </c>
      <c r="D12" s="11">
        <v>606</v>
      </c>
      <c r="E12" s="243">
        <f>Analytique!E9</f>
        <v>2500</v>
      </c>
      <c r="G12" s="12">
        <v>7580</v>
      </c>
      <c r="H12" s="13" t="s">
        <v>10</v>
      </c>
      <c r="I12" s="10"/>
      <c r="J12" s="259">
        <f>31680*77%</f>
        <v>24393.600000000002</v>
      </c>
    </row>
    <row r="13" spans="1:10" x14ac:dyDescent="0.25">
      <c r="A13" s="9">
        <f>Analytique!A10</f>
        <v>6064</v>
      </c>
      <c r="B13" s="9">
        <f>Analytique!B10</f>
        <v>606</v>
      </c>
      <c r="C13" s="10" t="str">
        <f>Analytique!C10</f>
        <v>FOURNITURES ADMINISTRATIVES CELLULE GSD EVENEMENTS</v>
      </c>
      <c r="D13" s="11">
        <v>607</v>
      </c>
      <c r="E13" s="243">
        <f>Analytique!E10</f>
        <v>100</v>
      </c>
      <c r="G13" s="17">
        <v>7580</v>
      </c>
      <c r="H13" s="18" t="s">
        <v>11</v>
      </c>
      <c r="I13" s="19"/>
      <c r="J13" s="14">
        <f>114375*95%</f>
        <v>108656.25</v>
      </c>
    </row>
    <row r="14" spans="1:10" x14ac:dyDescent="0.25">
      <c r="A14" s="9">
        <f>Analytique!A11</f>
        <v>606</v>
      </c>
      <c r="B14" s="9">
        <f>Analytique!B11</f>
        <v>605</v>
      </c>
      <c r="C14" s="10" t="str">
        <f>Analytique!C11</f>
        <v>MOBILIER PCE ET AGENCEMENT</v>
      </c>
      <c r="D14" s="11">
        <v>608</v>
      </c>
      <c r="E14" s="243">
        <f>Analytique!E11</f>
        <v>1300</v>
      </c>
      <c r="G14" s="17">
        <v>7580</v>
      </c>
      <c r="H14" s="23" t="s">
        <v>12</v>
      </c>
      <c r="I14" s="19"/>
      <c r="J14" s="14">
        <f>68500*95%</f>
        <v>65075</v>
      </c>
    </row>
    <row r="15" spans="1:10" x14ac:dyDescent="0.25">
      <c r="A15" s="9">
        <f>Analytique!A12</f>
        <v>606</v>
      </c>
      <c r="B15" s="9">
        <f>Analytique!B12</f>
        <v>605</v>
      </c>
      <c r="C15" s="10" t="str">
        <f>Analytique!C12</f>
        <v>MOBILIER CELLULE GDS EVENEMENTS ET AGENCEMENT</v>
      </c>
      <c r="D15" s="11">
        <v>609</v>
      </c>
      <c r="E15" s="243">
        <f>Analytique!E12</f>
        <v>700</v>
      </c>
      <c r="G15" s="17">
        <v>7580</v>
      </c>
      <c r="H15" s="23" t="s">
        <v>199</v>
      </c>
      <c r="I15" s="19"/>
      <c r="J15" s="14">
        <v>13000</v>
      </c>
    </row>
    <row r="16" spans="1:10" x14ac:dyDescent="0.25">
      <c r="A16" s="9">
        <f>Analytique!A13</f>
        <v>6064</v>
      </c>
      <c r="B16" s="9">
        <f>Analytique!B13</f>
        <v>606</v>
      </c>
      <c r="C16" s="10" t="str">
        <f>Analytique!C13</f>
        <v>ACTION EN NOM PROPRE: Workshop Brake the ice</v>
      </c>
      <c r="D16" s="11">
        <v>610</v>
      </c>
      <c r="E16" s="243">
        <f>Analytique!E13</f>
        <v>3000</v>
      </c>
      <c r="G16" s="17">
        <v>7580</v>
      </c>
      <c r="H16" s="23" t="s">
        <v>180</v>
      </c>
      <c r="I16" s="36"/>
      <c r="J16" s="14">
        <f>69800*95%</f>
        <v>66310</v>
      </c>
    </row>
    <row r="17" spans="1:15" x14ac:dyDescent="0.25">
      <c r="A17" s="9">
        <f>Analytique!A14</f>
        <v>6110</v>
      </c>
      <c r="B17" s="9">
        <f>Analytique!B14</f>
        <v>611</v>
      </c>
      <c r="C17" s="10" t="str">
        <f>Analytique!C14</f>
        <v>SALON SPECIALISE DECIDEURS GDS EVENEMENTS 1</v>
      </c>
      <c r="D17" s="11">
        <v>611</v>
      </c>
      <c r="E17" s="243">
        <f>Analytique!E14</f>
        <v>12000</v>
      </c>
      <c r="G17" s="17">
        <v>7580</v>
      </c>
      <c r="H17" s="18" t="s">
        <v>200</v>
      </c>
      <c r="I17" s="19"/>
      <c r="J17" s="260">
        <v>15900</v>
      </c>
    </row>
    <row r="18" spans="1:15" x14ac:dyDescent="0.25">
      <c r="A18" s="9">
        <f>Analytique!A15</f>
        <v>6110</v>
      </c>
      <c r="B18" s="9">
        <f>Analytique!B15</f>
        <v>611</v>
      </c>
      <c r="C18" s="10" t="str">
        <f>Analytique!C15</f>
        <v>SALON SPECIALISE DECIDEURS GDS EVENEMENTS 2</v>
      </c>
      <c r="D18" s="11">
        <v>612</v>
      </c>
      <c r="E18" s="243">
        <f>Analytique!E15</f>
        <v>12000</v>
      </c>
      <c r="G18" s="17">
        <v>7580</v>
      </c>
      <c r="H18" s="23" t="s">
        <v>316</v>
      </c>
      <c r="I18" s="19"/>
      <c r="J18" s="14">
        <v>21250</v>
      </c>
    </row>
    <row r="19" spans="1:15" x14ac:dyDescent="0.25">
      <c r="A19" s="9">
        <f>Analytique!A16</f>
        <v>6110</v>
      </c>
      <c r="B19" s="9">
        <f>Analytique!B16</f>
        <v>611</v>
      </c>
      <c r="C19" s="10" t="str">
        <f>Analytique!C16</f>
        <v>DEMARCHAGE 1 DECIDEURS GDS EVENEMENTS</v>
      </c>
      <c r="D19" s="11">
        <v>613</v>
      </c>
      <c r="E19" s="243">
        <f>Analytique!E16</f>
        <v>5000</v>
      </c>
      <c r="G19" s="17">
        <v>7580</v>
      </c>
      <c r="H19" s="23" t="s">
        <v>178</v>
      </c>
      <c r="I19" s="19"/>
      <c r="J19" s="14">
        <v>19000</v>
      </c>
    </row>
    <row r="20" spans="1:15" x14ac:dyDescent="0.25">
      <c r="A20" s="9">
        <f>Analytique!A17</f>
        <v>6110</v>
      </c>
      <c r="B20" s="9">
        <f>Analytique!B17</f>
        <v>611</v>
      </c>
      <c r="C20" s="10" t="str">
        <f>Analytique!C17</f>
        <v>DEMARCHAGE 2 DECIDEURS GDS EVENEMENTS</v>
      </c>
      <c r="D20" s="11">
        <v>614</v>
      </c>
      <c r="E20" s="243">
        <f>Analytique!E17</f>
        <v>5000</v>
      </c>
      <c r="F20" s="21"/>
      <c r="G20" s="17">
        <v>7580</v>
      </c>
      <c r="H20" s="23" t="s">
        <v>317</v>
      </c>
      <c r="I20" s="36"/>
      <c r="J20" s="14">
        <v>15900</v>
      </c>
    </row>
    <row r="21" spans="1:15" x14ac:dyDescent="0.25">
      <c r="A21" s="9">
        <f>Analytique!A18</f>
        <v>6110</v>
      </c>
      <c r="B21" s="9">
        <f>Analytique!B18</f>
        <v>611</v>
      </c>
      <c r="C21" s="10" t="str">
        <f>Analytique!C18</f>
        <v>ACCUEIL DELEGATION DECIDEURS</v>
      </c>
      <c r="D21" s="11">
        <v>615</v>
      </c>
      <c r="E21" s="243">
        <f>Analytique!E18</f>
        <v>5000</v>
      </c>
      <c r="F21" s="21"/>
      <c r="G21" s="17">
        <v>7580</v>
      </c>
      <c r="H21" s="291" t="s">
        <v>201</v>
      </c>
      <c r="I21" s="292"/>
      <c r="J21" s="14">
        <v>16900</v>
      </c>
    </row>
    <row r="22" spans="1:15" x14ac:dyDescent="0.25">
      <c r="A22" s="9">
        <f>Analytique!A19</f>
        <v>6110</v>
      </c>
      <c r="B22" s="9">
        <f>Analytique!B19</f>
        <v>611</v>
      </c>
      <c r="C22" s="10" t="str">
        <f>Analytique!C19</f>
        <v>EDUCTOURS DECIDEURS GDS EVENEMENTS</v>
      </c>
      <c r="D22" s="11">
        <v>616</v>
      </c>
      <c r="E22" s="243">
        <f>Analytique!E19</f>
        <v>8000</v>
      </c>
      <c r="G22" s="17">
        <v>7580</v>
      </c>
      <c r="H22" s="18" t="s">
        <v>318</v>
      </c>
      <c r="I22" s="19"/>
      <c r="J22" s="14">
        <v>17550</v>
      </c>
    </row>
    <row r="23" spans="1:15" ht="30" x14ac:dyDescent="0.25">
      <c r="A23" s="9">
        <f>Analytique!A20</f>
        <v>6110</v>
      </c>
      <c r="B23" s="9">
        <f>Analytique!B20</f>
        <v>611</v>
      </c>
      <c r="C23" s="10" t="str">
        <f>Analytique!C20</f>
        <v>ACTIONS DE PROMOTION A IDENTIFIER</v>
      </c>
      <c r="D23" s="11">
        <v>617</v>
      </c>
      <c r="E23" s="243">
        <f>Analytique!E20</f>
        <v>39150</v>
      </c>
      <c r="G23" s="12">
        <v>7580</v>
      </c>
      <c r="H23" s="13" t="s">
        <v>198</v>
      </c>
      <c r="I23" s="10"/>
      <c r="J23" s="14">
        <f>48750*95%</f>
        <v>46312.5</v>
      </c>
    </row>
    <row r="24" spans="1:15" x14ac:dyDescent="0.25">
      <c r="A24" s="9">
        <f>Analytique!A21</f>
        <v>6110</v>
      </c>
      <c r="B24" s="9">
        <f>Analytique!B21</f>
        <v>611</v>
      </c>
      <c r="C24" s="10" t="str">
        <f>Analytique!C21</f>
        <v>OPERATION PARIS DECEMBRE</v>
      </c>
      <c r="D24" s="11">
        <v>618</v>
      </c>
      <c r="E24" s="243">
        <f>Analytique!E21</f>
        <v>42177</v>
      </c>
      <c r="G24" s="12">
        <v>7580</v>
      </c>
      <c r="H24" s="13" t="s">
        <v>205</v>
      </c>
      <c r="I24" s="10"/>
      <c r="J24" s="14">
        <v>27000</v>
      </c>
    </row>
    <row r="25" spans="1:15" x14ac:dyDescent="0.25">
      <c r="A25" s="9">
        <f>Analytique!A22</f>
        <v>6110</v>
      </c>
      <c r="B25" s="9">
        <f>Analytique!B22</f>
        <v>611</v>
      </c>
      <c r="C25" s="10" t="str">
        <f>Analytique!C22</f>
        <v>SALON MICE PLACE FEV: MEET AND COM</v>
      </c>
      <c r="D25" s="11">
        <v>619</v>
      </c>
      <c r="E25" s="243">
        <f>Analytique!E22</f>
        <v>35130</v>
      </c>
      <c r="G25" s="12"/>
      <c r="H25" s="13" t="s">
        <v>57</v>
      </c>
      <c r="I25" s="10"/>
      <c r="J25" s="14">
        <f>470*3</f>
        <v>1410</v>
      </c>
    </row>
    <row r="26" spans="1:15" ht="45" x14ac:dyDescent="0.25">
      <c r="A26" s="9">
        <f>Analytique!A23</f>
        <v>6110</v>
      </c>
      <c r="B26" s="9">
        <f>Analytique!B23</f>
        <v>611</v>
      </c>
      <c r="C26" s="10" t="str">
        <f>Analytique!C23</f>
        <v>IMEX ATOUT France</v>
      </c>
      <c r="D26" s="11">
        <v>620</v>
      </c>
      <c r="E26" s="243">
        <f>Analytique!E23</f>
        <v>67750</v>
      </c>
      <c r="G26" s="12">
        <v>7580</v>
      </c>
      <c r="H26" s="13" t="s">
        <v>177</v>
      </c>
      <c r="I26" s="10"/>
      <c r="J26" s="14">
        <v>4500</v>
      </c>
      <c r="K26" s="24"/>
    </row>
    <row r="27" spans="1:15" ht="45" x14ac:dyDescent="0.25">
      <c r="A27" s="9">
        <f>Analytique!A24</f>
        <v>6110</v>
      </c>
      <c r="B27" s="9">
        <f>Analytique!B24</f>
        <v>611</v>
      </c>
      <c r="C27" s="10" t="str">
        <f>Analytique!C24</f>
        <v>MP2</v>
      </c>
      <c r="D27" s="11">
        <v>621</v>
      </c>
      <c r="E27" s="243">
        <f>Analytique!E24</f>
        <v>14500</v>
      </c>
      <c r="F27" s="24"/>
      <c r="G27" s="12"/>
      <c r="H27" s="323" t="s">
        <v>403</v>
      </c>
      <c r="I27" s="10"/>
      <c r="J27" s="333">
        <f>30000*3</f>
        <v>90000</v>
      </c>
      <c r="K27" s="24"/>
      <c r="M27" s="94">
        <f>J27+J28+J29+J30+J36+J38</f>
        <v>180000</v>
      </c>
    </row>
    <row r="28" spans="1:15" ht="45" x14ac:dyDescent="0.25">
      <c r="A28" s="9">
        <f>Analytique!A25</f>
        <v>6110</v>
      </c>
      <c r="B28" s="9">
        <f>Analytique!B25</f>
        <v>611</v>
      </c>
      <c r="C28" s="10" t="str">
        <f>Analytique!C25</f>
        <v xml:space="preserve">HEAVENT CANNES </v>
      </c>
      <c r="D28" s="11">
        <v>622</v>
      </c>
      <c r="E28" s="243">
        <f>Analytique!E25</f>
        <v>136114.20000000001</v>
      </c>
      <c r="F28" s="24"/>
      <c r="G28" s="12"/>
      <c r="H28" s="323" t="s">
        <v>404</v>
      </c>
      <c r="I28" s="10"/>
      <c r="J28" s="293">
        <f>5000*4</f>
        <v>20000</v>
      </c>
    </row>
    <row r="29" spans="1:15" ht="30" x14ac:dyDescent="0.25">
      <c r="A29" s="9">
        <f>Analytique!A26</f>
        <v>6110</v>
      </c>
      <c r="B29" s="9">
        <f>Analytique!B26</f>
        <v>611</v>
      </c>
      <c r="C29" s="10" t="str">
        <f>Analytique!C26</f>
        <v>EDUCTOUR Belgique</v>
      </c>
      <c r="D29" s="11">
        <v>623</v>
      </c>
      <c r="E29" s="243">
        <f>Analytique!E26</f>
        <v>4940</v>
      </c>
      <c r="F29" s="24"/>
      <c r="G29" s="12"/>
      <c r="H29" s="323" t="s">
        <v>405</v>
      </c>
      <c r="I29" s="10"/>
      <c r="J29" s="293">
        <f>10000*2</f>
        <v>20000</v>
      </c>
      <c r="K29" s="24"/>
    </row>
    <row r="30" spans="1:15" ht="45" x14ac:dyDescent="0.25">
      <c r="A30" s="9">
        <f>Analytique!A27</f>
        <v>6110</v>
      </c>
      <c r="B30" s="9">
        <f>Analytique!B27</f>
        <v>611</v>
      </c>
      <c r="C30" s="10" t="str">
        <f>Analytique!C27</f>
        <v>WORKSHOP Allemagne</v>
      </c>
      <c r="D30" s="11">
        <v>624</v>
      </c>
      <c r="E30" s="243">
        <f>Analytique!E27</f>
        <v>18040</v>
      </c>
      <c r="F30" s="24"/>
      <c r="G30" s="12"/>
      <c r="H30" s="323" t="s">
        <v>406</v>
      </c>
      <c r="I30" s="10"/>
      <c r="J30" s="293">
        <f>5000*3</f>
        <v>15000</v>
      </c>
      <c r="K30" s="24"/>
      <c r="N30" s="335" t="s">
        <v>422</v>
      </c>
      <c r="O30" s="94">
        <f>J28+J29+J30+J36+J38</f>
        <v>90000</v>
      </c>
    </row>
    <row r="31" spans="1:15" ht="30" x14ac:dyDescent="0.25">
      <c r="A31" s="9">
        <f>Analytique!A28</f>
        <v>6110</v>
      </c>
      <c r="B31" s="9">
        <f>Analytique!B28</f>
        <v>611</v>
      </c>
      <c r="C31" s="10" t="str">
        <f>Analytique!C28</f>
        <v>SALON SBE LYON</v>
      </c>
      <c r="D31" s="11">
        <v>625</v>
      </c>
      <c r="E31" s="243">
        <f>Analytique!E28</f>
        <v>15703</v>
      </c>
      <c r="G31" s="12"/>
      <c r="H31" s="323" t="s">
        <v>407</v>
      </c>
      <c r="I31" s="10"/>
      <c r="J31" s="337">
        <v>3000</v>
      </c>
      <c r="N31" s="336" t="s">
        <v>423</v>
      </c>
      <c r="O31" s="94">
        <f>J27</f>
        <v>90000</v>
      </c>
    </row>
    <row r="32" spans="1:15" ht="30" x14ac:dyDescent="0.25">
      <c r="A32" s="9">
        <f>Analytique!A29</f>
        <v>6110</v>
      </c>
      <c r="B32" s="9">
        <f>Analytique!B29</f>
        <v>611</v>
      </c>
      <c r="C32" s="10" t="str">
        <f>Analytique!C29</f>
        <v>SALON IBTM</v>
      </c>
      <c r="D32" s="11">
        <v>626</v>
      </c>
      <c r="E32" s="243">
        <f>Analytique!E29</f>
        <v>88850</v>
      </c>
      <c r="F32" s="16"/>
      <c r="G32" s="12"/>
      <c r="H32" s="325" t="s">
        <v>408</v>
      </c>
      <c r="I32" s="10"/>
      <c r="J32" s="337">
        <v>3000</v>
      </c>
      <c r="N32" s="338" t="s">
        <v>424</v>
      </c>
      <c r="O32" s="94">
        <f>J31+J32+J33+J34+J35+J37</f>
        <v>20008</v>
      </c>
    </row>
    <row r="33" spans="1:10" ht="30" x14ac:dyDescent="0.25">
      <c r="A33" s="9">
        <f>Analytique!A30</f>
        <v>6110</v>
      </c>
      <c r="B33" s="9">
        <f>Analytique!B30</f>
        <v>611</v>
      </c>
      <c r="C33" s="10" t="str">
        <f>Analytique!C30</f>
        <v>TROIS DEMARCHAGES EUROPE(ALLG)</v>
      </c>
      <c r="D33" s="11">
        <v>627</v>
      </c>
      <c r="E33" s="243">
        <f>Analytique!E30</f>
        <v>8900</v>
      </c>
      <c r="G33" s="12"/>
      <c r="H33" s="325" t="s">
        <v>409</v>
      </c>
      <c r="I33" s="10"/>
      <c r="J33" s="337">
        <v>1500</v>
      </c>
    </row>
    <row r="34" spans="1:10" ht="30" x14ac:dyDescent="0.25">
      <c r="A34" s="9">
        <f>Analytique!A31</f>
        <v>6110</v>
      </c>
      <c r="B34" s="9">
        <f>Analytique!B31</f>
        <v>611</v>
      </c>
      <c r="C34" s="10" t="str">
        <f>Analytique!C31</f>
        <v>WORKSHOP REUNIR TOULOUSE</v>
      </c>
      <c r="D34" s="11">
        <v>628</v>
      </c>
      <c r="E34" s="243">
        <f>Analytique!E31</f>
        <v>2000</v>
      </c>
      <c r="G34" s="12"/>
      <c r="H34" s="325" t="s">
        <v>410</v>
      </c>
      <c r="I34" s="10"/>
      <c r="J34" s="337">
        <v>1500</v>
      </c>
    </row>
    <row r="35" spans="1:10" ht="30" x14ac:dyDescent="0.25">
      <c r="A35" s="9">
        <f>Analytique!A32</f>
        <v>6110</v>
      </c>
      <c r="B35" s="9">
        <f>Analytique!B32</f>
        <v>611</v>
      </c>
      <c r="C35" s="10" t="str">
        <f>Analytique!C32</f>
        <v>DEMARCHAGE UK</v>
      </c>
      <c r="D35" s="11">
        <v>629</v>
      </c>
      <c r="E35" s="243">
        <f>Analytique!E32</f>
        <v>15500</v>
      </c>
      <c r="G35" s="12"/>
      <c r="H35" s="325" t="s">
        <v>411</v>
      </c>
      <c r="I35" s="10"/>
      <c r="J35" s="337">
        <v>6000</v>
      </c>
    </row>
    <row r="36" spans="1:10" ht="30" x14ac:dyDescent="0.25">
      <c r="A36" s="9">
        <f>Analytique!A33</f>
        <v>6110</v>
      </c>
      <c r="B36" s="9">
        <f>Analytique!B33</f>
        <v>611</v>
      </c>
      <c r="C36" s="10" t="str">
        <f>Analytique!C33</f>
        <v>WORKSHOP LYON</v>
      </c>
      <c r="D36" s="11">
        <v>630</v>
      </c>
      <c r="E36" s="243">
        <f>Analytique!E33</f>
        <v>16080</v>
      </c>
      <c r="F36" s="21"/>
      <c r="G36" s="12"/>
      <c r="H36" s="325" t="s">
        <v>412</v>
      </c>
      <c r="I36" s="10"/>
      <c r="J36" s="293">
        <f>5000*2</f>
        <v>10000</v>
      </c>
    </row>
    <row r="37" spans="1:10" ht="30" x14ac:dyDescent="0.25">
      <c r="A37" s="9">
        <f>Analytique!A34</f>
        <v>6110</v>
      </c>
      <c r="B37" s="9">
        <f>Analytique!B34</f>
        <v>611</v>
      </c>
      <c r="C37" s="10" t="str">
        <f>Analytique!C34</f>
        <v>Journée d'études PCE "numérique au service du tourisme d'affaires" sur le salon VEM à St Raphael les 15 et 16 fevrier 2018 avec intervenants et Gr Témoin,</v>
      </c>
      <c r="D37" s="11">
        <v>631</v>
      </c>
      <c r="E37" s="243">
        <f>Analytique!E34</f>
        <v>13000</v>
      </c>
      <c r="G37" s="12"/>
      <c r="H37" s="325" t="s">
        <v>413</v>
      </c>
      <c r="I37" s="10"/>
      <c r="J37" s="337">
        <v>5008</v>
      </c>
    </row>
    <row r="38" spans="1:10" ht="45" x14ac:dyDescent="0.25">
      <c r="A38" s="9">
        <f>Analytique!A35</f>
        <v>6110</v>
      </c>
      <c r="B38" s="9">
        <f>Analytique!B35</f>
        <v>611</v>
      </c>
      <c r="C38" s="10" t="str">
        <f>Analytique!C35</f>
        <v xml:space="preserve">Plan de communication dont PRESSE/ frais invit AG/ carte vœux/ impression plaquette et crea nvx support de com(vidéos, chiffres clés de la filière..) + achats photos + vidéo PCE MICE </v>
      </c>
      <c r="D38" s="11">
        <v>632</v>
      </c>
      <c r="E38" s="243">
        <f>Analytique!E35</f>
        <v>14000</v>
      </c>
      <c r="F38" s="21"/>
      <c r="G38" s="12"/>
      <c r="H38" s="325" t="s">
        <v>414</v>
      </c>
      <c r="I38" s="10"/>
      <c r="J38" s="293">
        <v>25000</v>
      </c>
    </row>
    <row r="39" spans="1:10" ht="30" x14ac:dyDescent="0.25">
      <c r="A39" s="9">
        <f>Analytique!A36</f>
        <v>6110</v>
      </c>
      <c r="B39" s="9">
        <f>Analytique!B36</f>
        <v>611</v>
      </c>
      <c r="C39" s="10" t="str">
        <f>Analytique!C36</f>
        <v xml:space="preserve">Soutien Escaet : Licence Bac + 3 pour septembre 2018 </v>
      </c>
      <c r="D39" s="11">
        <v>633</v>
      </c>
      <c r="E39" s="243">
        <f>Analytique!E36</f>
        <v>15000</v>
      </c>
      <c r="G39" s="12"/>
      <c r="H39" s="325" t="s">
        <v>415</v>
      </c>
      <c r="I39" s="10"/>
      <c r="J39" s="14">
        <v>50000</v>
      </c>
    </row>
    <row r="40" spans="1:10" x14ac:dyDescent="0.25">
      <c r="A40" s="9">
        <f>Analytique!A37</f>
        <v>6110</v>
      </c>
      <c r="B40" s="9">
        <f>Analytique!B37</f>
        <v>611</v>
      </c>
      <c r="C40" s="10" t="str">
        <f>Analytique!C37</f>
        <v xml:space="preserve">Chaire sur la sécurité : projet avec Ecoles avec participation financière de PCE </v>
      </c>
      <c r="D40" s="11">
        <v>634</v>
      </c>
      <c r="E40" s="243">
        <f>Analytique!E37</f>
        <v>7500</v>
      </c>
      <c r="G40" s="12"/>
      <c r="H40" s="23" t="s">
        <v>319</v>
      </c>
      <c r="I40" s="10"/>
      <c r="J40" s="334">
        <v>3500</v>
      </c>
    </row>
    <row r="41" spans="1:10" x14ac:dyDescent="0.25">
      <c r="A41" s="9">
        <f>Analytique!A38</f>
        <v>6110</v>
      </c>
      <c r="B41" s="9">
        <f>Analytique!B38</f>
        <v>611</v>
      </c>
      <c r="C41" s="10" t="str">
        <f>Analytique!C38</f>
        <v>FRAIS D'ASSEMBLEE GENERALE PCE</v>
      </c>
      <c r="D41" s="11">
        <v>635</v>
      </c>
      <c r="E41" s="243">
        <f>Analytique!E38</f>
        <v>18000</v>
      </c>
      <c r="G41" s="12"/>
      <c r="H41" s="23" t="s">
        <v>206</v>
      </c>
      <c r="I41" s="10"/>
      <c r="J41" s="334">
        <v>15250</v>
      </c>
    </row>
    <row r="42" spans="1:10" x14ac:dyDescent="0.25">
      <c r="A42" s="9">
        <f>Analytique!A39</f>
        <v>6110</v>
      </c>
      <c r="B42" s="9">
        <f>Analytique!B39</f>
        <v>611</v>
      </c>
      <c r="C42" s="10" t="str">
        <f>Analytique!C39</f>
        <v>OPERATION PARIS ÉTÉ</v>
      </c>
      <c r="D42" s="11">
        <v>636</v>
      </c>
      <c r="E42" s="243">
        <f>Analytique!E39</f>
        <v>18550</v>
      </c>
      <c r="G42" s="12">
        <v>7561</v>
      </c>
      <c r="H42" s="18" t="s">
        <v>13</v>
      </c>
      <c r="I42" s="10"/>
      <c r="J42" s="14">
        <v>399853</v>
      </c>
    </row>
    <row r="43" spans="1:10" ht="30" x14ac:dyDescent="0.25">
      <c r="A43" s="9">
        <f>Analytique!A40</f>
        <v>6110</v>
      </c>
      <c r="B43" s="9">
        <f>Analytique!B40</f>
        <v>611</v>
      </c>
      <c r="C43" s="10" t="str">
        <f>Analytique!C40</f>
        <v>ROADSHOW PCE AVEC FRAIS DE DEPLACEMENT</v>
      </c>
      <c r="D43" s="11">
        <v>637</v>
      </c>
      <c r="E43" s="243">
        <f>Analytique!E40</f>
        <v>1000</v>
      </c>
      <c r="G43" s="12">
        <v>7561</v>
      </c>
      <c r="H43" s="325" t="s">
        <v>416</v>
      </c>
      <c r="I43" s="10"/>
      <c r="J43" s="14">
        <v>160000</v>
      </c>
    </row>
    <row r="44" spans="1:10" ht="30" x14ac:dyDescent="0.25">
      <c r="A44" s="9">
        <f>Analytique!A41</f>
        <v>6110</v>
      </c>
      <c r="B44" s="9">
        <f>Analytique!B41</f>
        <v>611</v>
      </c>
      <c r="C44" s="10" t="str">
        <f>Analytique!C41</f>
        <v>Application Wacan</v>
      </c>
      <c r="D44" s="11">
        <v>638</v>
      </c>
      <c r="E44" s="243">
        <f>Analytique!E41</f>
        <v>17200</v>
      </c>
      <c r="G44" s="25"/>
      <c r="H44" s="325" t="s">
        <v>176</v>
      </c>
      <c r="I44" s="10"/>
      <c r="J44" s="14">
        <v>20000</v>
      </c>
    </row>
    <row r="45" spans="1:10" ht="15.75" thickBot="1" x14ac:dyDescent="0.3">
      <c r="A45" s="9">
        <f>Analytique!A42</f>
        <v>6110</v>
      </c>
      <c r="B45" s="9">
        <f>Analytique!B42</f>
        <v>611</v>
      </c>
      <c r="C45" s="10" t="str">
        <f>Analytique!C42</f>
        <v xml:space="preserve">Opportunités : Soutien aux actions à l'international  (Panel Experts auto, FamTrip d'Ikebana et un autre projet à identifier) </v>
      </c>
      <c r="D45" s="11">
        <v>639</v>
      </c>
      <c r="E45" s="243">
        <f>Analytique!E42</f>
        <v>6000</v>
      </c>
      <c r="H45" s="23" t="s">
        <v>14</v>
      </c>
      <c r="I45" s="10"/>
      <c r="J45" s="14">
        <f>[1]Valo!X21</f>
        <v>40821.720000000008</v>
      </c>
    </row>
    <row r="46" spans="1:10" ht="15.75" thickBot="1" x14ac:dyDescent="0.3">
      <c r="A46" s="9">
        <f>Analytique!A43</f>
        <v>6110</v>
      </c>
      <c r="B46" s="9">
        <f>Analytique!B43</f>
        <v>611</v>
      </c>
      <c r="C46" s="10" t="str">
        <f>Analytique!C43</f>
        <v>EDUCTOUR 1&amp;2</v>
      </c>
      <c r="D46" s="11">
        <v>640</v>
      </c>
      <c r="E46" s="243">
        <f>Analytique!E43</f>
        <v>1000</v>
      </c>
      <c r="G46" s="30"/>
      <c r="H46" s="26"/>
      <c r="I46" s="27"/>
      <c r="J46" s="28"/>
    </row>
    <row r="47" spans="1:10" ht="19.5" thickBot="1" x14ac:dyDescent="0.35">
      <c r="A47" s="9">
        <f>Analytique!A44</f>
        <v>6110</v>
      </c>
      <c r="B47" s="9">
        <f>Analytique!B44</f>
        <v>611</v>
      </c>
      <c r="C47" s="10" t="str">
        <f>Analytique!C44</f>
        <v>WORKSHOP Allemagne</v>
      </c>
      <c r="D47" s="11">
        <v>641</v>
      </c>
      <c r="E47" s="243">
        <f>Analytique!E44</f>
        <v>0</v>
      </c>
      <c r="G47" s="27"/>
      <c r="J47" s="29">
        <f>SUM(J6:J45)</f>
        <v>1497432.96</v>
      </c>
    </row>
    <row r="48" spans="1:10" ht="18.75" customHeight="1" thickBot="1" x14ac:dyDescent="0.3">
      <c r="A48" s="9">
        <f>Analytique!A45</f>
        <v>616</v>
      </c>
      <c r="B48" s="9">
        <f>Analytique!B45</f>
        <v>616</v>
      </c>
      <c r="C48" s="10" t="str">
        <f>Analytique!C45</f>
        <v>ALLIANZ DIRIGEANT</v>
      </c>
      <c r="D48" s="11">
        <v>642</v>
      </c>
      <c r="E48" s="243">
        <f>Analytique!E45</f>
        <v>320</v>
      </c>
      <c r="H48" s="31" t="s">
        <v>15</v>
      </c>
      <c r="I48" s="32"/>
      <c r="J48" s="33">
        <f>J47-E166</f>
        <v>0</v>
      </c>
    </row>
    <row r="49" spans="1:10" ht="18.75" customHeight="1" x14ac:dyDescent="0.25">
      <c r="A49" s="9">
        <f>Analytique!A46</f>
        <v>616</v>
      </c>
      <c r="B49" s="9">
        <f>Analytique!B46</f>
        <v>616</v>
      </c>
      <c r="C49" s="10" t="str">
        <f>Analytique!C46</f>
        <v>ALLIANZ MULTIRISQUES ASSO</v>
      </c>
      <c r="D49" s="11">
        <v>643</v>
      </c>
      <c r="E49" s="243">
        <f>Analytique!E46</f>
        <v>700</v>
      </c>
      <c r="H49" s="34"/>
      <c r="I49" s="27"/>
      <c r="J49" s="33"/>
    </row>
    <row r="50" spans="1:10" x14ac:dyDescent="0.25">
      <c r="A50" s="9">
        <f>Analytique!A47</f>
        <v>616</v>
      </c>
      <c r="B50" s="9">
        <f>Analytique!B47</f>
        <v>616</v>
      </c>
      <c r="C50" s="10" t="str">
        <f>Analytique!C47</f>
        <v>AXA RC</v>
      </c>
      <c r="D50" s="11">
        <v>644</v>
      </c>
      <c r="E50" s="243">
        <f>Analytique!E47</f>
        <v>3000</v>
      </c>
    </row>
    <row r="51" spans="1:10" x14ac:dyDescent="0.25">
      <c r="A51" s="9">
        <f>Analytique!A48</f>
        <v>616</v>
      </c>
      <c r="B51" s="9">
        <f>Analytique!B48</f>
        <v>616</v>
      </c>
      <c r="C51" s="10" t="str">
        <f>Analytique!C48</f>
        <v>AXA RC CELLULE GDS EVENEMENTS</v>
      </c>
      <c r="D51" s="11">
        <v>645</v>
      </c>
      <c r="E51" s="243">
        <f>Analytique!E48</f>
        <v>100</v>
      </c>
    </row>
    <row r="52" spans="1:10" x14ac:dyDescent="0.25">
      <c r="A52" s="9">
        <f>Analytique!A49</f>
        <v>61302</v>
      </c>
      <c r="B52" s="9">
        <f>Analytique!B49</f>
        <v>613</v>
      </c>
      <c r="C52" s="10" t="str">
        <f>Analytique!C49</f>
        <v>CREDIT BAIL INFORMATIQUE</v>
      </c>
      <c r="D52" s="11">
        <v>646</v>
      </c>
      <c r="E52" s="243">
        <f>Analytique!E49</f>
        <v>0</v>
      </c>
    </row>
    <row r="53" spans="1:10" x14ac:dyDescent="0.25">
      <c r="A53" s="9">
        <f>Analytique!A50</f>
        <v>613204</v>
      </c>
      <c r="B53" s="9">
        <f>Analytique!B50</f>
        <v>613</v>
      </c>
      <c r="C53" s="10" t="str">
        <f>Analytique!C50</f>
        <v>LOCATION ANF</v>
      </c>
      <c r="D53" s="11">
        <v>647</v>
      </c>
      <c r="E53" s="243">
        <f>Analytique!E50</f>
        <v>20000</v>
      </c>
    </row>
    <row r="54" spans="1:10" x14ac:dyDescent="0.25">
      <c r="A54" s="9">
        <f>Analytique!A51</f>
        <v>613204</v>
      </c>
      <c r="B54" s="9">
        <f>Analytique!B51</f>
        <v>613</v>
      </c>
      <c r="C54" s="10" t="str">
        <f>Analytique!C51</f>
        <v>LOCATION ANF CELLULE</v>
      </c>
      <c r="D54" s="11">
        <v>648</v>
      </c>
      <c r="E54" s="243">
        <f>Analytique!E51</f>
        <v>7000</v>
      </c>
    </row>
    <row r="55" spans="1:10" x14ac:dyDescent="0.25">
      <c r="A55" s="9">
        <f>Analytique!A52</f>
        <v>613210</v>
      </c>
      <c r="B55" s="9">
        <f>Analytique!B52</f>
        <v>613</v>
      </c>
      <c r="C55" s="10" t="str">
        <f>Analytique!C52</f>
        <v>LOCATION VEHICULE</v>
      </c>
      <c r="D55" s="11">
        <v>649</v>
      </c>
      <c r="E55" s="243">
        <f>Analytique!E52</f>
        <v>500</v>
      </c>
    </row>
    <row r="56" spans="1:10" x14ac:dyDescent="0.25">
      <c r="A56" s="9">
        <f>Analytique!A53</f>
        <v>617</v>
      </c>
      <c r="B56" s="9">
        <f>Analytique!B53</f>
        <v>617</v>
      </c>
      <c r="C56" s="10" t="str">
        <f>Analytique!C53</f>
        <v>TRADUCTIONS SUPPORTS DE COM</v>
      </c>
      <c r="D56" s="11">
        <v>650</v>
      </c>
      <c r="E56" s="243">
        <f>Analytique!E53</f>
        <v>300</v>
      </c>
    </row>
    <row r="57" spans="1:10" x14ac:dyDescent="0.25">
      <c r="A57" s="9">
        <f>Analytique!A54</f>
        <v>617</v>
      </c>
      <c r="B57" s="9">
        <f>Analytique!B54</f>
        <v>617</v>
      </c>
      <c r="C57" s="10" t="str">
        <f>Analytique!C54</f>
        <v>TRADUCTIONS SUPPORTS DE COM CELLULE GDS EVENEMENTS</v>
      </c>
      <c r="D57" s="11">
        <v>651</v>
      </c>
      <c r="E57" s="243">
        <f>Analytique!E54</f>
        <v>1400</v>
      </c>
    </row>
    <row r="58" spans="1:10" x14ac:dyDescent="0.25">
      <c r="A58" s="9">
        <f>Analytique!A55</f>
        <v>616</v>
      </c>
      <c r="B58" s="9">
        <f>Analytique!B55</f>
        <v>616</v>
      </c>
      <c r="C58" s="10" t="str">
        <f>Analytique!C55</f>
        <v>SERVICES BANCAIRES</v>
      </c>
      <c r="D58" s="11">
        <v>652</v>
      </c>
      <c r="E58" s="243">
        <f>Analytique!E55</f>
        <v>0</v>
      </c>
    </row>
    <row r="59" spans="1:10" x14ac:dyDescent="0.25">
      <c r="A59" s="9">
        <f>Analytique!A56</f>
        <v>6152</v>
      </c>
      <c r="B59" s="9">
        <f>Analytique!B56</f>
        <v>615</v>
      </c>
      <c r="C59" s="10" t="str">
        <f>Analytique!C56</f>
        <v>LOCATION SUR BIENS IMMOBILIERS - Actinet</v>
      </c>
      <c r="D59" s="11">
        <v>653</v>
      </c>
      <c r="E59" s="243">
        <f>Analytique!E56</f>
        <v>2100</v>
      </c>
      <c r="H59" s="1"/>
    </row>
    <row r="60" spans="1:10" x14ac:dyDescent="0.25">
      <c r="A60" s="9">
        <f>Analytique!A57</f>
        <v>6152</v>
      </c>
      <c r="B60" s="9">
        <f>Analytique!B57</f>
        <v>615</v>
      </c>
      <c r="C60" s="10" t="str">
        <f>Analytique!C57</f>
        <v xml:space="preserve">LOCATION SUR BIENS IMMOBILIERS CELLULE GDS EVENEMENTS - Actinet </v>
      </c>
      <c r="D60" s="11">
        <v>654</v>
      </c>
      <c r="E60" s="243">
        <f>Analytique!E57</f>
        <v>200</v>
      </c>
    </row>
    <row r="61" spans="1:10" x14ac:dyDescent="0.25">
      <c r="A61" s="9">
        <f>Analytique!A58</f>
        <v>615</v>
      </c>
      <c r="B61" s="9">
        <f>Analytique!B58</f>
        <v>615</v>
      </c>
      <c r="C61" s="10" t="str">
        <f>Analytique!C58</f>
        <v>MAINTENANCE UBIQUS</v>
      </c>
      <c r="D61" s="11">
        <v>655</v>
      </c>
      <c r="E61" s="243">
        <f>Analytique!E58</f>
        <v>2200</v>
      </c>
      <c r="F61" s="21"/>
    </row>
    <row r="62" spans="1:10" ht="15" customHeight="1" x14ac:dyDescent="0.25">
      <c r="A62" s="9">
        <f>Analytique!A59</f>
        <v>615</v>
      </c>
      <c r="B62" s="9">
        <f>Analytique!B59</f>
        <v>615</v>
      </c>
      <c r="C62" s="10" t="str">
        <f>Analytique!C59</f>
        <v>MAINTENANCE UBIQUS CELLULE GDS EVENEMENTS</v>
      </c>
      <c r="D62" s="11">
        <v>656</v>
      </c>
      <c r="E62" s="243">
        <f>Analytique!E59</f>
        <v>1100</v>
      </c>
    </row>
    <row r="63" spans="1:10" x14ac:dyDescent="0.25">
      <c r="A63" s="9">
        <f>Analytique!A60</f>
        <v>615</v>
      </c>
      <c r="B63" s="9">
        <f>Analytique!B60</f>
        <v>615</v>
      </c>
      <c r="C63" s="10" t="str">
        <f>Analytique!C60</f>
        <v>MAINTENANCE TECHNISOFT (maintenance parc 1 000 cet antivirus 177 ht)</v>
      </c>
      <c r="D63" s="11">
        <v>657</v>
      </c>
      <c r="E63" s="243">
        <f>Analytique!E60</f>
        <v>2000</v>
      </c>
    </row>
    <row r="64" spans="1:10" x14ac:dyDescent="0.25">
      <c r="A64" s="9">
        <f>Analytique!A61</f>
        <v>615</v>
      </c>
      <c r="B64" s="9">
        <f>Analytique!B61</f>
        <v>615</v>
      </c>
      <c r="C64" s="10" t="str">
        <f>Analytique!C61</f>
        <v>MAINTENANCE TECHNISOFT CELLULE GDS EVENEMENTS</v>
      </c>
      <c r="D64" s="11">
        <v>658</v>
      </c>
      <c r="E64" s="243">
        <f>Analytique!E61</f>
        <v>300</v>
      </c>
    </row>
    <row r="65" spans="1:6" x14ac:dyDescent="0.25">
      <c r="A65" s="9">
        <f>Analytique!A62</f>
        <v>615</v>
      </c>
      <c r="B65" s="9">
        <f>Analytique!B62</f>
        <v>615</v>
      </c>
      <c r="C65" s="10" t="str">
        <f>Analytique!C62</f>
        <v>FOURMI VOLANTE</v>
      </c>
      <c r="D65" s="11">
        <v>659</v>
      </c>
      <c r="E65" s="243">
        <f>Analytique!E62</f>
        <v>2800</v>
      </c>
    </row>
    <row r="66" spans="1:6" x14ac:dyDescent="0.25">
      <c r="A66" s="9">
        <f>Analytique!A63</f>
        <v>61805</v>
      </c>
      <c r="B66" s="9">
        <f>Analytique!B63</f>
        <v>618</v>
      </c>
      <c r="C66" s="10" t="str">
        <f>Analytique!C63</f>
        <v>MAINTENANCE CLIM</v>
      </c>
      <c r="D66" s="11">
        <v>660</v>
      </c>
      <c r="E66" s="243">
        <f>Analytique!E63</f>
        <v>400</v>
      </c>
    </row>
    <row r="67" spans="1:6" x14ac:dyDescent="0.25">
      <c r="A67" s="9">
        <f>Analytique!A64</f>
        <v>61804</v>
      </c>
      <c r="B67" s="9">
        <f>Analytique!B64</f>
        <v>618</v>
      </c>
      <c r="C67" s="10" t="str">
        <f>Analytique!C64</f>
        <v>FRAIS DE COLLOQUES ET SEMINAIRES</v>
      </c>
      <c r="D67" s="11">
        <v>661</v>
      </c>
      <c r="E67" s="243">
        <f>Analytique!E64</f>
        <v>1200</v>
      </c>
    </row>
    <row r="68" spans="1:6" x14ac:dyDescent="0.25">
      <c r="A68" s="9">
        <f>Analytique!A65</f>
        <v>61804</v>
      </c>
      <c r="B68" s="9">
        <f>Analytique!B65</f>
        <v>618</v>
      </c>
      <c r="C68" s="10" t="str">
        <f>Analytique!C65</f>
        <v>FRAIS DE COLLOQUES ET SEMINAIRES CELLULE GDS EVENEMENTS DONT UNIMEV ET ICCA</v>
      </c>
      <c r="D68" s="11">
        <v>662</v>
      </c>
      <c r="E68" s="243">
        <f>Analytique!E65</f>
        <v>3000</v>
      </c>
    </row>
    <row r="69" spans="1:6" x14ac:dyDescent="0.25">
      <c r="A69" s="9">
        <f>Analytique!A66</f>
        <v>6234</v>
      </c>
      <c r="B69" s="9">
        <f>Analytique!B66</f>
        <v>623</v>
      </c>
      <c r="C69" s="10" t="str">
        <f>Analytique!C66</f>
        <v>CADEAUX CLIENTELE SALONS</v>
      </c>
      <c r="D69" s="11">
        <v>663</v>
      </c>
      <c r="E69" s="243">
        <f>Analytique!E66</f>
        <v>800</v>
      </c>
    </row>
    <row r="70" spans="1:6" x14ac:dyDescent="0.25">
      <c r="A70" s="9">
        <f>Analytique!A67</f>
        <v>6230</v>
      </c>
      <c r="B70" s="9">
        <f>Analytique!B67</f>
        <v>623</v>
      </c>
      <c r="C70" s="10" t="str">
        <f>Analytique!C67</f>
        <v>CADEAU CLIENTELE DEMARCHAGES</v>
      </c>
      <c r="D70" s="11">
        <v>664</v>
      </c>
      <c r="E70" s="243">
        <f>Analytique!E67</f>
        <v>600</v>
      </c>
    </row>
    <row r="71" spans="1:6" x14ac:dyDescent="0.25">
      <c r="A71" s="9">
        <f>Analytique!A68</f>
        <v>6230</v>
      </c>
      <c r="B71" s="9">
        <f>Analytique!B68</f>
        <v>623</v>
      </c>
      <c r="C71" s="10" t="str">
        <f>Analytique!C68</f>
        <v>CADEAU CLIENTELE DEMARCHAGES CELLULE GDS EVENEMENTS</v>
      </c>
      <c r="D71" s="11">
        <v>665</v>
      </c>
      <c r="E71" s="243">
        <f>Analytique!E68</f>
        <v>300</v>
      </c>
    </row>
    <row r="72" spans="1:6" x14ac:dyDescent="0.25">
      <c r="A72" s="9">
        <f>Analytique!A69</f>
        <v>6230</v>
      </c>
      <c r="B72" s="9">
        <f>Analytique!B69</f>
        <v>623</v>
      </c>
      <c r="C72" s="10" t="str">
        <f>Analytique!C69</f>
        <v>CADEAUX CLIENTELE EDUCTOURS</v>
      </c>
      <c r="D72" s="11">
        <v>666</v>
      </c>
      <c r="E72" s="243">
        <f>Analytique!E69</f>
        <v>800</v>
      </c>
    </row>
    <row r="73" spans="1:6" x14ac:dyDescent="0.25">
      <c r="A73" s="9">
        <f>Analytique!A70</f>
        <v>6230</v>
      </c>
      <c r="B73" s="9">
        <f>Analytique!B70</f>
        <v>623</v>
      </c>
      <c r="C73" s="10" t="str">
        <f>Analytique!C70</f>
        <v>CADEAUX CLIENTELE EDUCTOURS CELLULE GDS EVENEMENTS</v>
      </c>
      <c r="D73" s="11">
        <v>667</v>
      </c>
      <c r="E73" s="243">
        <f>Analytique!E70</f>
        <v>300</v>
      </c>
    </row>
    <row r="74" spans="1:6" x14ac:dyDescent="0.25">
      <c r="A74" s="9">
        <f>Analytique!A71</f>
        <v>6230</v>
      </c>
      <c r="B74" s="9">
        <f>Analytique!B71</f>
        <v>623</v>
      </c>
      <c r="C74" s="10" t="str">
        <f>Analytique!C71</f>
        <v>ETUDES &amp; OBSERVATIONS</v>
      </c>
      <c r="D74" s="11">
        <v>668</v>
      </c>
      <c r="E74" s="243">
        <f>Analytique!E71</f>
        <v>10000</v>
      </c>
    </row>
    <row r="75" spans="1:6" x14ac:dyDescent="0.25">
      <c r="A75" s="9">
        <f>Analytique!A72</f>
        <v>6230</v>
      </c>
      <c r="B75" s="9">
        <f>Analytique!B72</f>
        <v>623</v>
      </c>
      <c r="C75" s="10" t="str">
        <f>Analytique!C72</f>
        <v>FORMATION CALCULATEUR UNIMEV</v>
      </c>
      <c r="D75" s="11">
        <v>669</v>
      </c>
      <c r="E75" s="243">
        <f>Analytique!E72</f>
        <v>5000</v>
      </c>
    </row>
    <row r="76" spans="1:6" x14ac:dyDescent="0.25">
      <c r="A76" s="9">
        <f>Analytique!A73</f>
        <v>6230</v>
      </c>
      <c r="B76" s="9">
        <f>Analytique!B73</f>
        <v>623</v>
      </c>
      <c r="C76" s="10" t="str">
        <f>Analytique!C73</f>
        <v>PLAN DE COMMUNICATION PORTAIL GDS EVENEMENTS RELATION PRESSE VALO WELCOME PACK</v>
      </c>
      <c r="D76" s="11">
        <v>670</v>
      </c>
      <c r="E76" s="243">
        <f>Analytique!E73</f>
        <v>60000</v>
      </c>
    </row>
    <row r="77" spans="1:6" x14ac:dyDescent="0.25">
      <c r="A77" s="9">
        <f>Analytique!A74</f>
        <v>6255</v>
      </c>
      <c r="B77" s="9">
        <f>Analytique!B74</f>
        <v>625</v>
      </c>
      <c r="C77" s="10" t="str">
        <f>Analytique!C74</f>
        <v>FRAIS DE DEMENAGEMENT</v>
      </c>
      <c r="D77" s="11">
        <v>671</v>
      </c>
      <c r="E77" s="243">
        <f>Analytique!E74</f>
        <v>3000</v>
      </c>
      <c r="F77" s="37"/>
    </row>
    <row r="78" spans="1:6" x14ac:dyDescent="0.25">
      <c r="A78" s="9">
        <f>Analytique!A75</f>
        <v>6226</v>
      </c>
      <c r="B78" s="9">
        <f>Analytique!B75</f>
        <v>622</v>
      </c>
      <c r="C78" s="10" t="str">
        <f>Analytique!C75</f>
        <v>PERSONNELS EXTERIEURS (Marc PAUL)</v>
      </c>
      <c r="D78" s="11">
        <v>672</v>
      </c>
      <c r="E78" s="243">
        <f>Analytique!E75</f>
        <v>0</v>
      </c>
    </row>
    <row r="79" spans="1:6" x14ac:dyDescent="0.25">
      <c r="A79" s="9">
        <f>Analytique!A76</f>
        <v>6226</v>
      </c>
      <c r="B79" s="9">
        <f>Analytique!B76</f>
        <v>622</v>
      </c>
      <c r="C79" s="10" t="str">
        <f>Analytique!C76</f>
        <v>HONORAIRES DIVERS RAPIN</v>
      </c>
      <c r="D79" s="11">
        <v>673</v>
      </c>
      <c r="E79" s="243">
        <f>Analytique!E76</f>
        <v>4800</v>
      </c>
    </row>
    <row r="80" spans="1:6" x14ac:dyDescent="0.25">
      <c r="A80" s="9">
        <f>Analytique!A77</f>
        <v>6226</v>
      </c>
      <c r="B80" s="9">
        <f>Analytique!B77</f>
        <v>622</v>
      </c>
      <c r="C80" s="10" t="str">
        <f>Analytique!C77</f>
        <v>HONORAIRES DIVERS RAPIN CELLULE GDS EVENEMENTS</v>
      </c>
      <c r="D80" s="11">
        <v>674</v>
      </c>
      <c r="E80" s="243">
        <f>Analytique!E77</f>
        <v>3000</v>
      </c>
    </row>
    <row r="81" spans="1:6" x14ac:dyDescent="0.25">
      <c r="A81" s="9">
        <f>Analytique!A78</f>
        <v>6226</v>
      </c>
      <c r="B81" s="9">
        <f>Analytique!B78</f>
        <v>622</v>
      </c>
      <c r="C81" s="10" t="str">
        <f>Analytique!C78</f>
        <v>FRAIS D'HONORAIRES AGENCE (Déménagement)</v>
      </c>
      <c r="D81" s="11">
        <v>675</v>
      </c>
      <c r="E81" s="243">
        <f>Analytique!E78</f>
        <v>1200</v>
      </c>
      <c r="F81" s="24"/>
    </row>
    <row r="82" spans="1:6" x14ac:dyDescent="0.25">
      <c r="A82" s="9">
        <f>Analytique!A79</f>
        <v>6226</v>
      </c>
      <c r="B82" s="9">
        <f>Analytique!B79</f>
        <v>622</v>
      </c>
      <c r="C82" s="10" t="str">
        <f>Analytique!C79</f>
        <v>FRAIS D'HONORAIRES AGENCE (Déménagement) CELLULE GDS EVENEMENTS</v>
      </c>
      <c r="D82" s="11">
        <v>676</v>
      </c>
      <c r="E82" s="243">
        <f>Analytique!E79</f>
        <v>900</v>
      </c>
    </row>
    <row r="83" spans="1:6" x14ac:dyDescent="0.25">
      <c r="A83" s="9">
        <f>Analytique!A80</f>
        <v>62262</v>
      </c>
      <c r="B83" s="9">
        <f>Analytique!B80</f>
        <v>622</v>
      </c>
      <c r="C83" s="10" t="str">
        <f>Analytique!C80</f>
        <v>EXPERT COMPTABLE</v>
      </c>
      <c r="D83" s="11">
        <v>677</v>
      </c>
      <c r="E83" s="243">
        <f>Analytique!E80</f>
        <v>10000</v>
      </c>
    </row>
    <row r="84" spans="1:6" x14ac:dyDescent="0.25">
      <c r="A84" s="9">
        <f>Analytique!A81</f>
        <v>62262</v>
      </c>
      <c r="B84" s="9">
        <f>Analytique!B81</f>
        <v>622</v>
      </c>
      <c r="C84" s="10" t="str">
        <f>Analytique!C81</f>
        <v>EXPERT COMPTABLE CELLULE GDS EVENEMENTS</v>
      </c>
      <c r="D84" s="11">
        <v>678</v>
      </c>
      <c r="E84" s="243">
        <f>Analytique!E81</f>
        <v>2000</v>
      </c>
    </row>
    <row r="85" spans="1:6" x14ac:dyDescent="0.25">
      <c r="A85" s="9">
        <f>Analytique!A82</f>
        <v>62263</v>
      </c>
      <c r="B85" s="9">
        <f>Analytique!B82</f>
        <v>622</v>
      </c>
      <c r="C85" s="10" t="str">
        <f>Analytique!C82</f>
        <v xml:space="preserve">HONORAIRES CAC HOUENOUSSI </v>
      </c>
      <c r="D85" s="11">
        <v>679</v>
      </c>
      <c r="E85" s="243">
        <f>Analytique!E82</f>
        <v>4200</v>
      </c>
    </row>
    <row r="86" spans="1:6" ht="18.75" customHeight="1" x14ac:dyDescent="0.25">
      <c r="A86" s="9">
        <f>Analytique!A83</f>
        <v>62263</v>
      </c>
      <c r="B86" s="9">
        <f>Analytique!B83</f>
        <v>622</v>
      </c>
      <c r="C86" s="10" t="str">
        <f>Analytique!C83</f>
        <v>HONORAIRES CAC HOUENOUSSI CELLULE GDS EVENEMENTS</v>
      </c>
      <c r="D86" s="11">
        <v>680</v>
      </c>
      <c r="E86" s="243">
        <f>Analytique!E83</f>
        <v>200</v>
      </c>
    </row>
    <row r="87" spans="1:6" ht="18.75" customHeight="1" x14ac:dyDescent="0.25">
      <c r="A87" s="9">
        <f>Analytique!A84</f>
        <v>6227</v>
      </c>
      <c r="B87" s="9">
        <f>Analytique!B84</f>
        <v>622</v>
      </c>
      <c r="C87" s="10" t="str">
        <f>Analytique!C84</f>
        <v xml:space="preserve">FRAIS D'ACTES ET CONTENTIEUX </v>
      </c>
      <c r="D87" s="11">
        <v>681</v>
      </c>
      <c r="E87" s="243">
        <f>Analytique!E84</f>
        <v>100</v>
      </c>
    </row>
    <row r="88" spans="1:6" x14ac:dyDescent="0.25">
      <c r="A88" s="9">
        <f>Analytique!A85</f>
        <v>6227</v>
      </c>
      <c r="B88" s="9">
        <f>Analytique!B85</f>
        <v>622</v>
      </c>
      <c r="C88" s="10" t="str">
        <f>Analytique!C85</f>
        <v>FRAIS D'ACTES ET CONTENTIEUX  CELLULE GDS EVENEMENTS</v>
      </c>
      <c r="D88" s="11">
        <v>682</v>
      </c>
      <c r="E88" s="243">
        <f>Analytique!E85</f>
        <v>100</v>
      </c>
    </row>
    <row r="89" spans="1:6" x14ac:dyDescent="0.25">
      <c r="A89" s="9">
        <f>Analytique!A86</f>
        <v>6230</v>
      </c>
      <c r="B89" s="9">
        <f>Analytique!B86</f>
        <v>623</v>
      </c>
      <c r="C89" s="10" t="str">
        <f>Analytique!C86</f>
        <v>PUBLICITE RELATIONS PUBLIQUES ( key 2 business - compoceans-sarbacane -carte de vœux - invit AG)</v>
      </c>
      <c r="D89" s="11">
        <v>683</v>
      </c>
      <c r="E89" s="243">
        <f>Analytique!E86</f>
        <v>7000</v>
      </c>
    </row>
    <row r="90" spans="1:6" ht="18.75" customHeight="1" x14ac:dyDescent="0.25">
      <c r="A90" s="9">
        <f>Analytique!A87</f>
        <v>6251</v>
      </c>
      <c r="B90" s="9">
        <f>Analytique!B87</f>
        <v>625</v>
      </c>
      <c r="C90" s="10" t="str">
        <f>Analytique!C87</f>
        <v>MICE PLACE DEP PLR</v>
      </c>
      <c r="D90" s="11">
        <v>684</v>
      </c>
      <c r="E90" s="243">
        <f>Analytique!E87</f>
        <v>0</v>
      </c>
    </row>
    <row r="91" spans="1:6" x14ac:dyDescent="0.25">
      <c r="A91" s="9">
        <f>Analytique!A88</f>
        <v>6251</v>
      </c>
      <c r="B91" s="9">
        <f>Analytique!B88</f>
        <v>625</v>
      </c>
      <c r="C91" s="10" t="str">
        <f>Analytique!C88</f>
        <v>REUNION PARTENAIRES DE LA CELLULE</v>
      </c>
      <c r="D91" s="11">
        <v>685</v>
      </c>
      <c r="E91" s="243">
        <f>Analytique!E88</f>
        <v>5000</v>
      </c>
    </row>
    <row r="92" spans="1:6" x14ac:dyDescent="0.25">
      <c r="A92" s="9">
        <f>Analytique!A89</f>
        <v>6251</v>
      </c>
      <c r="B92" s="9">
        <f>Analytique!B89</f>
        <v>625</v>
      </c>
      <c r="C92" s="10" t="str">
        <f>Analytique!C89</f>
        <v>SALON SPECIALISE 1  CELLULE Dep 1 pax</v>
      </c>
      <c r="D92" s="11">
        <v>686</v>
      </c>
      <c r="E92" s="243">
        <f>Analytique!E89</f>
        <v>1000</v>
      </c>
    </row>
    <row r="93" spans="1:6" x14ac:dyDescent="0.25">
      <c r="A93" s="9">
        <f>Analytique!A90</f>
        <v>6251</v>
      </c>
      <c r="B93" s="9">
        <f>Analytique!B90</f>
        <v>625</v>
      </c>
      <c r="C93" s="10" t="str">
        <f>Analytique!C90</f>
        <v>SALON SPECIALISE 2  CELLULE Dep 1 pax</v>
      </c>
      <c r="D93" s="11">
        <v>687</v>
      </c>
      <c r="E93" s="243">
        <f>Analytique!E90</f>
        <v>1000</v>
      </c>
      <c r="F93" s="24"/>
    </row>
    <row r="94" spans="1:6" x14ac:dyDescent="0.25">
      <c r="A94" s="9">
        <f>Analytique!A91</f>
        <v>6251</v>
      </c>
      <c r="B94" s="9">
        <f>Analytique!B91</f>
        <v>625</v>
      </c>
      <c r="C94" s="10" t="str">
        <f>Analytique!C91</f>
        <v>EDUCTOUR 1 CELLULE GDS EV  BILLETS AVION ET HOTEL</v>
      </c>
      <c r="D94" s="11">
        <v>688</v>
      </c>
      <c r="E94" s="243">
        <f>Analytique!E91</f>
        <v>6000</v>
      </c>
    </row>
    <row r="95" spans="1:6" x14ac:dyDescent="0.25">
      <c r="A95" s="9">
        <f>Analytique!A92</f>
        <v>6251</v>
      </c>
      <c r="B95" s="9">
        <f>Analytique!B92</f>
        <v>625</v>
      </c>
      <c r="C95" s="10" t="str">
        <f>Analytique!C92</f>
        <v>FRAIS DE  DEMARCHAGE 1 pour 1 pax CELLULE GDS EV</v>
      </c>
      <c r="D95" s="11">
        <v>689</v>
      </c>
      <c r="E95" s="243">
        <f>Analytique!E92</f>
        <v>1500</v>
      </c>
    </row>
    <row r="96" spans="1:6" x14ac:dyDescent="0.25">
      <c r="A96" s="9">
        <f>Analytique!A93</f>
        <v>6251</v>
      </c>
      <c r="B96" s="9">
        <f>Analytique!B93</f>
        <v>625</v>
      </c>
      <c r="C96" s="10" t="str">
        <f>Analytique!C93</f>
        <v>FRAIS DE  DEMARCHAGE 2 pour 1 pax CELLULE GDS EV</v>
      </c>
      <c r="D96" s="11">
        <v>690</v>
      </c>
      <c r="E96" s="243">
        <f>Analytique!E93</f>
        <v>1500</v>
      </c>
      <c r="F96" s="21"/>
    </row>
    <row r="97" spans="1:8" x14ac:dyDescent="0.25">
      <c r="A97" s="9">
        <f>Analytique!A94</f>
        <v>6251</v>
      </c>
      <c r="B97" s="9">
        <f>Analytique!B94</f>
        <v>625</v>
      </c>
      <c r="C97" s="10" t="str">
        <f>Analytique!C94</f>
        <v>DEP CELLULE GDS EV PROFIL SENIOR POUR CONVENTION AEROPORT</v>
      </c>
      <c r="D97" s="11">
        <v>691</v>
      </c>
      <c r="E97" s="243">
        <f>Analytique!E94</f>
        <v>30000</v>
      </c>
      <c r="F97" s="39"/>
    </row>
    <row r="98" spans="1:8" x14ac:dyDescent="0.25">
      <c r="A98" s="9">
        <f>Analytique!A95</f>
        <v>6251</v>
      </c>
      <c r="B98" s="9">
        <f>Analytique!B95</f>
        <v>625</v>
      </c>
      <c r="C98" s="10" t="str">
        <f>Analytique!C95</f>
        <v>DEP CELLULE GDS EV PROFIL CHARGE DE MISSION POUR SUIVI DOSSIERS</v>
      </c>
      <c r="D98" s="11">
        <v>692</v>
      </c>
      <c r="E98" s="243">
        <f>Analytique!E95</f>
        <v>10000</v>
      </c>
    </row>
    <row r="99" spans="1:8" x14ac:dyDescent="0.25">
      <c r="A99" s="9">
        <f>Analytique!A96</f>
        <v>6251</v>
      </c>
      <c r="B99" s="9">
        <f>Analytique!B96</f>
        <v>625</v>
      </c>
      <c r="C99" s="10" t="str">
        <f>Analytique!C96</f>
        <v>DEPLACEMENT CELLULE RDV DES PARTENAIRES</v>
      </c>
      <c r="D99" s="11">
        <v>693</v>
      </c>
      <c r="E99" s="243">
        <f>Analytique!E96</f>
        <v>1500</v>
      </c>
      <c r="F99" s="24"/>
    </row>
    <row r="100" spans="1:8" x14ac:dyDescent="0.25">
      <c r="A100" s="9">
        <f>Analytique!A97</f>
        <v>6251</v>
      </c>
      <c r="B100" s="9">
        <f>Analytique!B97</f>
        <v>625</v>
      </c>
      <c r="C100" s="10" t="str">
        <f>Analytique!C97</f>
        <v>DEPLACEMENT CELLULE PRESIDENT</v>
      </c>
      <c r="D100" s="11">
        <v>694</v>
      </c>
      <c r="E100" s="243">
        <f>Analytique!E97</f>
        <v>6000</v>
      </c>
    </row>
    <row r="101" spans="1:8" x14ac:dyDescent="0.25">
      <c r="A101" s="9">
        <f>Analytique!A98</f>
        <v>6251</v>
      </c>
      <c r="B101" s="9">
        <f>Analytique!B98</f>
        <v>625</v>
      </c>
      <c r="C101" s="10" t="str">
        <f>Analytique!C98</f>
        <v>DEPLACEMENT CELLULE EQUIPE (REUNIONS GOUV)</v>
      </c>
      <c r="D101" s="11">
        <v>695</v>
      </c>
      <c r="E101" s="243">
        <f>Analytique!E98</f>
        <v>5000</v>
      </c>
    </row>
    <row r="102" spans="1:8" x14ac:dyDescent="0.25">
      <c r="A102" s="9">
        <f>Analytique!A99</f>
        <v>6253</v>
      </c>
      <c r="B102" s="9">
        <f>Analytique!B99</f>
        <v>625</v>
      </c>
      <c r="C102" s="10" t="str">
        <f>Analytique!C99</f>
        <v>FRAIS KLM CELLULE</v>
      </c>
      <c r="D102" s="11">
        <v>696</v>
      </c>
      <c r="E102" s="243">
        <f>Analytique!E99</f>
        <v>3500</v>
      </c>
    </row>
    <row r="103" spans="1:8" x14ac:dyDescent="0.25">
      <c r="A103" s="9">
        <f>Analytique!A100</f>
        <v>6257</v>
      </c>
      <c r="B103" s="9">
        <f>Analytique!B100</f>
        <v>625</v>
      </c>
      <c r="C103" s="10" t="str">
        <f>Analytique!C100</f>
        <v>RECEPTION (RESTAURATION HORS SALONS)</v>
      </c>
      <c r="D103" s="11">
        <v>697</v>
      </c>
      <c r="E103" s="243">
        <f>Analytique!E100</f>
        <v>4000</v>
      </c>
    </row>
    <row r="104" spans="1:8" x14ac:dyDescent="0.25">
      <c r="A104" s="9">
        <f>Analytique!A101</f>
        <v>6251</v>
      </c>
      <c r="B104" s="9">
        <f>Analytique!B101</f>
        <v>625</v>
      </c>
      <c r="C104" s="10" t="str">
        <f>Analytique!C101</f>
        <v>HEAVENT CANNES déplacement : 2 pax et MB 1 jour</v>
      </c>
      <c r="D104" s="11">
        <v>698</v>
      </c>
      <c r="E104" s="243">
        <f>Analytique!E101</f>
        <v>1200</v>
      </c>
    </row>
    <row r="105" spans="1:8" x14ac:dyDescent="0.25">
      <c r="A105" s="9">
        <f>Analytique!A102</f>
        <v>6251</v>
      </c>
      <c r="B105" s="9">
        <f>Analytique!B102</f>
        <v>625</v>
      </c>
      <c r="C105" s="10" t="str">
        <f>Analytique!C102</f>
        <v>EDUCTOUR 1 TRAIN ET HOTELS CLIENTS</v>
      </c>
      <c r="D105" s="11">
        <v>699</v>
      </c>
      <c r="E105" s="243">
        <f>Analytique!E102</f>
        <v>3300</v>
      </c>
    </row>
    <row r="106" spans="1:8" x14ac:dyDescent="0.25">
      <c r="A106" s="9">
        <f>Analytique!A103</f>
        <v>6251</v>
      </c>
      <c r="B106" s="9">
        <f>Analytique!B103</f>
        <v>625</v>
      </c>
      <c r="C106" s="10" t="str">
        <f>Analytique!C103</f>
        <v>EDUCTOUR 2 TGV ET HOTELS CLIENTS</v>
      </c>
      <c r="D106" s="11">
        <v>700</v>
      </c>
      <c r="E106" s="243">
        <f>Analytique!E103</f>
        <v>7700</v>
      </c>
    </row>
    <row r="107" spans="1:8" x14ac:dyDescent="0.25">
      <c r="A107" s="9">
        <f>Analytique!A104</f>
        <v>6251</v>
      </c>
      <c r="B107" s="9">
        <f>Analytique!B104</f>
        <v>625</v>
      </c>
      <c r="C107" s="10" t="str">
        <f>Analytique!C104</f>
        <v>SALON IMEX DEPLACEMENT 1 pers</v>
      </c>
      <c r="D107" s="11">
        <v>701</v>
      </c>
      <c r="E107" s="243">
        <f>Analytique!E104</f>
        <v>850</v>
      </c>
    </row>
    <row r="108" spans="1:8" x14ac:dyDescent="0.25">
      <c r="A108" s="9">
        <f>Analytique!A105</f>
        <v>6251</v>
      </c>
      <c r="B108" s="9">
        <f>Analytique!B105</f>
        <v>625</v>
      </c>
      <c r="C108" s="10" t="str">
        <f>Analytique!C105</f>
        <v>Eductour Belgique déplacement 1 pers + Frais restauration clients et hébergement clients</v>
      </c>
      <c r="D108" s="11">
        <v>702</v>
      </c>
      <c r="E108" s="243">
        <f>Analytique!E105</f>
        <v>10750</v>
      </c>
      <c r="H108" s="16"/>
    </row>
    <row r="109" spans="1:8" x14ac:dyDescent="0.25">
      <c r="A109" s="9">
        <f>Analytique!A106</f>
        <v>6251</v>
      </c>
      <c r="B109" s="9">
        <f>Analytique!B106</f>
        <v>625</v>
      </c>
      <c r="C109" s="10" t="str">
        <f>Analytique!C106</f>
        <v>Workshop Allemagne déplacement 1 pers + restauration clients</v>
      </c>
      <c r="D109" s="11">
        <v>703</v>
      </c>
      <c r="E109" s="243">
        <f>Analytique!E106</f>
        <v>7940</v>
      </c>
      <c r="G109" s="38"/>
      <c r="H109" s="16"/>
    </row>
    <row r="110" spans="1:8" x14ac:dyDescent="0.25">
      <c r="A110" s="9">
        <f>Analytique!A107</f>
        <v>6251</v>
      </c>
      <c r="B110" s="9">
        <f>Analytique!B107</f>
        <v>625</v>
      </c>
      <c r="C110" s="10" t="str">
        <f>Analytique!C107</f>
        <v xml:space="preserve">SALON MP2 - deplacement PLR </v>
      </c>
      <c r="D110" s="11">
        <v>704</v>
      </c>
      <c r="E110" s="243">
        <f>Analytique!E107</f>
        <v>200</v>
      </c>
    </row>
    <row r="111" spans="1:8" x14ac:dyDescent="0.25">
      <c r="A111" s="9">
        <f>Analytique!A108</f>
        <v>6251</v>
      </c>
      <c r="B111" s="9">
        <f>Analytique!B108</f>
        <v>625</v>
      </c>
      <c r="C111" s="10" t="str">
        <f>Analytique!C108</f>
        <v>SALON IBTM DEPLACEMENT 1 pers</v>
      </c>
      <c r="D111" s="11">
        <v>705</v>
      </c>
      <c r="E111" s="243">
        <f>Analytique!E108</f>
        <v>800</v>
      </c>
    </row>
    <row r="112" spans="1:8" x14ac:dyDescent="0.25">
      <c r="A112" s="9">
        <f>Analytique!A109</f>
        <v>6251</v>
      </c>
      <c r="B112" s="9">
        <f>Analytique!B109</f>
        <v>625</v>
      </c>
      <c r="C112" s="10" t="str">
        <f>Analytique!C109</f>
        <v>SALON SBE LYON DEP 1 pers</v>
      </c>
      <c r="D112" s="11">
        <v>706</v>
      </c>
      <c r="E112" s="243">
        <f>Analytique!E109</f>
        <v>450</v>
      </c>
      <c r="G112" s="39"/>
    </row>
    <row r="113" spans="1:7" x14ac:dyDescent="0.25">
      <c r="A113" s="9">
        <f>Analytique!A110</f>
        <v>6251</v>
      </c>
      <c r="B113" s="9">
        <f>Analytique!B110</f>
        <v>625</v>
      </c>
      <c r="C113" s="10" t="str">
        <f>Analytique!C110</f>
        <v>WORKSHOP PARIS DECEMBE DEP 4 pers + PLR</v>
      </c>
      <c r="D113" s="11">
        <v>707</v>
      </c>
      <c r="E113" s="243">
        <f>Analytique!E110</f>
        <v>3200</v>
      </c>
    </row>
    <row r="114" spans="1:7" x14ac:dyDescent="0.25">
      <c r="A114" s="9">
        <f>Analytique!A111</f>
        <v>6251</v>
      </c>
      <c r="B114" s="9">
        <f>Analytique!B111</f>
        <v>625</v>
      </c>
      <c r="C114" s="10" t="str">
        <f>Analytique!C111</f>
        <v xml:space="preserve">Deplacement Workshop Lyon (2 pax) </v>
      </c>
      <c r="D114" s="11">
        <v>708</v>
      </c>
      <c r="E114" s="243">
        <f>Analytique!E111</f>
        <v>900</v>
      </c>
    </row>
    <row r="115" spans="1:7" x14ac:dyDescent="0.25">
      <c r="A115" s="9">
        <f>Analytique!A112</f>
        <v>6251</v>
      </c>
      <c r="B115" s="9">
        <f>Analytique!B112</f>
        <v>625</v>
      </c>
      <c r="C115" s="10" t="str">
        <f>Analytique!C112</f>
        <v xml:space="preserve">Workshop UK déplacement 1 pers  </v>
      </c>
      <c r="D115" s="11">
        <v>709</v>
      </c>
      <c r="E115" s="243">
        <f>Analytique!E112</f>
        <v>800</v>
      </c>
    </row>
    <row r="116" spans="1:7" x14ac:dyDescent="0.25">
      <c r="A116" s="9">
        <f>Analytique!A113</f>
        <v>6251</v>
      </c>
      <c r="B116" s="9">
        <f>Analytique!B113</f>
        <v>625</v>
      </c>
      <c r="C116" s="10" t="str">
        <f>Analytique!C113</f>
        <v>Workshop REUNIR Déplacement personne TOULOUSE</v>
      </c>
      <c r="D116" s="11">
        <v>710</v>
      </c>
      <c r="E116" s="243">
        <f>Analytique!E113</f>
        <v>500</v>
      </c>
    </row>
    <row r="117" spans="1:7" x14ac:dyDescent="0.25">
      <c r="A117" s="9">
        <f>Analytique!A114</f>
        <v>6251</v>
      </c>
      <c r="B117" s="9">
        <f>Analytique!B114</f>
        <v>625</v>
      </c>
      <c r="C117" s="10" t="str">
        <f>Analytique!C114</f>
        <v>WORKSHOP PCE ÉTÉ PARIS déplacement 3 pax PCE + PLR</v>
      </c>
      <c r="D117" s="11">
        <v>711</v>
      </c>
      <c r="E117" s="243">
        <f>Analytique!E114</f>
        <v>2300</v>
      </c>
    </row>
    <row r="118" spans="1:7" x14ac:dyDescent="0.25">
      <c r="A118" s="9">
        <f>Analytique!A115</f>
        <v>6251</v>
      </c>
      <c r="B118" s="9">
        <f>Analytique!B115</f>
        <v>625</v>
      </c>
      <c r="C118" s="10" t="str">
        <f>Analytique!C115</f>
        <v>DEPL TS LES 15j à Marseille Anne Hobon</v>
      </c>
      <c r="D118" s="11">
        <v>712</v>
      </c>
      <c r="E118" s="243">
        <f>Analytique!E115</f>
        <v>100</v>
      </c>
    </row>
    <row r="119" spans="1:7" x14ac:dyDescent="0.25">
      <c r="A119" s="9">
        <f>Analytique!A116</f>
        <v>6251</v>
      </c>
      <c r="B119" s="9">
        <f>Analytique!B116</f>
        <v>625</v>
      </c>
      <c r="C119" s="10" t="str">
        <f>Analytique!C116</f>
        <v>DEPLACEMENT laurie HORS SALONS(PARIS ET MICE LYON )</v>
      </c>
      <c r="D119" s="11">
        <v>713</v>
      </c>
      <c r="E119" s="243">
        <f>Analytique!E116</f>
        <v>5800</v>
      </c>
    </row>
    <row r="120" spans="1:7" x14ac:dyDescent="0.25">
      <c r="A120" s="9">
        <f>Analytique!A117</f>
        <v>6251</v>
      </c>
      <c r="B120" s="9">
        <f>Analytique!B117</f>
        <v>625</v>
      </c>
      <c r="C120" s="10" t="str">
        <f>Analytique!C117</f>
        <v>DEPLACEMENT laurie ACTION EN NOM PROPRE BRAKE THE ICE</v>
      </c>
      <c r="D120" s="11">
        <v>714</v>
      </c>
      <c r="E120" s="243">
        <f>Analytique!E117</f>
        <v>800</v>
      </c>
    </row>
    <row r="121" spans="1:7" x14ac:dyDescent="0.25">
      <c r="A121" s="9">
        <f>Analytique!A118</f>
        <v>6251</v>
      </c>
      <c r="B121" s="9">
        <f>Analytique!B118</f>
        <v>625</v>
      </c>
      <c r="C121" s="10" t="str">
        <f>Analytique!C118</f>
        <v>DEPLACEMENT MB HORS SALONS</v>
      </c>
      <c r="D121" s="11">
        <v>715</v>
      </c>
      <c r="E121" s="243">
        <f>Analytique!E118</f>
        <v>300</v>
      </c>
    </row>
    <row r="122" spans="1:7" x14ac:dyDescent="0.25">
      <c r="A122" s="9">
        <f>Analytique!A119</f>
        <v>6251</v>
      </c>
      <c r="B122" s="9">
        <f>Analytique!B119</f>
        <v>625</v>
      </c>
      <c r="C122" s="10" t="str">
        <f>Analytique!C119</f>
        <v>DEPLACEMENT PCE VISITE ADHERENTS</v>
      </c>
      <c r="D122" s="11">
        <v>716</v>
      </c>
      <c r="E122" s="243">
        <f>Analytique!E119</f>
        <v>1400</v>
      </c>
    </row>
    <row r="123" spans="1:7" x14ac:dyDescent="0.25">
      <c r="A123" s="9">
        <f>Analytique!A120</f>
        <v>6251</v>
      </c>
      <c r="B123" s="9">
        <f>Analytique!B120</f>
        <v>625</v>
      </c>
      <c r="C123" s="10" t="str">
        <f>Analytique!C120</f>
        <v>DEPLACEMENT PLR (total gr inclus)</v>
      </c>
      <c r="D123" s="11">
        <v>717</v>
      </c>
      <c r="E123" s="243">
        <f>Analytique!E120</f>
        <v>10000</v>
      </c>
    </row>
    <row r="124" spans="1:7" x14ac:dyDescent="0.25">
      <c r="A124" s="9">
        <f>Analytique!A121</f>
        <v>6251</v>
      </c>
      <c r="B124" s="9">
        <f>Analytique!B121</f>
        <v>625</v>
      </c>
      <c r="C124" s="10" t="str">
        <f>Analytique!C121</f>
        <v>DEPLACEMENT EQUIPE (RT et CA)</v>
      </c>
      <c r="D124" s="11">
        <v>718</v>
      </c>
      <c r="E124" s="243">
        <f>Analytique!E121</f>
        <v>8000</v>
      </c>
      <c r="G124" s="38"/>
    </row>
    <row r="125" spans="1:7" x14ac:dyDescent="0.25">
      <c r="A125" s="9">
        <f>Analytique!A122</f>
        <v>6251</v>
      </c>
      <c r="B125" s="9">
        <f>Analytique!B122</f>
        <v>625</v>
      </c>
      <c r="C125" s="10" t="str">
        <f>Analytique!C122</f>
        <v>FRAIS CAFE &amp; DEP FORMATION PRO ADHERENTS</v>
      </c>
      <c r="D125" s="11">
        <v>719</v>
      </c>
      <c r="E125" s="243">
        <f>Analytique!E122</f>
        <v>0</v>
      </c>
    </row>
    <row r="126" spans="1:7" x14ac:dyDescent="0.25">
      <c r="A126" s="9">
        <f>Analytique!A123</f>
        <v>6251</v>
      </c>
      <c r="B126" s="9">
        <f>Analytique!B123</f>
        <v>625</v>
      </c>
      <c r="C126" s="10" t="str">
        <f>Analytique!C123</f>
        <v>FSCEF/UNIMEV DEP</v>
      </c>
      <c r="D126" s="11">
        <v>720</v>
      </c>
      <c r="E126" s="243">
        <f>Analytique!E123</f>
        <v>0</v>
      </c>
    </row>
    <row r="127" spans="1:7" x14ac:dyDescent="0.25">
      <c r="A127" s="9">
        <f>Analytique!A124</f>
        <v>6251</v>
      </c>
      <c r="B127" s="9">
        <f>Analytique!B124</f>
        <v>625</v>
      </c>
      <c r="C127" s="10" t="str">
        <f>Analytique!C124</f>
        <v>DEP MISSION ECO AVEC REGION</v>
      </c>
      <c r="D127" s="11">
        <v>721</v>
      </c>
      <c r="E127" s="243">
        <f>Analytique!E124</f>
        <v>0</v>
      </c>
    </row>
    <row r="128" spans="1:7" x14ac:dyDescent="0.25">
      <c r="A128" s="9">
        <f>Analytique!A125</f>
        <v>62515</v>
      </c>
      <c r="B128" s="9">
        <f>Analytique!B125</f>
        <v>625</v>
      </c>
      <c r="C128" s="10" t="str">
        <f>Analytique!C125</f>
        <v>FRAIS VEHICULES ESSENCE</v>
      </c>
      <c r="D128" s="11">
        <v>722</v>
      </c>
      <c r="E128" s="243">
        <f>Analytique!E125</f>
        <v>300</v>
      </c>
    </row>
    <row r="129" spans="1:5" x14ac:dyDescent="0.25">
      <c r="A129" s="9">
        <f>Analytique!A126</f>
        <v>6253</v>
      </c>
      <c r="B129" s="9">
        <f>Analytique!B126</f>
        <v>625</v>
      </c>
      <c r="C129" s="10" t="str">
        <f>Analytique!C126</f>
        <v>FRAIS KILOMETRIQUES</v>
      </c>
      <c r="D129" s="11">
        <v>723</v>
      </c>
      <c r="E129" s="243">
        <f>Analytique!E126</f>
        <v>3500</v>
      </c>
    </row>
    <row r="130" spans="1:5" x14ac:dyDescent="0.25">
      <c r="A130" s="9">
        <f>Analytique!A127</f>
        <v>6257</v>
      </c>
      <c r="B130" s="9">
        <f>Analytique!B127</f>
        <v>625</v>
      </c>
      <c r="C130" s="10" t="str">
        <f>Analytique!C127</f>
        <v>PERSONNELS EXTERIEURS (Marc PAUL)</v>
      </c>
      <c r="D130" s="11">
        <v>724</v>
      </c>
      <c r="E130" s="243">
        <f>Analytique!E127</f>
        <v>4000</v>
      </c>
    </row>
    <row r="131" spans="1:5" x14ac:dyDescent="0.25">
      <c r="A131" s="9">
        <f>Analytique!A128</f>
        <v>6251</v>
      </c>
      <c r="B131" s="9">
        <f>Analytique!B128</f>
        <v>625</v>
      </c>
      <c r="C131" s="10" t="str">
        <f>Analytique!C128</f>
        <v>FRAIS DE DEP CELLULE GDS EVENEMENTS</v>
      </c>
      <c r="D131" s="11">
        <v>725</v>
      </c>
      <c r="E131" s="243">
        <f>Analytique!E128</f>
        <v>0</v>
      </c>
    </row>
    <row r="132" spans="1:5" x14ac:dyDescent="0.25">
      <c r="A132" s="9">
        <f>Analytique!A129</f>
        <v>62630</v>
      </c>
      <c r="B132" s="9">
        <f>Analytique!B129</f>
        <v>626</v>
      </c>
      <c r="C132" s="10" t="str">
        <f>Analytique!C129</f>
        <v>AFFRANCHISSEMENT</v>
      </c>
      <c r="D132" s="11">
        <v>726</v>
      </c>
      <c r="E132" s="243">
        <f>Analytique!E129</f>
        <v>900</v>
      </c>
    </row>
    <row r="133" spans="1:5" x14ac:dyDescent="0.25">
      <c r="A133" s="9">
        <f>Analytique!A130</f>
        <v>62630</v>
      </c>
      <c r="B133" s="9">
        <f>Analytique!B130</f>
        <v>626</v>
      </c>
      <c r="C133" s="10" t="str">
        <f>Analytique!C130</f>
        <v>AFFRANCHISSEMENT CELLULE GDS EVENEMENTS</v>
      </c>
      <c r="D133" s="11">
        <v>727</v>
      </c>
      <c r="E133" s="243">
        <f>Analytique!E130</f>
        <v>300</v>
      </c>
    </row>
    <row r="134" spans="1:5" x14ac:dyDescent="0.25">
      <c r="A134" s="9">
        <f>Analytique!A131</f>
        <v>6265</v>
      </c>
      <c r="B134" s="9">
        <f>Analytique!B131</f>
        <v>626</v>
      </c>
      <c r="C134" s="10" t="str">
        <f>Analytique!C131</f>
        <v>TELEPHONE</v>
      </c>
      <c r="D134" s="11">
        <v>728</v>
      </c>
      <c r="E134" s="243">
        <f>Analytique!E131</f>
        <v>5000</v>
      </c>
    </row>
    <row r="135" spans="1:5" x14ac:dyDescent="0.25">
      <c r="A135" s="9">
        <f>Analytique!A132</f>
        <v>6265</v>
      </c>
      <c r="B135" s="9">
        <f>Analytique!B132</f>
        <v>626</v>
      </c>
      <c r="C135" s="10" t="str">
        <f>Analytique!C132</f>
        <v>TELEPHONE CELLULE GDS EVENEMENTS</v>
      </c>
      <c r="D135" s="11">
        <v>729</v>
      </c>
      <c r="E135" s="243">
        <f>Analytique!E132</f>
        <v>2200</v>
      </c>
    </row>
    <row r="136" spans="1:5" x14ac:dyDescent="0.25">
      <c r="A136" s="9">
        <f>Analytique!A133</f>
        <v>628</v>
      </c>
      <c r="B136" s="9">
        <f>Analytique!B133</f>
        <v>628</v>
      </c>
      <c r="C136" s="10" t="str">
        <f>Analytique!C133</f>
        <v>ADHESION ICCA</v>
      </c>
      <c r="D136" s="11">
        <v>730</v>
      </c>
      <c r="E136" s="243">
        <f>Analytique!E133</f>
        <v>2980</v>
      </c>
    </row>
    <row r="137" spans="1:5" x14ac:dyDescent="0.25">
      <c r="A137" s="9">
        <f>Analytique!A134</f>
        <v>628</v>
      </c>
      <c r="B137" s="9">
        <f>Analytique!B134</f>
        <v>628</v>
      </c>
      <c r="C137" s="10" t="str">
        <f>Analytique!C134</f>
        <v>ADHESION ICCA CELLULE GDS EVENEMENTS</v>
      </c>
      <c r="D137" s="11">
        <v>731</v>
      </c>
      <c r="E137" s="243">
        <f>Analytique!E134</f>
        <v>745</v>
      </c>
    </row>
    <row r="138" spans="1:5" x14ac:dyDescent="0.25">
      <c r="A138" s="9">
        <f>Analytique!A135</f>
        <v>628</v>
      </c>
      <c r="B138" s="9">
        <f>Analytique!B135</f>
        <v>628</v>
      </c>
      <c r="C138" s="10" t="str">
        <f>Analytique!C135</f>
        <v>ADHESION ATOUT France</v>
      </c>
      <c r="D138" s="11">
        <v>732</v>
      </c>
      <c r="E138" s="243">
        <f>Analytique!E135</f>
        <v>3450</v>
      </c>
    </row>
    <row r="139" spans="1:5" x14ac:dyDescent="0.25">
      <c r="A139" s="9">
        <f>Analytique!A136</f>
        <v>628</v>
      </c>
      <c r="B139" s="9">
        <f>Analytique!B136</f>
        <v>628</v>
      </c>
      <c r="C139" s="10" t="str">
        <f>Analytique!C136</f>
        <v>ADHESION ATOUT France CELLULE GDS EVENEMENTS</v>
      </c>
      <c r="D139" s="11">
        <v>733</v>
      </c>
      <c r="E139" s="243">
        <f>Analytique!E136</f>
        <v>800</v>
      </c>
    </row>
    <row r="140" spans="1:5" x14ac:dyDescent="0.25">
      <c r="A140" s="9">
        <f>Analytique!A137</f>
        <v>628</v>
      </c>
      <c r="B140" s="9">
        <f>Analytique!B137</f>
        <v>628</v>
      </c>
      <c r="C140" s="10" t="str">
        <f>Analytique!C137</f>
        <v>ADHESION RESEAUX INTERNATIONAUX CELLULE GDS EVENEMENTS</v>
      </c>
      <c r="D140" s="11">
        <v>734</v>
      </c>
      <c r="E140" s="243">
        <f>Analytique!E137</f>
        <v>4000</v>
      </c>
    </row>
    <row r="141" spans="1:5" x14ac:dyDescent="0.25">
      <c r="A141" s="9">
        <f>Analytique!A138</f>
        <v>628</v>
      </c>
      <c r="B141" s="9">
        <f>Analytique!B138</f>
        <v>628</v>
      </c>
      <c r="C141" s="10" t="str">
        <f>Analytique!C138</f>
        <v>ADHESION UNIMEV</v>
      </c>
      <c r="D141" s="11">
        <v>735</v>
      </c>
      <c r="E141" s="243">
        <f>Analytique!E138</f>
        <v>1700</v>
      </c>
    </row>
    <row r="142" spans="1:5" x14ac:dyDescent="0.25">
      <c r="A142" s="9">
        <f>Analytique!A139</f>
        <v>628</v>
      </c>
      <c r="B142" s="9">
        <f>Analytique!B139</f>
        <v>628</v>
      </c>
      <c r="C142" s="10" t="str">
        <f>Analytique!C139</f>
        <v>ADHESION AHTOP + CRT PACA</v>
      </c>
      <c r="D142" s="11">
        <v>736</v>
      </c>
      <c r="E142" s="243">
        <f>Analytique!E139</f>
        <v>1040</v>
      </c>
    </row>
    <row r="143" spans="1:5" x14ac:dyDescent="0.25">
      <c r="A143" s="9">
        <f>Analytique!A140</f>
        <v>6227</v>
      </c>
      <c r="B143" s="9">
        <f>Analytique!B140</f>
        <v>622</v>
      </c>
      <c r="C143" s="10" t="str">
        <f>Analytique!C140</f>
        <v>FRAIS BANCAIRES ET ASSIMILES</v>
      </c>
      <c r="D143" s="11">
        <v>737</v>
      </c>
      <c r="E143" s="243">
        <f>Analytique!E140</f>
        <v>2000</v>
      </c>
    </row>
    <row r="144" spans="1:5" x14ac:dyDescent="0.25">
      <c r="A144" s="9">
        <f>Analytique!A141</f>
        <v>6273</v>
      </c>
      <c r="B144" s="9">
        <f>Analytique!B141</f>
        <v>627</v>
      </c>
      <c r="C144" s="10" t="str">
        <f>Analytique!C141</f>
        <v>COM GESTION DAILLY</v>
      </c>
      <c r="D144" s="11">
        <v>738</v>
      </c>
      <c r="E144" s="243">
        <f>Analytique!E141</f>
        <v>2700</v>
      </c>
    </row>
    <row r="145" spans="1:5" x14ac:dyDescent="0.25">
      <c r="A145" s="9">
        <f>Analytique!A142</f>
        <v>631</v>
      </c>
      <c r="B145" s="9">
        <f>Analytique!B142</f>
        <v>631</v>
      </c>
      <c r="C145" s="10" t="str">
        <f>Analytique!C142</f>
        <v>TAXE SUR SALAIRES (CDD)</v>
      </c>
      <c r="D145" s="11">
        <v>739</v>
      </c>
      <c r="E145" s="243">
        <f>Analytique!E142</f>
        <v>1000</v>
      </c>
    </row>
    <row r="146" spans="1:5" x14ac:dyDescent="0.25">
      <c r="A146" s="9">
        <f>Analytique!A143</f>
        <v>631</v>
      </c>
      <c r="B146" s="9">
        <f>Analytique!B143</f>
        <v>631</v>
      </c>
      <c r="C146" s="10" t="str">
        <f>Analytique!C143</f>
        <v>TAXE SUR SALAIRES (CDD) CELLULE GDS</v>
      </c>
      <c r="D146" s="11">
        <v>740</v>
      </c>
      <c r="E146" s="243">
        <f>Analytique!E143</f>
        <v>1000</v>
      </c>
    </row>
    <row r="147" spans="1:5" x14ac:dyDescent="0.25">
      <c r="A147" s="9">
        <f>Analytique!A144</f>
        <v>6312</v>
      </c>
      <c r="B147" s="9">
        <f>Analytique!B144</f>
        <v>631</v>
      </c>
      <c r="C147" s="10" t="str">
        <f>Analytique!C144</f>
        <v>TAXE D'APPRENTISSAGE</v>
      </c>
      <c r="D147" s="11">
        <v>741</v>
      </c>
      <c r="E147" s="243">
        <f>Analytique!E144</f>
        <v>2000</v>
      </c>
    </row>
    <row r="148" spans="1:5" x14ac:dyDescent="0.25">
      <c r="A148" s="9">
        <f>Analytique!A145</f>
        <v>6312</v>
      </c>
      <c r="B148" s="9">
        <f>Analytique!B145</f>
        <v>631</v>
      </c>
      <c r="C148" s="10" t="str">
        <f>Analytique!C145</f>
        <v>TAXE D'APPRENTISSAGE CELLULE GDS</v>
      </c>
      <c r="D148" s="11">
        <v>742</v>
      </c>
      <c r="E148" s="243">
        <f>Analytique!E145</f>
        <v>1000</v>
      </c>
    </row>
    <row r="149" spans="1:5" x14ac:dyDescent="0.25">
      <c r="A149" s="9">
        <f>Analytique!A146</f>
        <v>6313</v>
      </c>
      <c r="B149" s="9">
        <f>Analytique!B146</f>
        <v>631</v>
      </c>
      <c r="C149" s="10" t="str">
        <f>Analytique!C146</f>
        <v>FORMATION PRO</v>
      </c>
      <c r="D149" s="11">
        <v>743</v>
      </c>
      <c r="E149" s="243">
        <f>Analytique!E146</f>
        <v>1950</v>
      </c>
    </row>
    <row r="150" spans="1:5" x14ac:dyDescent="0.25">
      <c r="A150" s="9">
        <f>Analytique!A147</f>
        <v>6313</v>
      </c>
      <c r="B150" s="9">
        <f>Analytique!B147</f>
        <v>631</v>
      </c>
      <c r="C150" s="10" t="str">
        <f>Analytique!C147</f>
        <v>FORMATION PRO CELLULE</v>
      </c>
      <c r="D150" s="11">
        <v>744</v>
      </c>
      <c r="E150" s="243">
        <f>Analytique!E147</f>
        <v>1000</v>
      </c>
    </row>
    <row r="151" spans="1:5" x14ac:dyDescent="0.25">
      <c r="A151" s="9">
        <f>Analytique!A148</f>
        <v>641101</v>
      </c>
      <c r="B151" s="9">
        <f>Analytique!B148</f>
        <v>641</v>
      </c>
      <c r="C151" s="10" t="str">
        <f>Analytique!C148</f>
        <v>SALAIRES</v>
      </c>
      <c r="D151" s="11">
        <v>745</v>
      </c>
      <c r="E151" s="243">
        <f>Analytique!E148</f>
        <v>269372.03999999998</v>
      </c>
    </row>
    <row r="152" spans="1:5" x14ac:dyDescent="0.25">
      <c r="A152" s="9">
        <f>Analytique!A149</f>
        <v>641101</v>
      </c>
      <c r="B152" s="9">
        <f>Analytique!B149</f>
        <v>641</v>
      </c>
      <c r="C152" s="10" t="str">
        <f>Analytique!C149</f>
        <v>SALAIRES CELLULE GRANDS EVENEMENTS</v>
      </c>
      <c r="D152" s="11">
        <v>746</v>
      </c>
      <c r="E152" s="243">
        <f>Analytique!E149</f>
        <v>139083</v>
      </c>
    </row>
    <row r="153" spans="1:5" x14ac:dyDescent="0.25">
      <c r="A153" s="9">
        <f>Analytique!A150</f>
        <v>64141</v>
      </c>
      <c r="B153" s="9">
        <f>Analytique!B150</f>
        <v>641</v>
      </c>
      <c r="C153" s="10" t="str">
        <f>Analytique!C150</f>
        <v>TICKETS RESTAURANTS</v>
      </c>
      <c r="D153" s="11">
        <v>747</v>
      </c>
      <c r="E153" s="243">
        <f>Analytique!E150</f>
        <v>50</v>
      </c>
    </row>
    <row r="154" spans="1:5" x14ac:dyDescent="0.25">
      <c r="A154" s="9">
        <f>Analytique!A151</f>
        <v>6457</v>
      </c>
      <c r="B154" s="9">
        <f>Analytique!B151</f>
        <v>645</v>
      </c>
      <c r="C154" s="10" t="str">
        <f>Analytique!C151</f>
        <v>MEDECINE DU TRAVAIL</v>
      </c>
      <c r="D154" s="11">
        <v>748</v>
      </c>
      <c r="E154" s="243">
        <f>Analytique!E151</f>
        <v>700</v>
      </c>
    </row>
    <row r="155" spans="1:5" x14ac:dyDescent="0.25">
      <c r="A155" s="9">
        <f>Analytique!A152</f>
        <v>6457</v>
      </c>
      <c r="B155" s="9">
        <f>Analytique!B152</f>
        <v>645</v>
      </c>
      <c r="C155" s="10" t="str">
        <f>Analytique!C152</f>
        <v>MEDECINE DU TRAVAIL CELLULE GDS</v>
      </c>
      <c r="D155" s="11">
        <v>749</v>
      </c>
      <c r="E155" s="243">
        <f>Analytique!E152</f>
        <v>300</v>
      </c>
    </row>
    <row r="156" spans="1:5" x14ac:dyDescent="0.25">
      <c r="A156" s="9">
        <f>Analytique!A153</f>
        <v>6616</v>
      </c>
      <c r="B156" s="9">
        <f>Analytique!B153</f>
        <v>661</v>
      </c>
      <c r="C156" s="10" t="str">
        <f>Analytique!C153</f>
        <v>INTERETS BANQUE</v>
      </c>
      <c r="D156" s="11">
        <v>750</v>
      </c>
      <c r="E156" s="243">
        <f>Analytique!E153</f>
        <v>500</v>
      </c>
    </row>
    <row r="157" spans="1:5" x14ac:dyDescent="0.25">
      <c r="A157" s="9">
        <f>Analytique!A154</f>
        <v>6351</v>
      </c>
      <c r="B157" s="9">
        <f>Analytique!B154</f>
        <v>635</v>
      </c>
      <c r="C157" s="10" t="str">
        <f>Analytique!C154</f>
        <v>IMPOTS FONCIERS</v>
      </c>
      <c r="D157" s="11">
        <v>751</v>
      </c>
      <c r="E157" s="243">
        <f>Analytique!E154</f>
        <v>800</v>
      </c>
    </row>
    <row r="158" spans="1:5" x14ac:dyDescent="0.25">
      <c r="A158" s="9">
        <f>Analytique!A155</f>
        <v>635</v>
      </c>
      <c r="B158" s="9">
        <f>Analytique!B155</f>
        <v>635</v>
      </c>
      <c r="C158" s="10" t="str">
        <f>Analytique!C155</f>
        <v>CVAE</v>
      </c>
      <c r="D158" s="11">
        <v>752</v>
      </c>
      <c r="E158" s="243">
        <f>Analytique!E155</f>
        <v>267</v>
      </c>
    </row>
    <row r="159" spans="1:5" x14ac:dyDescent="0.25">
      <c r="A159" s="9">
        <f>Analytique!A156</f>
        <v>86</v>
      </c>
      <c r="B159" s="9">
        <f>Analytique!B156</f>
        <v>86</v>
      </c>
      <c r="C159" s="10" t="str">
        <f>Analytique!C156</f>
        <v>BENEVOLAT CELLULE GRANDS EVENEMENTS</v>
      </c>
      <c r="D159" s="11">
        <v>753</v>
      </c>
      <c r="E159" s="243">
        <f>Analytique!E156</f>
        <v>20000</v>
      </c>
    </row>
    <row r="160" spans="1:5" x14ac:dyDescent="0.25">
      <c r="A160" s="9">
        <f>Analytique!A157</f>
        <v>86</v>
      </c>
      <c r="B160" s="9">
        <f>Analytique!B157</f>
        <v>86</v>
      </c>
      <c r="C160" s="10" t="str">
        <f>Analytique!C157</f>
        <v xml:space="preserve">BENEVOLAT </v>
      </c>
      <c r="D160" s="11">
        <v>754</v>
      </c>
      <c r="E160" s="243">
        <f>Analytique!E157</f>
        <v>40821.720000000008</v>
      </c>
    </row>
    <row r="161" spans="1:5" x14ac:dyDescent="0.25">
      <c r="A161" s="9">
        <f>Analytique!A158</f>
        <v>0</v>
      </c>
      <c r="B161" s="9">
        <f>Analytique!B158</f>
        <v>0</v>
      </c>
      <c r="C161" s="10">
        <f>Analytique!C158</f>
        <v>0</v>
      </c>
      <c r="D161" s="11">
        <v>755</v>
      </c>
      <c r="E161" s="243"/>
    </row>
    <row r="162" spans="1:5" x14ac:dyDescent="0.25">
      <c r="A162" s="9">
        <f>Analytique!A159</f>
        <v>0</v>
      </c>
      <c r="B162" s="9">
        <f>Analytique!B159</f>
        <v>0</v>
      </c>
      <c r="C162" s="10">
        <f>Analytique!C159</f>
        <v>0</v>
      </c>
      <c r="D162" s="11">
        <v>756</v>
      </c>
      <c r="E162" s="243"/>
    </row>
    <row r="163" spans="1:5" x14ac:dyDescent="0.25">
      <c r="A163" s="9">
        <f>Analytique!A160</f>
        <v>0</v>
      </c>
      <c r="B163" s="9">
        <f>Analytique!B160</f>
        <v>0</v>
      </c>
      <c r="C163" s="10">
        <f>Analytique!C160</f>
        <v>0</v>
      </c>
      <c r="D163" s="11">
        <v>757</v>
      </c>
      <c r="E163" s="243">
        <f>Analytique!E160</f>
        <v>0</v>
      </c>
    </row>
    <row r="164" spans="1:5" x14ac:dyDescent="0.25">
      <c r="A164" s="9">
        <f>Analytique!A161</f>
        <v>0</v>
      </c>
      <c r="B164" s="9">
        <f>Analytique!B161</f>
        <v>0</v>
      </c>
      <c r="C164" s="10">
        <f>Analytique!C161</f>
        <v>0</v>
      </c>
      <c r="D164" s="11">
        <v>758</v>
      </c>
      <c r="E164" s="243">
        <f>Analytique!E161</f>
        <v>0</v>
      </c>
    </row>
    <row r="165" spans="1:5" x14ac:dyDescent="0.25">
      <c r="A165" s="9">
        <f>Analytique!A162</f>
        <v>0</v>
      </c>
      <c r="B165" s="9">
        <f>Analytique!B162</f>
        <v>0</v>
      </c>
      <c r="C165" s="10">
        <f>Analytique!C162</f>
        <v>0</v>
      </c>
      <c r="D165" s="11">
        <v>759</v>
      </c>
      <c r="E165" s="243">
        <f>Analytique!E162</f>
        <v>0</v>
      </c>
    </row>
    <row r="166" spans="1:5" ht="15.75" x14ac:dyDescent="0.25">
      <c r="E166" s="324">
        <f>SUM(E6:E164)</f>
        <v>1497432.96</v>
      </c>
    </row>
  </sheetData>
  <pageMargins left="0" right="0" top="0.74803149606299213" bottom="0.74803149606299213" header="0.31496062992125984" footer="0.31496062992125984"/>
  <pageSetup paperSize="9" scale="70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K25"/>
  <sheetViews>
    <sheetView topLeftCell="E1" workbookViewId="0">
      <selection activeCell="I19" sqref="I19"/>
    </sheetView>
  </sheetViews>
  <sheetFormatPr baseColWidth="10" defaultRowHeight="15" x14ac:dyDescent="0.25"/>
  <cols>
    <col min="1" max="1" width="21.28515625" style="27" customWidth="1"/>
    <col min="2" max="2" width="10" style="27" customWidth="1"/>
    <col min="3" max="5" width="11.5703125" style="27"/>
    <col min="6" max="6" width="11.7109375" style="27" bestFit="1" customWidth="1"/>
    <col min="7" max="7" width="13" style="27" bestFit="1" customWidth="1"/>
    <col min="8" max="8" width="13" style="27" customWidth="1"/>
    <col min="9" max="9" width="11.7109375" style="27" customWidth="1"/>
    <col min="10" max="10" width="13.7109375" style="27" customWidth="1"/>
    <col min="11" max="19" width="11.7109375" style="27" customWidth="1"/>
    <col min="20" max="20" width="13.7109375" style="27" customWidth="1"/>
    <col min="21" max="26" width="11.7109375" style="27" customWidth="1"/>
    <col min="27" max="30" width="0" style="27" hidden="1" customWidth="1"/>
    <col min="31" max="31" width="11.42578125" style="27"/>
    <col min="32" max="32" width="13.5703125" style="27" customWidth="1"/>
    <col min="33" max="33" width="11.42578125" style="27"/>
    <col min="34" max="34" width="11.5703125" style="27" customWidth="1"/>
    <col min="35" max="39" width="11.5703125" style="27"/>
    <col min="40" max="40" width="11.42578125" style="27"/>
    <col min="41" max="44" width="11.5703125" style="27"/>
    <col min="45" max="53" width="11.7109375" style="27" customWidth="1"/>
    <col min="54" max="55" width="16.7109375" style="27" customWidth="1"/>
    <col min="56" max="56" width="11.5703125" style="27"/>
    <col min="57" max="60" width="0" style="27" hidden="1" customWidth="1"/>
    <col min="61" max="63" width="11.42578125" style="27"/>
  </cols>
  <sheetData>
    <row r="2" spans="1:63" x14ac:dyDescent="0.25">
      <c r="A2" s="34" t="s">
        <v>30</v>
      </c>
    </row>
    <row r="3" spans="1:63" ht="15.75" thickBot="1" x14ac:dyDescent="0.3">
      <c r="A3" s="34" t="s">
        <v>314</v>
      </c>
      <c r="I3" s="302"/>
      <c r="J3" s="302"/>
      <c r="K3" s="302"/>
      <c r="L3" s="302"/>
      <c r="M3" s="302"/>
      <c r="N3" s="302"/>
      <c r="P3" s="302"/>
      <c r="Q3" s="302"/>
      <c r="R3" s="302"/>
      <c r="S3" s="302"/>
      <c r="T3" s="302"/>
      <c r="U3" s="302"/>
      <c r="V3" s="302"/>
      <c r="W3" s="302"/>
      <c r="X3" s="302"/>
      <c r="Y3" s="302"/>
    </row>
    <row r="4" spans="1:63" ht="60.75" thickBot="1" x14ac:dyDescent="0.3">
      <c r="A4" s="45" t="s">
        <v>31</v>
      </c>
      <c r="B4" s="46" t="s">
        <v>32</v>
      </c>
      <c r="C4" s="46" t="s">
        <v>33</v>
      </c>
      <c r="D4" s="46" t="s">
        <v>34</v>
      </c>
      <c r="E4" s="46" t="s">
        <v>35</v>
      </c>
      <c r="F4" s="46" t="s">
        <v>36</v>
      </c>
      <c r="G4" s="46" t="s">
        <v>37</v>
      </c>
      <c r="H4" s="46" t="s">
        <v>38</v>
      </c>
      <c r="I4" s="301" t="s">
        <v>10</v>
      </c>
      <c r="J4" s="46" t="s">
        <v>273</v>
      </c>
      <c r="K4" s="46" t="s">
        <v>178</v>
      </c>
      <c r="L4" s="46" t="s">
        <v>11</v>
      </c>
      <c r="M4" s="46" t="s">
        <v>12</v>
      </c>
      <c r="N4" s="46" t="s">
        <v>322</v>
      </c>
      <c r="O4" s="46" t="s">
        <v>274</v>
      </c>
      <c r="P4" s="46" t="s">
        <v>205</v>
      </c>
      <c r="Q4" s="46" t="s">
        <v>271</v>
      </c>
      <c r="R4" s="46" t="s">
        <v>321</v>
      </c>
      <c r="S4" s="46" t="s">
        <v>198</v>
      </c>
      <c r="T4" s="46" t="s">
        <v>184</v>
      </c>
      <c r="U4" s="46" t="s">
        <v>180</v>
      </c>
      <c r="V4" s="46" t="s">
        <v>212</v>
      </c>
      <c r="W4" s="46" t="s">
        <v>199</v>
      </c>
      <c r="X4" s="46" t="s">
        <v>195</v>
      </c>
      <c r="Y4" s="46" t="s">
        <v>349</v>
      </c>
      <c r="Z4" s="46" t="s">
        <v>39</v>
      </c>
      <c r="AA4" s="46" t="s">
        <v>40</v>
      </c>
      <c r="AB4" s="46" t="s">
        <v>41</v>
      </c>
      <c r="AC4" s="46" t="s">
        <v>42</v>
      </c>
      <c r="AD4" s="46" t="s">
        <v>43</v>
      </c>
      <c r="AE4" s="46"/>
      <c r="AF4" s="46"/>
      <c r="AG4" s="46"/>
      <c r="AH4" s="46" t="s">
        <v>185</v>
      </c>
      <c r="AI4" s="46" t="s">
        <v>44</v>
      </c>
      <c r="AJ4" s="47" t="s">
        <v>36</v>
      </c>
      <c r="AK4" s="47" t="s">
        <v>37</v>
      </c>
      <c r="AL4" s="48" t="s">
        <v>45</v>
      </c>
      <c r="AM4" s="49" t="str">
        <f>I4</f>
        <v>MICE PLACE</v>
      </c>
      <c r="AN4" s="49" t="s">
        <v>206</v>
      </c>
      <c r="AO4" s="49" t="str">
        <f t="shared" ref="AO4:AT4" si="0">K4</f>
        <v>SBE Lyon</v>
      </c>
      <c r="AP4" s="49" t="str">
        <f t="shared" si="0"/>
        <v>HEAVENT</v>
      </c>
      <c r="AQ4" s="49" t="str">
        <f t="shared" si="0"/>
        <v>IMEX</v>
      </c>
      <c r="AR4" s="50" t="str">
        <f t="shared" si="0"/>
        <v>WORKSHOP ALLG</v>
      </c>
      <c r="AS4" s="46" t="str">
        <f t="shared" si="0"/>
        <v>EDUCTOUR 1&amp;2</v>
      </c>
      <c r="AT4" s="46" t="str">
        <f t="shared" si="0"/>
        <v>OPERATION PARIS ÉTÉ</v>
      </c>
      <c r="AU4" s="46" t="s">
        <v>271</v>
      </c>
      <c r="AV4" s="46" t="str">
        <f>R4</f>
        <v>WORKSHOP UK</v>
      </c>
      <c r="AW4" s="46" t="str">
        <f>S4</f>
        <v>OPERATION PARIS DECEMBRE</v>
      </c>
      <c r="AX4" s="46" t="str">
        <f>T4</f>
        <v>Soutien aux actions a l'international</v>
      </c>
      <c r="AY4" s="46" t="str">
        <f>U4</f>
        <v>IBTM</v>
      </c>
      <c r="AZ4" s="46" t="str">
        <f>V4</f>
        <v>EDUCTOUR Belgique</v>
      </c>
      <c r="BA4" s="46" t="s">
        <v>199</v>
      </c>
      <c r="BB4" s="46" t="str">
        <f>X4</f>
        <v>Demarchages europe</v>
      </c>
      <c r="BC4" s="46" t="s">
        <v>349</v>
      </c>
      <c r="BD4" s="47" t="s">
        <v>46</v>
      </c>
      <c r="BE4" s="49" t="s">
        <v>40</v>
      </c>
      <c r="BF4" s="49" t="s">
        <v>41</v>
      </c>
      <c r="BG4" s="49" t="s">
        <v>42</v>
      </c>
      <c r="BH4" s="50" t="s">
        <v>43</v>
      </c>
      <c r="BI4" s="46"/>
      <c r="BJ4" s="46"/>
    </row>
    <row r="5" spans="1:63" x14ac:dyDescent="0.25">
      <c r="A5" s="51" t="s">
        <v>47</v>
      </c>
      <c r="B5" s="51" t="s">
        <v>47</v>
      </c>
      <c r="C5" s="51"/>
      <c r="D5" s="51"/>
      <c r="E5" s="51" t="s">
        <v>47</v>
      </c>
      <c r="F5" s="51" t="s">
        <v>47</v>
      </c>
      <c r="AJ5" s="52"/>
      <c r="AK5" s="52"/>
      <c r="AL5" s="53"/>
      <c r="BD5" s="53"/>
      <c r="BH5" s="54"/>
      <c r="BK5" s="55"/>
    </row>
    <row r="6" spans="1:63" x14ac:dyDescent="0.25">
      <c r="A6" s="56"/>
      <c r="B6" s="57"/>
      <c r="C6" s="58"/>
      <c r="D6" s="57"/>
      <c r="E6" s="57"/>
      <c r="F6" s="59">
        <f t="shared" ref="F6:P6" si="1">+$E$6*AJ6</f>
        <v>0</v>
      </c>
      <c r="G6" s="59">
        <f t="shared" si="1"/>
        <v>0</v>
      </c>
      <c r="H6" s="59">
        <f t="shared" si="1"/>
        <v>0</v>
      </c>
      <c r="I6" s="59">
        <f t="shared" si="1"/>
        <v>0</v>
      </c>
      <c r="J6" s="59">
        <f t="shared" si="1"/>
        <v>0</v>
      </c>
      <c r="K6" s="59">
        <f t="shared" si="1"/>
        <v>0</v>
      </c>
      <c r="L6" s="59">
        <f t="shared" si="1"/>
        <v>0</v>
      </c>
      <c r="M6" s="59">
        <f t="shared" si="1"/>
        <v>0</v>
      </c>
      <c r="N6" s="59">
        <f t="shared" si="1"/>
        <v>0</v>
      </c>
      <c r="O6" s="59">
        <f t="shared" si="1"/>
        <v>0</v>
      </c>
      <c r="P6" s="59">
        <f t="shared" si="1"/>
        <v>0</v>
      </c>
      <c r="Q6" s="59"/>
      <c r="R6" s="59">
        <f t="shared" ref="R6:W6" si="2">+$E$6*AV6</f>
        <v>0</v>
      </c>
      <c r="S6" s="59">
        <f t="shared" si="2"/>
        <v>0</v>
      </c>
      <c r="T6" s="59">
        <f t="shared" si="2"/>
        <v>0</v>
      </c>
      <c r="U6" s="59">
        <f t="shared" si="2"/>
        <v>0</v>
      </c>
      <c r="V6" s="59">
        <f t="shared" si="2"/>
        <v>0</v>
      </c>
      <c r="W6" s="59">
        <f t="shared" si="2"/>
        <v>0</v>
      </c>
      <c r="X6" s="59"/>
      <c r="Y6" s="59"/>
      <c r="Z6" s="59">
        <f>+$E$6*BD6</f>
        <v>0</v>
      </c>
      <c r="AA6" s="59">
        <f>+$E$6*BE6</f>
        <v>0</v>
      </c>
      <c r="AB6" s="59">
        <f>+$E$6*BF6</f>
        <v>0</v>
      </c>
      <c r="AC6" s="59">
        <f>+$E$6*BG6</f>
        <v>0</v>
      </c>
      <c r="AD6" s="59">
        <f>+$E$6*BH6</f>
        <v>0</v>
      </c>
      <c r="AE6" s="59"/>
      <c r="AF6" s="59"/>
      <c r="AG6" s="59"/>
      <c r="AH6" s="59">
        <f>+$E$6*BK6</f>
        <v>0</v>
      </c>
      <c r="AI6" s="59">
        <f>F6+G6+I6+K6+L6+M6+N6+Z6+AA6+AB6+AC6+AD6-AH6</f>
        <v>0</v>
      </c>
      <c r="AJ6" s="60"/>
      <c r="AK6" s="60"/>
      <c r="AL6" s="60"/>
      <c r="AM6" s="55"/>
      <c r="AN6" s="55"/>
      <c r="AO6" s="55"/>
      <c r="AP6" s="55"/>
      <c r="AQ6" s="55"/>
      <c r="AR6" s="55"/>
      <c r="AS6" s="55"/>
      <c r="AT6" s="55"/>
      <c r="AU6" s="55"/>
      <c r="AV6" s="55"/>
      <c r="AW6" s="55"/>
      <c r="AX6" s="55"/>
      <c r="AY6" s="55"/>
      <c r="AZ6" s="55"/>
      <c r="BA6" s="55"/>
      <c r="BB6" s="55"/>
      <c r="BC6" s="55"/>
      <c r="BD6" s="60">
        <f t="shared" ref="BD6:BD17" si="3">SUM(BE6:BH6)</f>
        <v>0</v>
      </c>
      <c r="BE6" s="55"/>
      <c r="BF6" s="55"/>
      <c r="BG6" s="55"/>
      <c r="BH6" s="61"/>
      <c r="BI6" s="245"/>
      <c r="BJ6" s="245"/>
      <c r="BK6" s="62">
        <f t="shared" ref="BK6:BK17" si="4">AJ6+AL6+AK6+BD6</f>
        <v>0</v>
      </c>
    </row>
    <row r="7" spans="1:63" x14ac:dyDescent="0.25">
      <c r="A7" s="56" t="s">
        <v>48</v>
      </c>
      <c r="B7" s="57">
        <v>58996</v>
      </c>
      <c r="C7" s="58">
        <v>6687.56</v>
      </c>
      <c r="D7" s="57">
        <v>30395</v>
      </c>
      <c r="E7" s="57">
        <f>B7+C7+D7</f>
        <v>96078.56</v>
      </c>
      <c r="F7" s="59">
        <f t="shared" ref="F7:F17" si="5">+$E7*AJ7</f>
        <v>41313.7808</v>
      </c>
      <c r="G7" s="59">
        <f t="shared" ref="G7:G17" si="6">+$E7*AK7</f>
        <v>18254.9264</v>
      </c>
      <c r="H7" s="59">
        <f>+$E$7*AL7</f>
        <v>35549.067200000012</v>
      </c>
      <c r="I7" s="59">
        <f t="shared" ref="I7:I17" si="7">+$E7*AM7</f>
        <v>960.78560000000004</v>
      </c>
      <c r="J7" s="59">
        <f>+$E$7*AN7</f>
        <v>960.78560000000004</v>
      </c>
      <c r="K7" s="59">
        <f t="shared" ref="K7:N12" si="8">+$E7*AO7</f>
        <v>1921.5712000000001</v>
      </c>
      <c r="L7" s="59">
        <f t="shared" si="8"/>
        <v>4803.9279999999999</v>
      </c>
      <c r="M7" s="59">
        <f t="shared" si="8"/>
        <v>4803.9279999999999</v>
      </c>
      <c r="N7" s="59">
        <f t="shared" si="8"/>
        <v>960.78560000000004</v>
      </c>
      <c r="O7" s="59">
        <f t="shared" ref="O7:Y7" si="9">+$E$7*AS7</f>
        <v>2882.3568</v>
      </c>
      <c r="P7" s="59">
        <f t="shared" si="9"/>
        <v>1921.5712000000001</v>
      </c>
      <c r="Q7" s="59">
        <f t="shared" si="9"/>
        <v>1921.5712000000001</v>
      </c>
      <c r="R7" s="59">
        <f t="shared" si="9"/>
        <v>960.78560000000004</v>
      </c>
      <c r="S7" s="59">
        <f t="shared" si="9"/>
        <v>4803.9279999999999</v>
      </c>
      <c r="T7" s="59">
        <f t="shared" si="9"/>
        <v>960.78560000000004</v>
      </c>
      <c r="U7" s="59">
        <f t="shared" si="9"/>
        <v>960.78560000000004</v>
      </c>
      <c r="V7" s="59">
        <f t="shared" si="9"/>
        <v>2882.3568</v>
      </c>
      <c r="W7" s="59">
        <f t="shared" si="9"/>
        <v>960.78560000000004</v>
      </c>
      <c r="X7" s="59">
        <f t="shared" si="9"/>
        <v>2882.3568</v>
      </c>
      <c r="Y7" s="59">
        <f t="shared" si="9"/>
        <v>960.78560000000004</v>
      </c>
      <c r="Z7" s="59">
        <f t="shared" ref="Z7:Z17" si="10">+$E7*BD7</f>
        <v>0</v>
      </c>
      <c r="AA7" s="59">
        <f t="shared" ref="AA7:AA17" si="11">+$E7*BE7</f>
        <v>0</v>
      </c>
      <c r="AB7" s="59">
        <f t="shared" ref="AB7:AB17" si="12">+$E7*BF7</f>
        <v>0</v>
      </c>
      <c r="AC7" s="59">
        <f t="shared" ref="AC7:AC17" si="13">+$E7*BG7</f>
        <v>0</v>
      </c>
      <c r="AD7" s="59">
        <f t="shared" ref="AD7:AD17" si="14">+$E7*BH7</f>
        <v>0</v>
      </c>
      <c r="AE7" s="59">
        <v>0</v>
      </c>
      <c r="AF7" s="59">
        <v>0</v>
      </c>
      <c r="AG7" s="59"/>
      <c r="AH7" s="59">
        <f t="shared" ref="AH7:AH17" si="15">+$E7*BK7</f>
        <v>96078.56</v>
      </c>
      <c r="AI7" s="59">
        <f t="shared" ref="AI7:AI14" si="16">AH7-F7-G7-H7-Z7</f>
        <v>960.78559999998106</v>
      </c>
      <c r="AJ7" s="246">
        <v>0.43</v>
      </c>
      <c r="AK7" s="246">
        <v>0.19</v>
      </c>
      <c r="AL7" s="246">
        <f t="shared" ref="AL7:AL12" si="17">SUM(AM7:BB7)</f>
        <v>0.37000000000000011</v>
      </c>
      <c r="AM7" s="245">
        <v>0.01</v>
      </c>
      <c r="AN7" s="245">
        <v>0.01</v>
      </c>
      <c r="AO7" s="245">
        <v>0.02</v>
      </c>
      <c r="AP7" s="245">
        <v>0.05</v>
      </c>
      <c r="AQ7" s="245">
        <v>0.05</v>
      </c>
      <c r="AR7" s="245">
        <v>0.01</v>
      </c>
      <c r="AS7" s="245">
        <v>0.03</v>
      </c>
      <c r="AT7" s="245">
        <v>0.02</v>
      </c>
      <c r="AU7" s="245">
        <v>0.02</v>
      </c>
      <c r="AV7" s="245">
        <v>0.01</v>
      </c>
      <c r="AW7" s="245">
        <v>0.05</v>
      </c>
      <c r="AX7" s="55">
        <v>0.01</v>
      </c>
      <c r="AY7" s="55">
        <v>0.01</v>
      </c>
      <c r="AZ7" s="55">
        <v>0.03</v>
      </c>
      <c r="BA7" s="55">
        <v>0.01</v>
      </c>
      <c r="BB7" s="55">
        <v>0.03</v>
      </c>
      <c r="BC7" s="55">
        <v>0.01</v>
      </c>
      <c r="BD7" s="60">
        <v>0</v>
      </c>
      <c r="BE7" s="55"/>
      <c r="BF7" s="55"/>
      <c r="BG7" s="55"/>
      <c r="BH7" s="63"/>
      <c r="BK7" s="62">
        <f>AJ7+AL7+AK7+BD7+BC7</f>
        <v>1</v>
      </c>
    </row>
    <row r="8" spans="1:63" x14ac:dyDescent="0.25">
      <c r="A8" s="65" t="s">
        <v>49</v>
      </c>
      <c r="B8" s="57">
        <v>28597</v>
      </c>
      <c r="C8" s="58">
        <v>7124.4</v>
      </c>
      <c r="D8" s="57">
        <v>14329</v>
      </c>
      <c r="E8" s="57">
        <f>B8+C8+D8</f>
        <v>50050.400000000001</v>
      </c>
      <c r="F8" s="59">
        <f t="shared" si="5"/>
        <v>0</v>
      </c>
      <c r="G8" s="59">
        <f t="shared" si="6"/>
        <v>34534.775999999998</v>
      </c>
      <c r="H8" s="59">
        <f>+$E$8*AL8</f>
        <v>15015.120000000003</v>
      </c>
      <c r="I8" s="59">
        <f t="shared" si="7"/>
        <v>500.50400000000002</v>
      </c>
      <c r="J8" s="59">
        <f>+$E$8*AN8</f>
        <v>2002.0160000000001</v>
      </c>
      <c r="K8" s="59">
        <f t="shared" si="8"/>
        <v>500.50400000000002</v>
      </c>
      <c r="L8" s="59">
        <f t="shared" si="8"/>
        <v>1501.5119999999999</v>
      </c>
      <c r="M8" s="59">
        <f t="shared" si="8"/>
        <v>1001.008</v>
      </c>
      <c r="N8" s="59">
        <f t="shared" si="8"/>
        <v>500.50400000000002</v>
      </c>
      <c r="O8" s="59">
        <f t="shared" ref="O8:Y8" si="18">+$E$8*AS8</f>
        <v>2002.0160000000001</v>
      </c>
      <c r="P8" s="59">
        <f t="shared" si="18"/>
        <v>500.50400000000002</v>
      </c>
      <c r="Q8" s="59">
        <f t="shared" si="18"/>
        <v>500.50400000000002</v>
      </c>
      <c r="R8" s="59">
        <f t="shared" si="18"/>
        <v>1001.008</v>
      </c>
      <c r="S8" s="59">
        <f t="shared" si="18"/>
        <v>1501.5119999999999</v>
      </c>
      <c r="T8" s="59">
        <f t="shared" si="18"/>
        <v>0</v>
      </c>
      <c r="U8" s="59">
        <f t="shared" si="18"/>
        <v>1001.008</v>
      </c>
      <c r="V8" s="59">
        <f t="shared" si="18"/>
        <v>1501.5119999999999</v>
      </c>
      <c r="W8" s="59">
        <f t="shared" si="18"/>
        <v>500.50400000000002</v>
      </c>
      <c r="X8" s="59">
        <f t="shared" si="18"/>
        <v>500.50400000000002</v>
      </c>
      <c r="Y8" s="59">
        <f t="shared" si="18"/>
        <v>500.50400000000002</v>
      </c>
      <c r="Z8" s="59">
        <f t="shared" si="10"/>
        <v>0</v>
      </c>
      <c r="AA8" s="59">
        <f t="shared" si="11"/>
        <v>0</v>
      </c>
      <c r="AB8" s="59">
        <f t="shared" si="12"/>
        <v>0</v>
      </c>
      <c r="AC8" s="59">
        <f t="shared" si="13"/>
        <v>0</v>
      </c>
      <c r="AD8" s="59">
        <f t="shared" si="14"/>
        <v>0</v>
      </c>
      <c r="AE8" s="59">
        <v>0</v>
      </c>
      <c r="AF8" s="59">
        <v>0</v>
      </c>
      <c r="AG8" s="59"/>
      <c r="AH8" s="59">
        <f t="shared" si="15"/>
        <v>50050.400000000001</v>
      </c>
      <c r="AI8" s="59">
        <f t="shared" si="16"/>
        <v>500.50400000000081</v>
      </c>
      <c r="AJ8" s="246">
        <v>0</v>
      </c>
      <c r="AK8" s="246">
        <v>0.69</v>
      </c>
      <c r="AL8" s="246">
        <f t="shared" si="17"/>
        <v>0.30000000000000004</v>
      </c>
      <c r="AM8" s="245">
        <v>0.01</v>
      </c>
      <c r="AN8" s="245">
        <v>0.04</v>
      </c>
      <c r="AO8" s="245">
        <v>0.01</v>
      </c>
      <c r="AP8" s="245">
        <v>0.03</v>
      </c>
      <c r="AQ8" s="245">
        <v>0.02</v>
      </c>
      <c r="AR8" s="245">
        <v>0.01</v>
      </c>
      <c r="AS8" s="245">
        <v>0.04</v>
      </c>
      <c r="AT8" s="245">
        <v>0.01</v>
      </c>
      <c r="AU8" s="245">
        <v>0.01</v>
      </c>
      <c r="AV8" s="245">
        <v>0.02</v>
      </c>
      <c r="AW8" s="245">
        <v>0.03</v>
      </c>
      <c r="AX8" s="55">
        <v>0</v>
      </c>
      <c r="AY8" s="55">
        <v>0.02</v>
      </c>
      <c r="AZ8" s="55">
        <v>0.03</v>
      </c>
      <c r="BA8" s="55">
        <v>0.01</v>
      </c>
      <c r="BB8" s="55">
        <v>0.01</v>
      </c>
      <c r="BC8" s="55">
        <v>0.01</v>
      </c>
      <c r="BD8" s="60">
        <v>0</v>
      </c>
      <c r="BE8" s="55"/>
      <c r="BF8" s="55"/>
      <c r="BG8" s="55"/>
      <c r="BH8" s="63"/>
      <c r="BK8" s="62">
        <f t="shared" ref="BK8:BK11" si="19">AJ8+AL8+AK8+BD8+BC8</f>
        <v>1</v>
      </c>
    </row>
    <row r="9" spans="1:63" x14ac:dyDescent="0.25">
      <c r="A9" s="64" t="s">
        <v>217</v>
      </c>
      <c r="B9" s="66">
        <v>30000</v>
      </c>
      <c r="C9" s="58">
        <v>1042</v>
      </c>
      <c r="D9" s="57">
        <v>12493</v>
      </c>
      <c r="E9" s="57">
        <f>B9+C9+D9</f>
        <v>43535</v>
      </c>
      <c r="F9" s="59">
        <f t="shared" si="5"/>
        <v>17414</v>
      </c>
      <c r="G9" s="59">
        <f t="shared" si="6"/>
        <v>8271.65</v>
      </c>
      <c r="H9" s="59">
        <f>+$E$9*AL9</f>
        <v>17414.000000000007</v>
      </c>
      <c r="I9" s="59">
        <f t="shared" si="7"/>
        <v>435.35</v>
      </c>
      <c r="J9" s="59">
        <f>+$E$9*AN9</f>
        <v>435.35</v>
      </c>
      <c r="K9" s="59">
        <f t="shared" si="8"/>
        <v>870.7</v>
      </c>
      <c r="L9" s="59">
        <f t="shared" si="8"/>
        <v>2176.75</v>
      </c>
      <c r="M9" s="59">
        <f t="shared" si="8"/>
        <v>2176.75</v>
      </c>
      <c r="N9" s="59">
        <f t="shared" si="8"/>
        <v>435.35</v>
      </c>
      <c r="O9" s="59">
        <f t="shared" ref="O9:Y9" si="20">+$E$9*AS9</f>
        <v>1306.05</v>
      </c>
      <c r="P9" s="59">
        <f t="shared" si="20"/>
        <v>1741.4</v>
      </c>
      <c r="Q9" s="59">
        <f t="shared" si="20"/>
        <v>1741.4</v>
      </c>
      <c r="R9" s="59">
        <f t="shared" si="20"/>
        <v>1306.05</v>
      </c>
      <c r="S9" s="59">
        <f t="shared" si="20"/>
        <v>1306.05</v>
      </c>
      <c r="T9" s="59">
        <f t="shared" si="20"/>
        <v>435.35</v>
      </c>
      <c r="U9" s="59">
        <f t="shared" si="20"/>
        <v>435.35</v>
      </c>
      <c r="V9" s="59">
        <f t="shared" si="20"/>
        <v>1306.05</v>
      </c>
      <c r="W9" s="59">
        <f t="shared" si="20"/>
        <v>435.35</v>
      </c>
      <c r="X9" s="59">
        <f t="shared" si="20"/>
        <v>870.7</v>
      </c>
      <c r="Y9" s="59">
        <f t="shared" si="20"/>
        <v>435.35</v>
      </c>
      <c r="Z9" s="59">
        <f t="shared" si="10"/>
        <v>0</v>
      </c>
      <c r="AA9" s="59">
        <f t="shared" si="11"/>
        <v>0</v>
      </c>
      <c r="AB9" s="59">
        <f t="shared" si="12"/>
        <v>0</v>
      </c>
      <c r="AC9" s="59">
        <f t="shared" si="13"/>
        <v>0</v>
      </c>
      <c r="AD9" s="59">
        <f t="shared" si="14"/>
        <v>0</v>
      </c>
      <c r="AE9" s="59">
        <v>0</v>
      </c>
      <c r="AF9" s="59">
        <v>0</v>
      </c>
      <c r="AG9" s="59"/>
      <c r="AH9" s="59">
        <f t="shared" si="15"/>
        <v>43535.000000000007</v>
      </c>
      <c r="AI9" s="59">
        <f t="shared" si="16"/>
        <v>435.34999999999854</v>
      </c>
      <c r="AJ9" s="246">
        <v>0.4</v>
      </c>
      <c r="AK9" s="246">
        <v>0.19</v>
      </c>
      <c r="AL9" s="246">
        <f t="shared" si="17"/>
        <v>0.40000000000000013</v>
      </c>
      <c r="AM9" s="245">
        <v>0.01</v>
      </c>
      <c r="AN9" s="245">
        <v>0.01</v>
      </c>
      <c r="AO9" s="245">
        <v>0.02</v>
      </c>
      <c r="AP9" s="245">
        <v>0.05</v>
      </c>
      <c r="AQ9" s="245">
        <v>0.05</v>
      </c>
      <c r="AR9" s="245">
        <v>0.01</v>
      </c>
      <c r="AS9" s="245">
        <v>0.03</v>
      </c>
      <c r="AT9" s="245">
        <v>0.04</v>
      </c>
      <c r="AU9" s="245">
        <v>0.04</v>
      </c>
      <c r="AV9" s="245">
        <v>0.03</v>
      </c>
      <c r="AW9" s="245">
        <v>0.03</v>
      </c>
      <c r="AX9" s="55">
        <v>0.01</v>
      </c>
      <c r="AY9" s="55">
        <v>0.01</v>
      </c>
      <c r="AZ9" s="55">
        <v>0.03</v>
      </c>
      <c r="BA9" s="55">
        <v>0.01</v>
      </c>
      <c r="BB9" s="55">
        <v>0.02</v>
      </c>
      <c r="BC9" s="55">
        <v>0.01</v>
      </c>
      <c r="BD9" s="60">
        <v>0</v>
      </c>
      <c r="BE9" s="55"/>
      <c r="BF9" s="55"/>
      <c r="BG9" s="55"/>
      <c r="BH9" s="63"/>
      <c r="BK9" s="62">
        <f t="shared" si="19"/>
        <v>1.0000000000000002</v>
      </c>
    </row>
    <row r="10" spans="1:63" ht="30" x14ac:dyDescent="0.25">
      <c r="A10" s="65" t="s">
        <v>50</v>
      </c>
      <c r="B10" s="57">
        <v>26186</v>
      </c>
      <c r="C10" s="58">
        <v>3543.08</v>
      </c>
      <c r="D10" s="57">
        <v>12547</v>
      </c>
      <c r="E10" s="57">
        <f>B10+C10+D10</f>
        <v>42276.08</v>
      </c>
      <c r="F10" s="59">
        <f t="shared" si="5"/>
        <v>1691.0432000000001</v>
      </c>
      <c r="G10" s="59">
        <f t="shared" si="6"/>
        <v>3804.8472000000002</v>
      </c>
      <c r="H10" s="59">
        <f>+$E$10*AL10</f>
        <v>36357.428800000009</v>
      </c>
      <c r="I10" s="59">
        <f t="shared" si="7"/>
        <v>422.76080000000002</v>
      </c>
      <c r="J10" s="59">
        <f>+$E$10*AN10</f>
        <v>422.76080000000002</v>
      </c>
      <c r="K10" s="59">
        <f t="shared" si="8"/>
        <v>1691.0432000000001</v>
      </c>
      <c r="L10" s="59">
        <f t="shared" si="8"/>
        <v>4227.6080000000002</v>
      </c>
      <c r="M10" s="59">
        <f t="shared" si="8"/>
        <v>3382.0864000000001</v>
      </c>
      <c r="N10" s="59">
        <f t="shared" si="8"/>
        <v>1691.0432000000001</v>
      </c>
      <c r="O10" s="59">
        <f t="shared" ref="O10:Y10" si="21">+$E$10*AS10</f>
        <v>2536.5648000000001</v>
      </c>
      <c r="P10" s="59">
        <f t="shared" si="21"/>
        <v>4227.6080000000002</v>
      </c>
      <c r="Q10" s="59">
        <f t="shared" si="21"/>
        <v>2536.5648000000001</v>
      </c>
      <c r="R10" s="59">
        <f t="shared" si="21"/>
        <v>4227.6080000000002</v>
      </c>
      <c r="S10" s="59">
        <f t="shared" si="21"/>
        <v>6764.1728000000003</v>
      </c>
      <c r="T10" s="59">
        <f t="shared" si="21"/>
        <v>0</v>
      </c>
      <c r="U10" s="59">
        <f t="shared" si="21"/>
        <v>422.76080000000002</v>
      </c>
      <c r="V10" s="59">
        <f t="shared" si="21"/>
        <v>2536.5648000000001</v>
      </c>
      <c r="W10" s="59">
        <f t="shared" si="21"/>
        <v>422.76080000000002</v>
      </c>
      <c r="X10" s="59">
        <f t="shared" si="21"/>
        <v>845.52160000000003</v>
      </c>
      <c r="Y10" s="59">
        <f t="shared" si="21"/>
        <v>422.76080000000002</v>
      </c>
      <c r="Z10" s="59">
        <f t="shared" si="10"/>
        <v>0</v>
      </c>
      <c r="AA10" s="59">
        <f t="shared" si="11"/>
        <v>0</v>
      </c>
      <c r="AB10" s="59">
        <f t="shared" si="12"/>
        <v>0</v>
      </c>
      <c r="AC10" s="59">
        <f t="shared" si="13"/>
        <v>0</v>
      </c>
      <c r="AD10" s="59">
        <f t="shared" si="14"/>
        <v>0</v>
      </c>
      <c r="AE10" s="59">
        <v>0</v>
      </c>
      <c r="AF10" s="59">
        <v>0</v>
      </c>
      <c r="AG10" s="59"/>
      <c r="AH10" s="59">
        <f t="shared" si="15"/>
        <v>42276.08</v>
      </c>
      <c r="AI10" s="59">
        <f t="shared" si="16"/>
        <v>422.7607999999891</v>
      </c>
      <c r="AJ10" s="246">
        <v>0.04</v>
      </c>
      <c r="AK10" s="246">
        <v>0.09</v>
      </c>
      <c r="AL10" s="246">
        <f t="shared" si="17"/>
        <v>0.8600000000000001</v>
      </c>
      <c r="AM10" s="245">
        <v>0.01</v>
      </c>
      <c r="AN10" s="245">
        <v>0.01</v>
      </c>
      <c r="AO10" s="245">
        <v>0.04</v>
      </c>
      <c r="AP10" s="245">
        <v>0.1</v>
      </c>
      <c r="AQ10" s="245">
        <v>0.08</v>
      </c>
      <c r="AR10" s="245">
        <v>0.04</v>
      </c>
      <c r="AS10" s="245">
        <v>0.06</v>
      </c>
      <c r="AT10" s="245">
        <v>0.1</v>
      </c>
      <c r="AU10" s="245">
        <v>0.06</v>
      </c>
      <c r="AV10" s="245">
        <v>0.1</v>
      </c>
      <c r="AW10" s="245">
        <v>0.16</v>
      </c>
      <c r="AX10" s="55">
        <v>0</v>
      </c>
      <c r="AY10" s="55">
        <v>0.01</v>
      </c>
      <c r="AZ10" s="55">
        <v>0.06</v>
      </c>
      <c r="BA10" s="55">
        <v>0.01</v>
      </c>
      <c r="BB10" s="55">
        <v>0.02</v>
      </c>
      <c r="BC10" s="55">
        <v>0.01</v>
      </c>
      <c r="BD10" s="60">
        <v>0</v>
      </c>
      <c r="BE10" s="55"/>
      <c r="BF10" s="55"/>
      <c r="BG10" s="55"/>
      <c r="BH10" s="63"/>
      <c r="BK10" s="62">
        <f t="shared" si="19"/>
        <v>1</v>
      </c>
    </row>
    <row r="11" spans="1:63" x14ac:dyDescent="0.25">
      <c r="A11" s="65" t="s">
        <v>218</v>
      </c>
      <c r="B11" s="57">
        <v>24150</v>
      </c>
      <c r="C11" s="58">
        <v>1251</v>
      </c>
      <c r="D11" s="57">
        <v>8555</v>
      </c>
      <c r="E11" s="57">
        <f>B11+C11+D11</f>
        <v>33956</v>
      </c>
      <c r="F11" s="59">
        <f t="shared" si="5"/>
        <v>1358.24</v>
      </c>
      <c r="G11" s="59">
        <f t="shared" si="6"/>
        <v>6791.2000000000007</v>
      </c>
      <c r="H11" s="59">
        <f>+$E$11*AL11</f>
        <v>25467</v>
      </c>
      <c r="I11" s="59">
        <f t="shared" si="7"/>
        <v>339.56</v>
      </c>
      <c r="J11" s="59">
        <f>+$E$11*AN11</f>
        <v>339.56</v>
      </c>
      <c r="K11" s="59">
        <f t="shared" si="8"/>
        <v>1018.68</v>
      </c>
      <c r="L11" s="59">
        <f t="shared" si="8"/>
        <v>679.12</v>
      </c>
      <c r="M11" s="59">
        <f t="shared" si="8"/>
        <v>2716.48</v>
      </c>
      <c r="N11" s="59">
        <f t="shared" si="8"/>
        <v>1697.8000000000002</v>
      </c>
      <c r="O11" s="59">
        <f t="shared" ref="O11:Y11" si="22">+$E$11*AS11</f>
        <v>2037.36</v>
      </c>
      <c r="P11" s="59">
        <f t="shared" si="22"/>
        <v>4074.72</v>
      </c>
      <c r="Q11" s="59">
        <f t="shared" si="22"/>
        <v>339.56</v>
      </c>
      <c r="R11" s="59">
        <f t="shared" si="22"/>
        <v>3395.6000000000004</v>
      </c>
      <c r="S11" s="59">
        <f t="shared" si="22"/>
        <v>5432.96</v>
      </c>
      <c r="T11" s="59">
        <f t="shared" si="22"/>
        <v>0</v>
      </c>
      <c r="U11" s="59">
        <f t="shared" si="22"/>
        <v>0</v>
      </c>
      <c r="V11" s="59">
        <f t="shared" si="22"/>
        <v>2037.36</v>
      </c>
      <c r="W11" s="59">
        <f t="shared" si="22"/>
        <v>339.56</v>
      </c>
      <c r="X11" s="59">
        <f t="shared" si="22"/>
        <v>1018.68</v>
      </c>
      <c r="Y11" s="59">
        <f t="shared" si="22"/>
        <v>339.56</v>
      </c>
      <c r="Z11" s="59">
        <f t="shared" si="10"/>
        <v>0</v>
      </c>
      <c r="AA11" s="59">
        <f t="shared" si="11"/>
        <v>0</v>
      </c>
      <c r="AB11" s="59">
        <f t="shared" si="12"/>
        <v>0</v>
      </c>
      <c r="AC11" s="59">
        <f t="shared" si="13"/>
        <v>0</v>
      </c>
      <c r="AD11" s="59">
        <f t="shared" si="14"/>
        <v>0</v>
      </c>
      <c r="AE11" s="59">
        <v>0</v>
      </c>
      <c r="AF11" s="59">
        <v>0</v>
      </c>
      <c r="AG11" s="59"/>
      <c r="AH11" s="59">
        <f t="shared" si="15"/>
        <v>33956</v>
      </c>
      <c r="AI11" s="59">
        <f t="shared" si="16"/>
        <v>339.55999999999767</v>
      </c>
      <c r="AJ11" s="246">
        <v>0.04</v>
      </c>
      <c r="AK11" s="246">
        <v>0.2</v>
      </c>
      <c r="AL11" s="246">
        <f t="shared" si="17"/>
        <v>0.75</v>
      </c>
      <c r="AM11" s="245">
        <v>0.01</v>
      </c>
      <c r="AN11" s="245">
        <v>0.01</v>
      </c>
      <c r="AO11" s="245">
        <v>0.03</v>
      </c>
      <c r="AP11" s="245">
        <v>0.02</v>
      </c>
      <c r="AQ11" s="245">
        <v>0.08</v>
      </c>
      <c r="AR11" s="245">
        <v>0.05</v>
      </c>
      <c r="AS11" s="245">
        <v>0.06</v>
      </c>
      <c r="AT11" s="245">
        <v>0.12</v>
      </c>
      <c r="AU11" s="245">
        <v>0.01</v>
      </c>
      <c r="AV11" s="245">
        <v>0.1</v>
      </c>
      <c r="AW11" s="245">
        <v>0.16</v>
      </c>
      <c r="AX11" s="55">
        <v>0</v>
      </c>
      <c r="AY11" s="55">
        <v>0</v>
      </c>
      <c r="AZ11" s="55">
        <v>0.06</v>
      </c>
      <c r="BA11" s="55">
        <v>0.01</v>
      </c>
      <c r="BB11" s="55">
        <v>0.03</v>
      </c>
      <c r="BC11" s="55">
        <v>0.01</v>
      </c>
      <c r="BD11" s="60">
        <v>0</v>
      </c>
      <c r="BE11" s="55"/>
      <c r="BF11" s="55"/>
      <c r="BG11" s="55"/>
      <c r="BH11" s="63"/>
      <c r="BK11" s="62">
        <f t="shared" si="19"/>
        <v>1</v>
      </c>
    </row>
    <row r="12" spans="1:63" x14ac:dyDescent="0.25">
      <c r="A12" s="65" t="s">
        <v>347</v>
      </c>
      <c r="B12" s="57">
        <v>3326</v>
      </c>
      <c r="C12" s="58">
        <v>150</v>
      </c>
      <c r="D12" s="57"/>
      <c r="E12" s="57">
        <f>B12+C12</f>
        <v>3476</v>
      </c>
      <c r="F12" s="59">
        <f t="shared" si="5"/>
        <v>139.04</v>
      </c>
      <c r="G12" s="59">
        <f t="shared" si="6"/>
        <v>1981.32</v>
      </c>
      <c r="H12" s="59">
        <f>+$E$12*AL12</f>
        <v>1355.64</v>
      </c>
      <c r="I12" s="59">
        <f t="shared" si="7"/>
        <v>0</v>
      </c>
      <c r="J12" s="59">
        <f>+$E$12*AN12</f>
        <v>69.52</v>
      </c>
      <c r="K12" s="59">
        <f t="shared" si="8"/>
        <v>69.52</v>
      </c>
      <c r="L12" s="59">
        <f t="shared" si="8"/>
        <v>208.56</v>
      </c>
      <c r="M12" s="59">
        <f t="shared" si="8"/>
        <v>278.08</v>
      </c>
      <c r="N12" s="59">
        <f t="shared" si="8"/>
        <v>69.52</v>
      </c>
      <c r="O12" s="59">
        <f t="shared" ref="O12:Y12" si="23">+$E$12*AS12</f>
        <v>347.6</v>
      </c>
      <c r="P12" s="59">
        <f t="shared" si="23"/>
        <v>139.04</v>
      </c>
      <c r="Q12" s="59">
        <f t="shared" si="23"/>
        <v>0</v>
      </c>
      <c r="R12" s="59">
        <f t="shared" si="23"/>
        <v>69.52</v>
      </c>
      <c r="S12" s="59">
        <f t="shared" si="23"/>
        <v>34.76</v>
      </c>
      <c r="T12" s="59">
        <f t="shared" si="23"/>
        <v>0</v>
      </c>
      <c r="U12" s="59">
        <f t="shared" si="23"/>
        <v>0</v>
      </c>
      <c r="V12" s="59">
        <f t="shared" si="23"/>
        <v>34.76</v>
      </c>
      <c r="W12" s="59">
        <f t="shared" si="23"/>
        <v>0</v>
      </c>
      <c r="X12" s="59">
        <f t="shared" si="23"/>
        <v>34.76</v>
      </c>
      <c r="Y12" s="59">
        <f t="shared" si="23"/>
        <v>0</v>
      </c>
      <c r="Z12" s="59">
        <f t="shared" si="10"/>
        <v>0</v>
      </c>
      <c r="AA12" s="59">
        <f t="shared" si="11"/>
        <v>0</v>
      </c>
      <c r="AB12" s="59">
        <f t="shared" si="12"/>
        <v>0</v>
      </c>
      <c r="AC12" s="59">
        <f t="shared" si="13"/>
        <v>0</v>
      </c>
      <c r="AD12" s="59">
        <f t="shared" si="14"/>
        <v>0</v>
      </c>
      <c r="AE12" s="59">
        <v>0</v>
      </c>
      <c r="AF12" s="59">
        <v>0</v>
      </c>
      <c r="AG12" s="59"/>
      <c r="AH12" s="59">
        <f t="shared" si="15"/>
        <v>3476</v>
      </c>
      <c r="AI12" s="59">
        <f t="shared" si="16"/>
        <v>0</v>
      </c>
      <c r="AJ12" s="246">
        <v>0.04</v>
      </c>
      <c r="AK12" s="246">
        <v>0.56999999999999995</v>
      </c>
      <c r="AL12" s="246">
        <f t="shared" si="17"/>
        <v>0.39</v>
      </c>
      <c r="AM12" s="245">
        <v>0</v>
      </c>
      <c r="AN12" s="245">
        <v>0.02</v>
      </c>
      <c r="AO12" s="245">
        <v>0.02</v>
      </c>
      <c r="AP12" s="245">
        <v>0.06</v>
      </c>
      <c r="AQ12" s="245">
        <v>0.08</v>
      </c>
      <c r="AR12" s="245">
        <v>0.02</v>
      </c>
      <c r="AS12" s="245">
        <v>0.1</v>
      </c>
      <c r="AT12" s="245">
        <v>0.04</v>
      </c>
      <c r="AU12" s="245">
        <v>0</v>
      </c>
      <c r="AV12" s="245">
        <v>0.02</v>
      </c>
      <c r="AW12" s="245">
        <v>0.01</v>
      </c>
      <c r="AX12" s="55">
        <v>0</v>
      </c>
      <c r="AY12" s="55">
        <v>0</v>
      </c>
      <c r="AZ12" s="55">
        <v>0.01</v>
      </c>
      <c r="BA12" s="55">
        <v>0</v>
      </c>
      <c r="BB12" s="55">
        <v>0.01</v>
      </c>
      <c r="BC12" s="55">
        <v>0</v>
      </c>
      <c r="BD12" s="60">
        <v>0</v>
      </c>
      <c r="BE12" s="55"/>
      <c r="BF12" s="55"/>
      <c r="BG12" s="55"/>
      <c r="BH12" s="63"/>
      <c r="BK12" s="62">
        <f>AJ12+AL12+AK12+BD12</f>
        <v>1</v>
      </c>
    </row>
    <row r="13" spans="1:63" x14ac:dyDescent="0.25">
      <c r="A13" s="56" t="s">
        <v>348</v>
      </c>
      <c r="B13" s="57">
        <v>51173</v>
      </c>
      <c r="C13" s="58">
        <v>4264</v>
      </c>
      <c r="D13" s="57">
        <v>23646</v>
      </c>
      <c r="E13" s="57">
        <f>B13+C13+D13</f>
        <v>79083</v>
      </c>
      <c r="F13" s="59">
        <f t="shared" si="5"/>
        <v>0</v>
      </c>
      <c r="G13" s="59">
        <f t="shared" si="6"/>
        <v>0</v>
      </c>
      <c r="H13" s="59">
        <f>+$E$6*AL13</f>
        <v>0</v>
      </c>
      <c r="I13" s="59">
        <f t="shared" si="7"/>
        <v>0</v>
      </c>
      <c r="J13" s="59">
        <f>+$E$13*AN13</f>
        <v>0</v>
      </c>
      <c r="K13" s="59">
        <f t="shared" ref="K13:M17" si="24">+$E13*AO13</f>
        <v>0</v>
      </c>
      <c r="L13" s="59">
        <f t="shared" si="24"/>
        <v>0</v>
      </c>
      <c r="M13" s="59">
        <f t="shared" si="24"/>
        <v>0</v>
      </c>
      <c r="N13" s="59">
        <f t="shared" ref="N13:P17" si="25">+$E$6*AR13</f>
        <v>0</v>
      </c>
      <c r="O13" s="59">
        <f t="shared" si="25"/>
        <v>0</v>
      </c>
      <c r="P13" s="59">
        <f t="shared" si="25"/>
        <v>0</v>
      </c>
      <c r="Q13" s="59">
        <f t="shared" ref="Q13:Q17" si="26">+$E$7*AU13</f>
        <v>0</v>
      </c>
      <c r="R13" s="59">
        <f t="shared" ref="R13:V17" si="27">+$E$6*AV13</f>
        <v>0</v>
      </c>
      <c r="S13" s="59">
        <f t="shared" si="27"/>
        <v>0</v>
      </c>
      <c r="T13" s="59">
        <f t="shared" si="27"/>
        <v>0</v>
      </c>
      <c r="U13" s="59">
        <f t="shared" si="27"/>
        <v>0</v>
      </c>
      <c r="V13" s="59">
        <f t="shared" si="27"/>
        <v>0</v>
      </c>
      <c r="W13" s="59">
        <f t="shared" ref="W13:W17" si="28">+$E$6*BA13</f>
        <v>0</v>
      </c>
      <c r="X13" s="59">
        <f>+$E$13*BB13</f>
        <v>0</v>
      </c>
      <c r="Y13" s="59">
        <f>+$E$13*BC13</f>
        <v>79083</v>
      </c>
      <c r="Z13" s="59">
        <f t="shared" si="10"/>
        <v>0</v>
      </c>
      <c r="AA13" s="59">
        <f t="shared" si="11"/>
        <v>0</v>
      </c>
      <c r="AB13" s="59">
        <f t="shared" si="12"/>
        <v>0</v>
      </c>
      <c r="AC13" s="59">
        <f t="shared" si="13"/>
        <v>0</v>
      </c>
      <c r="AD13" s="59">
        <f t="shared" si="14"/>
        <v>0</v>
      </c>
      <c r="AE13" s="59"/>
      <c r="AF13" s="59"/>
      <c r="AG13" s="59"/>
      <c r="AH13" s="59">
        <f t="shared" si="15"/>
        <v>0</v>
      </c>
      <c r="AI13" s="59">
        <f t="shared" si="16"/>
        <v>0</v>
      </c>
      <c r="AJ13" s="60"/>
      <c r="AK13" s="60"/>
      <c r="AL13" s="60"/>
      <c r="AM13" s="55"/>
      <c r="AN13" s="55"/>
      <c r="AO13" s="55"/>
      <c r="AP13" s="55"/>
      <c r="AQ13" s="55"/>
      <c r="AR13" s="55"/>
      <c r="AS13" s="55"/>
      <c r="AT13" s="55"/>
      <c r="AU13" s="55"/>
      <c r="AV13" s="55"/>
      <c r="AW13" s="55"/>
      <c r="AX13" s="55"/>
      <c r="AY13" s="55"/>
      <c r="AZ13" s="55"/>
      <c r="BA13" s="55"/>
      <c r="BB13" s="55"/>
      <c r="BC13" s="55">
        <v>1</v>
      </c>
      <c r="BD13" s="60">
        <f t="shared" si="3"/>
        <v>0</v>
      </c>
      <c r="BE13" s="55"/>
      <c r="BF13" s="55"/>
      <c r="BG13" s="55"/>
      <c r="BH13" s="63"/>
      <c r="BI13" s="55"/>
      <c r="BJ13" s="55"/>
      <c r="BK13" s="62">
        <f t="shared" si="4"/>
        <v>0</v>
      </c>
    </row>
    <row r="14" spans="1:63" x14ac:dyDescent="0.25">
      <c r="A14" s="65" t="s">
        <v>425</v>
      </c>
      <c r="B14" s="57">
        <v>45834</v>
      </c>
      <c r="C14" s="58">
        <v>0</v>
      </c>
      <c r="D14" s="57">
        <v>14166</v>
      </c>
      <c r="E14" s="57">
        <f>B14+D14</f>
        <v>60000</v>
      </c>
      <c r="F14" s="59">
        <f t="shared" si="5"/>
        <v>0</v>
      </c>
      <c r="G14" s="59">
        <f t="shared" si="6"/>
        <v>0</v>
      </c>
      <c r="H14" s="59">
        <f>+$E$6*AL14</f>
        <v>0</v>
      </c>
      <c r="I14" s="59">
        <f t="shared" si="7"/>
        <v>0</v>
      </c>
      <c r="J14" s="59">
        <f>+$E$14*AN14</f>
        <v>0</v>
      </c>
      <c r="K14" s="59">
        <f t="shared" si="24"/>
        <v>0</v>
      </c>
      <c r="L14" s="59">
        <f t="shared" si="24"/>
        <v>0</v>
      </c>
      <c r="M14" s="59">
        <f t="shared" si="24"/>
        <v>0</v>
      </c>
      <c r="N14" s="59">
        <f t="shared" si="25"/>
        <v>0</v>
      </c>
      <c r="O14" s="59">
        <f t="shared" si="25"/>
        <v>0</v>
      </c>
      <c r="P14" s="59">
        <f t="shared" si="25"/>
        <v>0</v>
      </c>
      <c r="Q14" s="59">
        <f t="shared" si="26"/>
        <v>0</v>
      </c>
      <c r="R14" s="59">
        <f t="shared" si="27"/>
        <v>0</v>
      </c>
      <c r="S14" s="59">
        <f t="shared" si="27"/>
        <v>0</v>
      </c>
      <c r="T14" s="59">
        <f t="shared" si="27"/>
        <v>0</v>
      </c>
      <c r="U14" s="59">
        <f t="shared" si="27"/>
        <v>0</v>
      </c>
      <c r="V14" s="59">
        <f t="shared" si="27"/>
        <v>0</v>
      </c>
      <c r="W14" s="59">
        <f t="shared" si="28"/>
        <v>0</v>
      </c>
      <c r="X14" s="59">
        <f>+$E$14*BB14</f>
        <v>0</v>
      </c>
      <c r="Y14" s="59">
        <f>+$E$14*BC14</f>
        <v>60000</v>
      </c>
      <c r="Z14" s="59">
        <f t="shared" si="10"/>
        <v>0</v>
      </c>
      <c r="AA14" s="59">
        <f t="shared" si="11"/>
        <v>0</v>
      </c>
      <c r="AB14" s="59">
        <f t="shared" si="12"/>
        <v>0</v>
      </c>
      <c r="AC14" s="59">
        <f t="shared" si="13"/>
        <v>0</v>
      </c>
      <c r="AD14" s="59">
        <f t="shared" si="14"/>
        <v>0</v>
      </c>
      <c r="AE14" s="59"/>
      <c r="AF14" s="59"/>
      <c r="AG14" s="59"/>
      <c r="AH14" s="59">
        <f t="shared" si="15"/>
        <v>0</v>
      </c>
      <c r="AI14" s="59">
        <f t="shared" si="16"/>
        <v>0</v>
      </c>
      <c r="AJ14" s="60"/>
      <c r="AK14" s="60"/>
      <c r="AL14" s="60"/>
      <c r="AM14" s="55"/>
      <c r="AN14" s="55"/>
      <c r="AO14" s="55"/>
      <c r="AP14" s="55"/>
      <c r="AQ14" s="55"/>
      <c r="AR14" s="55"/>
      <c r="AS14" s="55"/>
      <c r="AT14" s="55"/>
      <c r="AU14" s="55"/>
      <c r="AV14" s="55"/>
      <c r="AW14" s="55"/>
      <c r="AX14" s="55"/>
      <c r="AY14" s="55"/>
      <c r="AZ14" s="55"/>
      <c r="BA14" s="55"/>
      <c r="BB14" s="55"/>
      <c r="BC14" s="55">
        <v>1</v>
      </c>
      <c r="BD14" s="60">
        <f t="shared" si="3"/>
        <v>0</v>
      </c>
      <c r="BE14" s="55"/>
      <c r="BF14" s="55"/>
      <c r="BG14" s="55"/>
      <c r="BH14" s="63"/>
      <c r="BI14" s="55"/>
      <c r="BJ14" s="55"/>
      <c r="BK14" s="62">
        <f t="shared" si="4"/>
        <v>0</v>
      </c>
    </row>
    <row r="15" spans="1:63" x14ac:dyDescent="0.25">
      <c r="A15" s="28"/>
      <c r="B15" s="66"/>
      <c r="C15" s="66"/>
      <c r="D15" s="66"/>
      <c r="E15" s="66"/>
      <c r="F15" s="59">
        <f t="shared" si="5"/>
        <v>0</v>
      </c>
      <c r="G15" s="59">
        <f t="shared" si="6"/>
        <v>0</v>
      </c>
      <c r="H15" s="59">
        <f>+$E$6*AL15</f>
        <v>0</v>
      </c>
      <c r="I15" s="59">
        <f t="shared" si="7"/>
        <v>0</v>
      </c>
      <c r="J15" s="59">
        <f>+$E$15*AN15</f>
        <v>0</v>
      </c>
      <c r="K15" s="59">
        <f t="shared" si="24"/>
        <v>0</v>
      </c>
      <c r="L15" s="59">
        <f t="shared" si="24"/>
        <v>0</v>
      </c>
      <c r="M15" s="59">
        <f t="shared" si="24"/>
        <v>0</v>
      </c>
      <c r="N15" s="59">
        <f t="shared" si="25"/>
        <v>0</v>
      </c>
      <c r="O15" s="59">
        <f t="shared" si="25"/>
        <v>0</v>
      </c>
      <c r="P15" s="59">
        <f t="shared" si="25"/>
        <v>0</v>
      </c>
      <c r="Q15" s="59">
        <f t="shared" si="26"/>
        <v>0</v>
      </c>
      <c r="R15" s="59">
        <f t="shared" si="27"/>
        <v>0</v>
      </c>
      <c r="S15" s="59">
        <f t="shared" si="27"/>
        <v>0</v>
      </c>
      <c r="T15" s="59">
        <f t="shared" si="27"/>
        <v>0</v>
      </c>
      <c r="U15" s="59">
        <f t="shared" si="27"/>
        <v>0</v>
      </c>
      <c r="V15" s="59">
        <f t="shared" si="27"/>
        <v>0</v>
      </c>
      <c r="W15" s="59">
        <f t="shared" si="28"/>
        <v>0</v>
      </c>
      <c r="X15" s="59"/>
      <c r="Y15" s="59"/>
      <c r="Z15" s="59">
        <f t="shared" si="10"/>
        <v>0</v>
      </c>
      <c r="AA15" s="59">
        <f t="shared" si="11"/>
        <v>0</v>
      </c>
      <c r="AB15" s="59">
        <f t="shared" si="12"/>
        <v>0</v>
      </c>
      <c r="AC15" s="59">
        <f t="shared" si="13"/>
        <v>0</v>
      </c>
      <c r="AD15" s="59">
        <f t="shared" si="14"/>
        <v>0</v>
      </c>
      <c r="AE15" s="59"/>
      <c r="AF15" s="59"/>
      <c r="AG15" s="59"/>
      <c r="AH15" s="59">
        <f t="shared" si="15"/>
        <v>0</v>
      </c>
      <c r="AI15" s="59">
        <f>F15+G15+I15+K15+L15+M15+N15+Z15+AA15+AB15+AC15+AD15-AH15</f>
        <v>0</v>
      </c>
      <c r="AJ15" s="60"/>
      <c r="AK15" s="60"/>
      <c r="AL15" s="60"/>
      <c r="AM15" s="55"/>
      <c r="AN15" s="55"/>
      <c r="AO15" s="55"/>
      <c r="AP15" s="55"/>
      <c r="AQ15" s="55"/>
      <c r="AR15" s="55"/>
      <c r="AS15" s="55"/>
      <c r="AT15" s="55"/>
      <c r="AU15" s="55"/>
      <c r="AV15" s="55"/>
      <c r="AW15" s="55"/>
      <c r="AX15" s="55"/>
      <c r="AY15" s="55"/>
      <c r="AZ15" s="55"/>
      <c r="BA15" s="55"/>
      <c r="BB15" s="55"/>
      <c r="BC15" s="55"/>
      <c r="BD15" s="60">
        <f t="shared" si="3"/>
        <v>0</v>
      </c>
      <c r="BE15" s="55"/>
      <c r="BF15" s="55"/>
      <c r="BG15" s="55"/>
      <c r="BH15" s="63"/>
      <c r="BI15" s="55"/>
      <c r="BJ15" s="55"/>
      <c r="BK15" s="62">
        <f t="shared" si="4"/>
        <v>0</v>
      </c>
    </row>
    <row r="16" spans="1:63" x14ac:dyDescent="0.25">
      <c r="A16" s="28"/>
      <c r="B16" s="66"/>
      <c r="C16" s="66"/>
      <c r="D16" s="66"/>
      <c r="E16" s="66"/>
      <c r="F16" s="59">
        <f t="shared" si="5"/>
        <v>0</v>
      </c>
      <c r="G16" s="59">
        <f t="shared" si="6"/>
        <v>0</v>
      </c>
      <c r="H16" s="59">
        <f>+$E$6*AL16</f>
        <v>0</v>
      </c>
      <c r="I16" s="59">
        <f t="shared" si="7"/>
        <v>0</v>
      </c>
      <c r="J16" s="59">
        <f>+$E$16*AN16</f>
        <v>0</v>
      </c>
      <c r="K16" s="59">
        <f t="shared" si="24"/>
        <v>0</v>
      </c>
      <c r="L16" s="59">
        <f t="shared" si="24"/>
        <v>0</v>
      </c>
      <c r="M16" s="59">
        <f t="shared" si="24"/>
        <v>0</v>
      </c>
      <c r="N16" s="59">
        <f t="shared" si="25"/>
        <v>0</v>
      </c>
      <c r="O16" s="59">
        <f t="shared" si="25"/>
        <v>0</v>
      </c>
      <c r="P16" s="59">
        <f t="shared" si="25"/>
        <v>0</v>
      </c>
      <c r="Q16" s="59">
        <f t="shared" si="26"/>
        <v>0</v>
      </c>
      <c r="R16" s="59">
        <f t="shared" si="27"/>
        <v>0</v>
      </c>
      <c r="S16" s="59">
        <f t="shared" si="27"/>
        <v>0</v>
      </c>
      <c r="T16" s="59">
        <f t="shared" si="27"/>
        <v>0</v>
      </c>
      <c r="U16" s="59">
        <f t="shared" si="27"/>
        <v>0</v>
      </c>
      <c r="V16" s="59">
        <f t="shared" si="27"/>
        <v>0</v>
      </c>
      <c r="W16" s="59">
        <f t="shared" si="28"/>
        <v>0</v>
      </c>
      <c r="X16" s="59"/>
      <c r="Y16" s="59"/>
      <c r="Z16" s="59">
        <f t="shared" si="10"/>
        <v>0</v>
      </c>
      <c r="AA16" s="59">
        <f t="shared" si="11"/>
        <v>0</v>
      </c>
      <c r="AB16" s="59">
        <f t="shared" si="12"/>
        <v>0</v>
      </c>
      <c r="AC16" s="59">
        <f t="shared" si="13"/>
        <v>0</v>
      </c>
      <c r="AD16" s="59">
        <f t="shared" si="14"/>
        <v>0</v>
      </c>
      <c r="AE16" s="59"/>
      <c r="AF16" s="59"/>
      <c r="AG16" s="59"/>
      <c r="AH16" s="59">
        <f t="shared" si="15"/>
        <v>0</v>
      </c>
      <c r="AI16" s="59">
        <f>F16+G16+I16+K16+L16+M16+N16+Z16+AA16+AB16+AC16+AD16-AH16</f>
        <v>0</v>
      </c>
      <c r="AJ16" s="60"/>
      <c r="AK16" s="60"/>
      <c r="AL16" s="60"/>
      <c r="AM16" s="55"/>
      <c r="AN16" s="55"/>
      <c r="AO16" s="55"/>
      <c r="AP16" s="55"/>
      <c r="AQ16" s="55"/>
      <c r="AR16" s="55"/>
      <c r="AS16" s="55"/>
      <c r="AT16" s="55"/>
      <c r="AU16" s="55"/>
      <c r="AV16" s="55"/>
      <c r="AW16" s="55"/>
      <c r="AX16" s="55"/>
      <c r="AY16" s="55"/>
      <c r="AZ16" s="55"/>
      <c r="BA16" s="55"/>
      <c r="BB16" s="55"/>
      <c r="BC16" s="55"/>
      <c r="BD16" s="60">
        <f t="shared" si="3"/>
        <v>0</v>
      </c>
      <c r="BE16" s="55"/>
      <c r="BF16" s="55"/>
      <c r="BG16" s="55"/>
      <c r="BH16" s="63"/>
      <c r="BI16" s="55"/>
      <c r="BJ16" s="55"/>
      <c r="BK16" s="62">
        <f t="shared" si="4"/>
        <v>0</v>
      </c>
    </row>
    <row r="17" spans="1:63" x14ac:dyDescent="0.25">
      <c r="A17" s="28"/>
      <c r="B17" s="66"/>
      <c r="C17" s="66"/>
      <c r="D17" s="66"/>
      <c r="E17" s="16"/>
      <c r="F17" s="59">
        <f t="shared" si="5"/>
        <v>0</v>
      </c>
      <c r="G17" s="59">
        <f t="shared" si="6"/>
        <v>0</v>
      </c>
      <c r="H17" s="59">
        <f>+$E$6*AL17</f>
        <v>0</v>
      </c>
      <c r="I17" s="59">
        <f t="shared" si="7"/>
        <v>0</v>
      </c>
      <c r="J17" s="59"/>
      <c r="K17" s="59">
        <f t="shared" si="24"/>
        <v>0</v>
      </c>
      <c r="L17" s="59">
        <f t="shared" si="24"/>
        <v>0</v>
      </c>
      <c r="M17" s="59">
        <f t="shared" si="24"/>
        <v>0</v>
      </c>
      <c r="N17" s="59">
        <f t="shared" si="25"/>
        <v>0</v>
      </c>
      <c r="O17" s="59">
        <f t="shared" si="25"/>
        <v>0</v>
      </c>
      <c r="P17" s="59">
        <f t="shared" si="25"/>
        <v>0</v>
      </c>
      <c r="Q17" s="59">
        <f t="shared" si="26"/>
        <v>0</v>
      </c>
      <c r="R17" s="59">
        <f t="shared" si="27"/>
        <v>0</v>
      </c>
      <c r="S17" s="59">
        <f t="shared" si="27"/>
        <v>0</v>
      </c>
      <c r="T17" s="59">
        <f t="shared" si="27"/>
        <v>0</v>
      </c>
      <c r="U17" s="59">
        <f t="shared" si="27"/>
        <v>0</v>
      </c>
      <c r="V17" s="59">
        <f t="shared" si="27"/>
        <v>0</v>
      </c>
      <c r="W17" s="59">
        <f t="shared" si="28"/>
        <v>0</v>
      </c>
      <c r="X17" s="59"/>
      <c r="Y17" s="59"/>
      <c r="Z17" s="59">
        <f t="shared" si="10"/>
        <v>0</v>
      </c>
      <c r="AA17" s="59">
        <f t="shared" si="11"/>
        <v>0</v>
      </c>
      <c r="AB17" s="59">
        <f t="shared" si="12"/>
        <v>0</v>
      </c>
      <c r="AC17" s="59">
        <f t="shared" si="13"/>
        <v>0</v>
      </c>
      <c r="AD17" s="59">
        <f t="shared" si="14"/>
        <v>0</v>
      </c>
      <c r="AE17" s="59"/>
      <c r="AF17" s="59"/>
      <c r="AG17" s="59"/>
      <c r="AH17" s="59">
        <f t="shared" si="15"/>
        <v>0</v>
      </c>
      <c r="AI17" s="59">
        <f>F17+G17+I17+K17+L17+M17+N17+Z17+AA17+AB17+AC17+AD17-AH17</f>
        <v>0</v>
      </c>
      <c r="AJ17" s="60"/>
      <c r="AK17" s="60"/>
      <c r="AL17" s="60">
        <f t="shared" ref="AL17" si="29">SUM(AM17:AZ17)</f>
        <v>0</v>
      </c>
      <c r="AM17" s="55"/>
      <c r="AN17" s="55"/>
      <c r="AO17" s="55"/>
      <c r="AP17" s="55"/>
      <c r="AQ17" s="55"/>
      <c r="AR17" s="55"/>
      <c r="AS17" s="55"/>
      <c r="AT17" s="55"/>
      <c r="AU17" s="55"/>
      <c r="AV17" s="55"/>
      <c r="AW17" s="55"/>
      <c r="AX17" s="55"/>
      <c r="AY17" s="55"/>
      <c r="AZ17" s="55"/>
      <c r="BA17" s="55"/>
      <c r="BB17" s="55"/>
      <c r="BC17" s="55"/>
      <c r="BD17" s="60">
        <f t="shared" si="3"/>
        <v>0</v>
      </c>
      <c r="BE17" s="55"/>
      <c r="BF17" s="55"/>
      <c r="BG17" s="55"/>
      <c r="BH17" s="63"/>
      <c r="BI17" s="55"/>
      <c r="BJ17" s="55"/>
      <c r="BK17" s="62">
        <f t="shared" si="4"/>
        <v>0</v>
      </c>
    </row>
    <row r="18" spans="1:63" ht="15.75" thickBot="1" x14ac:dyDescent="0.3">
      <c r="A18" s="67" t="s">
        <v>51</v>
      </c>
      <c r="B18" s="68">
        <f>SUM(B6:B17)</f>
        <v>268262</v>
      </c>
      <c r="C18" s="68">
        <f>SUM(C6:C17)</f>
        <v>24062.04</v>
      </c>
      <c r="D18" s="68"/>
      <c r="E18" s="69">
        <f>SUM(E6:E17)</f>
        <v>408455.04</v>
      </c>
      <c r="F18" s="68">
        <f>SUM(F6:F17)</f>
        <v>61916.103999999999</v>
      </c>
      <c r="G18" s="68">
        <f>SUM(G6:G17)</f>
        <v>73638.719599999997</v>
      </c>
      <c r="H18" s="68">
        <f t="shared" ref="H18:V18" si="30">SUM(H6:H17)</f>
        <v>131158.25600000002</v>
      </c>
      <c r="I18" s="68">
        <f t="shared" si="30"/>
        <v>2658.9603999999999</v>
      </c>
      <c r="J18" s="68">
        <f>SUM(J6:J17)</f>
        <v>4229.992400000001</v>
      </c>
      <c r="K18" s="68">
        <f t="shared" si="30"/>
        <v>6072.0184000000008</v>
      </c>
      <c r="L18" s="68">
        <f t="shared" si="30"/>
        <v>13597.477999999999</v>
      </c>
      <c r="M18" s="68">
        <f t="shared" si="30"/>
        <v>14358.332399999999</v>
      </c>
      <c r="N18" s="68">
        <f t="shared" si="30"/>
        <v>5355.0028000000002</v>
      </c>
      <c r="O18" s="68">
        <f t="shared" si="30"/>
        <v>11111.947600000001</v>
      </c>
      <c r="P18" s="68">
        <f t="shared" si="30"/>
        <v>12604.843200000001</v>
      </c>
      <c r="Q18" s="68">
        <f>SUM(Q7:Q17)</f>
        <v>7039.6000000000013</v>
      </c>
      <c r="R18" s="68">
        <f t="shared" si="30"/>
        <v>10960.571600000001</v>
      </c>
      <c r="S18" s="68">
        <f t="shared" si="30"/>
        <v>19843.382799999999</v>
      </c>
      <c r="T18" s="68">
        <f t="shared" si="30"/>
        <v>1396.1356000000001</v>
      </c>
      <c r="U18" s="68">
        <f t="shared" si="30"/>
        <v>2819.9043999999999</v>
      </c>
      <c r="V18" s="68">
        <f t="shared" si="30"/>
        <v>10298.6036</v>
      </c>
      <c r="W18" s="68">
        <f>SUM(W6:W17)</f>
        <v>2658.9603999999999</v>
      </c>
      <c r="X18" s="68">
        <f>SUM(X7:X17)</f>
        <v>6152.5224000000007</v>
      </c>
      <c r="Y18" s="68">
        <f>SUM(Y7:Y17)</f>
        <v>141741.96039999998</v>
      </c>
      <c r="Z18" s="68">
        <f t="shared" ref="Z18:AK18" si="31">SUM(Z6:Z17)</f>
        <v>0</v>
      </c>
      <c r="AA18" s="68">
        <f t="shared" si="31"/>
        <v>0</v>
      </c>
      <c r="AB18" s="68">
        <f t="shared" si="31"/>
        <v>0</v>
      </c>
      <c r="AC18" s="68">
        <f t="shared" si="31"/>
        <v>0</v>
      </c>
      <c r="AD18" s="68">
        <f t="shared" si="31"/>
        <v>0</v>
      </c>
      <c r="AE18" s="68">
        <f>SUM(AE6:AE17)</f>
        <v>0</v>
      </c>
      <c r="AF18" s="68">
        <f>SUM(AF7:AF17)</f>
        <v>0</v>
      </c>
      <c r="AG18" s="68"/>
      <c r="AH18" s="68">
        <f t="shared" si="31"/>
        <v>269372.03999999998</v>
      </c>
      <c r="AI18" s="68">
        <f t="shared" si="31"/>
        <v>2658.9603999999672</v>
      </c>
      <c r="AJ18" s="70">
        <f t="shared" si="31"/>
        <v>0.95000000000000018</v>
      </c>
      <c r="AK18" s="70">
        <f t="shared" si="31"/>
        <v>1.9299999999999997</v>
      </c>
      <c r="AL18" s="70">
        <f>SUM(AL6:AL17)</f>
        <v>3.0700000000000007</v>
      </c>
      <c r="AM18" s="71">
        <f>SUM(AM7:AM17)</f>
        <v>0.05</v>
      </c>
      <c r="AN18" s="71">
        <f>SUM(AN7:AN17)</f>
        <v>0.1</v>
      </c>
      <c r="AO18" s="71">
        <f t="shared" ref="AO18:BK18" si="32">SUM(AO6:AO17)</f>
        <v>0.13999999999999999</v>
      </c>
      <c r="AP18" s="71">
        <f t="shared" si="32"/>
        <v>0.31</v>
      </c>
      <c r="AQ18" s="71">
        <f t="shared" si="32"/>
        <v>0.36000000000000004</v>
      </c>
      <c r="AR18" s="71">
        <f t="shared" si="32"/>
        <v>0.14000000000000001</v>
      </c>
      <c r="AS18" s="71">
        <f t="shared" si="32"/>
        <v>0.32</v>
      </c>
      <c r="AT18" s="71">
        <f t="shared" si="32"/>
        <v>0.33</v>
      </c>
      <c r="AU18" s="71">
        <f>SUM(AU6:AU17)</f>
        <v>0.14000000000000001</v>
      </c>
      <c r="AV18" s="71">
        <f t="shared" si="32"/>
        <v>0.28000000000000003</v>
      </c>
      <c r="AW18" s="71">
        <f t="shared" si="32"/>
        <v>0.44000000000000006</v>
      </c>
      <c r="AX18" s="71">
        <f t="shared" si="32"/>
        <v>0.02</v>
      </c>
      <c r="AY18" s="71">
        <f t="shared" si="32"/>
        <v>0.05</v>
      </c>
      <c r="AZ18" s="71">
        <f t="shared" si="32"/>
        <v>0.22</v>
      </c>
      <c r="BA18" s="71">
        <f t="shared" si="32"/>
        <v>0.05</v>
      </c>
      <c r="BB18" s="71">
        <f t="shared" si="32"/>
        <v>0.12</v>
      </c>
      <c r="BC18" s="71">
        <f>BC7+BC8+BC9+BC10+BC11+BC12</f>
        <v>0.05</v>
      </c>
      <c r="BD18" s="70">
        <f t="shared" si="32"/>
        <v>0</v>
      </c>
      <c r="BE18" s="71">
        <f t="shared" si="32"/>
        <v>0</v>
      </c>
      <c r="BF18" s="71">
        <f t="shared" si="32"/>
        <v>0</v>
      </c>
      <c r="BG18" s="71">
        <f t="shared" si="32"/>
        <v>0</v>
      </c>
      <c r="BH18" s="72">
        <f t="shared" si="32"/>
        <v>0</v>
      </c>
      <c r="BI18" s="68">
        <f>SUM(BI7:BI17)</f>
        <v>0</v>
      </c>
      <c r="BJ18" s="68">
        <f>SUM(BJ7:BJ17)</f>
        <v>0</v>
      </c>
      <c r="BK18" s="68">
        <f t="shared" si="32"/>
        <v>6</v>
      </c>
    </row>
    <row r="19" spans="1:63" x14ac:dyDescent="0.25">
      <c r="A19" s="56" t="s">
        <v>47</v>
      </c>
      <c r="B19" s="73" t="s">
        <v>47</v>
      </c>
      <c r="C19" s="74" t="s">
        <v>52</v>
      </c>
      <c r="F19" s="75">
        <f>AJ18/$E$20</f>
        <v>0.15833333333333335</v>
      </c>
      <c r="G19" s="75">
        <f>AK18/$E$20</f>
        <v>0.3216666666666666</v>
      </c>
      <c r="H19" s="75">
        <f>AL18/$E$20</f>
        <v>0.51166666666666683</v>
      </c>
      <c r="I19" s="76">
        <f>AM18/$AL$18</f>
        <v>1.6286644951140062E-2</v>
      </c>
      <c r="J19" s="76">
        <f>AN18/$AL$18</f>
        <v>3.2573289902280124E-2</v>
      </c>
      <c r="K19" s="76">
        <f t="shared" ref="K19:M19" si="33">AO18/$AL$18</f>
        <v>4.5602605863192168E-2</v>
      </c>
      <c r="L19" s="76">
        <f t="shared" si="33"/>
        <v>0.10097719869706838</v>
      </c>
      <c r="M19" s="76">
        <f t="shared" si="33"/>
        <v>0.11726384364820845</v>
      </c>
      <c r="N19" s="76">
        <f t="shared" ref="N19:X19" si="34">AR18/$AL$18</f>
        <v>4.5602605863192175E-2</v>
      </c>
      <c r="O19" s="76">
        <f t="shared" si="34"/>
        <v>0.10423452768729639</v>
      </c>
      <c r="P19" s="76">
        <f t="shared" si="34"/>
        <v>0.10749185667752441</v>
      </c>
      <c r="Q19" s="76">
        <f t="shared" si="34"/>
        <v>4.5602605863192175E-2</v>
      </c>
      <c r="R19" s="76">
        <f t="shared" si="34"/>
        <v>9.120521172638435E-2</v>
      </c>
      <c r="S19" s="76">
        <f t="shared" si="34"/>
        <v>0.14332247557003255</v>
      </c>
      <c r="T19" s="76">
        <f t="shared" si="34"/>
        <v>6.5146579804560246E-3</v>
      </c>
      <c r="U19" s="76">
        <f t="shared" si="34"/>
        <v>1.6286644951140062E-2</v>
      </c>
      <c r="V19" s="76">
        <f t="shared" si="34"/>
        <v>7.1661237785016277E-2</v>
      </c>
      <c r="W19" s="76">
        <f t="shared" si="34"/>
        <v>1.6286644951140062E-2</v>
      </c>
      <c r="X19" s="76">
        <f t="shared" si="34"/>
        <v>3.9087947882736146E-2</v>
      </c>
      <c r="Y19" s="76">
        <f>BC18/$AL$18</f>
        <v>1.6286644951140062E-2</v>
      </c>
      <c r="Z19" s="75">
        <f>BD18/$E$20</f>
        <v>0</v>
      </c>
      <c r="AA19" s="76"/>
      <c r="AB19" s="76"/>
      <c r="AC19" s="76"/>
      <c r="AD19" s="76"/>
      <c r="AE19" s="76" t="e">
        <f>BI18/$BD$18</f>
        <v>#DIV/0!</v>
      </c>
      <c r="AF19" s="76" t="e">
        <f>BJ18/$BD$18</f>
        <v>#DIV/0!</v>
      </c>
      <c r="AG19" s="77"/>
      <c r="AS19" s="76"/>
      <c r="AT19" s="76"/>
      <c r="AU19" s="76"/>
      <c r="AV19" s="76"/>
      <c r="AW19" s="76"/>
      <c r="AX19" s="76"/>
      <c r="AY19" s="76"/>
      <c r="AZ19" s="76"/>
      <c r="BA19" s="77"/>
      <c r="BB19" s="77"/>
      <c r="BC19" s="77"/>
    </row>
    <row r="20" spans="1:63" x14ac:dyDescent="0.25">
      <c r="C20" s="34" t="s">
        <v>53</v>
      </c>
      <c r="E20" s="78">
        <f>BK18</f>
        <v>6</v>
      </c>
    </row>
    <row r="21" spans="1:63" x14ac:dyDescent="0.25">
      <c r="C21" s="79" t="s">
        <v>54</v>
      </c>
      <c r="D21" s="79"/>
      <c r="E21" s="80">
        <f>100%-F19-G19-H19-Z19</f>
        <v>8.3333333333331927E-3</v>
      </c>
      <c r="F21" s="81"/>
      <c r="G21" s="81"/>
      <c r="H21" s="81"/>
      <c r="I21" s="81"/>
      <c r="J21" s="81"/>
      <c r="K21" s="81"/>
      <c r="L21" s="81"/>
      <c r="M21" s="81"/>
      <c r="N21" s="81"/>
      <c r="O21" s="81"/>
      <c r="P21" s="81"/>
      <c r="Q21" s="81"/>
      <c r="R21" s="81"/>
      <c r="S21" s="81"/>
      <c r="T21" s="81"/>
      <c r="U21" s="81"/>
      <c r="V21" s="81"/>
      <c r="W21" s="81"/>
      <c r="X21" s="81"/>
      <c r="Y21" s="81"/>
      <c r="Z21" s="81"/>
      <c r="AS21" s="81"/>
      <c r="AT21" s="81"/>
      <c r="AU21" s="81"/>
      <c r="AV21" s="81"/>
      <c r="AW21" s="81"/>
      <c r="AX21" s="81"/>
      <c r="AY21" s="81"/>
      <c r="AZ21" s="81"/>
      <c r="BA21" s="81"/>
      <c r="BB21" s="81"/>
      <c r="BC21" s="81"/>
    </row>
    <row r="24" spans="1:63" x14ac:dyDescent="0.25">
      <c r="D24" s="57"/>
    </row>
    <row r="25" spans="1:63" x14ac:dyDescent="0.25">
      <c r="G25" s="57">
        <f>F18+H18+G18</f>
        <v>266713.0796</v>
      </c>
    </row>
  </sheetData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AH167"/>
  <sheetViews>
    <sheetView workbookViewId="0">
      <pane ySplit="1" topLeftCell="A2" activePane="bottomLeft" state="frozen"/>
      <selection activeCell="L1" sqref="L1"/>
      <selection pane="bottomLeft" activeCell="C21" sqref="C21"/>
    </sheetView>
  </sheetViews>
  <sheetFormatPr baseColWidth="10" defaultRowHeight="15" x14ac:dyDescent="0.25"/>
  <cols>
    <col min="1" max="2" width="13" customWidth="1"/>
    <col min="3" max="3" width="47.85546875" customWidth="1"/>
    <col min="4" max="4" width="17" hidden="1" customWidth="1"/>
    <col min="5" max="5" width="20" style="1" customWidth="1"/>
    <col min="6" max="6" width="18.140625" bestFit="1" customWidth="1"/>
    <col min="7" max="7" width="14.140625" customWidth="1"/>
    <col min="8" max="8" width="12.85546875" bestFit="1" customWidth="1"/>
    <col min="9" max="9" width="12.85546875" customWidth="1"/>
    <col min="10" max="10" width="13.7109375" customWidth="1"/>
    <col min="11" max="11" width="12.85546875" bestFit="1" customWidth="1"/>
    <col min="12" max="12" width="11.85546875" customWidth="1"/>
    <col min="13" max="13" width="11.85546875" bestFit="1" customWidth="1"/>
    <col min="14" max="15" width="12.85546875" bestFit="1" customWidth="1"/>
    <col min="16" max="16" width="14.85546875" customWidth="1"/>
    <col min="17" max="17" width="11.85546875" bestFit="1" customWidth="1"/>
    <col min="18" max="18" width="11.85546875" customWidth="1"/>
    <col min="19" max="19" width="11.85546875" bestFit="1" customWidth="1"/>
    <col min="20" max="20" width="12.7109375" customWidth="1"/>
    <col min="21" max="21" width="11.85546875" bestFit="1" customWidth="1"/>
    <col min="22" max="22" width="14.28515625" customWidth="1"/>
    <col min="23" max="23" width="14.42578125" customWidth="1"/>
    <col min="24" max="24" width="11.85546875" bestFit="1" customWidth="1"/>
    <col min="25" max="25" width="15.85546875" customWidth="1"/>
    <col min="26" max="27" width="13.5703125" customWidth="1"/>
    <col min="28" max="28" width="14.140625" customWidth="1"/>
    <col min="29" max="29" width="16.42578125" customWidth="1"/>
    <col min="30" max="30" width="11.85546875" customWidth="1"/>
    <col min="31" max="31" width="14" customWidth="1"/>
    <col min="32" max="32" width="14.28515625" bestFit="1" customWidth="1"/>
    <col min="33" max="33" width="14" customWidth="1"/>
    <col min="34" max="34" width="12.85546875" bestFit="1" customWidth="1"/>
  </cols>
  <sheetData>
    <row r="1" spans="1:33" ht="51" x14ac:dyDescent="0.25">
      <c r="A1" s="85" t="s">
        <v>0</v>
      </c>
      <c r="B1" s="85"/>
      <c r="C1" s="85" t="s">
        <v>1</v>
      </c>
      <c r="D1" s="10"/>
      <c r="E1" s="86" t="s">
        <v>197</v>
      </c>
      <c r="F1" s="13" t="s">
        <v>59</v>
      </c>
      <c r="G1" s="87" t="s">
        <v>60</v>
      </c>
      <c r="H1" s="88" t="s">
        <v>62</v>
      </c>
      <c r="I1" s="88" t="s">
        <v>63</v>
      </c>
      <c r="J1" s="88" t="s">
        <v>38</v>
      </c>
      <c r="K1" s="89" t="str">
        <f>Salaires!I4</f>
        <v>MICE PLACE</v>
      </c>
      <c r="L1" s="89" t="s">
        <v>206</v>
      </c>
      <c r="M1" s="89" t="str">
        <f>Salaires!K4</f>
        <v>SBE Lyon</v>
      </c>
      <c r="N1" s="89" t="str">
        <f>Salaires!L4</f>
        <v>HEAVENT</v>
      </c>
      <c r="O1" s="89" t="str">
        <f>Salaires!M4</f>
        <v>IMEX</v>
      </c>
      <c r="P1" s="89" t="str">
        <f>Salaires!N4</f>
        <v>WORKSHOP ALLG</v>
      </c>
      <c r="Q1" s="89" t="str">
        <f>Salaires!O4</f>
        <v>EDUCTOUR 1&amp;2</v>
      </c>
      <c r="R1" s="89" t="s">
        <v>320</v>
      </c>
      <c r="S1" s="89" t="s">
        <v>204</v>
      </c>
      <c r="T1" s="89" t="s">
        <v>201</v>
      </c>
      <c r="U1" s="89" t="str">
        <f>Salaires!S4</f>
        <v>OPERATION PARIS DECEMBRE</v>
      </c>
      <c r="V1" s="89" t="str">
        <f>Salaires!T4</f>
        <v>Soutien aux actions a l'international</v>
      </c>
      <c r="W1" s="89" t="str">
        <f>Salaires!U4</f>
        <v>IBTM</v>
      </c>
      <c r="X1" s="89" t="str">
        <f>Salaires!V4</f>
        <v>EDUCTOUR Belgique</v>
      </c>
      <c r="Y1" s="89" t="s">
        <v>199</v>
      </c>
      <c r="Z1" s="89" t="str">
        <f>Salaires!X4</f>
        <v>Demarchages europe</v>
      </c>
      <c r="AA1" s="89" t="str">
        <f>Salaires!Y4</f>
        <v>Cellule Grands Evenements</v>
      </c>
      <c r="AB1" s="89" t="s">
        <v>39</v>
      </c>
      <c r="AC1" s="89" t="s">
        <v>194</v>
      </c>
      <c r="AD1" s="89"/>
      <c r="AE1" s="89"/>
      <c r="AF1" s="90" t="s">
        <v>58</v>
      </c>
      <c r="AG1" s="90" t="s">
        <v>127</v>
      </c>
    </row>
    <row r="2" spans="1:33" ht="15.6" x14ac:dyDescent="0.35">
      <c r="A2" s="91" t="s">
        <v>61</v>
      </c>
      <c r="B2" s="91"/>
      <c r="C2" s="91"/>
      <c r="D2" s="294"/>
      <c r="E2" s="298"/>
      <c r="F2" s="82"/>
      <c r="G2" s="82"/>
      <c r="H2" s="92">
        <f>Salaires!F19</f>
        <v>0.15833333333333335</v>
      </c>
      <c r="I2" s="92">
        <f>Salaires!G19</f>
        <v>0.3216666666666666</v>
      </c>
      <c r="J2" s="92">
        <f>Salaires!H19</f>
        <v>0.51166666666666683</v>
      </c>
      <c r="K2" s="92">
        <f>Salaires!I19</f>
        <v>1.6286644951140062E-2</v>
      </c>
      <c r="L2" s="92">
        <f>Salaires!J19</f>
        <v>3.2573289902280124E-2</v>
      </c>
      <c r="M2" s="92">
        <f>Salaires!K19</f>
        <v>4.5602605863192168E-2</v>
      </c>
      <c r="N2" s="92">
        <f>Salaires!L19</f>
        <v>0.10097719869706838</v>
      </c>
      <c r="O2" s="92">
        <f>Salaires!M19</f>
        <v>0.11726384364820845</v>
      </c>
      <c r="P2" s="92">
        <f>Salaires!N19</f>
        <v>4.5602605863192175E-2</v>
      </c>
      <c r="Q2" s="92">
        <f>Salaires!O19</f>
        <v>0.10423452768729639</v>
      </c>
      <c r="R2" s="92">
        <f>Salaires!R19</f>
        <v>9.120521172638435E-2</v>
      </c>
      <c r="S2" s="92">
        <f>Salaires!P19</f>
        <v>0.10749185667752441</v>
      </c>
      <c r="T2" s="92">
        <f>Salaires!Q19</f>
        <v>4.5602605863192175E-2</v>
      </c>
      <c r="U2" s="92">
        <f>Salaires!S19</f>
        <v>0.14332247557003255</v>
      </c>
      <c r="V2" s="92">
        <f>Salaires!T19</f>
        <v>6.5146579804560246E-3</v>
      </c>
      <c r="W2" s="92">
        <f>Salaires!U19</f>
        <v>1.6286644951140062E-2</v>
      </c>
      <c r="X2" s="92">
        <f>Salaires!V19</f>
        <v>7.1661237785016277E-2</v>
      </c>
      <c r="Y2" s="92">
        <f>Salaires!W19</f>
        <v>1.6286644951140062E-2</v>
      </c>
      <c r="Z2" s="92">
        <f>Salaires!X19</f>
        <v>3.9087947882736146E-2</v>
      </c>
      <c r="AA2" s="92">
        <f>Salaires!Y19</f>
        <v>1.6286644951140062E-2</v>
      </c>
      <c r="AB2" s="92">
        <f>Salaires!Z19</f>
        <v>0</v>
      </c>
      <c r="AC2" s="92"/>
      <c r="AD2" s="92">
        <v>0</v>
      </c>
      <c r="AE2" s="92">
        <v>0</v>
      </c>
      <c r="AF2" s="83"/>
    </row>
    <row r="3" spans="1:33" x14ac:dyDescent="0.25">
      <c r="A3" s="9">
        <v>6061</v>
      </c>
      <c r="B3" s="9">
        <v>606</v>
      </c>
      <c r="C3" s="20" t="s">
        <v>3</v>
      </c>
      <c r="D3" s="295">
        <v>600</v>
      </c>
      <c r="E3" s="299">
        <v>880</v>
      </c>
      <c r="F3" s="10"/>
      <c r="G3" s="93">
        <f>E3</f>
        <v>880</v>
      </c>
      <c r="H3" s="97">
        <f>G3*H2</f>
        <v>139.33333333333334</v>
      </c>
      <c r="I3" s="97">
        <f>G3*I2</f>
        <v>283.06666666666661</v>
      </c>
      <c r="J3" s="97">
        <f>G3*J2</f>
        <v>450.26666666666682</v>
      </c>
      <c r="K3" s="97">
        <f>J3*K2</f>
        <v>7.3333333333333348</v>
      </c>
      <c r="L3" s="97">
        <f>J3*$L$2</f>
        <v>14.66666666666667</v>
      </c>
      <c r="M3" s="97">
        <f>J3*M2</f>
        <v>20.533333333333335</v>
      </c>
      <c r="N3" s="97">
        <f>J3*N2</f>
        <v>45.466666666666669</v>
      </c>
      <c r="O3" s="97">
        <f>J3*O2</f>
        <v>52.800000000000011</v>
      </c>
      <c r="P3" s="97">
        <f>J3*P2</f>
        <v>20.533333333333339</v>
      </c>
      <c r="Q3" s="97">
        <f>J3*Q2</f>
        <v>46.933333333333337</v>
      </c>
      <c r="R3" s="97">
        <f>J3*$R$2</f>
        <v>41.066666666666677</v>
      </c>
      <c r="S3" s="97">
        <f>J3*S2</f>
        <v>48.400000000000006</v>
      </c>
      <c r="T3" s="97">
        <f>J3*T2</f>
        <v>20.533333333333339</v>
      </c>
      <c r="U3" s="97">
        <f>J3*U2</f>
        <v>64.533333333333346</v>
      </c>
      <c r="V3" s="97">
        <f>J3*V2</f>
        <v>2.9333333333333336</v>
      </c>
      <c r="W3" s="97">
        <f>J3*W2</f>
        <v>7.3333333333333348</v>
      </c>
      <c r="X3" s="97">
        <f>J3*X2</f>
        <v>32.266666666666673</v>
      </c>
      <c r="Y3" s="97">
        <f>J3*Y2</f>
        <v>7.3333333333333348</v>
      </c>
      <c r="Z3" s="97">
        <f>J3*Z2</f>
        <v>17.600000000000001</v>
      </c>
      <c r="AA3" s="97">
        <f>J3*AA2</f>
        <v>7.3333333333333348</v>
      </c>
      <c r="AB3" s="93">
        <f t="shared" ref="AB3:AB13" si="0">G3*$AB$2</f>
        <v>0</v>
      </c>
      <c r="AC3" s="10"/>
      <c r="AD3" s="93">
        <f>AB3*$AD$2</f>
        <v>0</v>
      </c>
      <c r="AE3" s="93">
        <f>AB3*$AE$2</f>
        <v>0</v>
      </c>
      <c r="AF3" s="93">
        <f>E3-H3-I3-J3-AB3-AA3</f>
        <v>-1.3411494137471891E-13</v>
      </c>
      <c r="AG3" s="94">
        <f>J3-SUM(K3:Z3)</f>
        <v>0</v>
      </c>
    </row>
    <row r="4" spans="1:33" x14ac:dyDescent="0.25">
      <c r="A4" s="9">
        <v>6061</v>
      </c>
      <c r="B4" s="9">
        <v>606</v>
      </c>
      <c r="C4" s="322" t="s">
        <v>350</v>
      </c>
      <c r="D4" s="295"/>
      <c r="E4" s="299">
        <v>120</v>
      </c>
      <c r="F4" s="93">
        <f>E4</f>
        <v>120</v>
      </c>
      <c r="G4" s="93"/>
      <c r="H4" s="97"/>
      <c r="I4" s="97"/>
      <c r="J4" s="97"/>
      <c r="K4" s="97"/>
      <c r="L4" s="97"/>
      <c r="M4" s="97"/>
      <c r="N4" s="97"/>
      <c r="O4" s="97"/>
      <c r="P4" s="97"/>
      <c r="Q4" s="97"/>
      <c r="R4" s="97"/>
      <c r="S4" s="97"/>
      <c r="T4" s="97"/>
      <c r="U4" s="97"/>
      <c r="V4" s="97"/>
      <c r="W4" s="97"/>
      <c r="X4" s="97"/>
      <c r="Y4" s="97"/>
      <c r="Z4" s="97"/>
      <c r="AA4" s="97">
        <f>F4</f>
        <v>120</v>
      </c>
      <c r="AB4" s="93"/>
      <c r="AC4" s="10"/>
      <c r="AD4" s="93"/>
      <c r="AE4" s="93"/>
      <c r="AF4" s="93">
        <f t="shared" ref="AF4:AF13" si="1">E4-H4-I4-J4-AB4-AA4</f>
        <v>0</v>
      </c>
      <c r="AG4" s="94">
        <f>J4-SUM(K4:Z4)</f>
        <v>0</v>
      </c>
    </row>
    <row r="5" spans="1:33" x14ac:dyDescent="0.25">
      <c r="A5" s="9">
        <v>6063</v>
      </c>
      <c r="B5" s="9">
        <v>606</v>
      </c>
      <c r="C5" s="20" t="s">
        <v>260</v>
      </c>
      <c r="D5" s="295">
        <v>800</v>
      </c>
      <c r="E5" s="299">
        <v>490</v>
      </c>
      <c r="F5" s="10"/>
      <c r="G5" s="93">
        <f>E5</f>
        <v>490</v>
      </c>
      <c r="H5" s="97">
        <f>$G$5*H2</f>
        <v>77.583333333333343</v>
      </c>
      <c r="I5" s="97">
        <f>$G$5*I2</f>
        <v>157.61666666666665</v>
      </c>
      <c r="J5" s="97">
        <f>$G$5*J2</f>
        <v>250.71666666666675</v>
      </c>
      <c r="K5" s="97">
        <f>$J$5*K2</f>
        <v>4.0833333333333339</v>
      </c>
      <c r="L5" s="97">
        <f>J5*$L$2</f>
        <v>8.1666666666666679</v>
      </c>
      <c r="M5" s="97">
        <f t="shared" ref="M5:AA5" si="2">$J$5*M2</f>
        <v>11.433333333333334</v>
      </c>
      <c r="N5" s="97">
        <f t="shared" si="2"/>
        <v>25.31666666666667</v>
      </c>
      <c r="O5" s="97">
        <f t="shared" si="2"/>
        <v>29.400000000000006</v>
      </c>
      <c r="P5" s="97">
        <f t="shared" si="2"/>
        <v>11.433333333333335</v>
      </c>
      <c r="Q5" s="97">
        <f t="shared" si="2"/>
        <v>26.133333333333336</v>
      </c>
      <c r="R5" s="97">
        <f>J5*$R$2</f>
        <v>22.866666666666671</v>
      </c>
      <c r="S5" s="97">
        <f t="shared" si="2"/>
        <v>26.950000000000003</v>
      </c>
      <c r="T5" s="97">
        <f t="shared" si="2"/>
        <v>11.433333333333335</v>
      </c>
      <c r="U5" s="97">
        <f t="shared" si="2"/>
        <v>35.933333333333344</v>
      </c>
      <c r="V5" s="97">
        <f t="shared" si="2"/>
        <v>1.6333333333333335</v>
      </c>
      <c r="W5" s="97">
        <f t="shared" si="2"/>
        <v>4.0833333333333339</v>
      </c>
      <c r="X5" s="97">
        <f t="shared" si="2"/>
        <v>17.966666666666672</v>
      </c>
      <c r="Y5" s="97">
        <f t="shared" si="2"/>
        <v>4.0833333333333339</v>
      </c>
      <c r="Z5" s="97">
        <f t="shared" si="2"/>
        <v>9.8000000000000007</v>
      </c>
      <c r="AA5" s="97">
        <f t="shared" si="2"/>
        <v>4.0833333333333339</v>
      </c>
      <c r="AB5" s="93">
        <f t="shared" si="0"/>
        <v>0</v>
      </c>
      <c r="AC5" s="10"/>
      <c r="AD5" s="93">
        <f t="shared" ref="AD5:AD13" si="3">AB5*$AD$2</f>
        <v>0</v>
      </c>
      <c r="AE5" s="93">
        <f t="shared" ref="AE5:AE13" si="4">AB5*$AE$2</f>
        <v>0</v>
      </c>
      <c r="AF5" s="93">
        <f>E5-H5-I5-J5-AB5-AA5</f>
        <v>-1.0480505352461478E-13</v>
      </c>
      <c r="AG5" s="94">
        <f>J5-SUM(K5:Z5)</f>
        <v>0</v>
      </c>
    </row>
    <row r="6" spans="1:33" x14ac:dyDescent="0.25">
      <c r="A6" s="9">
        <v>6063</v>
      </c>
      <c r="B6" s="9">
        <v>606</v>
      </c>
      <c r="C6" s="322" t="s">
        <v>353</v>
      </c>
      <c r="D6" s="295"/>
      <c r="E6" s="299">
        <v>110</v>
      </c>
      <c r="F6" s="93">
        <f>E6</f>
        <v>110</v>
      </c>
      <c r="G6" s="93"/>
      <c r="H6" s="97"/>
      <c r="I6" s="97"/>
      <c r="J6" s="97"/>
      <c r="K6" s="97"/>
      <c r="L6" s="97"/>
      <c r="M6" s="97"/>
      <c r="N6" s="97"/>
      <c r="O6" s="97"/>
      <c r="P6" s="97"/>
      <c r="Q6" s="97"/>
      <c r="R6" s="97"/>
      <c r="S6" s="97"/>
      <c r="T6" s="97"/>
      <c r="U6" s="97"/>
      <c r="V6" s="97"/>
      <c r="W6" s="97"/>
      <c r="X6" s="97"/>
      <c r="Y6" s="97"/>
      <c r="Z6" s="97"/>
      <c r="AA6" s="97">
        <f>F6</f>
        <v>110</v>
      </c>
      <c r="AB6" s="93"/>
      <c r="AC6" s="10"/>
      <c r="AD6" s="93"/>
      <c r="AE6" s="93"/>
      <c r="AF6" s="93">
        <f t="shared" si="1"/>
        <v>0</v>
      </c>
      <c r="AG6" s="94">
        <f>J6-SUM(K6:Z6)</f>
        <v>0</v>
      </c>
    </row>
    <row r="7" spans="1:33" x14ac:dyDescent="0.25">
      <c r="A7" s="9">
        <v>6063</v>
      </c>
      <c r="B7" s="9">
        <v>606</v>
      </c>
      <c r="C7" s="20" t="s">
        <v>261</v>
      </c>
      <c r="D7" s="295">
        <v>2000</v>
      </c>
      <c r="E7" s="299">
        <v>1980</v>
      </c>
      <c r="F7" s="10"/>
      <c r="G7" s="93">
        <f>E7</f>
        <v>1980</v>
      </c>
      <c r="H7" s="97">
        <f>$G$7*H2</f>
        <v>313.50000000000006</v>
      </c>
      <c r="I7" s="97">
        <f>$G$7*I2</f>
        <v>636.89999999999986</v>
      </c>
      <c r="J7" s="97">
        <f>$G$7*J2</f>
        <v>1013.1000000000004</v>
      </c>
      <c r="K7" s="97">
        <f>$J$7*K2</f>
        <v>16.500000000000004</v>
      </c>
      <c r="L7" s="97">
        <f>J7*$L$2</f>
        <v>33.000000000000007</v>
      </c>
      <c r="M7" s="97">
        <f t="shared" ref="M7:AA7" si="5">$J$7*M2</f>
        <v>46.2</v>
      </c>
      <c r="N7" s="97">
        <f t="shared" si="5"/>
        <v>102.30000000000001</v>
      </c>
      <c r="O7" s="97">
        <f t="shared" si="5"/>
        <v>118.80000000000003</v>
      </c>
      <c r="P7" s="97">
        <f t="shared" si="5"/>
        <v>46.20000000000001</v>
      </c>
      <c r="Q7" s="97">
        <f t="shared" si="5"/>
        <v>105.60000000000001</v>
      </c>
      <c r="R7" s="97">
        <f>J7*$R$2</f>
        <v>92.40000000000002</v>
      </c>
      <c r="S7" s="97">
        <f t="shared" si="5"/>
        <v>108.90000000000002</v>
      </c>
      <c r="T7" s="97">
        <f t="shared" si="5"/>
        <v>46.20000000000001</v>
      </c>
      <c r="U7" s="97">
        <f t="shared" si="5"/>
        <v>145.20000000000005</v>
      </c>
      <c r="V7" s="97">
        <f t="shared" si="5"/>
        <v>6.6000000000000005</v>
      </c>
      <c r="W7" s="97">
        <f t="shared" si="5"/>
        <v>16.500000000000004</v>
      </c>
      <c r="X7" s="97">
        <f t="shared" si="5"/>
        <v>72.600000000000023</v>
      </c>
      <c r="Y7" s="97">
        <f t="shared" si="5"/>
        <v>16.500000000000004</v>
      </c>
      <c r="Z7" s="97">
        <f t="shared" si="5"/>
        <v>39.6</v>
      </c>
      <c r="AA7" s="97">
        <f t="shared" si="5"/>
        <v>16.500000000000004</v>
      </c>
      <c r="AB7" s="93">
        <f t="shared" si="0"/>
        <v>0</v>
      </c>
      <c r="AC7" s="93"/>
      <c r="AD7" s="93">
        <f t="shared" si="3"/>
        <v>0</v>
      </c>
      <c r="AE7" s="93">
        <f t="shared" si="4"/>
        <v>0</v>
      </c>
      <c r="AF7" s="93">
        <f t="shared" si="1"/>
        <v>-2.3092638912203256E-13</v>
      </c>
      <c r="AG7" s="94">
        <f>J7-SUM(K7:Z7)</f>
        <v>0</v>
      </c>
    </row>
    <row r="8" spans="1:33" x14ac:dyDescent="0.25">
      <c r="A8" s="9">
        <v>6063</v>
      </c>
      <c r="B8" s="9">
        <v>606</v>
      </c>
      <c r="C8" s="322" t="s">
        <v>354</v>
      </c>
      <c r="D8" s="295"/>
      <c r="E8" s="299">
        <v>1500</v>
      </c>
      <c r="F8" s="93">
        <f>E8</f>
        <v>1500</v>
      </c>
      <c r="G8" s="93"/>
      <c r="H8" s="97"/>
      <c r="I8" s="97"/>
      <c r="J8" s="97"/>
      <c r="K8" s="97"/>
      <c r="L8" s="97"/>
      <c r="M8" s="97"/>
      <c r="N8" s="97"/>
      <c r="O8" s="97"/>
      <c r="P8" s="97"/>
      <c r="Q8" s="97"/>
      <c r="R8" s="97"/>
      <c r="S8" s="97"/>
      <c r="T8" s="97"/>
      <c r="U8" s="97"/>
      <c r="V8" s="97"/>
      <c r="W8" s="97"/>
      <c r="X8" s="97"/>
      <c r="Y8" s="97"/>
      <c r="Z8" s="97"/>
      <c r="AA8" s="97">
        <f>F8</f>
        <v>1500</v>
      </c>
      <c r="AB8" s="93"/>
      <c r="AC8" s="93"/>
      <c r="AD8" s="93"/>
      <c r="AE8" s="93"/>
      <c r="AF8" s="93">
        <f t="shared" si="1"/>
        <v>0</v>
      </c>
      <c r="AG8" s="94"/>
    </row>
    <row r="9" spans="1:33" x14ac:dyDescent="0.25">
      <c r="A9" s="9">
        <v>6064</v>
      </c>
      <c r="B9" s="9">
        <v>606</v>
      </c>
      <c r="C9" s="20" t="s">
        <v>8</v>
      </c>
      <c r="D9" s="295">
        <v>2000</v>
      </c>
      <c r="E9" s="299">
        <v>2500</v>
      </c>
      <c r="F9" s="10"/>
      <c r="G9" s="93">
        <f>E9</f>
        <v>2500</v>
      </c>
      <c r="H9" s="97">
        <f>$G$9*H2</f>
        <v>395.83333333333337</v>
      </c>
      <c r="I9" s="97">
        <f>$G$9*I2</f>
        <v>804.16666666666652</v>
      </c>
      <c r="J9" s="97">
        <f>$G$9*J2</f>
        <v>1279.166666666667</v>
      </c>
      <c r="K9" s="97">
        <f>$J$9*K2</f>
        <v>20.833333333333336</v>
      </c>
      <c r="L9" s="97">
        <f>J9*$L$2</f>
        <v>41.666666666666671</v>
      </c>
      <c r="M9" s="97">
        <f t="shared" ref="M9:AA9" si="6">$J$9*M2</f>
        <v>58.333333333333329</v>
      </c>
      <c r="N9" s="97">
        <f t="shared" si="6"/>
        <v>129.16666666666666</v>
      </c>
      <c r="O9" s="97">
        <f t="shared" si="6"/>
        <v>150</v>
      </c>
      <c r="P9" s="97">
        <f t="shared" si="6"/>
        <v>58.333333333333336</v>
      </c>
      <c r="Q9" s="97">
        <f t="shared" si="6"/>
        <v>133.33333333333334</v>
      </c>
      <c r="R9" s="97">
        <f>J9*$R$2</f>
        <v>116.66666666666667</v>
      </c>
      <c r="S9" s="97">
        <f t="shared" si="6"/>
        <v>137.5</v>
      </c>
      <c r="T9" s="97">
        <f t="shared" si="6"/>
        <v>58.333333333333336</v>
      </c>
      <c r="U9" s="97">
        <f t="shared" si="6"/>
        <v>183.33333333333334</v>
      </c>
      <c r="V9" s="97">
        <f t="shared" si="6"/>
        <v>8.3333333333333339</v>
      </c>
      <c r="W9" s="97">
        <f t="shared" si="6"/>
        <v>20.833333333333336</v>
      </c>
      <c r="X9" s="97">
        <f t="shared" si="6"/>
        <v>91.666666666666671</v>
      </c>
      <c r="Y9" s="97">
        <f t="shared" si="6"/>
        <v>20.833333333333336</v>
      </c>
      <c r="Z9" s="97">
        <f t="shared" si="6"/>
        <v>50</v>
      </c>
      <c r="AA9" s="97">
        <f t="shared" si="6"/>
        <v>20.833333333333336</v>
      </c>
      <c r="AB9" s="93">
        <f t="shared" si="0"/>
        <v>0</v>
      </c>
      <c r="AC9" s="10"/>
      <c r="AD9" s="93">
        <f t="shared" si="3"/>
        <v>0</v>
      </c>
      <c r="AE9" s="93">
        <f t="shared" si="4"/>
        <v>0</v>
      </c>
      <c r="AF9" s="93">
        <f t="shared" si="1"/>
        <v>-3.0553337637684308E-13</v>
      </c>
      <c r="AG9" s="94">
        <f>J9-SUM(K9:Z9)</f>
        <v>0</v>
      </c>
    </row>
    <row r="10" spans="1:33" x14ac:dyDescent="0.25">
      <c r="A10" s="9">
        <v>6064</v>
      </c>
      <c r="B10" s="9">
        <v>606</v>
      </c>
      <c r="C10" s="322" t="s">
        <v>355</v>
      </c>
      <c r="D10" s="295"/>
      <c r="E10" s="299">
        <v>100</v>
      </c>
      <c r="F10" s="93">
        <f>E10</f>
        <v>100</v>
      </c>
      <c r="G10" s="93"/>
      <c r="H10" s="97"/>
      <c r="I10" s="97"/>
      <c r="J10" s="97"/>
      <c r="K10" s="97"/>
      <c r="L10" s="97"/>
      <c r="M10" s="97"/>
      <c r="N10" s="97"/>
      <c r="O10" s="97"/>
      <c r="P10" s="97"/>
      <c r="Q10" s="97"/>
      <c r="R10" s="97"/>
      <c r="S10" s="97"/>
      <c r="T10" s="97"/>
      <c r="U10" s="97"/>
      <c r="V10" s="97"/>
      <c r="W10" s="97"/>
      <c r="X10" s="97"/>
      <c r="Y10" s="97"/>
      <c r="Z10" s="97"/>
      <c r="AA10" s="97">
        <f>F10</f>
        <v>100</v>
      </c>
      <c r="AB10" s="93"/>
      <c r="AC10" s="10"/>
      <c r="AD10" s="93"/>
      <c r="AE10" s="93"/>
      <c r="AF10" s="93">
        <f t="shared" si="1"/>
        <v>0</v>
      </c>
      <c r="AG10" s="94"/>
    </row>
    <row r="11" spans="1:33" x14ac:dyDescent="0.25">
      <c r="A11" s="9">
        <v>606</v>
      </c>
      <c r="B11" s="9">
        <v>605</v>
      </c>
      <c r="C11" s="20" t="s">
        <v>182</v>
      </c>
      <c r="D11" s="295"/>
      <c r="E11" s="299">
        <v>1300</v>
      </c>
      <c r="F11" s="10"/>
      <c r="G11" s="93">
        <f>E11</f>
        <v>1300</v>
      </c>
      <c r="H11" s="97">
        <f>$G$11*H2</f>
        <v>205.83333333333337</v>
      </c>
      <c r="I11" s="97">
        <f>$G$11*I2</f>
        <v>418.16666666666657</v>
      </c>
      <c r="J11" s="97">
        <f>$G$11*J2</f>
        <v>665.16666666666686</v>
      </c>
      <c r="K11" s="97">
        <f>$J$11*K2</f>
        <v>10.833333333333334</v>
      </c>
      <c r="L11" s="97">
        <f>J11*$L$2</f>
        <v>21.666666666666668</v>
      </c>
      <c r="M11" s="97">
        <f t="shared" ref="M11:AA11" si="7">$J$11*M2</f>
        <v>30.333333333333332</v>
      </c>
      <c r="N11" s="97">
        <f t="shared" si="7"/>
        <v>67.166666666666671</v>
      </c>
      <c r="O11" s="97">
        <f t="shared" si="7"/>
        <v>78.000000000000014</v>
      </c>
      <c r="P11" s="97">
        <f t="shared" si="7"/>
        <v>30.333333333333336</v>
      </c>
      <c r="Q11" s="97">
        <f t="shared" si="7"/>
        <v>69.333333333333343</v>
      </c>
      <c r="R11" s="97">
        <f>J11*$R$2</f>
        <v>60.666666666666671</v>
      </c>
      <c r="S11" s="97">
        <f t="shared" si="7"/>
        <v>71.5</v>
      </c>
      <c r="T11" s="97">
        <f t="shared" si="7"/>
        <v>30.333333333333336</v>
      </c>
      <c r="U11" s="97">
        <f t="shared" si="7"/>
        <v>95.333333333333343</v>
      </c>
      <c r="V11" s="97">
        <f t="shared" si="7"/>
        <v>4.3333333333333339</v>
      </c>
      <c r="W11" s="97">
        <f t="shared" si="7"/>
        <v>10.833333333333334</v>
      </c>
      <c r="X11" s="97">
        <f t="shared" si="7"/>
        <v>47.666666666666671</v>
      </c>
      <c r="Y11" s="97">
        <f t="shared" si="7"/>
        <v>10.833333333333334</v>
      </c>
      <c r="Z11" s="97">
        <f t="shared" si="7"/>
        <v>26</v>
      </c>
      <c r="AA11" s="97">
        <f t="shared" si="7"/>
        <v>10.833333333333334</v>
      </c>
      <c r="AB11" s="93">
        <f t="shared" si="0"/>
        <v>0</v>
      </c>
      <c r="AC11" s="10"/>
      <c r="AD11" s="93">
        <f t="shared" si="3"/>
        <v>0</v>
      </c>
      <c r="AE11" s="93">
        <f t="shared" si="4"/>
        <v>0</v>
      </c>
      <c r="AF11" s="93">
        <f t="shared" si="1"/>
        <v>-1.900701818158268E-13</v>
      </c>
      <c r="AG11" s="94">
        <f t="shared" ref="AG11:AG13" si="8">J11-SUM(K11:Z11)</f>
        <v>0</v>
      </c>
    </row>
    <row r="12" spans="1:33" x14ac:dyDescent="0.25">
      <c r="A12" s="9">
        <v>606</v>
      </c>
      <c r="B12" s="9">
        <v>605</v>
      </c>
      <c r="C12" s="322" t="s">
        <v>351</v>
      </c>
      <c r="D12" s="295"/>
      <c r="E12" s="299">
        <v>700</v>
      </c>
      <c r="F12" s="93">
        <f t="shared" ref="F12:F22" si="9">E12</f>
        <v>700</v>
      </c>
      <c r="G12" s="93"/>
      <c r="H12" s="97"/>
      <c r="I12" s="97"/>
      <c r="J12" s="97"/>
      <c r="K12" s="97"/>
      <c r="L12" s="97"/>
      <c r="M12" s="97"/>
      <c r="N12" s="97"/>
      <c r="O12" s="97"/>
      <c r="P12" s="97"/>
      <c r="Q12" s="97"/>
      <c r="R12" s="97"/>
      <c r="S12" s="97"/>
      <c r="T12" s="97"/>
      <c r="U12" s="97"/>
      <c r="V12" s="97"/>
      <c r="W12" s="97"/>
      <c r="X12" s="97"/>
      <c r="Y12" s="97"/>
      <c r="Z12" s="97"/>
      <c r="AA12" s="97">
        <f>F12</f>
        <v>700</v>
      </c>
      <c r="AB12" s="93">
        <f t="shared" si="0"/>
        <v>0</v>
      </c>
      <c r="AC12" s="10"/>
      <c r="AD12" s="93">
        <f t="shared" si="3"/>
        <v>0</v>
      </c>
      <c r="AE12" s="93">
        <f t="shared" si="4"/>
        <v>0</v>
      </c>
      <c r="AF12" s="93">
        <f t="shared" si="1"/>
        <v>0</v>
      </c>
      <c r="AG12" s="94">
        <f t="shared" si="8"/>
        <v>0</v>
      </c>
    </row>
    <row r="13" spans="1:33" x14ac:dyDescent="0.25">
      <c r="A13" s="9">
        <v>6064</v>
      </c>
      <c r="B13" s="9">
        <v>606</v>
      </c>
      <c r="C13" s="20" t="s">
        <v>196</v>
      </c>
      <c r="D13" s="295"/>
      <c r="E13" s="299">
        <v>3000</v>
      </c>
      <c r="F13" s="93">
        <f t="shared" si="9"/>
        <v>3000</v>
      </c>
      <c r="G13" s="93"/>
      <c r="H13" s="97"/>
      <c r="I13" s="97">
        <f>F13</f>
        <v>3000</v>
      </c>
      <c r="J13" s="97"/>
      <c r="K13" s="97"/>
      <c r="L13" s="97"/>
      <c r="M13" s="97"/>
      <c r="N13" s="97"/>
      <c r="O13" s="97"/>
      <c r="P13" s="97"/>
      <c r="Q13" s="97"/>
      <c r="R13" s="97"/>
      <c r="S13" s="97"/>
      <c r="T13" s="97"/>
      <c r="U13" s="97"/>
      <c r="V13" s="97"/>
      <c r="W13" s="97"/>
      <c r="X13" s="97"/>
      <c r="Y13" s="97"/>
      <c r="Z13" s="97"/>
      <c r="AA13" s="97"/>
      <c r="AB13" s="93">
        <f t="shared" si="0"/>
        <v>0</v>
      </c>
      <c r="AC13" s="10"/>
      <c r="AD13" s="93">
        <f t="shared" si="3"/>
        <v>0</v>
      </c>
      <c r="AE13" s="93">
        <f t="shared" si="4"/>
        <v>0</v>
      </c>
      <c r="AF13" s="93">
        <f t="shared" si="1"/>
        <v>0</v>
      </c>
      <c r="AG13" s="94">
        <f t="shared" si="8"/>
        <v>0</v>
      </c>
    </row>
    <row r="14" spans="1:33" x14ac:dyDescent="0.25">
      <c r="A14" s="9">
        <v>6110</v>
      </c>
      <c r="B14" s="9">
        <v>611</v>
      </c>
      <c r="C14" s="322" t="s">
        <v>357</v>
      </c>
      <c r="D14" s="295"/>
      <c r="E14" s="299">
        <v>12000</v>
      </c>
      <c r="F14" s="93">
        <f t="shared" si="9"/>
        <v>12000</v>
      </c>
      <c r="G14" s="93"/>
      <c r="H14" s="97"/>
      <c r="I14" s="97"/>
      <c r="J14" s="97"/>
      <c r="K14" s="97"/>
      <c r="L14" s="97"/>
      <c r="M14" s="97"/>
      <c r="N14" s="97"/>
      <c r="O14" s="97"/>
      <c r="P14" s="97"/>
      <c r="Q14" s="97"/>
      <c r="R14" s="97"/>
      <c r="S14" s="97"/>
      <c r="T14" s="97"/>
      <c r="U14" s="97"/>
      <c r="V14" s="97"/>
      <c r="W14" s="97"/>
      <c r="X14" s="97"/>
      <c r="Y14" s="97"/>
      <c r="Z14" s="97"/>
      <c r="AA14" s="97">
        <f t="shared" ref="AA14:AA20" si="10">F14</f>
        <v>12000</v>
      </c>
      <c r="AB14" s="93"/>
      <c r="AC14" s="10"/>
      <c r="AD14" s="93"/>
      <c r="AE14" s="93"/>
      <c r="AF14" s="93"/>
      <c r="AG14" s="94"/>
    </row>
    <row r="15" spans="1:33" x14ac:dyDescent="0.25">
      <c r="A15" s="9">
        <v>6110</v>
      </c>
      <c r="B15" s="9">
        <v>611</v>
      </c>
      <c r="C15" s="322" t="s">
        <v>358</v>
      </c>
      <c r="D15" s="295"/>
      <c r="E15" s="299">
        <v>12000</v>
      </c>
      <c r="F15" s="93">
        <f t="shared" si="9"/>
        <v>12000</v>
      </c>
      <c r="G15" s="93"/>
      <c r="H15" s="97"/>
      <c r="I15" s="97"/>
      <c r="J15" s="97"/>
      <c r="K15" s="97"/>
      <c r="L15" s="97"/>
      <c r="M15" s="97"/>
      <c r="N15" s="97"/>
      <c r="O15" s="97"/>
      <c r="P15" s="97"/>
      <c r="Q15" s="97"/>
      <c r="R15" s="97"/>
      <c r="S15" s="97"/>
      <c r="T15" s="97"/>
      <c r="U15" s="97"/>
      <c r="V15" s="97"/>
      <c r="W15" s="97"/>
      <c r="X15" s="97"/>
      <c r="Y15" s="97"/>
      <c r="Z15" s="97"/>
      <c r="AA15" s="97">
        <f t="shared" si="10"/>
        <v>12000</v>
      </c>
      <c r="AB15" s="93"/>
      <c r="AC15" s="10"/>
      <c r="AD15" s="93"/>
      <c r="AE15" s="93"/>
      <c r="AF15" s="93"/>
      <c r="AG15" s="94"/>
    </row>
    <row r="16" spans="1:33" x14ac:dyDescent="0.25">
      <c r="A16" s="9">
        <v>6110</v>
      </c>
      <c r="B16" s="9">
        <v>611</v>
      </c>
      <c r="C16" s="322" t="s">
        <v>356</v>
      </c>
      <c r="D16" s="295"/>
      <c r="E16" s="299">
        <v>5000</v>
      </c>
      <c r="F16" s="93">
        <f t="shared" si="9"/>
        <v>5000</v>
      </c>
      <c r="G16" s="93"/>
      <c r="H16" s="97"/>
      <c r="I16" s="97"/>
      <c r="J16" s="97"/>
      <c r="K16" s="97"/>
      <c r="L16" s="97"/>
      <c r="M16" s="97"/>
      <c r="N16" s="97"/>
      <c r="O16" s="97"/>
      <c r="P16" s="97"/>
      <c r="Q16" s="97"/>
      <c r="R16" s="97"/>
      <c r="S16" s="97"/>
      <c r="T16" s="97"/>
      <c r="U16" s="97"/>
      <c r="V16" s="97"/>
      <c r="W16" s="97"/>
      <c r="X16" s="97"/>
      <c r="Y16" s="97"/>
      <c r="Z16" s="97"/>
      <c r="AA16" s="97">
        <f t="shared" si="10"/>
        <v>5000</v>
      </c>
      <c r="AB16" s="93"/>
      <c r="AC16" s="10"/>
      <c r="AD16" s="93"/>
      <c r="AE16" s="93"/>
      <c r="AF16" s="93"/>
      <c r="AG16" s="94"/>
    </row>
    <row r="17" spans="1:33" x14ac:dyDescent="0.25">
      <c r="A17" s="9">
        <v>6110</v>
      </c>
      <c r="B17" s="9">
        <v>611</v>
      </c>
      <c r="C17" s="322" t="s">
        <v>359</v>
      </c>
      <c r="D17" s="295"/>
      <c r="E17" s="299">
        <v>5000</v>
      </c>
      <c r="F17" s="93">
        <f t="shared" si="9"/>
        <v>5000</v>
      </c>
      <c r="G17" s="93"/>
      <c r="H17" s="97"/>
      <c r="I17" s="97"/>
      <c r="J17" s="97"/>
      <c r="K17" s="97"/>
      <c r="L17" s="97"/>
      <c r="M17" s="97"/>
      <c r="N17" s="97"/>
      <c r="O17" s="97"/>
      <c r="P17" s="97"/>
      <c r="Q17" s="97"/>
      <c r="R17" s="97"/>
      <c r="S17" s="97"/>
      <c r="T17" s="97"/>
      <c r="U17" s="97"/>
      <c r="V17" s="97"/>
      <c r="W17" s="97"/>
      <c r="X17" s="97"/>
      <c r="Y17" s="97"/>
      <c r="Z17" s="97"/>
      <c r="AA17" s="97">
        <f t="shared" si="10"/>
        <v>5000</v>
      </c>
      <c r="AB17" s="93"/>
      <c r="AC17" s="10"/>
      <c r="AD17" s="93"/>
      <c r="AE17" s="93"/>
      <c r="AF17" s="93"/>
      <c r="AG17" s="94"/>
    </row>
    <row r="18" spans="1:33" x14ac:dyDescent="0.25">
      <c r="A18" s="9">
        <v>6110</v>
      </c>
      <c r="B18" s="9">
        <v>611</v>
      </c>
      <c r="C18" s="322" t="s">
        <v>360</v>
      </c>
      <c r="D18" s="295"/>
      <c r="E18" s="299">
        <v>5000</v>
      </c>
      <c r="F18" s="93">
        <f t="shared" si="9"/>
        <v>5000</v>
      </c>
      <c r="G18" s="93"/>
      <c r="H18" s="97"/>
      <c r="I18" s="97"/>
      <c r="J18" s="97"/>
      <c r="K18" s="97"/>
      <c r="L18" s="97"/>
      <c r="M18" s="97"/>
      <c r="N18" s="97"/>
      <c r="O18" s="97"/>
      <c r="P18" s="97"/>
      <c r="Q18" s="97"/>
      <c r="R18" s="97"/>
      <c r="S18" s="97"/>
      <c r="T18" s="97"/>
      <c r="U18" s="97"/>
      <c r="V18" s="97"/>
      <c r="W18" s="97"/>
      <c r="X18" s="97"/>
      <c r="Y18" s="97"/>
      <c r="Z18" s="97"/>
      <c r="AA18" s="97">
        <f t="shared" si="10"/>
        <v>5000</v>
      </c>
      <c r="AB18" s="93"/>
      <c r="AC18" s="10"/>
      <c r="AD18" s="93"/>
      <c r="AE18" s="93"/>
      <c r="AF18" s="93"/>
      <c r="AG18" s="94"/>
    </row>
    <row r="19" spans="1:33" x14ac:dyDescent="0.25">
      <c r="A19" s="9">
        <v>6110</v>
      </c>
      <c r="B19" s="9">
        <v>611</v>
      </c>
      <c r="C19" s="322" t="s">
        <v>361</v>
      </c>
      <c r="D19" s="295"/>
      <c r="E19" s="299">
        <v>8000</v>
      </c>
      <c r="F19" s="93">
        <f t="shared" si="9"/>
        <v>8000</v>
      </c>
      <c r="G19" s="93"/>
      <c r="H19" s="97"/>
      <c r="I19" s="97"/>
      <c r="J19" s="97"/>
      <c r="K19" s="97"/>
      <c r="L19" s="97"/>
      <c r="M19" s="97"/>
      <c r="N19" s="97"/>
      <c r="O19" s="97"/>
      <c r="P19" s="97"/>
      <c r="Q19" s="97"/>
      <c r="R19" s="97"/>
      <c r="S19" s="97"/>
      <c r="T19" s="97"/>
      <c r="U19" s="97"/>
      <c r="V19" s="97"/>
      <c r="W19" s="97"/>
      <c r="X19" s="97"/>
      <c r="Y19" s="97"/>
      <c r="Z19" s="97"/>
      <c r="AA19" s="97">
        <f t="shared" si="10"/>
        <v>8000</v>
      </c>
      <c r="AB19" s="93"/>
      <c r="AC19" s="10"/>
      <c r="AD19" s="93"/>
      <c r="AE19" s="93"/>
      <c r="AF19" s="93"/>
      <c r="AG19" s="94"/>
    </row>
    <row r="20" spans="1:33" x14ac:dyDescent="0.25">
      <c r="A20" s="9">
        <v>6110</v>
      </c>
      <c r="B20" s="9">
        <v>611</v>
      </c>
      <c r="C20" s="322" t="s">
        <v>362</v>
      </c>
      <c r="D20" s="295"/>
      <c r="E20" s="299">
        <f>52000-12850</f>
        <v>39150</v>
      </c>
      <c r="F20" s="93">
        <f t="shared" si="9"/>
        <v>39150</v>
      </c>
      <c r="G20" s="93"/>
      <c r="H20" s="97"/>
      <c r="I20" s="97"/>
      <c r="J20" s="97"/>
      <c r="K20" s="97"/>
      <c r="L20" s="97"/>
      <c r="M20" s="97"/>
      <c r="N20" s="97"/>
      <c r="O20" s="97"/>
      <c r="P20" s="97"/>
      <c r="Q20" s="97"/>
      <c r="R20" s="97"/>
      <c r="S20" s="97"/>
      <c r="T20" s="97"/>
      <c r="U20" s="97"/>
      <c r="V20" s="97"/>
      <c r="W20" s="97"/>
      <c r="X20" s="97"/>
      <c r="Y20" s="97"/>
      <c r="Z20" s="97"/>
      <c r="AA20" s="97">
        <f t="shared" si="10"/>
        <v>39150</v>
      </c>
      <c r="AB20" s="93"/>
      <c r="AC20" s="10"/>
      <c r="AD20" s="93"/>
      <c r="AE20" s="93"/>
      <c r="AF20" s="93"/>
      <c r="AG20" s="94"/>
    </row>
    <row r="21" spans="1:33" x14ac:dyDescent="0.25">
      <c r="A21" s="9">
        <v>6110</v>
      </c>
      <c r="B21" s="9">
        <v>611</v>
      </c>
      <c r="C21" s="20" t="s">
        <v>198</v>
      </c>
      <c r="D21" s="295">
        <v>13000</v>
      </c>
      <c r="E21" s="299">
        <v>42177</v>
      </c>
      <c r="F21" s="93">
        <f t="shared" si="9"/>
        <v>42177</v>
      </c>
      <c r="G21" s="10"/>
      <c r="H21" s="20"/>
      <c r="I21" s="20"/>
      <c r="J21" s="97">
        <f>U21</f>
        <v>42177</v>
      </c>
      <c r="K21" s="20"/>
      <c r="L21" s="97"/>
      <c r="M21" s="20"/>
      <c r="N21" s="20"/>
      <c r="O21" s="20"/>
      <c r="P21" s="20"/>
      <c r="Q21" s="20"/>
      <c r="R21" s="97"/>
      <c r="S21" s="20"/>
      <c r="T21" s="20"/>
      <c r="U21" s="97">
        <f>F21</f>
        <v>42177</v>
      </c>
      <c r="V21" s="20"/>
      <c r="W21" s="20"/>
      <c r="X21" s="97"/>
      <c r="Y21" s="97"/>
      <c r="Z21" s="20"/>
      <c r="AA21" s="20"/>
      <c r="AB21" s="10"/>
      <c r="AC21" s="10"/>
      <c r="AD21" s="10"/>
      <c r="AE21" s="10"/>
      <c r="AF21" s="93">
        <f>E21-H21-I21-J21-AB21</f>
        <v>0</v>
      </c>
      <c r="AG21" s="94">
        <f>J21-SUM(K21:Z21)</f>
        <v>0</v>
      </c>
    </row>
    <row r="22" spans="1:33" ht="14.45" x14ac:dyDescent="0.35">
      <c r="A22" s="9">
        <v>6110</v>
      </c>
      <c r="B22" s="9">
        <v>611</v>
      </c>
      <c r="C22" s="20" t="s">
        <v>262</v>
      </c>
      <c r="D22" s="295">
        <v>34000</v>
      </c>
      <c r="E22" s="299">
        <v>35130</v>
      </c>
      <c r="F22" s="93">
        <f t="shared" si="9"/>
        <v>35130</v>
      </c>
      <c r="G22" s="10"/>
      <c r="H22" s="20"/>
      <c r="I22" s="20"/>
      <c r="J22" s="97">
        <f>K22</f>
        <v>35130</v>
      </c>
      <c r="K22" s="97">
        <f>F22</f>
        <v>35130</v>
      </c>
      <c r="L22" s="97"/>
      <c r="M22" s="97"/>
      <c r="N22" s="20"/>
      <c r="O22" s="20"/>
      <c r="P22" s="20"/>
      <c r="Q22" s="20"/>
      <c r="R22" s="97"/>
      <c r="S22" s="20"/>
      <c r="T22" s="20"/>
      <c r="U22" s="20"/>
      <c r="V22" s="20"/>
      <c r="W22" s="20"/>
      <c r="X22" s="20"/>
      <c r="Y22" s="20"/>
      <c r="Z22" s="20"/>
      <c r="AA22" s="20"/>
      <c r="AB22" s="10"/>
      <c r="AC22" s="10"/>
      <c r="AD22" s="10"/>
      <c r="AE22" s="10"/>
      <c r="AF22" s="93">
        <f>E22-H22-I22-J22-AB22</f>
        <v>0</v>
      </c>
      <c r="AG22" s="94">
        <f>J22-SUM(K22:Z22)</f>
        <v>0</v>
      </c>
    </row>
    <row r="23" spans="1:33" ht="14.45" x14ac:dyDescent="0.35">
      <c r="A23" s="9">
        <v>6110</v>
      </c>
      <c r="B23" s="9">
        <v>611</v>
      </c>
      <c r="C23" s="20" t="s">
        <v>263</v>
      </c>
      <c r="D23" s="295">
        <v>95000</v>
      </c>
      <c r="E23" s="299">
        <v>67750</v>
      </c>
      <c r="F23" s="93">
        <f t="shared" ref="F23:F34" si="11">E23</f>
        <v>67750</v>
      </c>
      <c r="G23" s="10"/>
      <c r="H23" s="20"/>
      <c r="I23" s="20"/>
      <c r="J23" s="97">
        <f>O23</f>
        <v>67750</v>
      </c>
      <c r="K23" s="20"/>
      <c r="L23" s="97"/>
      <c r="M23" s="20"/>
      <c r="N23" s="20"/>
      <c r="O23" s="97">
        <f>F23</f>
        <v>67750</v>
      </c>
      <c r="P23" s="97"/>
      <c r="Q23" s="20"/>
      <c r="R23" s="97"/>
      <c r="S23" s="20"/>
      <c r="T23" s="20"/>
      <c r="U23" s="20"/>
      <c r="V23" s="20"/>
      <c r="W23" s="20"/>
      <c r="X23" s="20"/>
      <c r="Y23" s="20"/>
      <c r="Z23" s="20"/>
      <c r="AA23" s="20"/>
      <c r="AB23" s="10"/>
      <c r="AC23" s="10"/>
      <c r="AD23" s="10"/>
      <c r="AE23" s="10"/>
      <c r="AF23" s="93">
        <f>E23-H23-I23-J23-AB23</f>
        <v>0</v>
      </c>
      <c r="AG23" s="94">
        <f>J23-SUM(K23:Z23)</f>
        <v>0</v>
      </c>
    </row>
    <row r="24" spans="1:33" ht="14.45" x14ac:dyDescent="0.35">
      <c r="A24" s="9">
        <v>6110</v>
      </c>
      <c r="B24" s="9">
        <v>611</v>
      </c>
      <c r="C24" s="20" t="s">
        <v>199</v>
      </c>
      <c r="D24" s="295"/>
      <c r="E24" s="299">
        <v>14500</v>
      </c>
      <c r="F24" s="93">
        <f t="shared" si="11"/>
        <v>14500</v>
      </c>
      <c r="G24" s="10"/>
      <c r="H24" s="20"/>
      <c r="I24" s="20"/>
      <c r="J24" s="97">
        <f>F24</f>
        <v>14500</v>
      </c>
      <c r="K24" s="20"/>
      <c r="L24" s="97"/>
      <c r="M24" s="20"/>
      <c r="N24" s="20"/>
      <c r="O24" s="97"/>
      <c r="P24" s="97"/>
      <c r="Q24" s="20"/>
      <c r="R24" s="97"/>
      <c r="S24" s="20"/>
      <c r="T24" s="20"/>
      <c r="U24" s="20"/>
      <c r="V24" s="20"/>
      <c r="W24" s="20"/>
      <c r="X24" s="20"/>
      <c r="Y24" s="97">
        <f>J24</f>
        <v>14500</v>
      </c>
      <c r="Z24" s="20"/>
      <c r="AA24" s="20"/>
      <c r="AB24" s="10"/>
      <c r="AC24" s="10"/>
      <c r="AD24" s="10"/>
      <c r="AE24" s="10"/>
      <c r="AF24" s="93"/>
      <c r="AG24" s="94"/>
    </row>
    <row r="25" spans="1:33" ht="14.45" x14ac:dyDescent="0.35">
      <c r="A25" s="9">
        <v>6110</v>
      </c>
      <c r="B25" s="9">
        <v>611</v>
      </c>
      <c r="C25" s="20" t="s">
        <v>264</v>
      </c>
      <c r="D25" s="295">
        <v>122000</v>
      </c>
      <c r="E25" s="299">
        <v>136114.20000000001</v>
      </c>
      <c r="F25" s="93">
        <f t="shared" si="11"/>
        <v>136114.20000000001</v>
      </c>
      <c r="G25" s="10"/>
      <c r="H25" s="20"/>
      <c r="I25" s="20"/>
      <c r="J25" s="97">
        <f>N25</f>
        <v>136114.20000000001</v>
      </c>
      <c r="K25" s="20"/>
      <c r="L25" s="97"/>
      <c r="M25" s="20"/>
      <c r="N25" s="97">
        <f>F25</f>
        <v>136114.20000000001</v>
      </c>
      <c r="O25" s="97"/>
      <c r="P25" s="20"/>
      <c r="Q25" s="20"/>
      <c r="R25" s="97"/>
      <c r="S25" s="20"/>
      <c r="T25" s="20"/>
      <c r="U25" s="20"/>
      <c r="V25" s="20"/>
      <c r="W25" s="20"/>
      <c r="X25" s="20"/>
      <c r="Y25" s="20"/>
      <c r="Z25" s="20"/>
      <c r="AA25" s="20"/>
      <c r="AB25" s="10"/>
      <c r="AC25" s="10"/>
      <c r="AD25" s="10"/>
      <c r="AE25" s="10"/>
      <c r="AF25" s="93">
        <f t="shared" ref="AF25:AF30" si="12">E25-H25-I25-J25-AB25</f>
        <v>0</v>
      </c>
      <c r="AG25" s="94">
        <f t="shared" ref="AG25:AG30" si="13">J25-SUM(K25:Z25)</f>
        <v>0</v>
      </c>
    </row>
    <row r="26" spans="1:33" x14ac:dyDescent="0.25">
      <c r="A26" s="9">
        <v>6110</v>
      </c>
      <c r="B26" s="9">
        <v>611</v>
      </c>
      <c r="C26" s="20" t="s">
        <v>212</v>
      </c>
      <c r="D26" s="295"/>
      <c r="E26" s="299">
        <v>4940</v>
      </c>
      <c r="F26" s="93">
        <f t="shared" si="11"/>
        <v>4940</v>
      </c>
      <c r="G26" s="10"/>
      <c r="H26" s="20"/>
      <c r="I26" s="20"/>
      <c r="J26" s="97">
        <f>X26</f>
        <v>4940</v>
      </c>
      <c r="K26" s="20"/>
      <c r="L26" s="97"/>
      <c r="M26" s="20"/>
      <c r="N26" s="20"/>
      <c r="O26" s="20"/>
      <c r="P26" s="20"/>
      <c r="Q26" s="20"/>
      <c r="R26" s="97"/>
      <c r="S26" s="20"/>
      <c r="T26" s="97"/>
      <c r="U26" s="20"/>
      <c r="V26" s="20"/>
      <c r="W26" s="20"/>
      <c r="X26" s="97">
        <f>E26</f>
        <v>4940</v>
      </c>
      <c r="Y26" s="97"/>
      <c r="Z26" s="20"/>
      <c r="AA26" s="20"/>
      <c r="AB26" s="93"/>
      <c r="AC26" s="10"/>
      <c r="AD26" s="93"/>
      <c r="AE26" s="10"/>
      <c r="AF26" s="93">
        <f t="shared" si="12"/>
        <v>0</v>
      </c>
      <c r="AG26" s="94">
        <f t="shared" si="13"/>
        <v>0</v>
      </c>
    </row>
    <row r="27" spans="1:33" x14ac:dyDescent="0.25">
      <c r="A27" s="9">
        <v>6110</v>
      </c>
      <c r="B27" s="9">
        <v>611</v>
      </c>
      <c r="C27" s="20" t="s">
        <v>265</v>
      </c>
      <c r="D27" s="295"/>
      <c r="E27" s="299">
        <v>18040</v>
      </c>
      <c r="F27" s="93">
        <f t="shared" si="11"/>
        <v>18040</v>
      </c>
      <c r="G27" s="10"/>
      <c r="H27" s="20"/>
      <c r="I27" s="20"/>
      <c r="J27" s="97">
        <f>P27</f>
        <v>18040</v>
      </c>
      <c r="K27" s="20"/>
      <c r="L27" s="97"/>
      <c r="M27" s="20"/>
      <c r="N27" s="97"/>
      <c r="O27" s="20"/>
      <c r="P27" s="97">
        <f>F27</f>
        <v>18040</v>
      </c>
      <c r="Q27" s="20"/>
      <c r="R27" s="97"/>
      <c r="S27" s="20"/>
      <c r="T27" s="20"/>
      <c r="U27" s="20"/>
      <c r="V27" s="20"/>
      <c r="W27" s="20"/>
      <c r="X27" s="20"/>
      <c r="Y27" s="20"/>
      <c r="Z27" s="20"/>
      <c r="AA27" s="20"/>
      <c r="AB27" s="10"/>
      <c r="AC27" s="10"/>
      <c r="AD27" s="10"/>
      <c r="AE27" s="10"/>
      <c r="AF27" s="93">
        <f t="shared" si="12"/>
        <v>0</v>
      </c>
      <c r="AG27" s="94">
        <f t="shared" si="13"/>
        <v>0</v>
      </c>
    </row>
    <row r="28" spans="1:33" x14ac:dyDescent="0.25">
      <c r="A28" s="9">
        <v>6110</v>
      </c>
      <c r="B28" s="9">
        <v>611</v>
      </c>
      <c r="C28" s="20" t="s">
        <v>266</v>
      </c>
      <c r="D28" s="295"/>
      <c r="E28" s="299">
        <v>15703</v>
      </c>
      <c r="F28" s="93">
        <f t="shared" si="11"/>
        <v>15703</v>
      </c>
      <c r="G28" s="10"/>
      <c r="H28" s="20"/>
      <c r="I28" s="97"/>
      <c r="J28" s="97">
        <f>M28</f>
        <v>15703</v>
      </c>
      <c r="K28" s="20"/>
      <c r="L28" s="97"/>
      <c r="M28" s="97">
        <f>F28</f>
        <v>15703</v>
      </c>
      <c r="N28" s="20"/>
      <c r="O28" s="20"/>
      <c r="P28" s="20"/>
      <c r="Q28" s="20"/>
      <c r="R28" s="97"/>
      <c r="S28" s="20"/>
      <c r="T28" s="20"/>
      <c r="U28" s="20"/>
      <c r="V28" s="20"/>
      <c r="W28" s="20"/>
      <c r="X28" s="20"/>
      <c r="Y28" s="20"/>
      <c r="Z28" s="20"/>
      <c r="AA28" s="20"/>
      <c r="AB28" s="10"/>
      <c r="AC28" s="10"/>
      <c r="AD28" s="10"/>
      <c r="AE28" s="10"/>
      <c r="AF28" s="93">
        <f t="shared" si="12"/>
        <v>0</v>
      </c>
      <c r="AG28" s="94">
        <f t="shared" si="13"/>
        <v>0</v>
      </c>
    </row>
    <row r="29" spans="1:33" x14ac:dyDescent="0.25">
      <c r="A29" s="9">
        <v>6110</v>
      </c>
      <c r="B29" s="9">
        <v>611</v>
      </c>
      <c r="C29" s="244" t="s">
        <v>267</v>
      </c>
      <c r="D29" s="295"/>
      <c r="E29" s="299">
        <v>88850</v>
      </c>
      <c r="F29" s="93">
        <f t="shared" si="11"/>
        <v>88850</v>
      </c>
      <c r="G29" s="10"/>
      <c r="H29" s="20"/>
      <c r="I29" s="97"/>
      <c r="J29" s="97">
        <f>W29</f>
        <v>88850</v>
      </c>
      <c r="K29" s="20"/>
      <c r="L29" s="97"/>
      <c r="M29" s="20"/>
      <c r="N29" s="20"/>
      <c r="O29" s="20"/>
      <c r="P29" s="20"/>
      <c r="Q29" s="20"/>
      <c r="R29" s="97"/>
      <c r="S29" s="20"/>
      <c r="T29" s="20"/>
      <c r="U29" s="20"/>
      <c r="V29" s="20"/>
      <c r="W29" s="97">
        <f>F29</f>
        <v>88850</v>
      </c>
      <c r="X29" s="20"/>
      <c r="Y29" s="20"/>
      <c r="Z29" s="20"/>
      <c r="AA29" s="20"/>
      <c r="AB29" s="10"/>
      <c r="AC29" s="10"/>
      <c r="AD29" s="10"/>
      <c r="AE29" s="10"/>
      <c r="AF29" s="93">
        <f t="shared" si="12"/>
        <v>0</v>
      </c>
      <c r="AG29" s="94">
        <f t="shared" si="13"/>
        <v>0</v>
      </c>
    </row>
    <row r="30" spans="1:33" x14ac:dyDescent="0.25">
      <c r="A30" s="9">
        <v>6110</v>
      </c>
      <c r="B30" s="9">
        <v>611</v>
      </c>
      <c r="C30" s="20" t="s">
        <v>268</v>
      </c>
      <c r="D30" s="295"/>
      <c r="E30" s="299">
        <v>8900</v>
      </c>
      <c r="F30" s="93">
        <f t="shared" si="11"/>
        <v>8900</v>
      </c>
      <c r="G30" s="10"/>
      <c r="H30" s="20"/>
      <c r="I30" s="20"/>
      <c r="J30" s="97">
        <f>Z30</f>
        <v>8900</v>
      </c>
      <c r="K30" s="20"/>
      <c r="L30" s="97"/>
      <c r="M30" s="20"/>
      <c r="N30" s="20"/>
      <c r="O30" s="20"/>
      <c r="P30" s="20"/>
      <c r="Q30" s="20"/>
      <c r="R30" s="97"/>
      <c r="S30" s="20"/>
      <c r="T30" s="20"/>
      <c r="U30" s="20"/>
      <c r="V30" s="20"/>
      <c r="W30" s="97"/>
      <c r="X30" s="20"/>
      <c r="Y30" s="20"/>
      <c r="Z30" s="97">
        <f>F30</f>
        <v>8900</v>
      </c>
      <c r="AA30" s="97"/>
      <c r="AB30" s="93"/>
      <c r="AC30" s="93"/>
      <c r="AD30" s="10"/>
      <c r="AE30" s="93"/>
      <c r="AF30" s="93">
        <f t="shared" si="12"/>
        <v>0</v>
      </c>
      <c r="AG30" s="94">
        <f t="shared" si="13"/>
        <v>0</v>
      </c>
    </row>
    <row r="31" spans="1:33" x14ac:dyDescent="0.25">
      <c r="A31" s="9">
        <v>6110</v>
      </c>
      <c r="B31" s="9">
        <v>611</v>
      </c>
      <c r="C31" s="20" t="s">
        <v>269</v>
      </c>
      <c r="D31" s="295"/>
      <c r="E31" s="299">
        <v>2000</v>
      </c>
      <c r="F31" s="93">
        <f t="shared" si="11"/>
        <v>2000</v>
      </c>
      <c r="G31" s="10"/>
      <c r="H31" s="20"/>
      <c r="I31" s="97">
        <f>F31</f>
        <v>2000</v>
      </c>
      <c r="J31" s="97"/>
      <c r="K31" s="20"/>
      <c r="L31" s="97"/>
      <c r="M31" s="20"/>
      <c r="N31" s="20"/>
      <c r="O31" s="20"/>
      <c r="P31" s="20"/>
      <c r="Q31" s="20"/>
      <c r="R31" s="97"/>
      <c r="S31" s="20"/>
      <c r="T31" s="20"/>
      <c r="U31" s="20"/>
      <c r="V31" s="20"/>
      <c r="W31" s="97"/>
      <c r="X31" s="20"/>
      <c r="Y31" s="20"/>
      <c r="Z31" s="97"/>
      <c r="AA31" s="97"/>
      <c r="AB31" s="93"/>
      <c r="AC31" s="93"/>
      <c r="AD31" s="10"/>
      <c r="AE31" s="93"/>
      <c r="AF31" s="93"/>
      <c r="AG31" s="94"/>
    </row>
    <row r="32" spans="1:33" x14ac:dyDescent="0.25">
      <c r="A32" s="9">
        <v>6110</v>
      </c>
      <c r="B32" s="9">
        <v>611</v>
      </c>
      <c r="C32" s="20" t="s">
        <v>270</v>
      </c>
      <c r="D32" s="295"/>
      <c r="E32" s="299">
        <v>15500</v>
      </c>
      <c r="F32" s="93">
        <f t="shared" si="11"/>
        <v>15500</v>
      </c>
      <c r="G32" s="10"/>
      <c r="H32" s="20"/>
      <c r="I32" s="20"/>
      <c r="J32" s="97">
        <f>F32</f>
        <v>15500</v>
      </c>
      <c r="K32" s="20"/>
      <c r="L32" s="97"/>
      <c r="M32" s="20"/>
      <c r="N32" s="20"/>
      <c r="O32" s="20"/>
      <c r="P32" s="20"/>
      <c r="Q32" s="20"/>
      <c r="R32" s="97">
        <f>F32</f>
        <v>15500</v>
      </c>
      <c r="S32" s="20"/>
      <c r="T32" s="20"/>
      <c r="U32" s="20"/>
      <c r="V32" s="97"/>
      <c r="W32" s="20"/>
      <c r="X32" s="20"/>
      <c r="Y32" s="20"/>
      <c r="Z32" s="97"/>
      <c r="AA32" s="97"/>
      <c r="AB32" s="93"/>
      <c r="AC32" s="93"/>
      <c r="AD32" s="10"/>
      <c r="AE32" s="93"/>
      <c r="AF32" s="93">
        <f>E32-H32-I32-J32-AB32</f>
        <v>0</v>
      </c>
      <c r="AG32" s="94">
        <f>J32-SUM(K32:Z32)</f>
        <v>0</v>
      </c>
    </row>
    <row r="33" spans="1:33" x14ac:dyDescent="0.25">
      <c r="A33" s="9">
        <v>6110</v>
      </c>
      <c r="B33" s="9">
        <v>611</v>
      </c>
      <c r="C33" s="20" t="s">
        <v>271</v>
      </c>
      <c r="D33" s="295"/>
      <c r="E33" s="299">
        <v>16080</v>
      </c>
      <c r="F33" s="93">
        <f t="shared" si="11"/>
        <v>16080</v>
      </c>
      <c r="G33" s="10"/>
      <c r="H33" s="20"/>
      <c r="I33" s="97"/>
      <c r="J33" s="97">
        <f>T33</f>
        <v>16080</v>
      </c>
      <c r="K33" s="20"/>
      <c r="L33" s="97"/>
      <c r="M33" s="20"/>
      <c r="N33" s="20"/>
      <c r="O33" s="20"/>
      <c r="P33" s="20"/>
      <c r="Q33" s="20"/>
      <c r="R33" s="97"/>
      <c r="S33" s="20"/>
      <c r="T33" s="97">
        <f>F33</f>
        <v>16080</v>
      </c>
      <c r="U33" s="20"/>
      <c r="V33" s="20"/>
      <c r="W33" s="20"/>
      <c r="X33" s="20"/>
      <c r="Y33" s="20"/>
      <c r="Z33" s="20"/>
      <c r="AA33" s="20"/>
      <c r="AB33" s="10"/>
      <c r="AC33" s="10"/>
      <c r="AD33" s="10"/>
      <c r="AE33" s="10"/>
      <c r="AF33" s="93">
        <f>E33-H33-I33-J33-AB33</f>
        <v>0</v>
      </c>
      <c r="AG33" s="94">
        <f>J33-SUM(K33:Z33)</f>
        <v>0</v>
      </c>
    </row>
    <row r="34" spans="1:33" ht="66" customHeight="1" x14ac:dyDescent="0.25">
      <c r="A34" s="9">
        <v>6110</v>
      </c>
      <c r="B34" s="9">
        <v>611</v>
      </c>
      <c r="C34" s="35" t="s">
        <v>202</v>
      </c>
      <c r="D34" s="295"/>
      <c r="E34" s="299">
        <v>13000</v>
      </c>
      <c r="F34" s="93">
        <f t="shared" si="11"/>
        <v>13000</v>
      </c>
      <c r="G34" s="10"/>
      <c r="H34" s="20"/>
      <c r="I34" s="97">
        <f>F34</f>
        <v>13000</v>
      </c>
      <c r="J34" s="20"/>
      <c r="K34" s="20"/>
      <c r="L34" s="97"/>
      <c r="M34" s="20"/>
      <c r="N34" s="20"/>
      <c r="O34" s="20"/>
      <c r="P34" s="20"/>
      <c r="Q34" s="20"/>
      <c r="R34" s="97"/>
      <c r="S34" s="20"/>
      <c r="T34" s="20"/>
      <c r="U34" s="20"/>
      <c r="V34" s="20"/>
      <c r="W34" s="20"/>
      <c r="X34" s="20"/>
      <c r="Y34" s="20"/>
      <c r="Z34" s="20"/>
      <c r="AA34" s="20"/>
      <c r="AB34" s="10"/>
      <c r="AC34" s="10"/>
      <c r="AD34" s="10"/>
      <c r="AE34" s="10"/>
      <c r="AF34" s="93">
        <f>E34-H34-I34-J34-AB34</f>
        <v>0</v>
      </c>
      <c r="AG34" s="94">
        <f>J34-SUM(K34:Z34)</f>
        <v>0</v>
      </c>
    </row>
    <row r="35" spans="1:33" ht="60" x14ac:dyDescent="0.25">
      <c r="A35" s="9">
        <v>6110</v>
      </c>
      <c r="B35" s="9">
        <v>611</v>
      </c>
      <c r="C35" s="35" t="s">
        <v>203</v>
      </c>
      <c r="D35" s="295"/>
      <c r="E35" s="299">
        <v>14000</v>
      </c>
      <c r="F35" s="93">
        <f t="shared" ref="F35:F43" si="14">E35</f>
        <v>14000</v>
      </c>
      <c r="G35" s="10"/>
      <c r="H35" s="20"/>
      <c r="I35" s="97">
        <f>F35</f>
        <v>14000</v>
      </c>
      <c r="J35" s="20"/>
      <c r="K35" s="20"/>
      <c r="L35" s="97"/>
      <c r="M35" s="20"/>
      <c r="N35" s="20"/>
      <c r="O35" s="20"/>
      <c r="P35" s="20"/>
      <c r="Q35" s="20"/>
      <c r="R35" s="97"/>
      <c r="S35" s="20"/>
      <c r="T35" s="20"/>
      <c r="U35" s="20"/>
      <c r="V35" s="20"/>
      <c r="W35" s="20"/>
      <c r="X35" s="20"/>
      <c r="Y35" s="20"/>
      <c r="Z35" s="20"/>
      <c r="AA35" s="20"/>
      <c r="AB35" s="10"/>
      <c r="AC35" s="10"/>
      <c r="AD35" s="10"/>
      <c r="AE35" s="10"/>
      <c r="AF35" s="93">
        <f>E35-H35-I35-J35-AB35</f>
        <v>0</v>
      </c>
      <c r="AG35" s="94">
        <f>J35-SUM(K35:Z35)</f>
        <v>0</v>
      </c>
    </row>
    <row r="36" spans="1:33" ht="30" x14ac:dyDescent="0.25">
      <c r="A36" s="9">
        <v>6110</v>
      </c>
      <c r="B36" s="9">
        <v>611</v>
      </c>
      <c r="C36" s="35" t="s">
        <v>249</v>
      </c>
      <c r="D36" s="295"/>
      <c r="E36" s="299">
        <v>15000</v>
      </c>
      <c r="F36" s="93">
        <f t="shared" si="14"/>
        <v>15000</v>
      </c>
      <c r="G36" s="10"/>
      <c r="H36" s="20"/>
      <c r="I36" s="97">
        <f>F36</f>
        <v>15000</v>
      </c>
      <c r="J36" s="20"/>
      <c r="K36" s="20"/>
      <c r="L36" s="97"/>
      <c r="M36" s="20"/>
      <c r="N36" s="20"/>
      <c r="O36" s="20"/>
      <c r="P36" s="20"/>
      <c r="Q36" s="20"/>
      <c r="R36" s="97"/>
      <c r="S36" s="20"/>
      <c r="T36" s="20"/>
      <c r="U36" s="20"/>
      <c r="V36" s="20"/>
      <c r="W36" s="20"/>
      <c r="X36" s="20"/>
      <c r="Y36" s="20"/>
      <c r="Z36" s="20"/>
      <c r="AA36" s="20"/>
      <c r="AB36" s="10"/>
      <c r="AC36" s="10"/>
      <c r="AD36" s="10"/>
      <c r="AE36" s="10"/>
      <c r="AF36" s="93"/>
      <c r="AG36" s="94"/>
    </row>
    <row r="37" spans="1:33" ht="30" x14ac:dyDescent="0.25">
      <c r="A37" s="9">
        <v>6110</v>
      </c>
      <c r="B37" s="9">
        <v>611</v>
      </c>
      <c r="C37" s="35" t="s">
        <v>250</v>
      </c>
      <c r="D37" s="295"/>
      <c r="E37" s="299">
        <v>7500</v>
      </c>
      <c r="F37" s="93">
        <f t="shared" si="14"/>
        <v>7500</v>
      </c>
      <c r="G37" s="10"/>
      <c r="H37" s="20"/>
      <c r="I37" s="97">
        <f>F37</f>
        <v>7500</v>
      </c>
      <c r="J37" s="20"/>
      <c r="K37" s="20"/>
      <c r="L37" s="97"/>
      <c r="M37" s="20"/>
      <c r="N37" s="20"/>
      <c r="O37" s="20"/>
      <c r="P37" s="20"/>
      <c r="Q37" s="20"/>
      <c r="R37" s="97"/>
      <c r="S37" s="20"/>
      <c r="T37" s="20"/>
      <c r="U37" s="20"/>
      <c r="V37" s="20"/>
      <c r="W37" s="20"/>
      <c r="X37" s="20"/>
      <c r="Y37" s="20"/>
      <c r="Z37" s="20"/>
      <c r="AA37" s="20"/>
      <c r="AB37" s="10"/>
      <c r="AC37" s="10"/>
      <c r="AD37" s="10"/>
      <c r="AE37" s="10"/>
      <c r="AF37" s="93"/>
      <c r="AG37" s="94"/>
    </row>
    <row r="38" spans="1:33" x14ac:dyDescent="0.25">
      <c r="A38" s="9">
        <v>6110</v>
      </c>
      <c r="B38" s="9">
        <v>611</v>
      </c>
      <c r="C38" s="20" t="s">
        <v>272</v>
      </c>
      <c r="D38" s="295">
        <v>9000</v>
      </c>
      <c r="E38" s="299">
        <v>18000</v>
      </c>
      <c r="F38" s="93">
        <f t="shared" si="14"/>
        <v>18000</v>
      </c>
      <c r="G38" s="10"/>
      <c r="H38" s="97">
        <f>F38</f>
        <v>18000</v>
      </c>
      <c r="I38" s="20"/>
      <c r="J38" s="20"/>
      <c r="K38" s="20"/>
      <c r="L38" s="97"/>
      <c r="M38" s="20"/>
      <c r="N38" s="20"/>
      <c r="O38" s="20"/>
      <c r="P38" s="20"/>
      <c r="Q38" s="20"/>
      <c r="R38" s="97"/>
      <c r="S38" s="20"/>
      <c r="T38" s="20"/>
      <c r="U38" s="20"/>
      <c r="V38" s="20"/>
      <c r="W38" s="20"/>
      <c r="X38" s="20"/>
      <c r="Y38" s="20"/>
      <c r="Z38" s="20"/>
      <c r="AA38" s="20"/>
      <c r="AB38" s="10"/>
      <c r="AC38" s="10"/>
      <c r="AD38" s="10"/>
      <c r="AE38" s="10"/>
      <c r="AF38" s="93">
        <f t="shared" ref="AF38:AF44" si="15">E38-H38-I38-J38-AB38</f>
        <v>0</v>
      </c>
      <c r="AG38" s="94">
        <f t="shared" ref="AG38:AG63" si="16">J38-SUM(K38:Z38)</f>
        <v>0</v>
      </c>
    </row>
    <row r="39" spans="1:33" x14ac:dyDescent="0.25">
      <c r="A39" s="9">
        <v>6110</v>
      </c>
      <c r="B39" s="9">
        <v>611</v>
      </c>
      <c r="C39" s="20" t="s">
        <v>205</v>
      </c>
      <c r="D39" s="295"/>
      <c r="E39" s="299">
        <v>18550</v>
      </c>
      <c r="F39" s="93">
        <f t="shared" si="14"/>
        <v>18550</v>
      </c>
      <c r="G39" s="10"/>
      <c r="H39" s="20"/>
      <c r="I39" s="20"/>
      <c r="J39" s="97">
        <f>S39</f>
        <v>18550</v>
      </c>
      <c r="K39" s="20"/>
      <c r="L39" s="97"/>
      <c r="M39" s="20"/>
      <c r="N39" s="20"/>
      <c r="O39" s="20"/>
      <c r="P39" s="20"/>
      <c r="Q39" s="20"/>
      <c r="R39" s="97"/>
      <c r="S39" s="97">
        <f>F39</f>
        <v>18550</v>
      </c>
      <c r="T39" s="20"/>
      <c r="U39" s="97"/>
      <c r="V39" s="20"/>
      <c r="W39" s="20"/>
      <c r="X39" s="20"/>
      <c r="Y39" s="20"/>
      <c r="Z39" s="20"/>
      <c r="AA39" s="20"/>
      <c r="AB39" s="10"/>
      <c r="AC39" s="10"/>
      <c r="AD39" s="10"/>
      <c r="AE39" s="10"/>
      <c r="AF39" s="93">
        <f t="shared" si="15"/>
        <v>0</v>
      </c>
      <c r="AG39" s="94">
        <f t="shared" si="16"/>
        <v>0</v>
      </c>
    </row>
    <row r="40" spans="1:33" x14ac:dyDescent="0.25">
      <c r="A40" s="9">
        <v>6110</v>
      </c>
      <c r="B40" s="9">
        <v>611</v>
      </c>
      <c r="C40" s="20" t="s">
        <v>181</v>
      </c>
      <c r="D40" s="295"/>
      <c r="E40" s="299">
        <v>1000</v>
      </c>
      <c r="F40" s="93">
        <f t="shared" si="14"/>
        <v>1000</v>
      </c>
      <c r="G40" s="10"/>
      <c r="H40" s="20"/>
      <c r="I40" s="97">
        <f>F40</f>
        <v>1000</v>
      </c>
      <c r="J40" s="20"/>
      <c r="K40" s="20"/>
      <c r="L40" s="97"/>
      <c r="M40" s="20"/>
      <c r="N40" s="20"/>
      <c r="O40" s="20"/>
      <c r="P40" s="20"/>
      <c r="Q40" s="20"/>
      <c r="R40" s="97"/>
      <c r="S40" s="20"/>
      <c r="T40" s="20"/>
      <c r="U40" s="20"/>
      <c r="V40" s="20"/>
      <c r="W40" s="20"/>
      <c r="X40" s="20"/>
      <c r="Y40" s="20"/>
      <c r="Z40" s="20"/>
      <c r="AA40" s="20"/>
      <c r="AB40" s="10"/>
      <c r="AC40" s="10"/>
      <c r="AD40" s="10"/>
      <c r="AE40" s="10"/>
      <c r="AF40" s="93">
        <f t="shared" si="15"/>
        <v>0</v>
      </c>
      <c r="AG40" s="94">
        <f t="shared" si="16"/>
        <v>0</v>
      </c>
    </row>
    <row r="41" spans="1:33" x14ac:dyDescent="0.25">
      <c r="A41" s="9">
        <v>6110</v>
      </c>
      <c r="B41" s="9">
        <v>611</v>
      </c>
      <c r="C41" s="20" t="s">
        <v>206</v>
      </c>
      <c r="D41" s="295"/>
      <c r="E41" s="299">
        <v>17200</v>
      </c>
      <c r="F41" s="93">
        <f>E41</f>
        <v>17200</v>
      </c>
      <c r="G41" s="10"/>
      <c r="H41" s="20"/>
      <c r="I41" s="20"/>
      <c r="J41" s="97">
        <f>F41</f>
        <v>17200</v>
      </c>
      <c r="K41" s="97"/>
      <c r="L41" s="97">
        <f>J41</f>
        <v>17200</v>
      </c>
      <c r="M41" s="20"/>
      <c r="N41" s="20"/>
      <c r="O41" s="20"/>
      <c r="P41" s="20"/>
      <c r="Q41" s="20"/>
      <c r="R41" s="97"/>
      <c r="S41" s="20"/>
      <c r="T41" s="20"/>
      <c r="U41" s="20"/>
      <c r="V41" s="20"/>
      <c r="W41" s="20"/>
      <c r="X41" s="20"/>
      <c r="Y41" s="20"/>
      <c r="Z41" s="20"/>
      <c r="AA41" s="20"/>
      <c r="AB41" s="93">
        <f>AC41</f>
        <v>0</v>
      </c>
      <c r="AC41" s="93"/>
      <c r="AD41" s="10"/>
      <c r="AE41" s="10"/>
      <c r="AF41" s="93">
        <f t="shared" si="15"/>
        <v>0</v>
      </c>
      <c r="AG41" s="94">
        <f t="shared" si="16"/>
        <v>0</v>
      </c>
    </row>
    <row r="42" spans="1:33" ht="45" x14ac:dyDescent="0.25">
      <c r="A42" s="9">
        <v>6110</v>
      </c>
      <c r="B42" s="9">
        <v>611</v>
      </c>
      <c r="C42" s="35" t="s">
        <v>207</v>
      </c>
      <c r="D42" s="295"/>
      <c r="E42" s="299">
        <v>6000</v>
      </c>
      <c r="F42" s="93">
        <f t="shared" si="14"/>
        <v>6000</v>
      </c>
      <c r="G42" s="10"/>
      <c r="H42" s="20"/>
      <c r="I42" s="20"/>
      <c r="J42" s="97">
        <f>V42</f>
        <v>6000</v>
      </c>
      <c r="K42" s="20"/>
      <c r="L42" s="97"/>
      <c r="M42" s="20"/>
      <c r="N42" s="20"/>
      <c r="O42" s="20"/>
      <c r="P42" s="20"/>
      <c r="Q42" s="20"/>
      <c r="R42" s="97"/>
      <c r="S42" s="20"/>
      <c r="T42" s="20"/>
      <c r="U42" s="20"/>
      <c r="V42" s="97">
        <f>F42</f>
        <v>6000</v>
      </c>
      <c r="W42" s="20"/>
      <c r="X42" s="20"/>
      <c r="Y42" s="20"/>
      <c r="Z42" s="97"/>
      <c r="AA42" s="97"/>
      <c r="AB42" s="10"/>
      <c r="AC42" s="10"/>
      <c r="AD42" s="10"/>
      <c r="AE42" s="10"/>
      <c r="AF42" s="93">
        <f t="shared" si="15"/>
        <v>0</v>
      </c>
      <c r="AG42" s="94">
        <f t="shared" si="16"/>
        <v>0</v>
      </c>
    </row>
    <row r="43" spans="1:33" x14ac:dyDescent="0.25">
      <c r="A43" s="9">
        <v>6110</v>
      </c>
      <c r="B43" s="9">
        <v>611</v>
      </c>
      <c r="C43" s="20" t="s">
        <v>274</v>
      </c>
      <c r="D43" s="295">
        <v>8000</v>
      </c>
      <c r="E43" s="299">
        <v>1000</v>
      </c>
      <c r="F43" s="93">
        <f t="shared" si="14"/>
        <v>1000</v>
      </c>
      <c r="G43" s="10"/>
      <c r="H43" s="20"/>
      <c r="I43" s="20"/>
      <c r="J43" s="97">
        <f>Q43+S43</f>
        <v>1000</v>
      </c>
      <c r="K43" s="20"/>
      <c r="L43" s="97"/>
      <c r="M43" s="20"/>
      <c r="N43" s="20"/>
      <c r="O43" s="20"/>
      <c r="P43" s="20"/>
      <c r="Q43" s="97">
        <f>F43</f>
        <v>1000</v>
      </c>
      <c r="R43" s="97"/>
      <c r="S43" s="97"/>
      <c r="T43" s="20"/>
      <c r="U43" s="20"/>
      <c r="V43" s="20"/>
      <c r="W43" s="20"/>
      <c r="X43" s="20"/>
      <c r="Y43" s="20"/>
      <c r="Z43" s="20"/>
      <c r="AA43" s="20"/>
      <c r="AB43" s="10"/>
      <c r="AC43" s="10"/>
      <c r="AD43" s="10"/>
      <c r="AE43" s="10"/>
      <c r="AF43" s="93">
        <f t="shared" si="15"/>
        <v>0</v>
      </c>
      <c r="AG43" s="94">
        <f t="shared" si="16"/>
        <v>0</v>
      </c>
    </row>
    <row r="44" spans="1:33" x14ac:dyDescent="0.25">
      <c r="A44" s="9">
        <v>6110</v>
      </c>
      <c r="B44" s="9">
        <v>611</v>
      </c>
      <c r="C44" s="20" t="str">
        <f>Dépenses!C30</f>
        <v>WORKSHOP Allemagne</v>
      </c>
      <c r="D44" s="295"/>
      <c r="E44" s="299">
        <v>0</v>
      </c>
      <c r="F44" s="300">
        <v>0</v>
      </c>
      <c r="G44" s="10"/>
      <c r="H44" s="20"/>
      <c r="I44" s="97">
        <f>F44</f>
        <v>0</v>
      </c>
      <c r="J44" s="97"/>
      <c r="K44" s="20"/>
      <c r="L44" s="97"/>
      <c r="M44" s="20"/>
      <c r="N44" s="20"/>
      <c r="O44" s="20"/>
      <c r="P44" s="20"/>
      <c r="Q44" s="20"/>
      <c r="R44" s="97"/>
      <c r="S44" s="20"/>
      <c r="T44" s="20"/>
      <c r="U44" s="20"/>
      <c r="V44" s="20"/>
      <c r="W44" s="20"/>
      <c r="X44" s="20"/>
      <c r="Y44" s="20"/>
      <c r="Z44" s="20"/>
      <c r="AA44" s="20"/>
      <c r="AB44" s="93"/>
      <c r="AC44" s="93"/>
      <c r="AD44" s="93"/>
      <c r="AE44" s="93"/>
      <c r="AF44" s="93">
        <f t="shared" si="15"/>
        <v>0</v>
      </c>
      <c r="AG44" s="94">
        <f t="shared" si="16"/>
        <v>0</v>
      </c>
    </row>
    <row r="45" spans="1:33" x14ac:dyDescent="0.25">
      <c r="A45" s="9">
        <v>616</v>
      </c>
      <c r="B45" s="9">
        <v>616</v>
      </c>
      <c r="C45" s="20" t="s">
        <v>275</v>
      </c>
      <c r="D45" s="295">
        <v>630</v>
      </c>
      <c r="E45" s="299">
        <v>320</v>
      </c>
      <c r="F45" s="10"/>
      <c r="G45" s="93">
        <f t="shared" ref="G45:G52" si="17">E45</f>
        <v>320</v>
      </c>
      <c r="H45" s="97">
        <f>$G$45*H2</f>
        <v>50.666666666666671</v>
      </c>
      <c r="I45" s="97">
        <f>$G$45*I2</f>
        <v>102.93333333333331</v>
      </c>
      <c r="J45" s="97">
        <f>$G$45*J2</f>
        <v>163.73333333333338</v>
      </c>
      <c r="K45" s="97">
        <f>$J$45*K2</f>
        <v>2.666666666666667</v>
      </c>
      <c r="L45" s="97">
        <f t="shared" ref="L45:L52" si="18">J45*$L$2</f>
        <v>5.3333333333333339</v>
      </c>
      <c r="M45" s="97">
        <f>$J$45*M2</f>
        <v>7.4666666666666659</v>
      </c>
      <c r="N45" s="97">
        <f>$J$45*N2</f>
        <v>16.533333333333335</v>
      </c>
      <c r="O45" s="97">
        <f>$J$45*O2</f>
        <v>19.200000000000003</v>
      </c>
      <c r="P45" s="97">
        <f>$J$45*P2</f>
        <v>7.4666666666666677</v>
      </c>
      <c r="Q45" s="97">
        <f>$J$45*Q2</f>
        <v>17.066666666666666</v>
      </c>
      <c r="R45" s="97">
        <f t="shared" ref="R45:R52" si="19">J45*$R$2</f>
        <v>14.933333333333335</v>
      </c>
      <c r="S45" s="97">
        <f t="shared" ref="S45:AA45" si="20">$J$45*S2</f>
        <v>17.600000000000001</v>
      </c>
      <c r="T45" s="97">
        <f t="shared" si="20"/>
        <v>7.4666666666666677</v>
      </c>
      <c r="U45" s="97">
        <f t="shared" si="20"/>
        <v>23.466666666666669</v>
      </c>
      <c r="V45" s="97">
        <f t="shared" si="20"/>
        <v>1.0666666666666667</v>
      </c>
      <c r="W45" s="97">
        <f t="shared" si="20"/>
        <v>2.666666666666667</v>
      </c>
      <c r="X45" s="97">
        <f t="shared" si="20"/>
        <v>11.733333333333334</v>
      </c>
      <c r="Y45" s="97">
        <f t="shared" si="20"/>
        <v>2.666666666666667</v>
      </c>
      <c r="Z45" s="97">
        <f t="shared" si="20"/>
        <v>6.4</v>
      </c>
      <c r="AA45" s="97">
        <f t="shared" si="20"/>
        <v>2.666666666666667</v>
      </c>
      <c r="AB45" s="10">
        <f t="shared" ref="AB45:AB52" si="21">G45*$AB$2</f>
        <v>0</v>
      </c>
      <c r="AC45" s="10"/>
      <c r="AD45" s="10">
        <f t="shared" ref="AD45:AD52" si="22">AB45*$AD$2</f>
        <v>0</v>
      </c>
      <c r="AE45" s="10">
        <f t="shared" ref="AE45:AE52" si="23">AB45*$AE$2</f>
        <v>0</v>
      </c>
      <c r="AF45" s="93">
        <f t="shared" ref="AF45:AF49" si="24">E45-H45-I45-J45-AB45</f>
        <v>2.6666666666666288</v>
      </c>
      <c r="AG45" s="94">
        <f t="shared" si="16"/>
        <v>0</v>
      </c>
    </row>
    <row r="46" spans="1:33" x14ac:dyDescent="0.25">
      <c r="A46" s="9">
        <v>616</v>
      </c>
      <c r="B46" s="9">
        <v>616</v>
      </c>
      <c r="C46" s="20" t="s">
        <v>276</v>
      </c>
      <c r="D46" s="295">
        <v>570</v>
      </c>
      <c r="E46" s="299">
        <v>700</v>
      </c>
      <c r="F46" s="10"/>
      <c r="G46" s="93">
        <f t="shared" si="17"/>
        <v>700</v>
      </c>
      <c r="H46" s="97">
        <f>$G$46*H2</f>
        <v>110.83333333333334</v>
      </c>
      <c r="I46" s="97">
        <f>$G$46*I2</f>
        <v>225.16666666666663</v>
      </c>
      <c r="J46" s="97">
        <f>$G$46*J2</f>
        <v>358.1666666666668</v>
      </c>
      <c r="K46" s="97">
        <f>$J$46*K2</f>
        <v>5.8333333333333339</v>
      </c>
      <c r="L46" s="97">
        <f t="shared" si="18"/>
        <v>11.666666666666668</v>
      </c>
      <c r="M46" s="97">
        <f>$J$46*M2</f>
        <v>16.333333333333336</v>
      </c>
      <c r="N46" s="97">
        <f>$J$46*N2</f>
        <v>36.166666666666671</v>
      </c>
      <c r="O46" s="97">
        <f>$J$46*O2</f>
        <v>42.000000000000007</v>
      </c>
      <c r="P46" s="97">
        <f>$J$46*P2</f>
        <v>16.333333333333336</v>
      </c>
      <c r="Q46" s="97">
        <f>$J$46*Q2</f>
        <v>37.333333333333336</v>
      </c>
      <c r="R46" s="97">
        <f t="shared" si="19"/>
        <v>32.666666666666671</v>
      </c>
      <c r="S46" s="97">
        <f t="shared" ref="S46:AA46" si="25">$J$46*S2</f>
        <v>38.500000000000007</v>
      </c>
      <c r="T46" s="97">
        <f t="shared" si="25"/>
        <v>16.333333333333336</v>
      </c>
      <c r="U46" s="97">
        <f t="shared" si="25"/>
        <v>51.333333333333343</v>
      </c>
      <c r="V46" s="97">
        <f t="shared" si="25"/>
        <v>2.3333333333333335</v>
      </c>
      <c r="W46" s="97">
        <f t="shared" si="25"/>
        <v>5.8333333333333339</v>
      </c>
      <c r="X46" s="97">
        <f t="shared" si="25"/>
        <v>25.666666666666671</v>
      </c>
      <c r="Y46" s="97">
        <f t="shared" si="25"/>
        <v>5.8333333333333339</v>
      </c>
      <c r="Z46" s="97">
        <f t="shared" si="25"/>
        <v>14.000000000000002</v>
      </c>
      <c r="AA46" s="97">
        <f t="shared" si="25"/>
        <v>5.8333333333333339</v>
      </c>
      <c r="AB46" s="10">
        <f t="shared" si="21"/>
        <v>0</v>
      </c>
      <c r="AC46" s="10"/>
      <c r="AD46" s="10">
        <f t="shared" si="22"/>
        <v>0</v>
      </c>
      <c r="AE46" s="10">
        <f t="shared" si="23"/>
        <v>0</v>
      </c>
      <c r="AF46" s="93">
        <f t="shared" si="24"/>
        <v>5.8333333333332007</v>
      </c>
      <c r="AG46" s="94">
        <f t="shared" si="16"/>
        <v>0</v>
      </c>
    </row>
    <row r="47" spans="1:33" x14ac:dyDescent="0.25">
      <c r="A47" s="9">
        <v>616</v>
      </c>
      <c r="B47" s="9">
        <v>616</v>
      </c>
      <c r="C47" s="20" t="s">
        <v>16</v>
      </c>
      <c r="D47" s="295">
        <v>330</v>
      </c>
      <c r="E47" s="299">
        <v>3000</v>
      </c>
      <c r="F47" s="10"/>
      <c r="G47" s="93">
        <f t="shared" si="17"/>
        <v>3000</v>
      </c>
      <c r="H47" s="97">
        <f>$G$47*H2</f>
        <v>475.00000000000006</v>
      </c>
      <c r="I47" s="97">
        <f>$G$47*I2</f>
        <v>964.99999999999977</v>
      </c>
      <c r="J47" s="97">
        <f>$G$47*J2</f>
        <v>1535.0000000000005</v>
      </c>
      <c r="K47" s="97">
        <f>$J$47*K2</f>
        <v>25.000000000000004</v>
      </c>
      <c r="L47" s="97">
        <f t="shared" si="18"/>
        <v>50.000000000000007</v>
      </c>
      <c r="M47" s="97">
        <f>$J$47*M2</f>
        <v>70</v>
      </c>
      <c r="N47" s="97">
        <f>$J$47*N2</f>
        <v>155</v>
      </c>
      <c r="O47" s="97">
        <f>$J$47*O2</f>
        <v>180.00000000000003</v>
      </c>
      <c r="P47" s="97">
        <f>$J$47*P2</f>
        <v>70.000000000000014</v>
      </c>
      <c r="Q47" s="97">
        <f>$J$47*Q2</f>
        <v>160</v>
      </c>
      <c r="R47" s="97">
        <f t="shared" si="19"/>
        <v>140.00000000000003</v>
      </c>
      <c r="S47" s="97">
        <f t="shared" ref="S47:AA47" si="26">$J$47*S2</f>
        <v>165.00000000000003</v>
      </c>
      <c r="T47" s="97">
        <f t="shared" si="26"/>
        <v>70.000000000000014</v>
      </c>
      <c r="U47" s="97">
        <f t="shared" si="26"/>
        <v>220.00000000000003</v>
      </c>
      <c r="V47" s="97">
        <f t="shared" si="26"/>
        <v>10</v>
      </c>
      <c r="W47" s="97">
        <f t="shared" si="26"/>
        <v>25.000000000000004</v>
      </c>
      <c r="X47" s="97">
        <f t="shared" si="26"/>
        <v>110.00000000000001</v>
      </c>
      <c r="Y47" s="97">
        <f t="shared" si="26"/>
        <v>25.000000000000004</v>
      </c>
      <c r="Z47" s="97">
        <f t="shared" si="26"/>
        <v>60</v>
      </c>
      <c r="AA47" s="97">
        <f t="shared" si="26"/>
        <v>25.000000000000004</v>
      </c>
      <c r="AB47" s="10">
        <f t="shared" si="21"/>
        <v>0</v>
      </c>
      <c r="AC47" s="10"/>
      <c r="AD47" s="10">
        <f t="shared" si="22"/>
        <v>0</v>
      </c>
      <c r="AE47" s="10">
        <f t="shared" si="23"/>
        <v>0</v>
      </c>
      <c r="AF47" s="93">
        <f>E47-H47-I47-J47-AB47-AA47</f>
        <v>-2.3092638912203256E-13</v>
      </c>
      <c r="AG47" s="94">
        <f t="shared" si="16"/>
        <v>0</v>
      </c>
    </row>
    <row r="48" spans="1:33" x14ac:dyDescent="0.25">
      <c r="A48" s="9">
        <v>616</v>
      </c>
      <c r="B48" s="9">
        <v>616</v>
      </c>
      <c r="C48" s="322" t="s">
        <v>371</v>
      </c>
      <c r="D48" s="295"/>
      <c r="E48" s="299">
        <v>100</v>
      </c>
      <c r="F48" s="93">
        <f>E48</f>
        <v>100</v>
      </c>
      <c r="G48" s="93"/>
      <c r="H48" s="97"/>
      <c r="I48" s="97"/>
      <c r="J48" s="97"/>
      <c r="K48" s="97"/>
      <c r="L48" s="97"/>
      <c r="M48" s="97"/>
      <c r="N48" s="97"/>
      <c r="O48" s="97"/>
      <c r="P48" s="97"/>
      <c r="Q48" s="97"/>
      <c r="R48" s="97"/>
      <c r="S48" s="97"/>
      <c r="T48" s="97"/>
      <c r="U48" s="97"/>
      <c r="V48" s="97"/>
      <c r="W48" s="97"/>
      <c r="X48" s="97"/>
      <c r="Y48" s="97"/>
      <c r="Z48" s="97"/>
      <c r="AA48" s="97">
        <f>F48</f>
        <v>100</v>
      </c>
      <c r="AB48" s="10"/>
      <c r="AC48" s="10"/>
      <c r="AD48" s="10"/>
      <c r="AE48" s="10"/>
      <c r="AF48" s="93"/>
      <c r="AG48" s="94"/>
    </row>
    <row r="49" spans="1:33" x14ac:dyDescent="0.25">
      <c r="A49" s="9">
        <v>61302</v>
      </c>
      <c r="B49" s="9">
        <v>613</v>
      </c>
      <c r="C49" s="20" t="s">
        <v>277</v>
      </c>
      <c r="D49" s="295">
        <v>0</v>
      </c>
      <c r="E49" s="299">
        <v>0</v>
      </c>
      <c r="F49" s="10"/>
      <c r="G49" s="93">
        <f t="shared" si="17"/>
        <v>0</v>
      </c>
      <c r="H49" s="97">
        <f>$G$49*H2</f>
        <v>0</v>
      </c>
      <c r="I49" s="97">
        <f>$G$49*I2</f>
        <v>0</v>
      </c>
      <c r="J49" s="97">
        <f>$G$49*J2</f>
        <v>0</v>
      </c>
      <c r="K49" s="97">
        <f>$J$49*K2</f>
        <v>0</v>
      </c>
      <c r="L49" s="97">
        <f t="shared" si="18"/>
        <v>0</v>
      </c>
      <c r="M49" s="97">
        <f>$J$49*M2</f>
        <v>0</v>
      </c>
      <c r="N49" s="97">
        <f>$J$49*N2</f>
        <v>0</v>
      </c>
      <c r="O49" s="97">
        <f>$J$49*O2</f>
        <v>0</v>
      </c>
      <c r="P49" s="97">
        <f>$J$49*P2</f>
        <v>0</v>
      </c>
      <c r="Q49" s="97">
        <f>$J$49*Q2</f>
        <v>0</v>
      </c>
      <c r="R49" s="97">
        <f t="shared" si="19"/>
        <v>0</v>
      </c>
      <c r="S49" s="97">
        <f t="shared" ref="S49:X49" si="27">$J$49*S2</f>
        <v>0</v>
      </c>
      <c r="T49" s="97">
        <f t="shared" si="27"/>
        <v>0</v>
      </c>
      <c r="U49" s="97">
        <f t="shared" si="27"/>
        <v>0</v>
      </c>
      <c r="V49" s="97">
        <f t="shared" si="27"/>
        <v>0</v>
      </c>
      <c r="W49" s="97">
        <f t="shared" si="27"/>
        <v>0</v>
      </c>
      <c r="X49" s="97">
        <f t="shared" si="27"/>
        <v>0</v>
      </c>
      <c r="Y49" s="97"/>
      <c r="Z49" s="97">
        <f>$J$49*Z2</f>
        <v>0</v>
      </c>
      <c r="AA49" s="97">
        <f>$J$49*AA2</f>
        <v>0</v>
      </c>
      <c r="AB49" s="10">
        <f t="shared" si="21"/>
        <v>0</v>
      </c>
      <c r="AC49" s="10"/>
      <c r="AD49" s="10">
        <f t="shared" si="22"/>
        <v>0</v>
      </c>
      <c r="AE49" s="10">
        <f t="shared" si="23"/>
        <v>0</v>
      </c>
      <c r="AF49" s="93">
        <f t="shared" si="24"/>
        <v>0</v>
      </c>
      <c r="AG49" s="94">
        <f t="shared" si="16"/>
        <v>0</v>
      </c>
    </row>
    <row r="50" spans="1:33" x14ac:dyDescent="0.25">
      <c r="A50" s="9">
        <v>613204</v>
      </c>
      <c r="B50" s="9">
        <v>613</v>
      </c>
      <c r="C50" s="20" t="s">
        <v>278</v>
      </c>
      <c r="D50" s="296">
        <v>20160</v>
      </c>
      <c r="E50" s="299">
        <v>20000</v>
      </c>
      <c r="F50" s="10"/>
      <c r="G50" s="93">
        <f t="shared" si="17"/>
        <v>20000</v>
      </c>
      <c r="H50" s="97">
        <f>$G$50*H2</f>
        <v>3166.666666666667</v>
      </c>
      <c r="I50" s="97">
        <f>$G$50*I2</f>
        <v>6433.3333333333321</v>
      </c>
      <c r="J50" s="97">
        <f>$G$50*J2</f>
        <v>10233.333333333336</v>
      </c>
      <c r="K50" s="97">
        <f>$J$50*K2</f>
        <v>166.66666666666669</v>
      </c>
      <c r="L50" s="97">
        <f t="shared" si="18"/>
        <v>333.33333333333337</v>
      </c>
      <c r="M50" s="97">
        <f>$J$50*M2</f>
        <v>466.66666666666663</v>
      </c>
      <c r="N50" s="97">
        <f>$J$50*N2</f>
        <v>1033.3333333333333</v>
      </c>
      <c r="O50" s="97">
        <f>$J$50*O2</f>
        <v>1200</v>
      </c>
      <c r="P50" s="97">
        <f>$J$50*P2</f>
        <v>466.66666666666669</v>
      </c>
      <c r="Q50" s="97">
        <f>$J$50*Q2</f>
        <v>1066.6666666666667</v>
      </c>
      <c r="R50" s="97">
        <f t="shared" si="19"/>
        <v>933.33333333333337</v>
      </c>
      <c r="S50" s="97">
        <f t="shared" ref="S50:AA50" si="28">$J$50*S2</f>
        <v>1100</v>
      </c>
      <c r="T50" s="97">
        <f t="shared" si="28"/>
        <v>466.66666666666669</v>
      </c>
      <c r="U50" s="97">
        <f t="shared" si="28"/>
        <v>1466.6666666666667</v>
      </c>
      <c r="V50" s="97">
        <f t="shared" si="28"/>
        <v>66.666666666666671</v>
      </c>
      <c r="W50" s="97">
        <f t="shared" si="28"/>
        <v>166.66666666666669</v>
      </c>
      <c r="X50" s="97">
        <f t="shared" si="28"/>
        <v>733.33333333333337</v>
      </c>
      <c r="Y50" s="97">
        <f t="shared" si="28"/>
        <v>166.66666666666669</v>
      </c>
      <c r="Z50" s="97">
        <f t="shared" si="28"/>
        <v>400</v>
      </c>
      <c r="AA50" s="97">
        <f t="shared" si="28"/>
        <v>166.66666666666669</v>
      </c>
      <c r="AB50" s="10">
        <f t="shared" si="21"/>
        <v>0</v>
      </c>
      <c r="AC50" s="10"/>
      <c r="AD50" s="10">
        <f t="shared" si="22"/>
        <v>0</v>
      </c>
      <c r="AE50" s="10">
        <f t="shared" si="23"/>
        <v>0</v>
      </c>
      <c r="AF50" s="93">
        <f>E50-H50-I50-J50-AB50-AA50</f>
        <v>-2.4442670110147446E-12</v>
      </c>
      <c r="AG50" s="94">
        <f t="shared" si="16"/>
        <v>0</v>
      </c>
    </row>
    <row r="51" spans="1:33" x14ac:dyDescent="0.25">
      <c r="A51" s="9">
        <v>613204</v>
      </c>
      <c r="B51" s="9">
        <v>613</v>
      </c>
      <c r="C51" s="322" t="s">
        <v>367</v>
      </c>
      <c r="D51" s="296"/>
      <c r="E51" s="299">
        <v>7000</v>
      </c>
      <c r="F51" s="93">
        <f>E51</f>
        <v>7000</v>
      </c>
      <c r="G51" s="93"/>
      <c r="H51" s="97"/>
      <c r="I51" s="97"/>
      <c r="J51" s="97"/>
      <c r="K51" s="97"/>
      <c r="L51" s="97"/>
      <c r="M51" s="97"/>
      <c r="N51" s="97"/>
      <c r="O51" s="97"/>
      <c r="P51" s="97"/>
      <c r="Q51" s="97"/>
      <c r="R51" s="97"/>
      <c r="S51" s="97"/>
      <c r="T51" s="97"/>
      <c r="U51" s="97"/>
      <c r="V51" s="97"/>
      <c r="W51" s="97"/>
      <c r="X51" s="97"/>
      <c r="Y51" s="97"/>
      <c r="Z51" s="97"/>
      <c r="AA51" s="97">
        <f>F51</f>
        <v>7000</v>
      </c>
      <c r="AB51" s="10">
        <f t="shared" si="21"/>
        <v>0</v>
      </c>
      <c r="AC51" s="10"/>
      <c r="AD51" s="10">
        <f t="shared" si="22"/>
        <v>0</v>
      </c>
      <c r="AE51" s="10">
        <f t="shared" si="23"/>
        <v>0</v>
      </c>
      <c r="AF51" s="93">
        <f>E51-H51-I51-J51-AB51-AA51</f>
        <v>0</v>
      </c>
      <c r="AG51" s="94"/>
    </row>
    <row r="52" spans="1:33" x14ac:dyDescent="0.25">
      <c r="A52" s="9">
        <v>613210</v>
      </c>
      <c r="B52" s="9">
        <v>613</v>
      </c>
      <c r="C52" s="20" t="s">
        <v>17</v>
      </c>
      <c r="D52" s="295">
        <v>700</v>
      </c>
      <c r="E52" s="299">
        <v>500</v>
      </c>
      <c r="F52" s="10"/>
      <c r="G52" s="93">
        <f t="shared" si="17"/>
        <v>500</v>
      </c>
      <c r="H52" s="97">
        <f>$G$52*H2</f>
        <v>79.166666666666671</v>
      </c>
      <c r="I52" s="97">
        <f>$G$52*I2</f>
        <v>160.83333333333331</v>
      </c>
      <c r="J52" s="97">
        <f>$G$52*J2</f>
        <v>255.8333333333334</v>
      </c>
      <c r="K52" s="97">
        <f>$J$52*K2</f>
        <v>4.166666666666667</v>
      </c>
      <c r="L52" s="97">
        <f t="shared" si="18"/>
        <v>8.3333333333333339</v>
      </c>
      <c r="M52" s="97">
        <f>$J$52*M2</f>
        <v>11.666666666666666</v>
      </c>
      <c r="N52" s="97">
        <f>$J$52*N2</f>
        <v>25.833333333333332</v>
      </c>
      <c r="O52" s="97">
        <f>$J$52*O2</f>
        <v>30.000000000000004</v>
      </c>
      <c r="P52" s="97">
        <f>$J$52*P2</f>
        <v>11.666666666666668</v>
      </c>
      <c r="Q52" s="97">
        <f>$J$52*Q2</f>
        <v>26.666666666666668</v>
      </c>
      <c r="R52" s="97">
        <f t="shared" si="19"/>
        <v>23.333333333333336</v>
      </c>
      <c r="S52" s="97">
        <f t="shared" ref="S52:AA52" si="29">$J$52*S2</f>
        <v>27.5</v>
      </c>
      <c r="T52" s="97">
        <f t="shared" si="29"/>
        <v>11.666666666666668</v>
      </c>
      <c r="U52" s="97">
        <f t="shared" si="29"/>
        <v>36.666666666666671</v>
      </c>
      <c r="V52" s="97">
        <f t="shared" si="29"/>
        <v>1.6666666666666667</v>
      </c>
      <c r="W52" s="97">
        <f t="shared" si="29"/>
        <v>4.166666666666667</v>
      </c>
      <c r="X52" s="97">
        <f t="shared" si="29"/>
        <v>18.333333333333336</v>
      </c>
      <c r="Y52" s="97">
        <f t="shared" si="29"/>
        <v>4.166666666666667</v>
      </c>
      <c r="Z52" s="97">
        <f t="shared" si="29"/>
        <v>10</v>
      </c>
      <c r="AA52" s="97">
        <f t="shared" si="29"/>
        <v>4.166666666666667</v>
      </c>
      <c r="AB52" s="10">
        <f t="shared" si="21"/>
        <v>0</v>
      </c>
      <c r="AC52" s="10"/>
      <c r="AD52" s="10">
        <f t="shared" si="22"/>
        <v>0</v>
      </c>
      <c r="AE52" s="10">
        <f t="shared" si="23"/>
        <v>0</v>
      </c>
      <c r="AF52" s="93">
        <f t="shared" ref="AF52:AF116" si="30">E52-H52-I52-J52-AB52-AA52</f>
        <v>-6.6613381477509392E-14</v>
      </c>
      <c r="AG52" s="94">
        <f t="shared" si="16"/>
        <v>0</v>
      </c>
    </row>
    <row r="53" spans="1:33" x14ac:dyDescent="0.25">
      <c r="A53" s="9">
        <v>617</v>
      </c>
      <c r="B53" s="9">
        <v>617</v>
      </c>
      <c r="C53" s="20" t="s">
        <v>279</v>
      </c>
      <c r="D53" s="295"/>
      <c r="E53" s="299">
        <v>300</v>
      </c>
      <c r="F53" s="93">
        <f>E53</f>
        <v>300</v>
      </c>
      <c r="G53" s="93"/>
      <c r="H53" s="20"/>
      <c r="I53" s="97">
        <f>F53</f>
        <v>300</v>
      </c>
      <c r="J53" s="20"/>
      <c r="K53" s="20"/>
      <c r="L53" s="97"/>
      <c r="M53" s="20"/>
      <c r="N53" s="20"/>
      <c r="O53" s="20"/>
      <c r="P53" s="20"/>
      <c r="Q53" s="20"/>
      <c r="R53" s="97"/>
      <c r="S53" s="20"/>
      <c r="T53" s="20"/>
      <c r="U53" s="20"/>
      <c r="V53" s="20"/>
      <c r="W53" s="20"/>
      <c r="X53" s="20"/>
      <c r="Y53" s="20"/>
      <c r="Z53" s="20"/>
      <c r="AA53" s="20"/>
      <c r="AB53" s="10"/>
      <c r="AC53" s="10"/>
      <c r="AD53" s="10"/>
      <c r="AE53" s="10"/>
      <c r="AF53" s="93">
        <f t="shared" si="30"/>
        <v>0</v>
      </c>
      <c r="AG53" s="94">
        <f t="shared" si="16"/>
        <v>0</v>
      </c>
    </row>
    <row r="54" spans="1:33" ht="30" x14ac:dyDescent="0.25">
      <c r="A54" s="9">
        <v>617</v>
      </c>
      <c r="B54" s="9">
        <v>617</v>
      </c>
      <c r="C54" s="323" t="s">
        <v>372</v>
      </c>
      <c r="D54" s="295"/>
      <c r="E54" s="299">
        <v>1400</v>
      </c>
      <c r="F54" s="93">
        <f>E54</f>
        <v>1400</v>
      </c>
      <c r="G54" s="93"/>
      <c r="H54" s="20"/>
      <c r="I54" s="97"/>
      <c r="J54" s="20"/>
      <c r="K54" s="20"/>
      <c r="L54" s="97"/>
      <c r="M54" s="20"/>
      <c r="N54" s="20"/>
      <c r="O54" s="20"/>
      <c r="P54" s="20"/>
      <c r="Q54" s="20"/>
      <c r="R54" s="97"/>
      <c r="S54" s="20"/>
      <c r="T54" s="20"/>
      <c r="U54" s="20"/>
      <c r="V54" s="20"/>
      <c r="W54" s="20"/>
      <c r="X54" s="20"/>
      <c r="Y54" s="20"/>
      <c r="Z54" s="20"/>
      <c r="AA54" s="97">
        <f>F54</f>
        <v>1400</v>
      </c>
      <c r="AB54" s="10"/>
      <c r="AC54" s="10"/>
      <c r="AD54" s="10"/>
      <c r="AE54" s="10"/>
      <c r="AF54" s="93">
        <f t="shared" si="30"/>
        <v>0</v>
      </c>
      <c r="AG54" s="94"/>
    </row>
    <row r="55" spans="1:33" x14ac:dyDescent="0.25">
      <c r="A55" s="9">
        <v>616</v>
      </c>
      <c r="B55" s="9">
        <v>616</v>
      </c>
      <c r="C55" s="20" t="s">
        <v>18</v>
      </c>
      <c r="D55" s="295">
        <v>10000</v>
      </c>
      <c r="E55" s="299">
        <v>0</v>
      </c>
      <c r="F55" s="93">
        <f>E55</f>
        <v>0</v>
      </c>
      <c r="G55" s="10"/>
      <c r="H55" s="20"/>
      <c r="I55" s="20"/>
      <c r="J55" s="20"/>
      <c r="K55" s="20"/>
      <c r="L55" s="97"/>
      <c r="M55" s="20"/>
      <c r="N55" s="20"/>
      <c r="O55" s="20"/>
      <c r="P55" s="20"/>
      <c r="Q55" s="20"/>
      <c r="R55" s="97"/>
      <c r="S55" s="20"/>
      <c r="T55" s="20"/>
      <c r="U55" s="20"/>
      <c r="V55" s="20"/>
      <c r="W55" s="20"/>
      <c r="X55" s="20"/>
      <c r="Y55" s="20"/>
      <c r="Z55" s="20"/>
      <c r="AA55" s="20"/>
      <c r="AB55" s="93">
        <f>AC55</f>
        <v>0</v>
      </c>
      <c r="AC55" s="93">
        <f>F55</f>
        <v>0</v>
      </c>
      <c r="AD55" s="93"/>
      <c r="AE55" s="93"/>
      <c r="AF55" s="93">
        <f t="shared" si="30"/>
        <v>0</v>
      </c>
      <c r="AG55" s="94">
        <f t="shared" si="16"/>
        <v>0</v>
      </c>
    </row>
    <row r="56" spans="1:33" x14ac:dyDescent="0.25">
      <c r="A56" s="9">
        <v>6152</v>
      </c>
      <c r="B56" s="9">
        <v>615</v>
      </c>
      <c r="C56" s="20" t="s">
        <v>208</v>
      </c>
      <c r="D56" s="295">
        <v>200</v>
      </c>
      <c r="E56" s="299">
        <v>2100</v>
      </c>
      <c r="F56" s="10"/>
      <c r="G56" s="93">
        <f>E56</f>
        <v>2100</v>
      </c>
      <c r="H56" s="97">
        <f>$G$56*H2</f>
        <v>332.50000000000006</v>
      </c>
      <c r="I56" s="97">
        <f>$G$56*I2</f>
        <v>675.49999999999989</v>
      </c>
      <c r="J56" s="97">
        <f>$G$56*J2</f>
        <v>1074.5000000000002</v>
      </c>
      <c r="K56" s="97">
        <f>$J$56*K2</f>
        <v>17.5</v>
      </c>
      <c r="L56" s="97">
        <f>J56*$L$2</f>
        <v>35</v>
      </c>
      <c r="M56" s="97">
        <f>$J$56*M2</f>
        <v>48.999999999999993</v>
      </c>
      <c r="N56" s="97">
        <f>$J$56*N2</f>
        <v>108.5</v>
      </c>
      <c r="O56" s="97">
        <f>$J$56*O2</f>
        <v>126.00000000000001</v>
      </c>
      <c r="P56" s="97">
        <f>$J$56*P2</f>
        <v>49</v>
      </c>
      <c r="Q56" s="97">
        <f>$J$56*Q2</f>
        <v>112</v>
      </c>
      <c r="R56" s="97">
        <f>J56*$R$2</f>
        <v>98</v>
      </c>
      <c r="S56" s="97">
        <f t="shared" ref="S56:AA56" si="31">$J$56*S2</f>
        <v>115.5</v>
      </c>
      <c r="T56" s="97">
        <f t="shared" si="31"/>
        <v>49</v>
      </c>
      <c r="U56" s="97">
        <f t="shared" si="31"/>
        <v>154</v>
      </c>
      <c r="V56" s="97">
        <f t="shared" si="31"/>
        <v>7</v>
      </c>
      <c r="W56" s="97">
        <f t="shared" si="31"/>
        <v>17.5</v>
      </c>
      <c r="X56" s="97">
        <f t="shared" si="31"/>
        <v>77</v>
      </c>
      <c r="Y56" s="97">
        <f t="shared" si="31"/>
        <v>17.5</v>
      </c>
      <c r="Z56" s="97">
        <f t="shared" si="31"/>
        <v>42</v>
      </c>
      <c r="AA56" s="97">
        <f t="shared" si="31"/>
        <v>17.5</v>
      </c>
      <c r="AB56" s="10">
        <f t="shared" ref="AB56:AB66" si="32">G56*$AB$2</f>
        <v>0</v>
      </c>
      <c r="AC56" s="10"/>
      <c r="AD56" s="10">
        <f t="shared" ref="AD56:AD66" si="33">AB56*$AD$2</f>
        <v>0</v>
      </c>
      <c r="AE56" s="10">
        <f t="shared" ref="AE56:AE66" si="34">AB56*$AE$2</f>
        <v>0</v>
      </c>
      <c r="AF56" s="93">
        <f t="shared" si="30"/>
        <v>-2.2737367544323206E-13</v>
      </c>
      <c r="AG56" s="94">
        <f t="shared" si="16"/>
        <v>0</v>
      </c>
    </row>
    <row r="57" spans="1:33" ht="30" x14ac:dyDescent="0.25">
      <c r="A57" s="9">
        <v>6152</v>
      </c>
      <c r="B57" s="9">
        <v>615</v>
      </c>
      <c r="C57" s="323" t="s">
        <v>368</v>
      </c>
      <c r="D57" s="295"/>
      <c r="E57" s="299">
        <v>200</v>
      </c>
      <c r="F57" s="93">
        <f>E57</f>
        <v>200</v>
      </c>
      <c r="G57" s="93"/>
      <c r="H57" s="97"/>
      <c r="I57" s="97"/>
      <c r="J57" s="97"/>
      <c r="K57" s="97"/>
      <c r="L57" s="97"/>
      <c r="M57" s="97"/>
      <c r="N57" s="97"/>
      <c r="O57" s="97"/>
      <c r="P57" s="97"/>
      <c r="Q57" s="97"/>
      <c r="R57" s="97"/>
      <c r="S57" s="97"/>
      <c r="T57" s="97"/>
      <c r="U57" s="97"/>
      <c r="V57" s="97"/>
      <c r="W57" s="97"/>
      <c r="X57" s="97"/>
      <c r="Y57" s="97"/>
      <c r="Z57" s="97"/>
      <c r="AA57" s="97">
        <f>F57</f>
        <v>200</v>
      </c>
      <c r="AB57" s="10"/>
      <c r="AC57" s="10"/>
      <c r="AD57" s="10"/>
      <c r="AE57" s="10"/>
      <c r="AF57" s="93">
        <f t="shared" si="30"/>
        <v>0</v>
      </c>
      <c r="AG57" s="94"/>
    </row>
    <row r="58" spans="1:33" x14ac:dyDescent="0.25">
      <c r="A58" s="9">
        <v>615</v>
      </c>
      <c r="B58" s="9">
        <v>615</v>
      </c>
      <c r="C58" s="20" t="s">
        <v>20</v>
      </c>
      <c r="D58" s="295">
        <v>2100</v>
      </c>
      <c r="E58" s="299">
        <v>2200</v>
      </c>
      <c r="F58" s="10"/>
      <c r="G58" s="93">
        <f>E58</f>
        <v>2200</v>
      </c>
      <c r="H58" s="97">
        <f>$G$58*H2</f>
        <v>348.33333333333337</v>
      </c>
      <c r="I58" s="97">
        <f>$G$58*I2</f>
        <v>707.66666666666652</v>
      </c>
      <c r="J58" s="97">
        <f>$G$58*J2</f>
        <v>1125.666666666667</v>
      </c>
      <c r="K58" s="97">
        <f>$J$58*K2</f>
        <v>18.333333333333336</v>
      </c>
      <c r="L58" s="97">
        <f>J58*$L$2</f>
        <v>36.666666666666671</v>
      </c>
      <c r="M58" s="97">
        <f>$J$58*M2</f>
        <v>51.333333333333329</v>
      </c>
      <c r="N58" s="97">
        <f>$J$58*N2</f>
        <v>113.66666666666667</v>
      </c>
      <c r="O58" s="97">
        <f>$J$58*O2</f>
        <v>132.00000000000003</v>
      </c>
      <c r="P58" s="97">
        <f>$J$58*P2</f>
        <v>51.333333333333336</v>
      </c>
      <c r="Q58" s="97">
        <f>$J$58*Q2</f>
        <v>117.33333333333334</v>
      </c>
      <c r="R58" s="97">
        <f>J58*$R$2</f>
        <v>102.66666666666667</v>
      </c>
      <c r="S58" s="97">
        <f t="shared" ref="S58:AA58" si="35">$J$58*S2</f>
        <v>121.00000000000001</v>
      </c>
      <c r="T58" s="97">
        <f t="shared" si="35"/>
        <v>51.333333333333336</v>
      </c>
      <c r="U58" s="97">
        <f t="shared" si="35"/>
        <v>161.33333333333334</v>
      </c>
      <c r="V58" s="97">
        <f t="shared" si="35"/>
        <v>7.3333333333333339</v>
      </c>
      <c r="W58" s="97">
        <f t="shared" si="35"/>
        <v>18.333333333333336</v>
      </c>
      <c r="X58" s="97">
        <f t="shared" si="35"/>
        <v>80.666666666666671</v>
      </c>
      <c r="Y58" s="97">
        <f t="shared" si="35"/>
        <v>18.333333333333336</v>
      </c>
      <c r="Z58" s="97">
        <f t="shared" si="35"/>
        <v>44</v>
      </c>
      <c r="AA58" s="97">
        <f t="shared" si="35"/>
        <v>18.333333333333336</v>
      </c>
      <c r="AB58" s="10">
        <f t="shared" si="32"/>
        <v>0</v>
      </c>
      <c r="AC58" s="10"/>
      <c r="AD58" s="10">
        <f t="shared" si="33"/>
        <v>0</v>
      </c>
      <c r="AE58" s="10">
        <f t="shared" si="34"/>
        <v>0</v>
      </c>
      <c r="AF58" s="93">
        <f t="shared" si="30"/>
        <v>-3.0553337637684308E-13</v>
      </c>
      <c r="AG58" s="94">
        <f t="shared" si="16"/>
        <v>0</v>
      </c>
    </row>
    <row r="59" spans="1:33" x14ac:dyDescent="0.25">
      <c r="A59" s="9">
        <v>615</v>
      </c>
      <c r="B59" s="9">
        <v>615</v>
      </c>
      <c r="C59" s="322" t="s">
        <v>369</v>
      </c>
      <c r="D59" s="295"/>
      <c r="E59" s="299">
        <v>1100</v>
      </c>
      <c r="F59" s="93">
        <f>E59</f>
        <v>1100</v>
      </c>
      <c r="G59" s="93"/>
      <c r="H59" s="97"/>
      <c r="I59" s="97"/>
      <c r="J59" s="97"/>
      <c r="K59" s="97"/>
      <c r="L59" s="97"/>
      <c r="M59" s="97"/>
      <c r="N59" s="97"/>
      <c r="O59" s="97"/>
      <c r="P59" s="97"/>
      <c r="Q59" s="97"/>
      <c r="R59" s="97"/>
      <c r="S59" s="97"/>
      <c r="T59" s="97"/>
      <c r="U59" s="97"/>
      <c r="V59" s="97"/>
      <c r="W59" s="97"/>
      <c r="X59" s="97"/>
      <c r="Y59" s="97"/>
      <c r="Z59" s="97"/>
      <c r="AA59" s="97">
        <f>F59</f>
        <v>1100</v>
      </c>
      <c r="AB59" s="10"/>
      <c r="AC59" s="10"/>
      <c r="AD59" s="10"/>
      <c r="AE59" s="10"/>
      <c r="AF59" s="93">
        <f t="shared" si="30"/>
        <v>0</v>
      </c>
      <c r="AG59" s="94"/>
    </row>
    <row r="60" spans="1:33" ht="30" x14ac:dyDescent="0.25">
      <c r="A60" s="9">
        <v>615</v>
      </c>
      <c r="B60" s="9">
        <v>615</v>
      </c>
      <c r="C60" s="22" t="s">
        <v>21</v>
      </c>
      <c r="D60" s="295">
        <v>1000</v>
      </c>
      <c r="E60" s="299">
        <v>2000</v>
      </c>
      <c r="F60" s="10"/>
      <c r="G60" s="93">
        <f>E60</f>
        <v>2000</v>
      </c>
      <c r="H60" s="97">
        <f>$G$60*H2</f>
        <v>316.66666666666669</v>
      </c>
      <c r="I60" s="97">
        <f>$G$60*I2</f>
        <v>643.33333333333326</v>
      </c>
      <c r="J60" s="97">
        <f>$G$60*J2</f>
        <v>1023.3333333333336</v>
      </c>
      <c r="K60" s="97">
        <f>$J$60*K2</f>
        <v>16.666666666666668</v>
      </c>
      <c r="L60" s="97">
        <f>J60*$L$2</f>
        <v>33.333333333333336</v>
      </c>
      <c r="M60" s="97">
        <f>$J$60*M2</f>
        <v>46.666666666666664</v>
      </c>
      <c r="N60" s="97">
        <f>$J$60*N2</f>
        <v>103.33333333333333</v>
      </c>
      <c r="O60" s="97">
        <f>$J$60*O2</f>
        <v>120.00000000000001</v>
      </c>
      <c r="P60" s="97">
        <f>$J$60*P2</f>
        <v>46.666666666666671</v>
      </c>
      <c r="Q60" s="97">
        <f>$J$60*Q2</f>
        <v>106.66666666666667</v>
      </c>
      <c r="R60" s="97">
        <f>J60*$R$2</f>
        <v>93.333333333333343</v>
      </c>
      <c r="S60" s="97">
        <f t="shared" ref="S60:AA60" si="36">$J$60*S2</f>
        <v>110</v>
      </c>
      <c r="T60" s="97">
        <f t="shared" si="36"/>
        <v>46.666666666666671</v>
      </c>
      <c r="U60" s="97">
        <f t="shared" si="36"/>
        <v>146.66666666666669</v>
      </c>
      <c r="V60" s="97">
        <f t="shared" si="36"/>
        <v>6.666666666666667</v>
      </c>
      <c r="W60" s="97">
        <f t="shared" si="36"/>
        <v>16.666666666666668</v>
      </c>
      <c r="X60" s="97">
        <f t="shared" si="36"/>
        <v>73.333333333333343</v>
      </c>
      <c r="Y60" s="97">
        <f t="shared" si="36"/>
        <v>16.666666666666668</v>
      </c>
      <c r="Z60" s="97">
        <f t="shared" si="36"/>
        <v>40</v>
      </c>
      <c r="AA60" s="97">
        <f t="shared" si="36"/>
        <v>16.666666666666668</v>
      </c>
      <c r="AB60" s="10">
        <f t="shared" si="32"/>
        <v>0</v>
      </c>
      <c r="AC60" s="10"/>
      <c r="AD60" s="10">
        <f t="shared" si="33"/>
        <v>0</v>
      </c>
      <c r="AE60" s="10">
        <f t="shared" si="34"/>
        <v>0</v>
      </c>
      <c r="AF60" s="93">
        <f t="shared" si="30"/>
        <v>-2.6645352591003757E-13</v>
      </c>
      <c r="AG60" s="94">
        <f t="shared" si="16"/>
        <v>0</v>
      </c>
    </row>
    <row r="61" spans="1:33" ht="30" x14ac:dyDescent="0.25">
      <c r="A61" s="9">
        <v>615</v>
      </c>
      <c r="B61" s="9">
        <v>615</v>
      </c>
      <c r="C61" s="323" t="s">
        <v>370</v>
      </c>
      <c r="D61" s="295"/>
      <c r="E61" s="299">
        <v>300</v>
      </c>
      <c r="F61" s="93">
        <f>E61</f>
        <v>300</v>
      </c>
      <c r="G61" s="93"/>
      <c r="H61" s="97"/>
      <c r="I61" s="97"/>
      <c r="J61" s="97"/>
      <c r="K61" s="97"/>
      <c r="L61" s="97"/>
      <c r="M61" s="97"/>
      <c r="N61" s="97"/>
      <c r="O61" s="97"/>
      <c r="P61" s="97"/>
      <c r="Q61" s="97"/>
      <c r="R61" s="97"/>
      <c r="S61" s="97"/>
      <c r="T61" s="97"/>
      <c r="U61" s="97"/>
      <c r="V61" s="97"/>
      <c r="W61" s="97"/>
      <c r="X61" s="97"/>
      <c r="Y61" s="97"/>
      <c r="Z61" s="97"/>
      <c r="AA61" s="97">
        <f>F61</f>
        <v>300</v>
      </c>
      <c r="AB61" s="10"/>
      <c r="AC61" s="10"/>
      <c r="AD61" s="10"/>
      <c r="AE61" s="10"/>
      <c r="AF61" s="93">
        <f t="shared" si="30"/>
        <v>0</v>
      </c>
      <c r="AG61" s="94"/>
    </row>
    <row r="62" spans="1:33" x14ac:dyDescent="0.25">
      <c r="A62" s="9">
        <v>615</v>
      </c>
      <c r="B62" s="9">
        <v>615</v>
      </c>
      <c r="C62" s="22" t="s">
        <v>209</v>
      </c>
      <c r="D62" s="295"/>
      <c r="E62" s="299">
        <v>2800</v>
      </c>
      <c r="F62" s="93">
        <f>E62</f>
        <v>2800</v>
      </c>
      <c r="G62" s="93"/>
      <c r="H62" s="97"/>
      <c r="I62" s="97">
        <f>F62</f>
        <v>2800</v>
      </c>
      <c r="J62" s="97"/>
      <c r="K62" s="97"/>
      <c r="L62" s="97"/>
      <c r="M62" s="97"/>
      <c r="N62" s="97"/>
      <c r="O62" s="97"/>
      <c r="P62" s="97"/>
      <c r="Q62" s="97"/>
      <c r="R62" s="97"/>
      <c r="S62" s="97"/>
      <c r="T62" s="97"/>
      <c r="U62" s="97"/>
      <c r="V62" s="97"/>
      <c r="W62" s="97"/>
      <c r="X62" s="97"/>
      <c r="Y62" s="97"/>
      <c r="Z62" s="97"/>
      <c r="AA62" s="97"/>
      <c r="AB62" s="10">
        <f t="shared" si="32"/>
        <v>0</v>
      </c>
      <c r="AC62" s="10"/>
      <c r="AD62" s="10">
        <f t="shared" si="33"/>
        <v>0</v>
      </c>
      <c r="AE62" s="10">
        <f t="shared" si="34"/>
        <v>0</v>
      </c>
      <c r="AF62" s="93">
        <f t="shared" si="30"/>
        <v>0</v>
      </c>
      <c r="AG62" s="94">
        <f t="shared" si="16"/>
        <v>0</v>
      </c>
    </row>
    <row r="63" spans="1:33" x14ac:dyDescent="0.25">
      <c r="A63" s="9">
        <v>61805</v>
      </c>
      <c r="B63" s="9">
        <v>618</v>
      </c>
      <c r="C63" s="20" t="s">
        <v>22</v>
      </c>
      <c r="D63" s="295"/>
      <c r="E63" s="299">
        <v>400</v>
      </c>
      <c r="F63" s="10"/>
      <c r="G63" s="93">
        <f>E63</f>
        <v>400</v>
      </c>
      <c r="H63" s="97">
        <f>$G$63*H2</f>
        <v>63.333333333333343</v>
      </c>
      <c r="I63" s="97">
        <f>$G$63*I2</f>
        <v>128.66666666666663</v>
      </c>
      <c r="J63" s="97">
        <f>$G$63*J2</f>
        <v>204.66666666666674</v>
      </c>
      <c r="K63" s="97">
        <f>$J$63*K2</f>
        <v>3.3333333333333339</v>
      </c>
      <c r="L63" s="97">
        <f>J63*$L$2</f>
        <v>6.6666666666666679</v>
      </c>
      <c r="M63" s="97">
        <f>$J$63*M2</f>
        <v>9.3333333333333339</v>
      </c>
      <c r="N63" s="97">
        <f>$J$63*N2</f>
        <v>20.666666666666668</v>
      </c>
      <c r="O63" s="97">
        <f>$J$63*O2</f>
        <v>24.000000000000007</v>
      </c>
      <c r="P63" s="97">
        <f>$J$63*P2</f>
        <v>9.3333333333333357</v>
      </c>
      <c r="Q63" s="97">
        <f>$J$63*Q2</f>
        <v>21.333333333333336</v>
      </c>
      <c r="R63" s="97">
        <f>J63*$R$2</f>
        <v>18.666666666666671</v>
      </c>
      <c r="S63" s="97">
        <f t="shared" ref="S63:AA63" si="37">$J$63*S2</f>
        <v>22.000000000000004</v>
      </c>
      <c r="T63" s="97">
        <f t="shared" si="37"/>
        <v>9.3333333333333357</v>
      </c>
      <c r="U63" s="97">
        <f t="shared" si="37"/>
        <v>29.333333333333339</v>
      </c>
      <c r="V63" s="97">
        <f t="shared" si="37"/>
        <v>1.3333333333333335</v>
      </c>
      <c r="W63" s="97">
        <f t="shared" si="37"/>
        <v>3.3333333333333339</v>
      </c>
      <c r="X63" s="97">
        <f t="shared" si="37"/>
        <v>14.66666666666667</v>
      </c>
      <c r="Y63" s="97">
        <f t="shared" si="37"/>
        <v>3.3333333333333339</v>
      </c>
      <c r="Z63" s="97">
        <f t="shared" si="37"/>
        <v>8</v>
      </c>
      <c r="AA63" s="97">
        <f t="shared" si="37"/>
        <v>3.3333333333333339</v>
      </c>
      <c r="AB63" s="10">
        <f t="shared" si="32"/>
        <v>0</v>
      </c>
      <c r="AC63" s="10"/>
      <c r="AD63" s="10">
        <f t="shared" si="33"/>
        <v>0</v>
      </c>
      <c r="AE63" s="10">
        <f t="shared" si="34"/>
        <v>0</v>
      </c>
      <c r="AF63" s="93">
        <f t="shared" si="30"/>
        <v>-7.638334409421077E-14</v>
      </c>
      <c r="AG63" s="94">
        <f t="shared" si="16"/>
        <v>0</v>
      </c>
    </row>
    <row r="64" spans="1:33" x14ac:dyDescent="0.25">
      <c r="A64" s="9">
        <v>61804</v>
      </c>
      <c r="B64" s="9">
        <v>618</v>
      </c>
      <c r="C64" s="20" t="s">
        <v>280</v>
      </c>
      <c r="D64" s="295"/>
      <c r="E64" s="299">
        <v>1200</v>
      </c>
      <c r="F64" s="10"/>
      <c r="G64" s="93">
        <f>E64</f>
        <v>1200</v>
      </c>
      <c r="H64" s="97">
        <f>$G$64*H2</f>
        <v>190.00000000000003</v>
      </c>
      <c r="I64" s="97">
        <f>$G$64*I2</f>
        <v>385.99999999999994</v>
      </c>
      <c r="J64" s="97">
        <f>$G$64*J2</f>
        <v>614.00000000000023</v>
      </c>
      <c r="K64" s="97">
        <f t="shared" ref="K64:Q64" si="38">$J$64*K2</f>
        <v>10.000000000000002</v>
      </c>
      <c r="L64" s="97">
        <f t="shared" si="38"/>
        <v>20.000000000000004</v>
      </c>
      <c r="M64" s="97">
        <f t="shared" si="38"/>
        <v>28</v>
      </c>
      <c r="N64" s="97">
        <f t="shared" si="38"/>
        <v>62.000000000000007</v>
      </c>
      <c r="O64" s="97">
        <f t="shared" si="38"/>
        <v>72.000000000000014</v>
      </c>
      <c r="P64" s="97">
        <f t="shared" si="38"/>
        <v>28.000000000000007</v>
      </c>
      <c r="Q64" s="97">
        <f t="shared" si="38"/>
        <v>64.000000000000014</v>
      </c>
      <c r="R64" s="97">
        <f>J64*$R$2</f>
        <v>56.000000000000014</v>
      </c>
      <c r="S64" s="97">
        <f t="shared" ref="S64:AA64" si="39">$J$64*S2</f>
        <v>66.000000000000014</v>
      </c>
      <c r="T64" s="97">
        <f t="shared" si="39"/>
        <v>28.000000000000007</v>
      </c>
      <c r="U64" s="97">
        <f t="shared" si="39"/>
        <v>88.000000000000014</v>
      </c>
      <c r="V64" s="97">
        <f t="shared" si="39"/>
        <v>4.0000000000000009</v>
      </c>
      <c r="W64" s="97">
        <f t="shared" si="39"/>
        <v>10.000000000000002</v>
      </c>
      <c r="X64" s="97">
        <f t="shared" si="39"/>
        <v>44.000000000000007</v>
      </c>
      <c r="Y64" s="97">
        <f t="shared" si="39"/>
        <v>10.000000000000002</v>
      </c>
      <c r="Z64" s="97">
        <f t="shared" si="39"/>
        <v>24.000000000000004</v>
      </c>
      <c r="AA64" s="97">
        <f t="shared" si="39"/>
        <v>10.000000000000002</v>
      </c>
      <c r="AB64" s="10">
        <f t="shared" si="32"/>
        <v>0</v>
      </c>
      <c r="AC64" s="10"/>
      <c r="AD64" s="10">
        <f t="shared" si="33"/>
        <v>0</v>
      </c>
      <c r="AE64" s="10">
        <f t="shared" si="34"/>
        <v>0</v>
      </c>
      <c r="AF64" s="93">
        <f t="shared" si="30"/>
        <v>-2.2915003228263231E-13</v>
      </c>
      <c r="AG64" s="94"/>
    </row>
    <row r="65" spans="1:33" ht="30" x14ac:dyDescent="0.25">
      <c r="A65" s="9">
        <v>61804</v>
      </c>
      <c r="B65" s="9">
        <v>618</v>
      </c>
      <c r="C65" s="323" t="s">
        <v>373</v>
      </c>
      <c r="D65" s="295"/>
      <c r="E65" s="299">
        <v>3000</v>
      </c>
      <c r="F65" s="93">
        <f>E65</f>
        <v>3000</v>
      </c>
      <c r="G65" s="93"/>
      <c r="H65" s="97"/>
      <c r="I65" s="97"/>
      <c r="J65" s="97"/>
      <c r="K65" s="97"/>
      <c r="L65" s="97"/>
      <c r="M65" s="97"/>
      <c r="N65" s="97"/>
      <c r="O65" s="97"/>
      <c r="P65" s="97"/>
      <c r="Q65" s="97"/>
      <c r="R65" s="97"/>
      <c r="S65" s="97"/>
      <c r="T65" s="97"/>
      <c r="U65" s="97"/>
      <c r="V65" s="97"/>
      <c r="W65" s="97"/>
      <c r="X65" s="97"/>
      <c r="Y65" s="97"/>
      <c r="Z65" s="97"/>
      <c r="AA65" s="97">
        <f>F65</f>
        <v>3000</v>
      </c>
      <c r="AB65" s="10"/>
      <c r="AC65" s="10"/>
      <c r="AD65" s="10"/>
      <c r="AE65" s="10"/>
      <c r="AF65" s="93">
        <f t="shared" si="30"/>
        <v>0</v>
      </c>
      <c r="AG65" s="94"/>
    </row>
    <row r="66" spans="1:33" x14ac:dyDescent="0.25">
      <c r="A66" s="9">
        <v>6234</v>
      </c>
      <c r="B66" s="9">
        <v>623</v>
      </c>
      <c r="C66" s="20" t="s">
        <v>253</v>
      </c>
      <c r="D66" s="295"/>
      <c r="E66" s="299">
        <v>800</v>
      </c>
      <c r="F66" s="10"/>
      <c r="G66" s="93">
        <f>E66</f>
        <v>800</v>
      </c>
      <c r="H66" s="97">
        <f>$G$66*H2</f>
        <v>126.66666666666669</v>
      </c>
      <c r="I66" s="97">
        <f>$G$66*I2</f>
        <v>257.33333333333326</v>
      </c>
      <c r="J66" s="97">
        <f>$G$66*J2</f>
        <v>409.33333333333348</v>
      </c>
      <c r="K66" s="97">
        <f>$J$66*K2</f>
        <v>6.6666666666666679</v>
      </c>
      <c r="L66" s="97">
        <f>J66*$L$2</f>
        <v>13.333333333333336</v>
      </c>
      <c r="M66" s="97">
        <f>$J$66*$M$2</f>
        <v>18.666666666666668</v>
      </c>
      <c r="N66" s="97">
        <f>$J$66*$N$2</f>
        <v>41.333333333333336</v>
      </c>
      <c r="O66" s="97">
        <f>$J$66*$O$2</f>
        <v>48.000000000000014</v>
      </c>
      <c r="P66" s="97">
        <f>$J$66*P2</f>
        <v>18.666666666666671</v>
      </c>
      <c r="Q66" s="97">
        <f>$J$66*Q2</f>
        <v>42.666666666666671</v>
      </c>
      <c r="R66" s="97">
        <f>J66*$R$2</f>
        <v>37.333333333333343</v>
      </c>
      <c r="S66" s="97">
        <f t="shared" ref="S66:AA66" si="40">$J$66*S2</f>
        <v>44.000000000000007</v>
      </c>
      <c r="T66" s="97">
        <f t="shared" si="40"/>
        <v>18.666666666666671</v>
      </c>
      <c r="U66" s="97">
        <f t="shared" si="40"/>
        <v>58.666666666666679</v>
      </c>
      <c r="V66" s="97">
        <f t="shared" si="40"/>
        <v>2.666666666666667</v>
      </c>
      <c r="W66" s="97">
        <f t="shared" si="40"/>
        <v>6.6666666666666679</v>
      </c>
      <c r="X66" s="97">
        <f t="shared" si="40"/>
        <v>29.333333333333339</v>
      </c>
      <c r="Y66" s="97">
        <f t="shared" si="40"/>
        <v>6.6666666666666679</v>
      </c>
      <c r="Z66" s="97">
        <f t="shared" si="40"/>
        <v>16</v>
      </c>
      <c r="AA66" s="97">
        <f t="shared" si="40"/>
        <v>6.6666666666666679</v>
      </c>
      <c r="AB66" s="10">
        <f t="shared" si="32"/>
        <v>0</v>
      </c>
      <c r="AC66" s="10"/>
      <c r="AD66" s="10">
        <f t="shared" si="33"/>
        <v>0</v>
      </c>
      <c r="AE66" s="10">
        <f t="shared" si="34"/>
        <v>0</v>
      </c>
      <c r="AF66" s="93">
        <f t="shared" si="30"/>
        <v>-1.5276668818842154E-13</v>
      </c>
      <c r="AG66" s="94"/>
    </row>
    <row r="67" spans="1:33" x14ac:dyDescent="0.25">
      <c r="A67" s="9">
        <v>6230</v>
      </c>
      <c r="B67" s="9">
        <v>623</v>
      </c>
      <c r="C67" s="20" t="s">
        <v>251</v>
      </c>
      <c r="D67" s="295">
        <v>500</v>
      </c>
      <c r="E67" s="299">
        <v>600</v>
      </c>
      <c r="F67" s="93">
        <f t="shared" ref="F67:F73" si="41">E67</f>
        <v>600</v>
      </c>
      <c r="G67" s="10"/>
      <c r="H67" s="20"/>
      <c r="I67" s="97">
        <f>F67</f>
        <v>600</v>
      </c>
      <c r="J67" s="97"/>
      <c r="K67" s="20"/>
      <c r="L67" s="97"/>
      <c r="M67" s="20"/>
      <c r="N67" s="20"/>
      <c r="O67" s="20"/>
      <c r="P67" s="20"/>
      <c r="Q67" s="97"/>
      <c r="R67" s="97"/>
      <c r="S67" s="97"/>
      <c r="T67" s="20"/>
      <c r="U67" s="20"/>
      <c r="V67" s="20"/>
      <c r="W67" s="20"/>
      <c r="X67" s="20"/>
      <c r="Y67" s="20"/>
      <c r="Z67" s="20"/>
      <c r="AA67" s="20"/>
      <c r="AB67" s="10"/>
      <c r="AC67" s="10"/>
      <c r="AD67" s="10"/>
      <c r="AE67" s="10"/>
      <c r="AF67" s="93">
        <f t="shared" si="30"/>
        <v>0</v>
      </c>
      <c r="AG67" s="94">
        <f>J67-SUM(K67:Z67)</f>
        <v>0</v>
      </c>
    </row>
    <row r="68" spans="1:33" ht="30" x14ac:dyDescent="0.25">
      <c r="A68" s="9">
        <v>6230</v>
      </c>
      <c r="B68" s="9">
        <v>623</v>
      </c>
      <c r="C68" s="323" t="s">
        <v>380</v>
      </c>
      <c r="D68" s="295"/>
      <c r="E68" s="299">
        <v>300</v>
      </c>
      <c r="F68" s="93">
        <f t="shared" si="41"/>
        <v>300</v>
      </c>
      <c r="G68" s="10"/>
      <c r="H68" s="20"/>
      <c r="I68" s="97"/>
      <c r="J68" s="97"/>
      <c r="K68" s="20"/>
      <c r="L68" s="97"/>
      <c r="M68" s="20"/>
      <c r="N68" s="20"/>
      <c r="O68" s="20"/>
      <c r="P68" s="20"/>
      <c r="Q68" s="97"/>
      <c r="R68" s="97"/>
      <c r="S68" s="97"/>
      <c r="T68" s="20"/>
      <c r="U68" s="20"/>
      <c r="V68" s="20"/>
      <c r="W68" s="20"/>
      <c r="X68" s="20"/>
      <c r="Y68" s="20"/>
      <c r="Z68" s="20"/>
      <c r="AA68" s="97">
        <f>F68</f>
        <v>300</v>
      </c>
      <c r="AB68" s="10"/>
      <c r="AC68" s="10"/>
      <c r="AD68" s="10"/>
      <c r="AE68" s="10"/>
      <c r="AF68" s="93">
        <f t="shared" si="30"/>
        <v>0</v>
      </c>
      <c r="AG68" s="94"/>
    </row>
    <row r="69" spans="1:33" x14ac:dyDescent="0.25">
      <c r="A69" s="9">
        <v>6230</v>
      </c>
      <c r="B69" s="9">
        <v>623</v>
      </c>
      <c r="C69" s="20" t="s">
        <v>281</v>
      </c>
      <c r="D69" s="295"/>
      <c r="E69" s="299">
        <v>800</v>
      </c>
      <c r="F69" s="93">
        <f t="shared" si="41"/>
        <v>800</v>
      </c>
      <c r="G69" s="10"/>
      <c r="H69" s="20"/>
      <c r="I69" s="20"/>
      <c r="J69" s="97">
        <f>Q69+S69</f>
        <v>800</v>
      </c>
      <c r="K69" s="20"/>
      <c r="L69" s="97"/>
      <c r="M69" s="20"/>
      <c r="N69" s="20"/>
      <c r="O69" s="20"/>
      <c r="P69" s="20"/>
      <c r="Q69" s="97">
        <f>F69</f>
        <v>800</v>
      </c>
      <c r="R69" s="97"/>
      <c r="S69" s="97"/>
      <c r="T69" s="20"/>
      <c r="U69" s="20"/>
      <c r="V69" s="20"/>
      <c r="W69" s="20"/>
      <c r="X69" s="20"/>
      <c r="Y69" s="20"/>
      <c r="Z69" s="20"/>
      <c r="AA69" s="20"/>
      <c r="AB69" s="10"/>
      <c r="AC69" s="10"/>
      <c r="AD69" s="10"/>
      <c r="AE69" s="10"/>
      <c r="AF69" s="93">
        <f>E69-H69-I69-J69-AB69-AA69</f>
        <v>0</v>
      </c>
      <c r="AG69" s="94">
        <f>J69-SUM(K69:Z69)</f>
        <v>0</v>
      </c>
    </row>
    <row r="70" spans="1:33" ht="30" x14ac:dyDescent="0.25">
      <c r="A70" s="9">
        <v>6230</v>
      </c>
      <c r="B70" s="9">
        <v>623</v>
      </c>
      <c r="C70" s="323" t="s">
        <v>381</v>
      </c>
      <c r="D70" s="295"/>
      <c r="E70" s="299">
        <v>300</v>
      </c>
      <c r="F70" s="93">
        <f t="shared" si="41"/>
        <v>300</v>
      </c>
      <c r="G70" s="10"/>
      <c r="H70" s="20"/>
      <c r="I70" s="20"/>
      <c r="J70" s="97"/>
      <c r="K70" s="20"/>
      <c r="L70" s="97"/>
      <c r="M70" s="20"/>
      <c r="N70" s="20"/>
      <c r="O70" s="20"/>
      <c r="P70" s="20"/>
      <c r="Q70" s="97"/>
      <c r="R70" s="97"/>
      <c r="S70" s="97"/>
      <c r="T70" s="20"/>
      <c r="U70" s="20"/>
      <c r="V70" s="20"/>
      <c r="W70" s="20"/>
      <c r="X70" s="20"/>
      <c r="Y70" s="20"/>
      <c r="Z70" s="20"/>
      <c r="AA70" s="97">
        <f>F70</f>
        <v>300</v>
      </c>
      <c r="AB70" s="10"/>
      <c r="AC70" s="10"/>
      <c r="AD70" s="10"/>
      <c r="AE70" s="10"/>
      <c r="AF70" s="93">
        <f t="shared" si="30"/>
        <v>0</v>
      </c>
      <c r="AG70" s="94"/>
    </row>
    <row r="71" spans="1:33" x14ac:dyDescent="0.25">
      <c r="A71" s="9">
        <v>6230</v>
      </c>
      <c r="B71" s="9">
        <v>623</v>
      </c>
      <c r="C71" s="322" t="s">
        <v>363</v>
      </c>
      <c r="D71" s="295"/>
      <c r="E71" s="299">
        <v>10000</v>
      </c>
      <c r="F71" s="93">
        <f t="shared" si="41"/>
        <v>10000</v>
      </c>
      <c r="G71" s="10"/>
      <c r="H71" s="20"/>
      <c r="I71" s="20"/>
      <c r="J71" s="97"/>
      <c r="K71" s="20"/>
      <c r="L71" s="97"/>
      <c r="M71" s="20"/>
      <c r="N71" s="20"/>
      <c r="O71" s="20"/>
      <c r="P71" s="20"/>
      <c r="Q71" s="97"/>
      <c r="R71" s="97"/>
      <c r="S71" s="97"/>
      <c r="T71" s="20"/>
      <c r="U71" s="20"/>
      <c r="V71" s="20"/>
      <c r="W71" s="20"/>
      <c r="X71" s="20"/>
      <c r="Y71" s="20"/>
      <c r="Z71" s="20"/>
      <c r="AA71" s="97">
        <f>F71</f>
        <v>10000</v>
      </c>
      <c r="AB71" s="10"/>
      <c r="AC71" s="10"/>
      <c r="AD71" s="10"/>
      <c r="AE71" s="10"/>
      <c r="AF71" s="93">
        <f t="shared" si="30"/>
        <v>0</v>
      </c>
      <c r="AG71" s="94"/>
    </row>
    <row r="72" spans="1:33" x14ac:dyDescent="0.25">
      <c r="A72" s="9">
        <v>6230</v>
      </c>
      <c r="B72" s="9">
        <v>623</v>
      </c>
      <c r="C72" s="322" t="s">
        <v>364</v>
      </c>
      <c r="D72" s="295"/>
      <c r="E72" s="299">
        <v>5000</v>
      </c>
      <c r="F72" s="93">
        <f t="shared" si="41"/>
        <v>5000</v>
      </c>
      <c r="G72" s="10"/>
      <c r="H72" s="20"/>
      <c r="I72" s="20"/>
      <c r="J72" s="97"/>
      <c r="K72" s="20"/>
      <c r="L72" s="97"/>
      <c r="M72" s="20"/>
      <c r="N72" s="20"/>
      <c r="O72" s="20"/>
      <c r="P72" s="20"/>
      <c r="Q72" s="97"/>
      <c r="R72" s="97"/>
      <c r="S72" s="97"/>
      <c r="T72" s="20"/>
      <c r="U72" s="20"/>
      <c r="V72" s="20"/>
      <c r="W72" s="20"/>
      <c r="X72" s="20"/>
      <c r="Y72" s="20"/>
      <c r="Z72" s="20"/>
      <c r="AA72" s="97">
        <f>F72</f>
        <v>5000</v>
      </c>
      <c r="AB72" s="10"/>
      <c r="AC72" s="10"/>
      <c r="AD72" s="10"/>
      <c r="AE72" s="10"/>
      <c r="AF72" s="93">
        <f t="shared" si="30"/>
        <v>0</v>
      </c>
      <c r="AG72" s="94"/>
    </row>
    <row r="73" spans="1:33" ht="45" x14ac:dyDescent="0.25">
      <c r="A73" s="9">
        <v>6230</v>
      </c>
      <c r="B73" s="9">
        <v>623</v>
      </c>
      <c r="C73" s="323" t="s">
        <v>365</v>
      </c>
      <c r="D73" s="295"/>
      <c r="E73" s="299">
        <v>60000</v>
      </c>
      <c r="F73" s="93">
        <f t="shared" si="41"/>
        <v>60000</v>
      </c>
      <c r="G73" s="10"/>
      <c r="H73" s="20"/>
      <c r="I73" s="20"/>
      <c r="J73" s="97"/>
      <c r="K73" s="20"/>
      <c r="L73" s="97"/>
      <c r="M73" s="20"/>
      <c r="N73" s="20"/>
      <c r="O73" s="20"/>
      <c r="P73" s="20"/>
      <c r="Q73" s="97"/>
      <c r="R73" s="97"/>
      <c r="S73" s="97"/>
      <c r="T73" s="20"/>
      <c r="U73" s="20"/>
      <c r="V73" s="20"/>
      <c r="W73" s="20"/>
      <c r="X73" s="20"/>
      <c r="Y73" s="20"/>
      <c r="Z73" s="20"/>
      <c r="AA73" s="97">
        <f>F73</f>
        <v>60000</v>
      </c>
      <c r="AB73" s="10"/>
      <c r="AC73" s="10"/>
      <c r="AD73" s="10"/>
      <c r="AE73" s="10"/>
      <c r="AF73" s="93">
        <f t="shared" si="30"/>
        <v>0</v>
      </c>
      <c r="AG73" s="94"/>
    </row>
    <row r="74" spans="1:33" x14ac:dyDescent="0.25">
      <c r="A74" s="9">
        <v>6255</v>
      </c>
      <c r="B74" s="9">
        <v>625</v>
      </c>
      <c r="C74" s="20" t="s">
        <v>252</v>
      </c>
      <c r="D74" s="295"/>
      <c r="E74" s="299">
        <v>3000</v>
      </c>
      <c r="F74" s="93"/>
      <c r="G74" s="93">
        <f>E74</f>
        <v>3000</v>
      </c>
      <c r="H74" s="97">
        <f>$G$74*H2</f>
        <v>475.00000000000006</v>
      </c>
      <c r="I74" s="97">
        <f>$G$74*I2</f>
        <v>964.99999999999977</v>
      </c>
      <c r="J74" s="97">
        <f>$G$74*J2</f>
        <v>1535.0000000000005</v>
      </c>
      <c r="K74" s="97">
        <f>$J$74*K2</f>
        <v>25.000000000000004</v>
      </c>
      <c r="L74" s="97">
        <f>J74*$L$2</f>
        <v>50.000000000000007</v>
      </c>
      <c r="M74" s="97">
        <f>$J$74*M2</f>
        <v>70</v>
      </c>
      <c r="N74" s="97">
        <f>$J$74*N2</f>
        <v>155</v>
      </c>
      <c r="O74" s="97">
        <f>$J$74*O2</f>
        <v>180.00000000000003</v>
      </c>
      <c r="P74" s="97">
        <f>$J$74*P2</f>
        <v>70.000000000000014</v>
      </c>
      <c r="Q74" s="97">
        <f>$J$74*Q2</f>
        <v>160</v>
      </c>
      <c r="R74" s="97">
        <f>J74*$R$2</f>
        <v>140.00000000000003</v>
      </c>
      <c r="S74" s="97">
        <f t="shared" ref="S74:AA74" si="42">$J$74*S2</f>
        <v>165.00000000000003</v>
      </c>
      <c r="T74" s="97">
        <f t="shared" si="42"/>
        <v>70.000000000000014</v>
      </c>
      <c r="U74" s="97">
        <f t="shared" si="42"/>
        <v>220.00000000000003</v>
      </c>
      <c r="V74" s="97">
        <f t="shared" si="42"/>
        <v>10</v>
      </c>
      <c r="W74" s="97">
        <f t="shared" si="42"/>
        <v>25.000000000000004</v>
      </c>
      <c r="X74" s="97">
        <f t="shared" si="42"/>
        <v>110.00000000000001</v>
      </c>
      <c r="Y74" s="97">
        <f t="shared" si="42"/>
        <v>25.000000000000004</v>
      </c>
      <c r="Z74" s="97">
        <f t="shared" si="42"/>
        <v>60</v>
      </c>
      <c r="AA74" s="97">
        <f t="shared" si="42"/>
        <v>25.000000000000004</v>
      </c>
      <c r="AB74" s="10">
        <f>G74*$AB$2</f>
        <v>0</v>
      </c>
      <c r="AC74" s="10"/>
      <c r="AD74" s="10">
        <f t="shared" ref="AD74:AD104" si="43">AB74*$AD$2</f>
        <v>0</v>
      </c>
      <c r="AE74" s="10">
        <f t="shared" ref="AE74:AE86" si="44">AB74*$AE$2</f>
        <v>0</v>
      </c>
      <c r="AF74" s="93">
        <f t="shared" si="30"/>
        <v>-2.3092638912203256E-13</v>
      </c>
      <c r="AG74" s="94">
        <f>J74-SUM(K74:Z74)</f>
        <v>0</v>
      </c>
    </row>
    <row r="75" spans="1:33" x14ac:dyDescent="0.25">
      <c r="A75" s="9">
        <v>6226</v>
      </c>
      <c r="B75" s="9">
        <v>622</v>
      </c>
      <c r="C75" s="20" t="s">
        <v>282</v>
      </c>
      <c r="D75" s="295">
        <v>0</v>
      </c>
      <c r="E75" s="299">
        <v>0</v>
      </c>
      <c r="F75" s="93">
        <f>E75</f>
        <v>0</v>
      </c>
      <c r="G75" s="93"/>
      <c r="H75" s="97">
        <f>F75</f>
        <v>0</v>
      </c>
      <c r="I75" s="20"/>
      <c r="J75" s="20"/>
      <c r="K75" s="20"/>
      <c r="L75" s="97"/>
      <c r="M75" s="20"/>
      <c r="N75" s="20"/>
      <c r="O75" s="20"/>
      <c r="P75" s="20"/>
      <c r="Q75" s="20"/>
      <c r="R75" s="97"/>
      <c r="S75" s="20"/>
      <c r="T75" s="20"/>
      <c r="U75" s="20"/>
      <c r="V75" s="20"/>
      <c r="W75" s="20"/>
      <c r="X75" s="97"/>
      <c r="Y75" s="97"/>
      <c r="Z75" s="97"/>
      <c r="AA75" s="97"/>
      <c r="AB75" s="10"/>
      <c r="AC75" s="10"/>
      <c r="AD75" s="10">
        <f t="shared" si="43"/>
        <v>0</v>
      </c>
      <c r="AE75" s="10">
        <f t="shared" si="44"/>
        <v>0</v>
      </c>
      <c r="AF75" s="93">
        <f t="shared" si="30"/>
        <v>0</v>
      </c>
      <c r="AG75" s="94">
        <f>J75-SUM(K75:Z75)</f>
        <v>0</v>
      </c>
    </row>
    <row r="76" spans="1:33" x14ac:dyDescent="0.25">
      <c r="A76" s="9">
        <v>6226</v>
      </c>
      <c r="B76" s="9">
        <v>622</v>
      </c>
      <c r="C76" s="20" t="s">
        <v>283</v>
      </c>
      <c r="D76" s="295">
        <v>2700</v>
      </c>
      <c r="E76" s="299">
        <v>4800</v>
      </c>
      <c r="F76" s="10"/>
      <c r="G76" s="93">
        <f t="shared" ref="G76:G86" si="45">E76</f>
        <v>4800</v>
      </c>
      <c r="H76" s="97">
        <f>$G$76*H2</f>
        <v>760.00000000000011</v>
      </c>
      <c r="I76" s="97">
        <f>$G$76*I2</f>
        <v>1543.9999999999998</v>
      </c>
      <c r="J76" s="97">
        <f>$G$76*J2</f>
        <v>2456.0000000000009</v>
      </c>
      <c r="K76" s="97">
        <f>$J$76*K2</f>
        <v>40.000000000000007</v>
      </c>
      <c r="L76" s="97">
        <f>J76*$L$2</f>
        <v>80.000000000000014</v>
      </c>
      <c r="M76" s="97">
        <f>$J$76*M2</f>
        <v>112</v>
      </c>
      <c r="N76" s="97">
        <f>$J$76*N2</f>
        <v>248.00000000000003</v>
      </c>
      <c r="O76" s="97">
        <f>$J$76*O2</f>
        <v>288.00000000000006</v>
      </c>
      <c r="P76" s="97">
        <f>$J$76*P2</f>
        <v>112.00000000000003</v>
      </c>
      <c r="Q76" s="97">
        <f>$J$76*Q2</f>
        <v>256.00000000000006</v>
      </c>
      <c r="R76" s="97">
        <f t="shared" ref="R76:R86" si="46">J76*$R$2</f>
        <v>224.00000000000006</v>
      </c>
      <c r="S76" s="97">
        <f t="shared" ref="S76:AA76" si="47">$J$76*S2</f>
        <v>264.00000000000006</v>
      </c>
      <c r="T76" s="97">
        <f t="shared" si="47"/>
        <v>112.00000000000003</v>
      </c>
      <c r="U76" s="97">
        <f t="shared" si="47"/>
        <v>352.00000000000006</v>
      </c>
      <c r="V76" s="97">
        <f t="shared" si="47"/>
        <v>16.000000000000004</v>
      </c>
      <c r="W76" s="97">
        <f t="shared" si="47"/>
        <v>40.000000000000007</v>
      </c>
      <c r="X76" s="97">
        <f t="shared" si="47"/>
        <v>176.00000000000003</v>
      </c>
      <c r="Y76" s="97">
        <f t="shared" si="47"/>
        <v>40.000000000000007</v>
      </c>
      <c r="Z76" s="97">
        <f t="shared" si="47"/>
        <v>96.000000000000014</v>
      </c>
      <c r="AA76" s="97">
        <f t="shared" si="47"/>
        <v>40.000000000000007</v>
      </c>
      <c r="AB76" s="10">
        <f>G76*$AB$2</f>
        <v>0</v>
      </c>
      <c r="AC76" s="10"/>
      <c r="AD76" s="10">
        <f t="shared" si="43"/>
        <v>0</v>
      </c>
      <c r="AE76" s="10">
        <f t="shared" si="44"/>
        <v>0</v>
      </c>
      <c r="AF76" s="93">
        <f t="shared" si="30"/>
        <v>-9.1660012913052924E-13</v>
      </c>
      <c r="AG76" s="94">
        <f>J76-SUM(K76:Z76)</f>
        <v>0</v>
      </c>
    </row>
    <row r="77" spans="1:33" x14ac:dyDescent="0.25">
      <c r="A77" s="9">
        <v>6226</v>
      </c>
      <c r="B77" s="9">
        <v>622</v>
      </c>
      <c r="C77" s="322" t="s">
        <v>374</v>
      </c>
      <c r="D77" s="295"/>
      <c r="E77" s="299">
        <v>3000</v>
      </c>
      <c r="F77" s="93">
        <f>E77</f>
        <v>3000</v>
      </c>
      <c r="G77" s="93"/>
      <c r="H77" s="97"/>
      <c r="I77" s="97"/>
      <c r="J77" s="97"/>
      <c r="K77" s="97"/>
      <c r="L77" s="97"/>
      <c r="M77" s="97"/>
      <c r="N77" s="97"/>
      <c r="O77" s="97"/>
      <c r="P77" s="97"/>
      <c r="Q77" s="97"/>
      <c r="R77" s="97"/>
      <c r="S77" s="97"/>
      <c r="T77" s="97"/>
      <c r="U77" s="97"/>
      <c r="V77" s="97"/>
      <c r="W77" s="97"/>
      <c r="X77" s="97"/>
      <c r="Y77" s="97"/>
      <c r="Z77" s="97"/>
      <c r="AA77" s="97">
        <f>F77</f>
        <v>3000</v>
      </c>
      <c r="AB77" s="10"/>
      <c r="AC77" s="10"/>
      <c r="AD77" s="10"/>
      <c r="AE77" s="10"/>
      <c r="AF77" s="93">
        <f t="shared" si="30"/>
        <v>0</v>
      </c>
      <c r="AG77" s="94"/>
    </row>
    <row r="78" spans="1:33" x14ac:dyDescent="0.25">
      <c r="A78" s="9">
        <v>6226</v>
      </c>
      <c r="B78" s="9">
        <v>622</v>
      </c>
      <c r="C78" s="20" t="s">
        <v>255</v>
      </c>
      <c r="D78" s="295"/>
      <c r="E78" s="299">
        <v>1200</v>
      </c>
      <c r="F78" s="10"/>
      <c r="G78" s="93">
        <f t="shared" si="45"/>
        <v>1200</v>
      </c>
      <c r="H78" s="97">
        <f>$G$78*H2</f>
        <v>190.00000000000003</v>
      </c>
      <c r="I78" s="97">
        <f>$G$78*I2</f>
        <v>385.99999999999994</v>
      </c>
      <c r="J78" s="97">
        <f>$G$78*J2</f>
        <v>614.00000000000023</v>
      </c>
      <c r="K78" s="97">
        <f t="shared" ref="K78:Q78" si="48">$J$78*K2</f>
        <v>10.000000000000002</v>
      </c>
      <c r="L78" s="97">
        <f t="shared" si="48"/>
        <v>20.000000000000004</v>
      </c>
      <c r="M78" s="97">
        <f t="shared" si="48"/>
        <v>28</v>
      </c>
      <c r="N78" s="97">
        <f t="shared" si="48"/>
        <v>62.000000000000007</v>
      </c>
      <c r="O78" s="97">
        <f t="shared" si="48"/>
        <v>72.000000000000014</v>
      </c>
      <c r="P78" s="97">
        <f t="shared" si="48"/>
        <v>28.000000000000007</v>
      </c>
      <c r="Q78" s="97">
        <f t="shared" si="48"/>
        <v>64.000000000000014</v>
      </c>
      <c r="R78" s="97">
        <f t="shared" si="46"/>
        <v>56.000000000000014</v>
      </c>
      <c r="S78" s="97">
        <f t="shared" ref="S78:AA78" si="49">$J$78*S2</f>
        <v>66.000000000000014</v>
      </c>
      <c r="T78" s="97">
        <f t="shared" si="49"/>
        <v>28.000000000000007</v>
      </c>
      <c r="U78" s="97">
        <f t="shared" si="49"/>
        <v>88.000000000000014</v>
      </c>
      <c r="V78" s="97">
        <f t="shared" si="49"/>
        <v>4.0000000000000009</v>
      </c>
      <c r="W78" s="97">
        <f t="shared" si="49"/>
        <v>10.000000000000002</v>
      </c>
      <c r="X78" s="97">
        <f t="shared" si="49"/>
        <v>44.000000000000007</v>
      </c>
      <c r="Y78" s="97">
        <f t="shared" si="49"/>
        <v>10.000000000000002</v>
      </c>
      <c r="Z78" s="97">
        <f t="shared" si="49"/>
        <v>24.000000000000004</v>
      </c>
      <c r="AA78" s="97">
        <f t="shared" si="49"/>
        <v>10.000000000000002</v>
      </c>
      <c r="AB78" s="10"/>
      <c r="AC78" s="10"/>
      <c r="AD78" s="10"/>
      <c r="AE78" s="10"/>
      <c r="AF78" s="93">
        <f t="shared" si="30"/>
        <v>-2.2915003228263231E-13</v>
      </c>
      <c r="AG78" s="94"/>
    </row>
    <row r="79" spans="1:33" ht="30" x14ac:dyDescent="0.25">
      <c r="A79" s="9">
        <v>6226</v>
      </c>
      <c r="B79" s="9">
        <v>622</v>
      </c>
      <c r="C79" s="323" t="s">
        <v>375</v>
      </c>
      <c r="D79" s="295"/>
      <c r="E79" s="299">
        <v>900</v>
      </c>
      <c r="F79" s="93">
        <f>E79</f>
        <v>900</v>
      </c>
      <c r="G79" s="93"/>
      <c r="H79" s="97"/>
      <c r="I79" s="97"/>
      <c r="J79" s="97"/>
      <c r="K79" s="97"/>
      <c r="L79" s="97"/>
      <c r="M79" s="97"/>
      <c r="N79" s="97"/>
      <c r="O79" s="97"/>
      <c r="P79" s="97"/>
      <c r="Q79" s="97"/>
      <c r="R79" s="97"/>
      <c r="S79" s="97"/>
      <c r="T79" s="97"/>
      <c r="U79" s="97"/>
      <c r="V79" s="97"/>
      <c r="W79" s="97"/>
      <c r="X79" s="97"/>
      <c r="Y79" s="97"/>
      <c r="Z79" s="97"/>
      <c r="AA79" s="97">
        <f>F79</f>
        <v>900</v>
      </c>
      <c r="AB79" s="10"/>
      <c r="AC79" s="10"/>
      <c r="AD79" s="10"/>
      <c r="AE79" s="10"/>
      <c r="AF79" s="93">
        <f t="shared" si="30"/>
        <v>0</v>
      </c>
      <c r="AG79" s="94"/>
    </row>
    <row r="80" spans="1:33" x14ac:dyDescent="0.25">
      <c r="A80" s="9">
        <v>62262</v>
      </c>
      <c r="B80" s="9">
        <v>622</v>
      </c>
      <c r="C80" s="20" t="s">
        <v>23</v>
      </c>
      <c r="D80" s="295">
        <v>6600</v>
      </c>
      <c r="E80" s="299">
        <v>10000</v>
      </c>
      <c r="F80" s="10"/>
      <c r="G80" s="93">
        <f t="shared" si="45"/>
        <v>10000</v>
      </c>
      <c r="H80" s="97">
        <f>$G$80*H2</f>
        <v>1583.3333333333335</v>
      </c>
      <c r="I80" s="97">
        <f>$G$80*I2</f>
        <v>3216.6666666666661</v>
      </c>
      <c r="J80" s="97">
        <f>$G$80*J2</f>
        <v>5116.6666666666679</v>
      </c>
      <c r="K80" s="97">
        <f>$J$80*K2</f>
        <v>83.333333333333343</v>
      </c>
      <c r="L80" s="97">
        <f>J80*$L$2</f>
        <v>166.66666666666669</v>
      </c>
      <c r="M80" s="97">
        <f>$J$80*M2</f>
        <v>233.33333333333331</v>
      </c>
      <c r="N80" s="97">
        <f>$J$80*N2</f>
        <v>516.66666666666663</v>
      </c>
      <c r="O80" s="97">
        <f>$J$80*O2</f>
        <v>600</v>
      </c>
      <c r="P80" s="97">
        <f>$J$80*P2</f>
        <v>233.33333333333334</v>
      </c>
      <c r="Q80" s="97">
        <f>$J$80*Q2</f>
        <v>533.33333333333337</v>
      </c>
      <c r="R80" s="97">
        <f t="shared" si="46"/>
        <v>466.66666666666669</v>
      </c>
      <c r="S80" s="97">
        <f t="shared" ref="S80:AA80" si="50">$J$80*S2</f>
        <v>550</v>
      </c>
      <c r="T80" s="97">
        <f t="shared" si="50"/>
        <v>233.33333333333334</v>
      </c>
      <c r="U80" s="97">
        <f t="shared" si="50"/>
        <v>733.33333333333337</v>
      </c>
      <c r="V80" s="97">
        <f t="shared" si="50"/>
        <v>33.333333333333336</v>
      </c>
      <c r="W80" s="97">
        <f t="shared" si="50"/>
        <v>83.333333333333343</v>
      </c>
      <c r="X80" s="97">
        <f t="shared" si="50"/>
        <v>366.66666666666669</v>
      </c>
      <c r="Y80" s="97">
        <f t="shared" si="50"/>
        <v>83.333333333333343</v>
      </c>
      <c r="Z80" s="97">
        <f t="shared" si="50"/>
        <v>200</v>
      </c>
      <c r="AA80" s="97">
        <f t="shared" si="50"/>
        <v>83.333333333333343</v>
      </c>
      <c r="AB80" s="10">
        <f>G80*$AB$2</f>
        <v>0</v>
      </c>
      <c r="AC80" s="10"/>
      <c r="AD80" s="10">
        <f t="shared" si="43"/>
        <v>0</v>
      </c>
      <c r="AE80" s="10">
        <f t="shared" si="44"/>
        <v>0</v>
      </c>
      <c r="AF80" s="93">
        <f t="shared" si="30"/>
        <v>-1.2221335055073723E-12</v>
      </c>
      <c r="AG80" s="94">
        <f>J80-SUM(K80:Z80)</f>
        <v>0</v>
      </c>
    </row>
    <row r="81" spans="1:33" x14ac:dyDescent="0.25">
      <c r="A81" s="9">
        <v>62262</v>
      </c>
      <c r="B81" s="9">
        <v>622</v>
      </c>
      <c r="C81" s="322" t="s">
        <v>376</v>
      </c>
      <c r="D81" s="295"/>
      <c r="E81" s="299">
        <v>2000</v>
      </c>
      <c r="F81" s="93">
        <f>E81</f>
        <v>2000</v>
      </c>
      <c r="G81" s="93"/>
      <c r="H81" s="97"/>
      <c r="I81" s="97"/>
      <c r="J81" s="97"/>
      <c r="K81" s="97"/>
      <c r="L81" s="97"/>
      <c r="M81" s="97"/>
      <c r="N81" s="97"/>
      <c r="O81" s="97"/>
      <c r="P81" s="97"/>
      <c r="Q81" s="97"/>
      <c r="R81" s="97"/>
      <c r="S81" s="97"/>
      <c r="T81" s="97"/>
      <c r="U81" s="97"/>
      <c r="V81" s="97"/>
      <c r="W81" s="97"/>
      <c r="X81" s="97"/>
      <c r="Y81" s="97"/>
      <c r="Z81" s="97"/>
      <c r="AA81" s="97">
        <f>F81</f>
        <v>2000</v>
      </c>
      <c r="AB81" s="10"/>
      <c r="AC81" s="10"/>
      <c r="AD81" s="10"/>
      <c r="AE81" s="10"/>
      <c r="AF81" s="93">
        <f t="shared" si="30"/>
        <v>0</v>
      </c>
      <c r="AG81" s="94"/>
    </row>
    <row r="82" spans="1:33" x14ac:dyDescent="0.25">
      <c r="A82" s="9">
        <v>62263</v>
      </c>
      <c r="B82" s="9">
        <v>622</v>
      </c>
      <c r="C82" s="20" t="s">
        <v>377</v>
      </c>
      <c r="D82" s="295">
        <v>4000</v>
      </c>
      <c r="E82" s="299">
        <v>4200</v>
      </c>
      <c r="F82" s="10"/>
      <c r="G82" s="93">
        <f t="shared" si="45"/>
        <v>4200</v>
      </c>
      <c r="H82" s="97">
        <f>$G$82*H2</f>
        <v>665.00000000000011</v>
      </c>
      <c r="I82" s="97">
        <f>$G$82*I2</f>
        <v>1350.9999999999998</v>
      </c>
      <c r="J82" s="97">
        <f>$G$82*J2</f>
        <v>2149.0000000000005</v>
      </c>
      <c r="K82" s="97">
        <f>$J$82*K2</f>
        <v>35</v>
      </c>
      <c r="L82" s="97">
        <f>J82*$L$2</f>
        <v>70</v>
      </c>
      <c r="M82" s="97">
        <f>$J$82*M2</f>
        <v>97.999999999999986</v>
      </c>
      <c r="N82" s="97">
        <f>$J$82*N2</f>
        <v>217</v>
      </c>
      <c r="O82" s="97">
        <f>$J$82*O2</f>
        <v>252.00000000000003</v>
      </c>
      <c r="P82" s="97">
        <f>$J$82*P2</f>
        <v>98</v>
      </c>
      <c r="Q82" s="97">
        <f>$J$82*Q2</f>
        <v>224</v>
      </c>
      <c r="R82" s="97">
        <f t="shared" si="46"/>
        <v>196</v>
      </c>
      <c r="S82" s="97">
        <f t="shared" ref="S82:AA82" si="51">$J$82*S2</f>
        <v>231</v>
      </c>
      <c r="T82" s="97">
        <f t="shared" si="51"/>
        <v>98</v>
      </c>
      <c r="U82" s="97">
        <f t="shared" si="51"/>
        <v>308</v>
      </c>
      <c r="V82" s="97">
        <f t="shared" si="51"/>
        <v>14</v>
      </c>
      <c r="W82" s="97">
        <f t="shared" si="51"/>
        <v>35</v>
      </c>
      <c r="X82" s="97">
        <f t="shared" si="51"/>
        <v>154</v>
      </c>
      <c r="Y82" s="97">
        <f t="shared" si="51"/>
        <v>35</v>
      </c>
      <c r="Z82" s="97">
        <f t="shared" si="51"/>
        <v>84</v>
      </c>
      <c r="AA82" s="97">
        <f t="shared" si="51"/>
        <v>35</v>
      </c>
      <c r="AB82" s="10">
        <f>G82*$AB$2</f>
        <v>0</v>
      </c>
      <c r="AC82" s="10"/>
      <c r="AD82" s="10">
        <f t="shared" si="43"/>
        <v>0</v>
      </c>
      <c r="AE82" s="10">
        <f t="shared" si="44"/>
        <v>0</v>
      </c>
      <c r="AF82" s="93">
        <f t="shared" si="30"/>
        <v>-4.5474735088646412E-13</v>
      </c>
      <c r="AG82" s="94">
        <f>J82-SUM(K82:Z82)</f>
        <v>0</v>
      </c>
    </row>
    <row r="83" spans="1:33" ht="30" x14ac:dyDescent="0.25">
      <c r="A83" s="9">
        <v>62263</v>
      </c>
      <c r="B83" s="9">
        <v>622</v>
      </c>
      <c r="C83" s="323" t="s">
        <v>378</v>
      </c>
      <c r="D83" s="295"/>
      <c r="E83" s="299">
        <v>200</v>
      </c>
      <c r="F83" s="93">
        <f>E83</f>
        <v>200</v>
      </c>
      <c r="G83" s="93"/>
      <c r="H83" s="97"/>
      <c r="I83" s="97"/>
      <c r="J83" s="97"/>
      <c r="K83" s="97"/>
      <c r="L83" s="97"/>
      <c r="M83" s="97"/>
      <c r="N83" s="97"/>
      <c r="O83" s="97"/>
      <c r="P83" s="97"/>
      <c r="Q83" s="97"/>
      <c r="R83" s="97"/>
      <c r="S83" s="97"/>
      <c r="T83" s="97"/>
      <c r="U83" s="97"/>
      <c r="V83" s="97"/>
      <c r="W83" s="97"/>
      <c r="X83" s="97"/>
      <c r="Y83" s="97"/>
      <c r="Z83" s="97"/>
      <c r="AA83" s="97">
        <f>F83</f>
        <v>200</v>
      </c>
      <c r="AB83" s="10"/>
      <c r="AC83" s="10"/>
      <c r="AD83" s="10"/>
      <c r="AE83" s="10"/>
      <c r="AF83" s="93">
        <f t="shared" si="30"/>
        <v>0</v>
      </c>
      <c r="AG83" s="94"/>
    </row>
    <row r="84" spans="1:33" x14ac:dyDescent="0.25">
      <c r="A84" s="9">
        <v>6227</v>
      </c>
      <c r="B84" s="9">
        <v>622</v>
      </c>
      <c r="C84" s="20" t="s">
        <v>254</v>
      </c>
      <c r="D84" s="295"/>
      <c r="E84" s="299">
        <v>100</v>
      </c>
      <c r="F84" s="10"/>
      <c r="G84" s="93">
        <f t="shared" si="45"/>
        <v>100</v>
      </c>
      <c r="H84" s="97">
        <f>$G$84*H2</f>
        <v>15.833333333333336</v>
      </c>
      <c r="I84" s="97">
        <f>$G$84*I2</f>
        <v>32.166666666666657</v>
      </c>
      <c r="J84" s="97">
        <f>$G$84*J2</f>
        <v>51.166666666666686</v>
      </c>
      <c r="K84" s="97">
        <f>$J$84*K2</f>
        <v>0.83333333333333348</v>
      </c>
      <c r="L84" s="97">
        <f>J84*$L$2</f>
        <v>1.666666666666667</v>
      </c>
      <c r="M84" s="97">
        <f>$J$84*M2</f>
        <v>2.3333333333333335</v>
      </c>
      <c r="N84" s="97">
        <f>$J$84*N2</f>
        <v>5.166666666666667</v>
      </c>
      <c r="O84" s="97">
        <f>$J$84*O2</f>
        <v>6.0000000000000018</v>
      </c>
      <c r="P84" s="97">
        <f>$J$84*P2</f>
        <v>2.3333333333333339</v>
      </c>
      <c r="Q84" s="97">
        <f>$J$84*Q2</f>
        <v>5.3333333333333339</v>
      </c>
      <c r="R84" s="97">
        <f t="shared" si="46"/>
        <v>4.6666666666666679</v>
      </c>
      <c r="S84" s="97">
        <f t="shared" ref="S84:AA84" si="52">$J$84*S2</f>
        <v>5.5000000000000009</v>
      </c>
      <c r="T84" s="97">
        <f t="shared" si="52"/>
        <v>2.3333333333333339</v>
      </c>
      <c r="U84" s="97">
        <f t="shared" si="52"/>
        <v>7.3333333333333348</v>
      </c>
      <c r="V84" s="97">
        <f t="shared" si="52"/>
        <v>0.33333333333333337</v>
      </c>
      <c r="W84" s="97">
        <f t="shared" si="52"/>
        <v>0.83333333333333348</v>
      </c>
      <c r="X84" s="97">
        <f t="shared" si="52"/>
        <v>3.6666666666666674</v>
      </c>
      <c r="Y84" s="97">
        <f t="shared" si="52"/>
        <v>0.83333333333333348</v>
      </c>
      <c r="Z84" s="97">
        <f t="shared" si="52"/>
        <v>2</v>
      </c>
      <c r="AA84" s="97">
        <f t="shared" si="52"/>
        <v>0.83333333333333348</v>
      </c>
      <c r="AB84" s="10">
        <f>G84*$AB$2</f>
        <v>0</v>
      </c>
      <c r="AC84" s="10"/>
      <c r="AD84" s="10">
        <f t="shared" si="43"/>
        <v>0</v>
      </c>
      <c r="AE84" s="10">
        <f t="shared" si="44"/>
        <v>0</v>
      </c>
      <c r="AF84" s="93">
        <f t="shared" si="30"/>
        <v>-1.9095836023552692E-14</v>
      </c>
      <c r="AG84" s="94"/>
    </row>
    <row r="85" spans="1:33" ht="30" x14ac:dyDescent="0.25">
      <c r="A85" s="9">
        <v>6227</v>
      </c>
      <c r="B85" s="9">
        <v>622</v>
      </c>
      <c r="C85" s="323" t="s">
        <v>379</v>
      </c>
      <c r="D85" s="295"/>
      <c r="E85" s="299">
        <v>100</v>
      </c>
      <c r="F85" s="93">
        <f>E85</f>
        <v>100</v>
      </c>
      <c r="G85" s="93"/>
      <c r="H85" s="97"/>
      <c r="I85" s="97"/>
      <c r="J85" s="97"/>
      <c r="K85" s="97"/>
      <c r="L85" s="97"/>
      <c r="M85" s="97"/>
      <c r="N85" s="97"/>
      <c r="O85" s="97"/>
      <c r="P85" s="97"/>
      <c r="Q85" s="97"/>
      <c r="R85" s="97"/>
      <c r="S85" s="97"/>
      <c r="T85" s="97"/>
      <c r="U85" s="97"/>
      <c r="V85" s="97"/>
      <c r="W85" s="97"/>
      <c r="X85" s="97"/>
      <c r="Y85" s="97"/>
      <c r="Z85" s="97"/>
      <c r="AA85" s="97">
        <f>F85</f>
        <v>100</v>
      </c>
      <c r="AB85" s="10"/>
      <c r="AC85" s="10"/>
      <c r="AD85" s="10"/>
      <c r="AE85" s="10"/>
      <c r="AF85" s="93">
        <f t="shared" si="30"/>
        <v>0</v>
      </c>
      <c r="AG85" s="94"/>
    </row>
    <row r="86" spans="1:33" ht="30" x14ac:dyDescent="0.25">
      <c r="A86" s="9">
        <v>6230</v>
      </c>
      <c r="B86" s="9">
        <v>623</v>
      </c>
      <c r="C86" s="22" t="s">
        <v>210</v>
      </c>
      <c r="D86" s="295"/>
      <c r="E86" s="299">
        <v>7000</v>
      </c>
      <c r="F86" s="10"/>
      <c r="G86" s="93">
        <f t="shared" si="45"/>
        <v>7000</v>
      </c>
      <c r="H86" s="97">
        <f>$G$86*H2</f>
        <v>1108.3333333333335</v>
      </c>
      <c r="I86" s="97">
        <f>$G$86*I2</f>
        <v>2251.6666666666661</v>
      </c>
      <c r="J86" s="97">
        <f>$G$86*J2</f>
        <v>3581.6666666666679</v>
      </c>
      <c r="K86" s="97">
        <f>$J$86*K2</f>
        <v>58.333333333333343</v>
      </c>
      <c r="L86" s="97">
        <f>J86*$L$2</f>
        <v>116.66666666666669</v>
      </c>
      <c r="M86" s="97">
        <f>$J$86*M2</f>
        <v>163.33333333333334</v>
      </c>
      <c r="N86" s="97">
        <f>$J$86*N2</f>
        <v>361.66666666666669</v>
      </c>
      <c r="O86" s="97">
        <f>$J$86*O2</f>
        <v>420.00000000000006</v>
      </c>
      <c r="P86" s="97">
        <f>$J$86*P2</f>
        <v>163.33333333333337</v>
      </c>
      <c r="Q86" s="97">
        <f>$J$86*Q2</f>
        <v>373.33333333333337</v>
      </c>
      <c r="R86" s="97">
        <f t="shared" si="46"/>
        <v>326.66666666666674</v>
      </c>
      <c r="S86" s="97">
        <f t="shared" ref="S86:AA86" si="53">$J$86*S2</f>
        <v>385.00000000000006</v>
      </c>
      <c r="T86" s="97">
        <f t="shared" si="53"/>
        <v>163.33333333333337</v>
      </c>
      <c r="U86" s="97">
        <f t="shared" si="53"/>
        <v>513.33333333333348</v>
      </c>
      <c r="V86" s="97">
        <f t="shared" si="53"/>
        <v>23.333333333333336</v>
      </c>
      <c r="W86" s="97">
        <f t="shared" si="53"/>
        <v>58.333333333333343</v>
      </c>
      <c r="X86" s="97">
        <f t="shared" si="53"/>
        <v>256.66666666666674</v>
      </c>
      <c r="Y86" s="97">
        <f t="shared" si="53"/>
        <v>58.333333333333343</v>
      </c>
      <c r="Z86" s="97">
        <f t="shared" si="53"/>
        <v>140</v>
      </c>
      <c r="AA86" s="97">
        <f t="shared" si="53"/>
        <v>58.333333333333343</v>
      </c>
      <c r="AB86" s="10">
        <f>G86*$AB$2</f>
        <v>0</v>
      </c>
      <c r="AC86" s="10"/>
      <c r="AD86" s="10">
        <f t="shared" si="43"/>
        <v>0</v>
      </c>
      <c r="AE86" s="10">
        <f t="shared" si="44"/>
        <v>0</v>
      </c>
      <c r="AF86" s="93">
        <f t="shared" si="30"/>
        <v>-1.2221335055073723E-12</v>
      </c>
      <c r="AG86" s="94">
        <f t="shared" ref="AG86:AG106" si="54">J86-SUM(K86:Z86)</f>
        <v>0</v>
      </c>
    </row>
    <row r="87" spans="1:33" x14ac:dyDescent="0.25">
      <c r="A87" s="9">
        <v>6251</v>
      </c>
      <c r="B87" s="9">
        <v>625</v>
      </c>
      <c r="C87" s="20" t="s">
        <v>284</v>
      </c>
      <c r="D87" s="296">
        <v>1500</v>
      </c>
      <c r="E87" s="299">
        <v>0</v>
      </c>
      <c r="F87" s="93">
        <f t="shared" ref="F87:F114" si="55">E87</f>
        <v>0</v>
      </c>
      <c r="G87" s="10"/>
      <c r="H87" s="20"/>
      <c r="I87" s="20"/>
      <c r="J87" s="97">
        <f>K87</f>
        <v>0</v>
      </c>
      <c r="K87" s="97">
        <f>F87</f>
        <v>0</v>
      </c>
      <c r="L87" s="97"/>
      <c r="M87" s="97"/>
      <c r="N87" s="20"/>
      <c r="O87" s="20"/>
      <c r="P87" s="20"/>
      <c r="Q87" s="20"/>
      <c r="R87" s="97"/>
      <c r="S87" s="20"/>
      <c r="T87" s="20"/>
      <c r="U87" s="20"/>
      <c r="V87" s="20"/>
      <c r="W87" s="20"/>
      <c r="X87" s="20"/>
      <c r="Y87" s="20"/>
      <c r="Z87" s="20"/>
      <c r="AA87" s="20"/>
      <c r="AB87" s="10"/>
      <c r="AC87" s="10"/>
      <c r="AD87" s="10">
        <f t="shared" si="43"/>
        <v>0</v>
      </c>
      <c r="AE87" s="10"/>
      <c r="AF87" s="93">
        <f t="shared" si="30"/>
        <v>0</v>
      </c>
      <c r="AG87" s="94">
        <f t="shared" si="54"/>
        <v>0</v>
      </c>
    </row>
    <row r="88" spans="1:33" x14ac:dyDescent="0.25">
      <c r="A88" s="9">
        <v>6251</v>
      </c>
      <c r="B88" s="9">
        <v>625</v>
      </c>
      <c r="C88" s="322" t="s">
        <v>366</v>
      </c>
      <c r="D88" s="296"/>
      <c r="E88" s="299">
        <v>5000</v>
      </c>
      <c r="F88" s="93">
        <f t="shared" ref="F88:F100" si="56">E88</f>
        <v>5000</v>
      </c>
      <c r="G88" s="10"/>
      <c r="H88" s="20"/>
      <c r="I88" s="20"/>
      <c r="J88" s="97"/>
      <c r="K88" s="97"/>
      <c r="L88" s="97"/>
      <c r="M88" s="97"/>
      <c r="N88" s="20"/>
      <c r="O88" s="20"/>
      <c r="P88" s="20"/>
      <c r="Q88" s="20"/>
      <c r="R88" s="97"/>
      <c r="S88" s="20"/>
      <c r="T88" s="20"/>
      <c r="U88" s="20"/>
      <c r="V88" s="20"/>
      <c r="W88" s="20"/>
      <c r="X88" s="20"/>
      <c r="Y88" s="20"/>
      <c r="Z88" s="20"/>
      <c r="AA88" s="97">
        <f t="shared" ref="AA88:AA100" si="57">F88</f>
        <v>5000</v>
      </c>
      <c r="AB88" s="10"/>
      <c r="AC88" s="10"/>
      <c r="AD88" s="10"/>
      <c r="AE88" s="10"/>
      <c r="AF88" s="93">
        <f t="shared" si="30"/>
        <v>0</v>
      </c>
      <c r="AG88" s="94"/>
    </row>
    <row r="89" spans="1:33" x14ac:dyDescent="0.25">
      <c r="A89" s="9">
        <v>6251</v>
      </c>
      <c r="B89" s="9">
        <v>625</v>
      </c>
      <c r="C89" s="322" t="s">
        <v>382</v>
      </c>
      <c r="D89" s="296"/>
      <c r="E89" s="299">
        <v>1000</v>
      </c>
      <c r="F89" s="93">
        <f t="shared" si="56"/>
        <v>1000</v>
      </c>
      <c r="G89" s="10"/>
      <c r="H89" s="20"/>
      <c r="I89" s="20"/>
      <c r="J89" s="97"/>
      <c r="K89" s="97"/>
      <c r="L89" s="97"/>
      <c r="M89" s="97"/>
      <c r="N89" s="20"/>
      <c r="O89" s="20"/>
      <c r="P89" s="20"/>
      <c r="Q89" s="20"/>
      <c r="R89" s="97"/>
      <c r="S89" s="20"/>
      <c r="T89" s="20"/>
      <c r="U89" s="20"/>
      <c r="V89" s="20"/>
      <c r="W89" s="20"/>
      <c r="X89" s="20"/>
      <c r="Y89" s="20"/>
      <c r="Z89" s="20"/>
      <c r="AA89" s="97">
        <f t="shared" si="57"/>
        <v>1000</v>
      </c>
      <c r="AB89" s="10"/>
      <c r="AC89" s="10"/>
      <c r="AD89" s="10"/>
      <c r="AE89" s="10"/>
      <c r="AF89" s="93">
        <f t="shared" si="30"/>
        <v>0</v>
      </c>
      <c r="AG89" s="94"/>
    </row>
    <row r="90" spans="1:33" x14ac:dyDescent="0.25">
      <c r="A90" s="9">
        <v>6251</v>
      </c>
      <c r="B90" s="9">
        <v>625</v>
      </c>
      <c r="C90" s="322" t="s">
        <v>383</v>
      </c>
      <c r="D90" s="296"/>
      <c r="E90" s="299">
        <v>1000</v>
      </c>
      <c r="F90" s="93">
        <f t="shared" si="56"/>
        <v>1000</v>
      </c>
      <c r="G90" s="10"/>
      <c r="H90" s="20"/>
      <c r="I90" s="20"/>
      <c r="J90" s="97"/>
      <c r="K90" s="97"/>
      <c r="L90" s="97"/>
      <c r="M90" s="97"/>
      <c r="N90" s="20"/>
      <c r="O90" s="20"/>
      <c r="P90" s="20"/>
      <c r="Q90" s="20"/>
      <c r="R90" s="97"/>
      <c r="S90" s="20"/>
      <c r="T90" s="20"/>
      <c r="U90" s="20"/>
      <c r="V90" s="20"/>
      <c r="W90" s="20"/>
      <c r="X90" s="20"/>
      <c r="Y90" s="20"/>
      <c r="Z90" s="20"/>
      <c r="AA90" s="97">
        <f t="shared" si="57"/>
        <v>1000</v>
      </c>
      <c r="AB90" s="10"/>
      <c r="AC90" s="10"/>
      <c r="AD90" s="10"/>
      <c r="AE90" s="10"/>
      <c r="AF90" s="93">
        <f t="shared" si="30"/>
        <v>0</v>
      </c>
      <c r="AG90" s="94"/>
    </row>
    <row r="91" spans="1:33" x14ac:dyDescent="0.25">
      <c r="A91" s="9">
        <v>6251</v>
      </c>
      <c r="B91" s="9">
        <v>625</v>
      </c>
      <c r="C91" s="322" t="s">
        <v>384</v>
      </c>
      <c r="D91" s="296"/>
      <c r="E91" s="299">
        <v>6000</v>
      </c>
      <c r="F91" s="93">
        <f t="shared" si="56"/>
        <v>6000</v>
      </c>
      <c r="G91" s="10"/>
      <c r="H91" s="20"/>
      <c r="I91" s="20"/>
      <c r="J91" s="97"/>
      <c r="K91" s="97"/>
      <c r="L91" s="97"/>
      <c r="M91" s="97"/>
      <c r="N91" s="20"/>
      <c r="O91" s="20"/>
      <c r="P91" s="20"/>
      <c r="Q91" s="20"/>
      <c r="R91" s="97"/>
      <c r="S91" s="20"/>
      <c r="T91" s="20"/>
      <c r="U91" s="20"/>
      <c r="V91" s="20"/>
      <c r="W91" s="20"/>
      <c r="X91" s="20"/>
      <c r="Y91" s="20"/>
      <c r="Z91" s="20"/>
      <c r="AA91" s="97">
        <f t="shared" si="57"/>
        <v>6000</v>
      </c>
      <c r="AB91" s="10"/>
      <c r="AC91" s="10"/>
      <c r="AD91" s="10"/>
      <c r="AE91" s="10"/>
      <c r="AF91" s="93">
        <f t="shared" si="30"/>
        <v>0</v>
      </c>
      <c r="AG91" s="94"/>
    </row>
    <row r="92" spans="1:33" x14ac:dyDescent="0.25">
      <c r="A92" s="9">
        <v>6251</v>
      </c>
      <c r="B92" s="9">
        <v>625</v>
      </c>
      <c r="C92" s="322" t="s">
        <v>385</v>
      </c>
      <c r="D92" s="296"/>
      <c r="E92" s="299">
        <v>1500</v>
      </c>
      <c r="F92" s="93">
        <f t="shared" si="56"/>
        <v>1500</v>
      </c>
      <c r="G92" s="10"/>
      <c r="H92" s="20"/>
      <c r="I92" s="20"/>
      <c r="J92" s="97"/>
      <c r="K92" s="97"/>
      <c r="L92" s="97"/>
      <c r="M92" s="97"/>
      <c r="N92" s="20"/>
      <c r="O92" s="20"/>
      <c r="P92" s="20"/>
      <c r="Q92" s="20"/>
      <c r="R92" s="97"/>
      <c r="S92" s="20"/>
      <c r="T92" s="20"/>
      <c r="U92" s="20"/>
      <c r="V92" s="20"/>
      <c r="W92" s="20"/>
      <c r="X92" s="20"/>
      <c r="Y92" s="20"/>
      <c r="Z92" s="20"/>
      <c r="AA92" s="97">
        <f t="shared" si="57"/>
        <v>1500</v>
      </c>
      <c r="AB92" s="10"/>
      <c r="AC92" s="10"/>
      <c r="AD92" s="10"/>
      <c r="AE92" s="10"/>
      <c r="AF92" s="93">
        <f t="shared" si="30"/>
        <v>0</v>
      </c>
      <c r="AG92" s="94"/>
    </row>
    <row r="93" spans="1:33" x14ac:dyDescent="0.25">
      <c r="A93" s="9">
        <v>6251</v>
      </c>
      <c r="B93" s="9">
        <v>625</v>
      </c>
      <c r="C93" s="322" t="s">
        <v>386</v>
      </c>
      <c r="D93" s="296"/>
      <c r="E93" s="299">
        <v>1500</v>
      </c>
      <c r="F93" s="93">
        <f t="shared" si="56"/>
        <v>1500</v>
      </c>
      <c r="G93" s="10"/>
      <c r="H93" s="20"/>
      <c r="I93" s="20"/>
      <c r="J93" s="97"/>
      <c r="K93" s="97"/>
      <c r="L93" s="97"/>
      <c r="M93" s="97"/>
      <c r="N93" s="20"/>
      <c r="O93" s="20"/>
      <c r="P93" s="20"/>
      <c r="Q93" s="20"/>
      <c r="R93" s="97"/>
      <c r="S93" s="20"/>
      <c r="T93" s="20"/>
      <c r="U93" s="20"/>
      <c r="V93" s="20"/>
      <c r="W93" s="20"/>
      <c r="X93" s="20"/>
      <c r="Y93" s="20"/>
      <c r="Z93" s="20"/>
      <c r="AA93" s="97">
        <f t="shared" si="57"/>
        <v>1500</v>
      </c>
      <c r="AB93" s="10"/>
      <c r="AC93" s="10"/>
      <c r="AD93" s="10"/>
      <c r="AE93" s="10"/>
      <c r="AF93" s="93">
        <f t="shared" si="30"/>
        <v>0</v>
      </c>
      <c r="AG93" s="94"/>
    </row>
    <row r="94" spans="1:33" ht="30" x14ac:dyDescent="0.25">
      <c r="A94" s="9">
        <v>6251</v>
      </c>
      <c r="B94" s="9">
        <v>625</v>
      </c>
      <c r="C94" s="323" t="s">
        <v>387</v>
      </c>
      <c r="D94" s="296"/>
      <c r="E94" s="299">
        <v>30000</v>
      </c>
      <c r="F94" s="93">
        <f t="shared" si="56"/>
        <v>30000</v>
      </c>
      <c r="G94" s="10"/>
      <c r="H94" s="20"/>
      <c r="I94" s="20"/>
      <c r="J94" s="97"/>
      <c r="K94" s="97"/>
      <c r="L94" s="97"/>
      <c r="M94" s="97"/>
      <c r="N94" s="20"/>
      <c r="O94" s="20"/>
      <c r="P94" s="20"/>
      <c r="Q94" s="20"/>
      <c r="R94" s="97"/>
      <c r="S94" s="20"/>
      <c r="T94" s="20"/>
      <c r="U94" s="20"/>
      <c r="V94" s="20"/>
      <c r="W94" s="20"/>
      <c r="X94" s="20"/>
      <c r="Y94" s="20"/>
      <c r="Z94" s="20"/>
      <c r="AA94" s="97">
        <f t="shared" si="57"/>
        <v>30000</v>
      </c>
      <c r="AB94" s="10"/>
      <c r="AC94" s="10"/>
      <c r="AD94" s="10"/>
      <c r="AE94" s="10"/>
      <c r="AF94" s="93">
        <f t="shared" si="30"/>
        <v>0</v>
      </c>
      <c r="AG94" s="94"/>
    </row>
    <row r="95" spans="1:33" ht="30" x14ac:dyDescent="0.25">
      <c r="A95" s="9">
        <v>6251</v>
      </c>
      <c r="B95" s="9">
        <v>625</v>
      </c>
      <c r="C95" s="323" t="s">
        <v>388</v>
      </c>
      <c r="D95" s="296"/>
      <c r="E95" s="299">
        <v>10000</v>
      </c>
      <c r="F95" s="93">
        <f t="shared" si="56"/>
        <v>10000</v>
      </c>
      <c r="G95" s="10"/>
      <c r="H95" s="20"/>
      <c r="I95" s="20"/>
      <c r="J95" s="97"/>
      <c r="K95" s="97"/>
      <c r="L95" s="97"/>
      <c r="M95" s="97"/>
      <c r="N95" s="20"/>
      <c r="O95" s="20"/>
      <c r="P95" s="20"/>
      <c r="Q95" s="20"/>
      <c r="R95" s="97"/>
      <c r="S95" s="20"/>
      <c r="T95" s="20"/>
      <c r="U95" s="20"/>
      <c r="V95" s="20"/>
      <c r="W95" s="20"/>
      <c r="X95" s="20"/>
      <c r="Y95" s="20"/>
      <c r="Z95" s="20"/>
      <c r="AA95" s="97">
        <f t="shared" si="57"/>
        <v>10000</v>
      </c>
      <c r="AB95" s="10"/>
      <c r="AC95" s="10"/>
      <c r="AD95" s="10"/>
      <c r="AE95" s="10"/>
      <c r="AF95" s="93">
        <f t="shared" si="30"/>
        <v>0</v>
      </c>
      <c r="AG95" s="94"/>
    </row>
    <row r="96" spans="1:33" x14ac:dyDescent="0.25">
      <c r="A96" s="9">
        <v>6251</v>
      </c>
      <c r="B96" s="9">
        <v>625</v>
      </c>
      <c r="C96" s="323" t="s">
        <v>389</v>
      </c>
      <c r="D96" s="296"/>
      <c r="E96" s="299">
        <v>1500</v>
      </c>
      <c r="F96" s="93">
        <f t="shared" si="56"/>
        <v>1500</v>
      </c>
      <c r="G96" s="10"/>
      <c r="H96" s="20"/>
      <c r="I96" s="20"/>
      <c r="J96" s="97"/>
      <c r="K96" s="97"/>
      <c r="L96" s="97"/>
      <c r="M96" s="97"/>
      <c r="N96" s="20"/>
      <c r="O96" s="20"/>
      <c r="P96" s="20"/>
      <c r="Q96" s="20"/>
      <c r="R96" s="97"/>
      <c r="S96" s="20"/>
      <c r="T96" s="20"/>
      <c r="U96" s="20"/>
      <c r="V96" s="20"/>
      <c r="W96" s="20"/>
      <c r="X96" s="20"/>
      <c r="Y96" s="20"/>
      <c r="Z96" s="20"/>
      <c r="AA96" s="97">
        <f t="shared" si="57"/>
        <v>1500</v>
      </c>
      <c r="AB96" s="10"/>
      <c r="AC96" s="10"/>
      <c r="AD96" s="10"/>
      <c r="AE96" s="10"/>
      <c r="AF96" s="93">
        <f t="shared" si="30"/>
        <v>0</v>
      </c>
      <c r="AG96" s="94"/>
    </row>
    <row r="97" spans="1:33" x14ac:dyDescent="0.25">
      <c r="A97" s="9">
        <v>6251</v>
      </c>
      <c r="B97" s="9">
        <v>625</v>
      </c>
      <c r="C97" s="323" t="s">
        <v>390</v>
      </c>
      <c r="D97" s="296"/>
      <c r="E97" s="299">
        <v>6000</v>
      </c>
      <c r="F97" s="93">
        <f t="shared" si="56"/>
        <v>6000</v>
      </c>
      <c r="G97" s="10"/>
      <c r="H97" s="20"/>
      <c r="I97" s="20"/>
      <c r="J97" s="97"/>
      <c r="K97" s="97"/>
      <c r="L97" s="97"/>
      <c r="M97" s="97"/>
      <c r="N97" s="20"/>
      <c r="O97" s="20"/>
      <c r="P97" s="20"/>
      <c r="Q97" s="20"/>
      <c r="R97" s="97"/>
      <c r="S97" s="20"/>
      <c r="T97" s="20"/>
      <c r="U97" s="20"/>
      <c r="V97" s="20"/>
      <c r="W97" s="20"/>
      <c r="X97" s="20"/>
      <c r="Y97" s="20"/>
      <c r="Z97" s="20"/>
      <c r="AA97" s="97">
        <f t="shared" si="57"/>
        <v>6000</v>
      </c>
      <c r="AB97" s="10"/>
      <c r="AC97" s="10"/>
      <c r="AD97" s="10"/>
      <c r="AE97" s="10"/>
      <c r="AF97" s="93">
        <f t="shared" si="30"/>
        <v>0</v>
      </c>
      <c r="AG97" s="94"/>
    </row>
    <row r="98" spans="1:33" x14ac:dyDescent="0.25">
      <c r="A98" s="9">
        <v>6251</v>
      </c>
      <c r="B98" s="9">
        <v>625</v>
      </c>
      <c r="C98" s="323" t="s">
        <v>391</v>
      </c>
      <c r="D98" s="296"/>
      <c r="E98" s="299">
        <v>5000</v>
      </c>
      <c r="F98" s="93">
        <f t="shared" si="56"/>
        <v>5000</v>
      </c>
      <c r="G98" s="10"/>
      <c r="H98" s="20"/>
      <c r="I98" s="20"/>
      <c r="J98" s="97"/>
      <c r="K98" s="97"/>
      <c r="L98" s="97"/>
      <c r="M98" s="97"/>
      <c r="N98" s="20"/>
      <c r="O98" s="20"/>
      <c r="P98" s="20"/>
      <c r="Q98" s="20"/>
      <c r="R98" s="97"/>
      <c r="S98" s="20"/>
      <c r="T98" s="20"/>
      <c r="U98" s="20"/>
      <c r="V98" s="20"/>
      <c r="W98" s="20"/>
      <c r="X98" s="20"/>
      <c r="Y98" s="20"/>
      <c r="Z98" s="20"/>
      <c r="AA98" s="97">
        <f t="shared" si="57"/>
        <v>5000</v>
      </c>
      <c r="AB98" s="10"/>
      <c r="AC98" s="10"/>
      <c r="AD98" s="10"/>
      <c r="AE98" s="10"/>
      <c r="AF98" s="93">
        <f t="shared" si="30"/>
        <v>0</v>
      </c>
      <c r="AG98" s="94"/>
    </row>
    <row r="99" spans="1:33" x14ac:dyDescent="0.25">
      <c r="A99" s="9">
        <v>6253</v>
      </c>
      <c r="B99" s="9">
        <v>625</v>
      </c>
      <c r="C99" s="323" t="s">
        <v>392</v>
      </c>
      <c r="D99" s="296"/>
      <c r="E99" s="299">
        <v>3500</v>
      </c>
      <c r="F99" s="93">
        <f t="shared" si="56"/>
        <v>3500</v>
      </c>
      <c r="G99" s="10"/>
      <c r="H99" s="20"/>
      <c r="I99" s="20"/>
      <c r="J99" s="97"/>
      <c r="K99" s="97"/>
      <c r="L99" s="97"/>
      <c r="M99" s="97"/>
      <c r="N99" s="20"/>
      <c r="O99" s="20"/>
      <c r="P99" s="20"/>
      <c r="Q99" s="20"/>
      <c r="R99" s="97"/>
      <c r="S99" s="20"/>
      <c r="T99" s="20"/>
      <c r="U99" s="20"/>
      <c r="V99" s="20"/>
      <c r="W99" s="20"/>
      <c r="X99" s="20"/>
      <c r="Y99" s="20"/>
      <c r="Z99" s="20"/>
      <c r="AA99" s="97">
        <f t="shared" si="57"/>
        <v>3500</v>
      </c>
      <c r="AB99" s="10"/>
      <c r="AC99" s="10"/>
      <c r="AD99" s="10"/>
      <c r="AE99" s="10"/>
      <c r="AF99" s="93">
        <f t="shared" si="30"/>
        <v>0</v>
      </c>
      <c r="AG99" s="94"/>
    </row>
    <row r="100" spans="1:33" x14ac:dyDescent="0.25">
      <c r="A100" s="9">
        <v>6257</v>
      </c>
      <c r="B100" s="9">
        <v>625</v>
      </c>
      <c r="C100" s="323" t="s">
        <v>393</v>
      </c>
      <c r="D100" s="296"/>
      <c r="E100" s="299">
        <v>4000</v>
      </c>
      <c r="F100" s="93">
        <f t="shared" si="56"/>
        <v>4000</v>
      </c>
      <c r="G100" s="10"/>
      <c r="H100" s="20"/>
      <c r="I100" s="20"/>
      <c r="J100" s="97"/>
      <c r="K100" s="97"/>
      <c r="L100" s="97"/>
      <c r="M100" s="97"/>
      <c r="N100" s="20"/>
      <c r="O100" s="20"/>
      <c r="P100" s="20"/>
      <c r="Q100" s="20"/>
      <c r="R100" s="97"/>
      <c r="S100" s="20"/>
      <c r="T100" s="20"/>
      <c r="U100" s="20"/>
      <c r="V100" s="20"/>
      <c r="W100" s="20"/>
      <c r="X100" s="20"/>
      <c r="Y100" s="20"/>
      <c r="Z100" s="20"/>
      <c r="AA100" s="97">
        <f t="shared" si="57"/>
        <v>4000</v>
      </c>
      <c r="AB100" s="10"/>
      <c r="AC100" s="10"/>
      <c r="AD100" s="10"/>
      <c r="AE100" s="10"/>
      <c r="AF100" s="93">
        <f t="shared" si="30"/>
        <v>0</v>
      </c>
      <c r="AG100" s="94"/>
    </row>
    <row r="101" spans="1:33" x14ac:dyDescent="0.25">
      <c r="A101" s="9">
        <v>6251</v>
      </c>
      <c r="B101" s="9">
        <v>625</v>
      </c>
      <c r="C101" s="20" t="s">
        <v>183</v>
      </c>
      <c r="D101" s="296">
        <v>3000</v>
      </c>
      <c r="E101" s="299">
        <v>1200</v>
      </c>
      <c r="F101" s="93">
        <f t="shared" si="55"/>
        <v>1200</v>
      </c>
      <c r="G101" s="10"/>
      <c r="H101" s="20"/>
      <c r="I101" s="20"/>
      <c r="J101" s="97">
        <f>N101</f>
        <v>1200</v>
      </c>
      <c r="K101" s="20"/>
      <c r="L101" s="97"/>
      <c r="M101" s="20"/>
      <c r="N101" s="97">
        <f>F101</f>
        <v>1200</v>
      </c>
      <c r="O101" s="97"/>
      <c r="P101" s="20"/>
      <c r="Q101" s="20"/>
      <c r="R101" s="97"/>
      <c r="S101" s="20"/>
      <c r="T101" s="20"/>
      <c r="U101" s="20"/>
      <c r="V101" s="20"/>
      <c r="W101" s="20"/>
      <c r="X101" s="20"/>
      <c r="Y101" s="20"/>
      <c r="Z101" s="20"/>
      <c r="AA101" s="20"/>
      <c r="AB101" s="10"/>
      <c r="AC101" s="10"/>
      <c r="AD101" s="10">
        <f t="shared" si="43"/>
        <v>0</v>
      </c>
      <c r="AE101" s="10"/>
      <c r="AF101" s="93">
        <f t="shared" si="30"/>
        <v>0</v>
      </c>
      <c r="AG101" s="94">
        <f t="shared" si="54"/>
        <v>0</v>
      </c>
    </row>
    <row r="102" spans="1:33" x14ac:dyDescent="0.25">
      <c r="A102" s="9">
        <v>6251</v>
      </c>
      <c r="B102" s="9">
        <v>625</v>
      </c>
      <c r="C102" s="20" t="s">
        <v>285</v>
      </c>
      <c r="D102" s="296">
        <v>3000</v>
      </c>
      <c r="E102" s="299">
        <v>3300</v>
      </c>
      <c r="F102" s="93">
        <f t="shared" si="55"/>
        <v>3300</v>
      </c>
      <c r="G102" s="10"/>
      <c r="H102" s="20"/>
      <c r="I102" s="20"/>
      <c r="J102" s="97">
        <f>Q102</f>
        <v>3300</v>
      </c>
      <c r="K102" s="20"/>
      <c r="L102" s="97"/>
      <c r="M102" s="20"/>
      <c r="N102" s="20"/>
      <c r="O102" s="20"/>
      <c r="P102" s="97"/>
      <c r="Q102" s="97">
        <f>F102</f>
        <v>3300</v>
      </c>
      <c r="R102" s="97"/>
      <c r="S102" s="20"/>
      <c r="T102" s="20"/>
      <c r="U102" s="20"/>
      <c r="V102" s="20"/>
      <c r="W102" s="20"/>
      <c r="X102" s="20"/>
      <c r="Y102" s="20"/>
      <c r="Z102" s="20"/>
      <c r="AA102" s="20"/>
      <c r="AB102" s="10"/>
      <c r="AC102" s="10"/>
      <c r="AD102" s="10">
        <f t="shared" si="43"/>
        <v>0</v>
      </c>
      <c r="AE102" s="10"/>
      <c r="AF102" s="93">
        <f t="shared" si="30"/>
        <v>0</v>
      </c>
      <c r="AG102" s="94">
        <f t="shared" si="54"/>
        <v>0</v>
      </c>
    </row>
    <row r="103" spans="1:33" x14ac:dyDescent="0.25">
      <c r="A103" s="9">
        <v>6251</v>
      </c>
      <c r="B103" s="9">
        <v>625</v>
      </c>
      <c r="C103" s="20" t="s">
        <v>286</v>
      </c>
      <c r="D103" s="296">
        <v>4000</v>
      </c>
      <c r="E103" s="299">
        <v>7700</v>
      </c>
      <c r="F103" s="93">
        <f t="shared" si="55"/>
        <v>7700</v>
      </c>
      <c r="G103" s="10"/>
      <c r="H103" s="20"/>
      <c r="I103" s="20"/>
      <c r="J103" s="97">
        <f>Q103</f>
        <v>7700</v>
      </c>
      <c r="K103" s="20"/>
      <c r="L103" s="97"/>
      <c r="M103" s="20"/>
      <c r="N103" s="20"/>
      <c r="O103" s="20"/>
      <c r="P103" s="20"/>
      <c r="Q103" s="97">
        <f>F103</f>
        <v>7700</v>
      </c>
      <c r="R103" s="97"/>
      <c r="S103" s="97"/>
      <c r="T103" s="20"/>
      <c r="U103" s="20"/>
      <c r="V103" s="20"/>
      <c r="W103" s="20"/>
      <c r="X103" s="20"/>
      <c r="Y103" s="20"/>
      <c r="Z103" s="20"/>
      <c r="AA103" s="20"/>
      <c r="AB103" s="10"/>
      <c r="AC103" s="10"/>
      <c r="AD103" s="10">
        <f t="shared" si="43"/>
        <v>0</v>
      </c>
      <c r="AE103" s="10"/>
      <c r="AF103" s="93">
        <f t="shared" si="30"/>
        <v>0</v>
      </c>
      <c r="AG103" s="94">
        <f t="shared" si="54"/>
        <v>0</v>
      </c>
    </row>
    <row r="104" spans="1:33" x14ac:dyDescent="0.25">
      <c r="A104" s="9">
        <v>6251</v>
      </c>
      <c r="B104" s="9">
        <v>625</v>
      </c>
      <c r="C104" s="20" t="s">
        <v>287</v>
      </c>
      <c r="D104" s="296">
        <v>3000</v>
      </c>
      <c r="E104" s="299">
        <v>850</v>
      </c>
      <c r="F104" s="93">
        <f t="shared" si="55"/>
        <v>850</v>
      </c>
      <c r="G104" s="10"/>
      <c r="H104" s="20"/>
      <c r="I104" s="20"/>
      <c r="J104" s="97">
        <f>O104</f>
        <v>850</v>
      </c>
      <c r="K104" s="20"/>
      <c r="L104" s="97"/>
      <c r="M104" s="20"/>
      <c r="N104" s="20"/>
      <c r="O104" s="97">
        <f>F104</f>
        <v>850</v>
      </c>
      <c r="P104" s="97"/>
      <c r="Q104" s="20"/>
      <c r="R104" s="97"/>
      <c r="S104" s="20"/>
      <c r="T104" s="20"/>
      <c r="U104" s="20"/>
      <c r="V104" s="20"/>
      <c r="W104" s="20"/>
      <c r="X104" s="20"/>
      <c r="Y104" s="20"/>
      <c r="Z104" s="20"/>
      <c r="AA104" s="20"/>
      <c r="AB104" s="10"/>
      <c r="AC104" s="10"/>
      <c r="AD104" s="10">
        <f t="shared" si="43"/>
        <v>0</v>
      </c>
      <c r="AE104" s="10"/>
      <c r="AF104" s="93">
        <f t="shared" si="30"/>
        <v>0</v>
      </c>
      <c r="AG104" s="94">
        <f t="shared" si="54"/>
        <v>0</v>
      </c>
    </row>
    <row r="105" spans="1:33" ht="30" x14ac:dyDescent="0.25">
      <c r="A105" s="9">
        <v>6251</v>
      </c>
      <c r="B105" s="9">
        <v>625</v>
      </c>
      <c r="C105" s="22" t="s">
        <v>211</v>
      </c>
      <c r="D105" s="296"/>
      <c r="E105" s="299">
        <v>10750</v>
      </c>
      <c r="F105" s="93">
        <f t="shared" si="55"/>
        <v>10750</v>
      </c>
      <c r="G105" s="10"/>
      <c r="H105" s="20"/>
      <c r="I105" s="20"/>
      <c r="J105" s="97">
        <f>X105</f>
        <v>10750</v>
      </c>
      <c r="K105" s="20"/>
      <c r="L105" s="97"/>
      <c r="M105" s="20"/>
      <c r="N105" s="20"/>
      <c r="O105" s="20"/>
      <c r="P105" s="20"/>
      <c r="Q105" s="20"/>
      <c r="R105" s="97"/>
      <c r="S105" s="20"/>
      <c r="T105" s="97"/>
      <c r="U105" s="20"/>
      <c r="V105" s="20"/>
      <c r="W105" s="20"/>
      <c r="X105" s="97">
        <f>F105</f>
        <v>10750</v>
      </c>
      <c r="Y105" s="97"/>
      <c r="Z105" s="20"/>
      <c r="AA105" s="20"/>
      <c r="AB105" s="93"/>
      <c r="AC105" s="10"/>
      <c r="AD105" s="93"/>
      <c r="AE105" s="10"/>
      <c r="AF105" s="93">
        <f t="shared" si="30"/>
        <v>0</v>
      </c>
      <c r="AG105" s="94">
        <f t="shared" si="54"/>
        <v>0</v>
      </c>
    </row>
    <row r="106" spans="1:33" x14ac:dyDescent="0.25">
      <c r="A106" s="9">
        <v>6251</v>
      </c>
      <c r="B106" s="9">
        <v>625</v>
      </c>
      <c r="C106" s="20" t="s">
        <v>213</v>
      </c>
      <c r="D106" s="296"/>
      <c r="E106" s="299">
        <v>7940</v>
      </c>
      <c r="F106" s="93">
        <f t="shared" si="55"/>
        <v>7940</v>
      </c>
      <c r="G106" s="10"/>
      <c r="H106" s="20"/>
      <c r="I106" s="97"/>
      <c r="J106" s="97">
        <f>P106</f>
        <v>7940</v>
      </c>
      <c r="K106" s="20"/>
      <c r="L106" s="97"/>
      <c r="M106" s="20"/>
      <c r="N106" s="20"/>
      <c r="O106" s="20"/>
      <c r="P106" s="97">
        <f>F106</f>
        <v>7940</v>
      </c>
      <c r="Q106" s="20"/>
      <c r="R106" s="97"/>
      <c r="S106" s="20"/>
      <c r="T106" s="20"/>
      <c r="U106" s="20"/>
      <c r="V106" s="20"/>
      <c r="W106" s="20"/>
      <c r="X106" s="20"/>
      <c r="Y106" s="20"/>
      <c r="Z106" s="20"/>
      <c r="AA106" s="20"/>
      <c r="AB106" s="10"/>
      <c r="AC106" s="10"/>
      <c r="AD106" s="10"/>
      <c r="AE106" s="10"/>
      <c r="AF106" s="93">
        <f t="shared" si="30"/>
        <v>0</v>
      </c>
      <c r="AG106" s="94">
        <f t="shared" si="54"/>
        <v>0</v>
      </c>
    </row>
    <row r="107" spans="1:33" x14ac:dyDescent="0.25">
      <c r="A107" s="9">
        <v>6251</v>
      </c>
      <c r="B107" s="9">
        <v>625</v>
      </c>
      <c r="C107" s="20" t="s">
        <v>256</v>
      </c>
      <c r="D107" s="296"/>
      <c r="E107" s="299">
        <v>200</v>
      </c>
      <c r="F107" s="93">
        <f t="shared" si="55"/>
        <v>200</v>
      </c>
      <c r="G107" s="10"/>
      <c r="H107" s="20"/>
      <c r="I107" s="97"/>
      <c r="J107" s="97">
        <f>F107</f>
        <v>200</v>
      </c>
      <c r="K107" s="20"/>
      <c r="L107" s="97"/>
      <c r="M107" s="20"/>
      <c r="N107" s="20"/>
      <c r="O107" s="20"/>
      <c r="P107" s="97"/>
      <c r="Q107" s="20"/>
      <c r="R107" s="97"/>
      <c r="S107" s="20"/>
      <c r="T107" s="20"/>
      <c r="U107" s="20"/>
      <c r="V107" s="20"/>
      <c r="W107" s="20"/>
      <c r="X107" s="20"/>
      <c r="Y107" s="97">
        <f>F107</f>
        <v>200</v>
      </c>
      <c r="Z107" s="20"/>
      <c r="AA107" s="20"/>
      <c r="AB107" s="10"/>
      <c r="AC107" s="10"/>
      <c r="AD107" s="10"/>
      <c r="AE107" s="10"/>
      <c r="AF107" s="93">
        <f t="shared" si="30"/>
        <v>0</v>
      </c>
      <c r="AG107" s="94"/>
    </row>
    <row r="108" spans="1:33" x14ac:dyDescent="0.25">
      <c r="A108" s="9">
        <v>6251</v>
      </c>
      <c r="B108" s="9">
        <v>625</v>
      </c>
      <c r="C108" s="20" t="s">
        <v>288</v>
      </c>
      <c r="D108" s="296"/>
      <c r="E108" s="299">
        <v>800</v>
      </c>
      <c r="F108" s="93">
        <f t="shared" si="55"/>
        <v>800</v>
      </c>
      <c r="G108" s="10"/>
      <c r="H108" s="20"/>
      <c r="I108" s="97"/>
      <c r="J108" s="97">
        <f>W108</f>
        <v>800</v>
      </c>
      <c r="K108" s="20"/>
      <c r="L108" s="97"/>
      <c r="M108" s="20"/>
      <c r="N108" s="20"/>
      <c r="O108" s="20"/>
      <c r="P108" s="20"/>
      <c r="Q108" s="20"/>
      <c r="R108" s="97"/>
      <c r="S108" s="20"/>
      <c r="T108" s="20"/>
      <c r="U108" s="20"/>
      <c r="V108" s="20"/>
      <c r="W108" s="97">
        <f>F108</f>
        <v>800</v>
      </c>
      <c r="X108" s="20"/>
      <c r="Y108" s="20"/>
      <c r="Z108" s="20"/>
      <c r="AA108" s="20"/>
      <c r="AB108" s="10"/>
      <c r="AC108" s="10"/>
      <c r="AD108" s="10"/>
      <c r="AE108" s="10"/>
      <c r="AF108" s="93">
        <f t="shared" si="30"/>
        <v>0</v>
      </c>
      <c r="AG108" s="94">
        <f>J108-SUM(K108:Z108)</f>
        <v>0</v>
      </c>
    </row>
    <row r="109" spans="1:33" x14ac:dyDescent="0.25">
      <c r="A109" s="9">
        <v>6251</v>
      </c>
      <c r="B109" s="9">
        <v>625</v>
      </c>
      <c r="C109" s="20" t="s">
        <v>289</v>
      </c>
      <c r="D109" s="296"/>
      <c r="E109" s="299">
        <v>450</v>
      </c>
      <c r="F109" s="97">
        <f>E109</f>
        <v>450</v>
      </c>
      <c r="G109" s="10"/>
      <c r="H109" s="20"/>
      <c r="I109" s="97"/>
      <c r="J109" s="97">
        <f>M109</f>
        <v>450</v>
      </c>
      <c r="K109" s="20"/>
      <c r="L109" s="97"/>
      <c r="M109" s="97">
        <f>F109</f>
        <v>450</v>
      </c>
      <c r="N109" s="20"/>
      <c r="O109" s="20"/>
      <c r="P109" s="20"/>
      <c r="Q109" s="20"/>
      <c r="R109" s="97"/>
      <c r="S109" s="20"/>
      <c r="T109" s="20"/>
      <c r="U109" s="20"/>
      <c r="V109" s="20"/>
      <c r="W109" s="20"/>
      <c r="X109" s="20"/>
      <c r="Y109" s="20"/>
      <c r="Z109" s="20"/>
      <c r="AA109" s="20"/>
      <c r="AB109" s="10"/>
      <c r="AC109" s="10"/>
      <c r="AD109" s="10"/>
      <c r="AE109" s="10"/>
      <c r="AF109" s="93">
        <f t="shared" si="30"/>
        <v>0</v>
      </c>
      <c r="AG109" s="94">
        <f>J109-SUM(K109:Z109)</f>
        <v>0</v>
      </c>
    </row>
    <row r="110" spans="1:33" x14ac:dyDescent="0.25">
      <c r="A110" s="9">
        <v>6251</v>
      </c>
      <c r="B110" s="9">
        <v>625</v>
      </c>
      <c r="C110" s="20" t="s">
        <v>290</v>
      </c>
      <c r="D110" s="296">
        <v>5000</v>
      </c>
      <c r="E110" s="299">
        <v>3200</v>
      </c>
      <c r="F110" s="93">
        <f t="shared" si="55"/>
        <v>3200</v>
      </c>
      <c r="G110" s="10"/>
      <c r="H110" s="20"/>
      <c r="I110" s="20"/>
      <c r="J110" s="97">
        <f>U110</f>
        <v>3200</v>
      </c>
      <c r="K110" s="20"/>
      <c r="L110" s="97"/>
      <c r="M110" s="20"/>
      <c r="N110" s="20"/>
      <c r="O110" s="20"/>
      <c r="P110" s="20"/>
      <c r="Q110" s="20"/>
      <c r="R110" s="97"/>
      <c r="S110" s="20"/>
      <c r="T110" s="20"/>
      <c r="U110" s="97">
        <f>F110</f>
        <v>3200</v>
      </c>
      <c r="V110" s="20"/>
      <c r="W110" s="20"/>
      <c r="X110" s="97"/>
      <c r="Y110" s="97"/>
      <c r="Z110" s="20"/>
      <c r="AA110" s="20"/>
      <c r="AB110" s="10"/>
      <c r="AC110" s="10"/>
      <c r="AD110" s="10"/>
      <c r="AE110" s="10"/>
      <c r="AF110" s="93">
        <f t="shared" si="30"/>
        <v>0</v>
      </c>
      <c r="AG110" s="94">
        <f>J110-SUM(K110:Z110)</f>
        <v>0</v>
      </c>
    </row>
    <row r="111" spans="1:33" x14ac:dyDescent="0.25">
      <c r="A111" s="9">
        <v>6251</v>
      </c>
      <c r="B111" s="9">
        <v>625</v>
      </c>
      <c r="C111" s="244" t="s">
        <v>215</v>
      </c>
      <c r="D111" s="296"/>
      <c r="E111" s="299">
        <v>900</v>
      </c>
      <c r="F111" s="93">
        <f t="shared" si="55"/>
        <v>900</v>
      </c>
      <c r="G111" s="10"/>
      <c r="H111" s="20"/>
      <c r="I111" s="20"/>
      <c r="J111" s="97">
        <f>T111</f>
        <v>900</v>
      </c>
      <c r="K111" s="20"/>
      <c r="L111" s="97"/>
      <c r="M111" s="20"/>
      <c r="N111" s="20"/>
      <c r="O111" s="20"/>
      <c r="P111" s="20"/>
      <c r="Q111" s="20"/>
      <c r="R111" s="97"/>
      <c r="S111" s="20"/>
      <c r="T111" s="97">
        <f>F111</f>
        <v>900</v>
      </c>
      <c r="U111" s="20"/>
      <c r="V111" s="97"/>
      <c r="W111" s="20"/>
      <c r="X111" s="20"/>
      <c r="Y111" s="20"/>
      <c r="Z111" s="20"/>
      <c r="AA111" s="20"/>
      <c r="AB111" s="10"/>
      <c r="AC111" s="10"/>
      <c r="AD111" s="10"/>
      <c r="AE111" s="10"/>
      <c r="AF111" s="93">
        <f t="shared" si="30"/>
        <v>0</v>
      </c>
      <c r="AG111" s="94">
        <f>J111-SUM(K111:Z111)</f>
        <v>0</v>
      </c>
    </row>
    <row r="112" spans="1:33" x14ac:dyDescent="0.25">
      <c r="A112" s="9">
        <v>6251</v>
      </c>
      <c r="B112" s="9">
        <v>625</v>
      </c>
      <c r="C112" s="20" t="s">
        <v>257</v>
      </c>
      <c r="D112" s="296"/>
      <c r="E112" s="299">
        <v>800</v>
      </c>
      <c r="F112" s="93">
        <f t="shared" si="55"/>
        <v>800</v>
      </c>
      <c r="G112" s="10"/>
      <c r="H112" s="20"/>
      <c r="I112" s="97"/>
      <c r="J112" s="97">
        <f>F112</f>
        <v>800</v>
      </c>
      <c r="K112" s="20"/>
      <c r="L112" s="97"/>
      <c r="M112" s="20"/>
      <c r="N112" s="20"/>
      <c r="O112" s="20"/>
      <c r="P112" s="20"/>
      <c r="Q112" s="20"/>
      <c r="R112" s="97">
        <f>F112</f>
        <v>800</v>
      </c>
      <c r="S112" s="20"/>
      <c r="T112" s="20"/>
      <c r="U112" s="20"/>
      <c r="V112" s="20"/>
      <c r="W112" s="97"/>
      <c r="X112" s="20"/>
      <c r="Y112" s="20"/>
      <c r="Z112" s="97"/>
      <c r="AA112" s="20"/>
      <c r="AB112" s="10"/>
      <c r="AC112" s="10"/>
      <c r="AD112" s="10"/>
      <c r="AE112" s="10"/>
      <c r="AF112" s="93">
        <f t="shared" si="30"/>
        <v>0</v>
      </c>
      <c r="AG112" s="94">
        <f>J112-SUM(K112:Z112)</f>
        <v>0</v>
      </c>
    </row>
    <row r="113" spans="1:33" x14ac:dyDescent="0.25">
      <c r="A113" s="9">
        <v>6251</v>
      </c>
      <c r="B113" s="9">
        <v>625</v>
      </c>
      <c r="C113" s="244" t="s">
        <v>258</v>
      </c>
      <c r="D113" s="296"/>
      <c r="E113" s="299">
        <v>500</v>
      </c>
      <c r="F113" s="93">
        <f t="shared" si="55"/>
        <v>500</v>
      </c>
      <c r="G113" s="10"/>
      <c r="H113" s="20"/>
      <c r="I113" s="97">
        <f>F113</f>
        <v>500</v>
      </c>
      <c r="J113" s="97"/>
      <c r="K113" s="20"/>
      <c r="L113" s="97"/>
      <c r="M113" s="20"/>
      <c r="N113" s="20"/>
      <c r="O113" s="20"/>
      <c r="P113" s="20"/>
      <c r="Q113" s="20"/>
      <c r="R113" s="97"/>
      <c r="S113" s="20"/>
      <c r="T113" s="20"/>
      <c r="U113" s="20"/>
      <c r="V113" s="20"/>
      <c r="W113" s="97"/>
      <c r="X113" s="20"/>
      <c r="Y113" s="20"/>
      <c r="Z113" s="97"/>
      <c r="AA113" s="20"/>
      <c r="AB113" s="10"/>
      <c r="AC113" s="10"/>
      <c r="AD113" s="10"/>
      <c r="AE113" s="10"/>
      <c r="AF113" s="93">
        <f t="shared" si="30"/>
        <v>0</v>
      </c>
      <c r="AG113" s="94"/>
    </row>
    <row r="114" spans="1:33" x14ac:dyDescent="0.25">
      <c r="A114" s="9">
        <v>6251</v>
      </c>
      <c r="B114" s="9">
        <v>625</v>
      </c>
      <c r="C114" s="244" t="s">
        <v>214</v>
      </c>
      <c r="D114" s="296"/>
      <c r="E114" s="299">
        <v>2300</v>
      </c>
      <c r="F114" s="93">
        <f t="shared" si="55"/>
        <v>2300</v>
      </c>
      <c r="G114" s="10"/>
      <c r="H114" s="20"/>
      <c r="I114" s="20"/>
      <c r="J114" s="97">
        <f>S114</f>
        <v>2300</v>
      </c>
      <c r="K114" s="20"/>
      <c r="L114" s="97"/>
      <c r="M114" s="20"/>
      <c r="N114" s="20"/>
      <c r="O114" s="20"/>
      <c r="P114" s="20"/>
      <c r="Q114" s="20"/>
      <c r="R114" s="97"/>
      <c r="S114" s="97">
        <f>F114</f>
        <v>2300</v>
      </c>
      <c r="T114" s="20"/>
      <c r="U114" s="97"/>
      <c r="V114" s="20"/>
      <c r="W114" s="20"/>
      <c r="X114" s="20"/>
      <c r="Y114" s="20"/>
      <c r="Z114" s="20"/>
      <c r="AA114" s="20"/>
      <c r="AB114" s="10"/>
      <c r="AC114" s="10"/>
      <c r="AD114" s="10"/>
      <c r="AE114" s="10"/>
      <c r="AF114" s="93">
        <f t="shared" si="30"/>
        <v>0</v>
      </c>
      <c r="AG114" s="94">
        <f>J114-SUM(K114:Z114)</f>
        <v>0</v>
      </c>
    </row>
    <row r="115" spans="1:33" x14ac:dyDescent="0.25">
      <c r="A115" s="9">
        <v>6251</v>
      </c>
      <c r="B115" s="9">
        <v>625</v>
      </c>
      <c r="C115" s="20" t="s">
        <v>291</v>
      </c>
      <c r="D115" s="296">
        <v>5000</v>
      </c>
      <c r="E115" s="299">
        <v>100</v>
      </c>
      <c r="F115" s="10"/>
      <c r="G115" s="93">
        <f>E115</f>
        <v>100</v>
      </c>
      <c r="H115" s="97">
        <f>$G$115*H2</f>
        <v>15.833333333333336</v>
      </c>
      <c r="I115" s="97">
        <f>$G$115*I2</f>
        <v>32.166666666666657</v>
      </c>
      <c r="J115" s="97">
        <f>$G$115*J2</f>
        <v>51.166666666666686</v>
      </c>
      <c r="K115" s="97">
        <f>$J$115*K2</f>
        <v>0.83333333333333348</v>
      </c>
      <c r="L115" s="97">
        <f>J115*$L$2</f>
        <v>1.666666666666667</v>
      </c>
      <c r="M115" s="97">
        <f>$J$115*M2</f>
        <v>2.3333333333333335</v>
      </c>
      <c r="N115" s="97">
        <f>$J$115*N2</f>
        <v>5.166666666666667</v>
      </c>
      <c r="O115" s="97">
        <f>$J$115*O2</f>
        <v>6.0000000000000018</v>
      </c>
      <c r="P115" s="97">
        <f>$J$115*P2</f>
        <v>2.3333333333333339</v>
      </c>
      <c r="Q115" s="97">
        <f>$J$115*Q2</f>
        <v>5.3333333333333339</v>
      </c>
      <c r="R115" s="97">
        <f>J115*$R$2</f>
        <v>4.6666666666666679</v>
      </c>
      <c r="S115" s="97">
        <f t="shared" ref="S115:AA115" si="58">$J$115*S2</f>
        <v>5.5000000000000009</v>
      </c>
      <c r="T115" s="97">
        <f t="shared" si="58"/>
        <v>2.3333333333333339</v>
      </c>
      <c r="U115" s="97">
        <f t="shared" si="58"/>
        <v>7.3333333333333348</v>
      </c>
      <c r="V115" s="97">
        <f t="shared" si="58"/>
        <v>0.33333333333333337</v>
      </c>
      <c r="W115" s="97">
        <f t="shared" si="58"/>
        <v>0.83333333333333348</v>
      </c>
      <c r="X115" s="97">
        <f t="shared" si="58"/>
        <v>3.6666666666666674</v>
      </c>
      <c r="Y115" s="97">
        <f t="shared" si="58"/>
        <v>0.83333333333333348</v>
      </c>
      <c r="Z115" s="97">
        <f t="shared" si="58"/>
        <v>2</v>
      </c>
      <c r="AA115" s="97">
        <f t="shared" si="58"/>
        <v>0.83333333333333348</v>
      </c>
      <c r="AB115" s="10">
        <f>G115*$AB$2</f>
        <v>0</v>
      </c>
      <c r="AC115" s="10"/>
      <c r="AD115" s="10">
        <f t="shared" ref="AD115" si="59">AB115*$AD$2</f>
        <v>0</v>
      </c>
      <c r="AE115" s="10">
        <f t="shared" ref="AE115" si="60">AB115*$AE$2</f>
        <v>0</v>
      </c>
      <c r="AF115" s="93">
        <f t="shared" si="30"/>
        <v>-1.9095836023552692E-14</v>
      </c>
      <c r="AG115" s="94">
        <f>J115-SUM(K115:Z115)</f>
        <v>0</v>
      </c>
    </row>
    <row r="116" spans="1:33" x14ac:dyDescent="0.25">
      <c r="A116" s="9">
        <v>6251</v>
      </c>
      <c r="B116" s="9">
        <v>625</v>
      </c>
      <c r="C116" s="20" t="s">
        <v>56</v>
      </c>
      <c r="D116" s="296">
        <v>3000</v>
      </c>
      <c r="E116" s="299">
        <v>5800</v>
      </c>
      <c r="F116" s="93">
        <f>E116</f>
        <v>5800</v>
      </c>
      <c r="G116" s="10"/>
      <c r="H116" s="20"/>
      <c r="I116" s="97">
        <f>F116</f>
        <v>5800</v>
      </c>
      <c r="J116" s="20"/>
      <c r="K116" s="20"/>
      <c r="L116" s="97"/>
      <c r="M116" s="20"/>
      <c r="N116" s="20"/>
      <c r="O116" s="20"/>
      <c r="P116" s="20"/>
      <c r="Q116" s="20"/>
      <c r="R116" s="97"/>
      <c r="S116" s="20"/>
      <c r="T116" s="20"/>
      <c r="U116" s="20"/>
      <c r="V116" s="20"/>
      <c r="W116" s="20"/>
      <c r="X116" s="20"/>
      <c r="Y116" s="20"/>
      <c r="Z116" s="20"/>
      <c r="AA116" s="20"/>
      <c r="AB116" s="10"/>
      <c r="AC116" s="10"/>
      <c r="AD116" s="10"/>
      <c r="AE116" s="10"/>
      <c r="AF116" s="93">
        <f t="shared" si="30"/>
        <v>0</v>
      </c>
      <c r="AG116" s="94">
        <f>J116-SUM(K116:Z116)</f>
        <v>0</v>
      </c>
    </row>
    <row r="117" spans="1:33" x14ac:dyDescent="0.25">
      <c r="A117" s="9">
        <v>6251</v>
      </c>
      <c r="B117" s="9">
        <v>625</v>
      </c>
      <c r="C117" s="20" t="s">
        <v>259</v>
      </c>
      <c r="D117" s="296"/>
      <c r="E117" s="299">
        <v>800</v>
      </c>
      <c r="F117" s="93">
        <f>E117</f>
        <v>800</v>
      </c>
      <c r="G117" s="10"/>
      <c r="H117" s="20"/>
      <c r="I117" s="97">
        <f>F117</f>
        <v>800</v>
      </c>
      <c r="J117" s="20"/>
      <c r="K117" s="20"/>
      <c r="L117" s="97"/>
      <c r="M117" s="20"/>
      <c r="N117" s="20"/>
      <c r="O117" s="20"/>
      <c r="P117" s="20"/>
      <c r="Q117" s="20"/>
      <c r="R117" s="97"/>
      <c r="S117" s="20"/>
      <c r="T117" s="20"/>
      <c r="U117" s="20"/>
      <c r="V117" s="20"/>
      <c r="W117" s="20"/>
      <c r="X117" s="20"/>
      <c r="Y117" s="20"/>
      <c r="Z117" s="20"/>
      <c r="AA117" s="20"/>
      <c r="AB117" s="10"/>
      <c r="AC117" s="10"/>
      <c r="AD117" s="10"/>
      <c r="AE117" s="10"/>
      <c r="AF117" s="93">
        <f t="shared" ref="AF117:AF158" si="61">E117-H117-I117-J117-AB117-AA117</f>
        <v>0</v>
      </c>
      <c r="AG117" s="94"/>
    </row>
    <row r="118" spans="1:33" x14ac:dyDescent="0.25">
      <c r="A118" s="9">
        <v>6251</v>
      </c>
      <c r="B118" s="9">
        <v>625</v>
      </c>
      <c r="C118" s="20" t="s">
        <v>292</v>
      </c>
      <c r="D118" s="296">
        <v>1400</v>
      </c>
      <c r="E118" s="299">
        <v>300</v>
      </c>
      <c r="F118" s="93">
        <f>E118</f>
        <v>300</v>
      </c>
      <c r="G118" s="10"/>
      <c r="H118" s="97">
        <f>F118</f>
        <v>300</v>
      </c>
      <c r="I118" s="20"/>
      <c r="J118" s="20"/>
      <c r="K118" s="20"/>
      <c r="L118" s="97"/>
      <c r="M118" s="20"/>
      <c r="N118" s="20"/>
      <c r="O118" s="20"/>
      <c r="P118" s="20"/>
      <c r="Q118" s="20"/>
      <c r="R118" s="97"/>
      <c r="S118" s="20"/>
      <c r="T118" s="20"/>
      <c r="U118" s="20"/>
      <c r="V118" s="20"/>
      <c r="W118" s="20"/>
      <c r="X118" s="20"/>
      <c r="Y118" s="20"/>
      <c r="Z118" s="20"/>
      <c r="AA118" s="20"/>
      <c r="AB118" s="10"/>
      <c r="AC118" s="10"/>
      <c r="AD118" s="10"/>
      <c r="AE118" s="10"/>
      <c r="AF118" s="93">
        <f t="shared" si="61"/>
        <v>0</v>
      </c>
      <c r="AG118" s="94">
        <f t="shared" ref="AG118:AG157" si="62">J118-SUM(K118:Z118)</f>
        <v>0</v>
      </c>
    </row>
    <row r="119" spans="1:33" x14ac:dyDescent="0.25">
      <c r="A119" s="9">
        <v>6251</v>
      </c>
      <c r="B119" s="9">
        <v>625</v>
      </c>
      <c r="C119" s="20" t="s">
        <v>293</v>
      </c>
      <c r="D119" s="296"/>
      <c r="E119" s="299">
        <v>1400</v>
      </c>
      <c r="F119" s="93">
        <f>E119</f>
        <v>1400</v>
      </c>
      <c r="G119" s="10"/>
      <c r="H119" s="20"/>
      <c r="I119" s="97">
        <f>F119</f>
        <v>1400</v>
      </c>
      <c r="J119" s="20"/>
      <c r="K119" s="20"/>
      <c r="L119" s="97"/>
      <c r="M119" s="20"/>
      <c r="N119" s="20"/>
      <c r="O119" s="20"/>
      <c r="P119" s="20"/>
      <c r="Q119" s="20"/>
      <c r="R119" s="97"/>
      <c r="S119" s="20"/>
      <c r="T119" s="20"/>
      <c r="U119" s="20"/>
      <c r="V119" s="20"/>
      <c r="W119" s="20"/>
      <c r="X119" s="97"/>
      <c r="Y119" s="97"/>
      <c r="Z119" s="97"/>
      <c r="AA119" s="97"/>
      <c r="AB119" s="10"/>
      <c r="AC119" s="10"/>
      <c r="AD119" s="10"/>
      <c r="AE119" s="10"/>
      <c r="AF119" s="93">
        <f t="shared" si="61"/>
        <v>0</v>
      </c>
      <c r="AG119" s="94">
        <f t="shared" si="62"/>
        <v>0</v>
      </c>
    </row>
    <row r="120" spans="1:33" x14ac:dyDescent="0.25">
      <c r="A120" s="9">
        <v>6251</v>
      </c>
      <c r="B120" s="9">
        <v>625</v>
      </c>
      <c r="C120" s="20" t="s">
        <v>216</v>
      </c>
      <c r="D120" s="296">
        <v>4000</v>
      </c>
      <c r="E120" s="299">
        <v>10000</v>
      </c>
      <c r="F120" s="10"/>
      <c r="G120" s="93">
        <f>E120</f>
        <v>10000</v>
      </c>
      <c r="H120" s="97">
        <f>$G$120*H2</f>
        <v>1583.3333333333335</v>
      </c>
      <c r="I120" s="97">
        <f>$G$120*I2</f>
        <v>3216.6666666666661</v>
      </c>
      <c r="J120" s="97">
        <f>$G$120*J2</f>
        <v>5116.6666666666679</v>
      </c>
      <c r="K120" s="97">
        <f>$J$120*K2</f>
        <v>83.333333333333343</v>
      </c>
      <c r="L120" s="97">
        <f>J120*$L$2</f>
        <v>166.66666666666669</v>
      </c>
      <c r="M120" s="97">
        <f>$J$120*M2</f>
        <v>233.33333333333331</v>
      </c>
      <c r="N120" s="97">
        <f>$J$120*N2</f>
        <v>516.66666666666663</v>
      </c>
      <c r="O120" s="97">
        <f>$J$120*O2</f>
        <v>600</v>
      </c>
      <c r="P120" s="97">
        <f>$J$120*P2</f>
        <v>233.33333333333334</v>
      </c>
      <c r="Q120" s="97">
        <f>$J$120*Q2</f>
        <v>533.33333333333337</v>
      </c>
      <c r="R120" s="97">
        <f>J120*$R$2</f>
        <v>466.66666666666669</v>
      </c>
      <c r="S120" s="97">
        <f t="shared" ref="S120:AA120" si="63">$J$120*S2</f>
        <v>550</v>
      </c>
      <c r="T120" s="97">
        <f t="shared" si="63"/>
        <v>233.33333333333334</v>
      </c>
      <c r="U120" s="97">
        <f t="shared" si="63"/>
        <v>733.33333333333337</v>
      </c>
      <c r="V120" s="97">
        <f t="shared" si="63"/>
        <v>33.333333333333336</v>
      </c>
      <c r="W120" s="97">
        <f t="shared" si="63"/>
        <v>83.333333333333343</v>
      </c>
      <c r="X120" s="97">
        <f t="shared" si="63"/>
        <v>366.66666666666669</v>
      </c>
      <c r="Y120" s="97">
        <f t="shared" si="63"/>
        <v>83.333333333333343</v>
      </c>
      <c r="Z120" s="97">
        <f t="shared" si="63"/>
        <v>200</v>
      </c>
      <c r="AA120" s="97">
        <f t="shared" si="63"/>
        <v>83.333333333333343</v>
      </c>
      <c r="AB120" s="10">
        <f>G120*$AB$2</f>
        <v>0</v>
      </c>
      <c r="AC120" s="10"/>
      <c r="AD120" s="10">
        <f t="shared" ref="AD120:AD121" si="64">AB120*$AD$2</f>
        <v>0</v>
      </c>
      <c r="AE120" s="10">
        <f t="shared" ref="AE120:AE121" si="65">AB120*$AE$2</f>
        <v>0</v>
      </c>
      <c r="AF120" s="93">
        <f t="shared" si="61"/>
        <v>-1.2221335055073723E-12</v>
      </c>
      <c r="AG120" s="94">
        <f t="shared" si="62"/>
        <v>0</v>
      </c>
    </row>
    <row r="121" spans="1:33" x14ac:dyDescent="0.25">
      <c r="A121" s="9">
        <v>6251</v>
      </c>
      <c r="B121" s="9">
        <v>625</v>
      </c>
      <c r="C121" s="20" t="s">
        <v>294</v>
      </c>
      <c r="D121" s="296"/>
      <c r="E121" s="299">
        <v>8000</v>
      </c>
      <c r="F121" s="97"/>
      <c r="G121" s="97">
        <f>E121</f>
        <v>8000</v>
      </c>
      <c r="H121" s="97">
        <f>$G$121*H2</f>
        <v>1266.6666666666667</v>
      </c>
      <c r="I121" s="97">
        <f>$G$121*I2</f>
        <v>2573.333333333333</v>
      </c>
      <c r="J121" s="97">
        <f>$G$121*J2</f>
        <v>4093.3333333333344</v>
      </c>
      <c r="K121" s="97">
        <f>$J$121*K2</f>
        <v>66.666666666666671</v>
      </c>
      <c r="L121" s="97">
        <f>J121*$L$2</f>
        <v>133.33333333333334</v>
      </c>
      <c r="M121" s="97">
        <f>$J$121*M2</f>
        <v>186.66666666666666</v>
      </c>
      <c r="N121" s="97">
        <f>$J$121*N2</f>
        <v>413.33333333333331</v>
      </c>
      <c r="O121" s="97">
        <f>$J$121*O2</f>
        <v>480.00000000000006</v>
      </c>
      <c r="P121" s="97">
        <f>$J$121*P2</f>
        <v>186.66666666666669</v>
      </c>
      <c r="Q121" s="97">
        <f>$J$121*Q2</f>
        <v>426.66666666666669</v>
      </c>
      <c r="R121" s="97">
        <f>J121*$R$2</f>
        <v>373.33333333333337</v>
      </c>
      <c r="S121" s="97">
        <f t="shared" ref="S121:AA121" si="66">$J$121*S2</f>
        <v>440</v>
      </c>
      <c r="T121" s="97">
        <f t="shared" si="66"/>
        <v>186.66666666666669</v>
      </c>
      <c r="U121" s="97">
        <f t="shared" si="66"/>
        <v>586.66666666666674</v>
      </c>
      <c r="V121" s="97">
        <f t="shared" si="66"/>
        <v>26.666666666666668</v>
      </c>
      <c r="W121" s="97">
        <f t="shared" si="66"/>
        <v>66.666666666666671</v>
      </c>
      <c r="X121" s="97">
        <f t="shared" si="66"/>
        <v>293.33333333333337</v>
      </c>
      <c r="Y121" s="97">
        <f t="shared" si="66"/>
        <v>66.666666666666671</v>
      </c>
      <c r="Z121" s="97">
        <f t="shared" si="66"/>
        <v>160</v>
      </c>
      <c r="AA121" s="97">
        <f t="shared" si="66"/>
        <v>66.666666666666671</v>
      </c>
      <c r="AB121" s="10">
        <f>G121*$AB$2</f>
        <v>0</v>
      </c>
      <c r="AC121" s="10"/>
      <c r="AD121" s="10">
        <f t="shared" si="64"/>
        <v>0</v>
      </c>
      <c r="AE121" s="10">
        <f t="shared" si="65"/>
        <v>0</v>
      </c>
      <c r="AF121" s="93">
        <f t="shared" si="61"/>
        <v>-1.0658141036401503E-12</v>
      </c>
      <c r="AG121" s="94">
        <f t="shared" si="62"/>
        <v>0</v>
      </c>
    </row>
    <row r="122" spans="1:33" x14ac:dyDescent="0.25">
      <c r="A122" s="9">
        <v>6251</v>
      </c>
      <c r="B122" s="9">
        <v>625</v>
      </c>
      <c r="C122" s="20" t="s">
        <v>295</v>
      </c>
      <c r="D122" s="296"/>
      <c r="E122" s="299">
        <v>0</v>
      </c>
      <c r="F122" s="93">
        <f>E122</f>
        <v>0</v>
      </c>
      <c r="G122" s="10"/>
      <c r="H122" s="20"/>
      <c r="I122" s="97">
        <f>F122</f>
        <v>0</v>
      </c>
      <c r="J122" s="20"/>
      <c r="K122" s="20"/>
      <c r="L122" s="97"/>
      <c r="M122" s="20"/>
      <c r="N122" s="20"/>
      <c r="O122" s="20"/>
      <c r="P122" s="20"/>
      <c r="Q122" s="20"/>
      <c r="R122" s="97"/>
      <c r="S122" s="20"/>
      <c r="T122" s="20"/>
      <c r="U122" s="20"/>
      <c r="V122" s="20"/>
      <c r="W122" s="20"/>
      <c r="X122" s="20"/>
      <c r="Y122" s="20"/>
      <c r="Z122" s="20"/>
      <c r="AA122" s="20"/>
      <c r="AB122" s="10"/>
      <c r="AC122" s="10"/>
      <c r="AD122" s="10"/>
      <c r="AE122" s="10"/>
      <c r="AF122" s="93">
        <f t="shared" si="61"/>
        <v>0</v>
      </c>
      <c r="AG122" s="94">
        <f t="shared" si="62"/>
        <v>0</v>
      </c>
    </row>
    <row r="123" spans="1:33" x14ac:dyDescent="0.25">
      <c r="A123" s="9">
        <v>6251</v>
      </c>
      <c r="B123" s="9">
        <v>625</v>
      </c>
      <c r="C123" s="20" t="s">
        <v>296</v>
      </c>
      <c r="D123" s="295"/>
      <c r="E123" s="299">
        <v>0</v>
      </c>
      <c r="F123" s="93">
        <f>E123</f>
        <v>0</v>
      </c>
      <c r="G123" s="10"/>
      <c r="H123" s="97">
        <f>F123</f>
        <v>0</v>
      </c>
      <c r="I123" s="20"/>
      <c r="J123" s="20"/>
      <c r="K123" s="20"/>
      <c r="L123" s="97"/>
      <c r="M123" s="20"/>
      <c r="N123" s="20"/>
      <c r="O123" s="20"/>
      <c r="P123" s="20"/>
      <c r="Q123" s="20"/>
      <c r="R123" s="97"/>
      <c r="S123" s="20"/>
      <c r="T123" s="20"/>
      <c r="U123" s="20"/>
      <c r="V123" s="20"/>
      <c r="W123" s="20"/>
      <c r="X123" s="20"/>
      <c r="Y123" s="20"/>
      <c r="Z123" s="20"/>
      <c r="AA123" s="20"/>
      <c r="AB123" s="10"/>
      <c r="AC123" s="10"/>
      <c r="AD123" s="10"/>
      <c r="AE123" s="10"/>
      <c r="AF123" s="93">
        <f t="shared" si="61"/>
        <v>0</v>
      </c>
      <c r="AG123" s="94">
        <f t="shared" si="62"/>
        <v>0</v>
      </c>
    </row>
    <row r="124" spans="1:33" x14ac:dyDescent="0.25">
      <c r="A124" s="9">
        <v>6251</v>
      </c>
      <c r="B124" s="9">
        <v>625</v>
      </c>
      <c r="C124" s="20" t="s">
        <v>297</v>
      </c>
      <c r="D124" s="295"/>
      <c r="E124" s="299">
        <v>0</v>
      </c>
      <c r="F124" s="300">
        <f>E124</f>
        <v>0</v>
      </c>
      <c r="G124" s="93"/>
      <c r="H124" s="97"/>
      <c r="I124" s="97">
        <f>F124</f>
        <v>0</v>
      </c>
      <c r="J124" s="97"/>
      <c r="K124" s="97"/>
      <c r="L124" s="97"/>
      <c r="M124" s="97"/>
      <c r="N124" s="97"/>
      <c r="O124" s="97"/>
      <c r="P124" s="97"/>
      <c r="Q124" s="97"/>
      <c r="R124" s="97"/>
      <c r="S124" s="97"/>
      <c r="T124" s="97"/>
      <c r="U124" s="97"/>
      <c r="V124" s="97"/>
      <c r="W124" s="97"/>
      <c r="X124" s="97"/>
      <c r="Y124" s="97"/>
      <c r="Z124" s="97"/>
      <c r="AA124" s="97"/>
      <c r="AB124" s="10"/>
      <c r="AC124" s="10"/>
      <c r="AD124" s="10"/>
      <c r="AE124" s="10"/>
      <c r="AF124" s="93">
        <f t="shared" si="61"/>
        <v>0</v>
      </c>
      <c r="AG124" s="94">
        <f t="shared" si="62"/>
        <v>0</v>
      </c>
    </row>
    <row r="125" spans="1:33" x14ac:dyDescent="0.25">
      <c r="A125" s="9">
        <v>62515</v>
      </c>
      <c r="B125" s="9">
        <v>625</v>
      </c>
      <c r="C125" s="20" t="s">
        <v>298</v>
      </c>
      <c r="D125" s="297">
        <v>300</v>
      </c>
      <c r="E125" s="299">
        <v>300</v>
      </c>
      <c r="F125" s="10"/>
      <c r="G125" s="93">
        <f>E125</f>
        <v>300</v>
      </c>
      <c r="H125" s="97">
        <f>$E$125*H2</f>
        <v>47.500000000000007</v>
      </c>
      <c r="I125" s="97">
        <f>$E$125*I2</f>
        <v>96.499999999999986</v>
      </c>
      <c r="J125" s="97">
        <f>$E$125*J2</f>
        <v>153.50000000000006</v>
      </c>
      <c r="K125" s="97">
        <f>$J$125*K2</f>
        <v>2.5000000000000004</v>
      </c>
      <c r="L125" s="97">
        <f>J125*$L$2</f>
        <v>5.0000000000000009</v>
      </c>
      <c r="M125" s="97">
        <f>$J$125*M2</f>
        <v>7</v>
      </c>
      <c r="N125" s="97">
        <f>$J$125*N2</f>
        <v>15.500000000000002</v>
      </c>
      <c r="O125" s="97">
        <f>$J$125*O2</f>
        <v>18.000000000000004</v>
      </c>
      <c r="P125" s="97">
        <f>$J$125*P2</f>
        <v>7.0000000000000018</v>
      </c>
      <c r="Q125" s="97">
        <f>$J$125*Q2</f>
        <v>16.000000000000004</v>
      </c>
      <c r="R125" s="97">
        <f>J125*$R$2</f>
        <v>14.000000000000004</v>
      </c>
      <c r="S125" s="97">
        <f t="shared" ref="S125:AA125" si="67">$J$125*S2</f>
        <v>16.500000000000004</v>
      </c>
      <c r="T125" s="97">
        <f t="shared" si="67"/>
        <v>7.0000000000000018</v>
      </c>
      <c r="U125" s="97">
        <f t="shared" si="67"/>
        <v>22.000000000000004</v>
      </c>
      <c r="V125" s="97">
        <f t="shared" si="67"/>
        <v>1.0000000000000002</v>
      </c>
      <c r="W125" s="97">
        <f t="shared" si="67"/>
        <v>2.5000000000000004</v>
      </c>
      <c r="X125" s="97">
        <f t="shared" si="67"/>
        <v>11.000000000000002</v>
      </c>
      <c r="Y125" s="97">
        <f t="shared" si="67"/>
        <v>2.5000000000000004</v>
      </c>
      <c r="Z125" s="97">
        <f t="shared" si="67"/>
        <v>6.0000000000000009</v>
      </c>
      <c r="AA125" s="97">
        <f t="shared" si="67"/>
        <v>2.5000000000000004</v>
      </c>
      <c r="AB125" s="93">
        <f>G125*$AB$2</f>
        <v>0</v>
      </c>
      <c r="AC125" s="93"/>
      <c r="AD125" s="93">
        <f t="shared" ref="AD125:AD135" si="68">AB125*$AD$2</f>
        <v>0</v>
      </c>
      <c r="AE125" s="93">
        <f t="shared" ref="AE125:AE135" si="69">AB125*$AE$2</f>
        <v>0</v>
      </c>
      <c r="AF125" s="93">
        <f t="shared" si="61"/>
        <v>-5.7287508070658077E-14</v>
      </c>
      <c r="AG125" s="94">
        <f t="shared" si="62"/>
        <v>0</v>
      </c>
    </row>
    <row r="126" spans="1:33" x14ac:dyDescent="0.25">
      <c r="A126" s="9">
        <v>6253</v>
      </c>
      <c r="B126" s="9">
        <v>625</v>
      </c>
      <c r="C126" s="20" t="s">
        <v>299</v>
      </c>
      <c r="D126" s="297">
        <v>2500</v>
      </c>
      <c r="E126" s="299">
        <v>3500</v>
      </c>
      <c r="F126" s="10"/>
      <c r="G126" s="93">
        <f>E126</f>
        <v>3500</v>
      </c>
      <c r="H126" s="97">
        <f>$G$126*H2</f>
        <v>554.16666666666674</v>
      </c>
      <c r="I126" s="97">
        <f>$G$126*I2</f>
        <v>1125.833333333333</v>
      </c>
      <c r="J126" s="97">
        <f>$G$126*J2</f>
        <v>1790.8333333333339</v>
      </c>
      <c r="K126" s="97">
        <f>$J$126*K2</f>
        <v>29.166666666666671</v>
      </c>
      <c r="L126" s="97">
        <f>J126*$L$2</f>
        <v>58.333333333333343</v>
      </c>
      <c r="M126" s="97">
        <f>$J$126*M2</f>
        <v>81.666666666666671</v>
      </c>
      <c r="N126" s="97">
        <f>$J$126*N2</f>
        <v>180.83333333333334</v>
      </c>
      <c r="O126" s="97">
        <f>$J$126*O2</f>
        <v>210.00000000000003</v>
      </c>
      <c r="P126" s="97">
        <f>$J$126*P2</f>
        <v>81.666666666666686</v>
      </c>
      <c r="Q126" s="97">
        <f>$J$126*Q2</f>
        <v>186.66666666666669</v>
      </c>
      <c r="R126" s="97">
        <f>J126*$R$2</f>
        <v>163.33333333333337</v>
      </c>
      <c r="S126" s="97">
        <f t="shared" ref="S126:AA126" si="70">$J$126*S2</f>
        <v>192.50000000000003</v>
      </c>
      <c r="T126" s="97">
        <f t="shared" si="70"/>
        <v>81.666666666666686</v>
      </c>
      <c r="U126" s="97">
        <f t="shared" si="70"/>
        <v>256.66666666666674</v>
      </c>
      <c r="V126" s="97">
        <f t="shared" si="70"/>
        <v>11.666666666666668</v>
      </c>
      <c r="W126" s="97">
        <f t="shared" si="70"/>
        <v>29.166666666666671</v>
      </c>
      <c r="X126" s="97">
        <f t="shared" si="70"/>
        <v>128.33333333333337</v>
      </c>
      <c r="Y126" s="97">
        <f t="shared" si="70"/>
        <v>29.166666666666671</v>
      </c>
      <c r="Z126" s="97">
        <f t="shared" si="70"/>
        <v>70</v>
      </c>
      <c r="AA126" s="97">
        <f t="shared" si="70"/>
        <v>29.166666666666671</v>
      </c>
      <c r="AB126" s="93">
        <f>G126*$AB$2</f>
        <v>0</v>
      </c>
      <c r="AC126" s="10"/>
      <c r="AD126" s="93">
        <f t="shared" si="68"/>
        <v>0</v>
      </c>
      <c r="AE126" s="93">
        <f t="shared" si="69"/>
        <v>0</v>
      </c>
      <c r="AF126" s="93">
        <f t="shared" si="61"/>
        <v>-6.1106675275368616E-13</v>
      </c>
      <c r="AG126" s="94">
        <f t="shared" si="62"/>
        <v>0</v>
      </c>
    </row>
    <row r="127" spans="1:33" x14ac:dyDescent="0.25">
      <c r="A127" s="9">
        <v>6257</v>
      </c>
      <c r="B127" s="9">
        <v>625</v>
      </c>
      <c r="C127" s="20" t="str">
        <f>Dépenses!C78</f>
        <v>PERSONNELS EXTERIEURS (Marc PAUL)</v>
      </c>
      <c r="D127" s="295">
        <v>3500</v>
      </c>
      <c r="E127" s="299">
        <v>4000</v>
      </c>
      <c r="F127" s="10"/>
      <c r="G127" s="93">
        <f>E127</f>
        <v>4000</v>
      </c>
      <c r="H127" s="97">
        <f>$G$127*H2</f>
        <v>633.33333333333337</v>
      </c>
      <c r="I127" s="97">
        <f>$G$127*I2</f>
        <v>1286.6666666666665</v>
      </c>
      <c r="J127" s="97">
        <f>$G$127*J2</f>
        <v>2046.6666666666672</v>
      </c>
      <c r="K127" s="97">
        <f>$J$127*K2</f>
        <v>33.333333333333336</v>
      </c>
      <c r="L127" s="97">
        <f>J127*$L$2</f>
        <v>66.666666666666671</v>
      </c>
      <c r="M127" s="97">
        <f>$J$127*M2</f>
        <v>93.333333333333329</v>
      </c>
      <c r="N127" s="97">
        <f>$J$127*N2</f>
        <v>206.66666666666666</v>
      </c>
      <c r="O127" s="97">
        <f>$J$127*O2</f>
        <v>240.00000000000003</v>
      </c>
      <c r="P127" s="97">
        <f>$J$127*P2</f>
        <v>93.333333333333343</v>
      </c>
      <c r="Q127" s="97">
        <f>$J$127*Q2</f>
        <v>213.33333333333334</v>
      </c>
      <c r="R127" s="97">
        <f>J127*$R$2</f>
        <v>186.66666666666669</v>
      </c>
      <c r="S127" s="97">
        <f t="shared" ref="S127:AA127" si="71">$J$127*S2</f>
        <v>220</v>
      </c>
      <c r="T127" s="97">
        <f t="shared" si="71"/>
        <v>93.333333333333343</v>
      </c>
      <c r="U127" s="97">
        <f t="shared" si="71"/>
        <v>293.33333333333337</v>
      </c>
      <c r="V127" s="97">
        <f t="shared" si="71"/>
        <v>13.333333333333334</v>
      </c>
      <c r="W127" s="97">
        <f t="shared" si="71"/>
        <v>33.333333333333336</v>
      </c>
      <c r="X127" s="97">
        <f t="shared" si="71"/>
        <v>146.66666666666669</v>
      </c>
      <c r="Y127" s="97">
        <f t="shared" si="71"/>
        <v>33.333333333333336</v>
      </c>
      <c r="Z127" s="97">
        <f t="shared" si="71"/>
        <v>80</v>
      </c>
      <c r="AA127" s="97">
        <f t="shared" si="71"/>
        <v>33.333333333333336</v>
      </c>
      <c r="AB127" s="93">
        <f>G127*$AB$2</f>
        <v>0</v>
      </c>
      <c r="AC127" s="10"/>
      <c r="AD127" s="93">
        <f t="shared" si="68"/>
        <v>0</v>
      </c>
      <c r="AE127" s="93">
        <f t="shared" si="69"/>
        <v>0</v>
      </c>
      <c r="AF127" s="93">
        <f t="shared" si="61"/>
        <v>-5.3290705182007514E-13</v>
      </c>
      <c r="AG127" s="94">
        <f t="shared" si="62"/>
        <v>0</v>
      </c>
    </row>
    <row r="128" spans="1:33" x14ac:dyDescent="0.25">
      <c r="A128" s="9">
        <v>6251</v>
      </c>
      <c r="B128" s="9">
        <v>625</v>
      </c>
      <c r="C128" s="20" t="s">
        <v>300</v>
      </c>
      <c r="D128" s="295"/>
      <c r="E128" s="299"/>
      <c r="F128" s="93">
        <f>E128</f>
        <v>0</v>
      </c>
      <c r="G128" s="93"/>
      <c r="H128" s="97"/>
      <c r="I128" s="97"/>
      <c r="J128" s="97"/>
      <c r="K128" s="97"/>
      <c r="L128" s="97"/>
      <c r="M128" s="97"/>
      <c r="N128" s="97"/>
      <c r="O128" s="97"/>
      <c r="P128" s="97"/>
      <c r="Q128" s="97"/>
      <c r="R128" s="97"/>
      <c r="S128" s="97"/>
      <c r="T128" s="97"/>
      <c r="U128" s="97"/>
      <c r="V128" s="97"/>
      <c r="W128" s="97"/>
      <c r="X128" s="97"/>
      <c r="Y128" s="97"/>
      <c r="Z128" s="97"/>
      <c r="AA128" s="97"/>
      <c r="AB128" s="93">
        <f>AC128</f>
        <v>0</v>
      </c>
      <c r="AC128" s="93"/>
      <c r="AD128" s="10"/>
      <c r="AE128" s="93"/>
      <c r="AF128" s="93">
        <f t="shared" si="61"/>
        <v>0</v>
      </c>
      <c r="AG128" s="94">
        <f t="shared" si="62"/>
        <v>0</v>
      </c>
    </row>
    <row r="129" spans="1:33" s="1" customFormat="1" x14ac:dyDescent="0.25">
      <c r="A129" s="233">
        <v>62630</v>
      </c>
      <c r="B129" s="233">
        <v>626</v>
      </c>
      <c r="C129" s="20" t="s">
        <v>301</v>
      </c>
      <c r="D129" s="295">
        <v>800</v>
      </c>
      <c r="E129" s="299">
        <v>900</v>
      </c>
      <c r="F129" s="20"/>
      <c r="G129" s="97">
        <f>E129</f>
        <v>900</v>
      </c>
      <c r="H129" s="97">
        <f>$G$129*H2</f>
        <v>142.50000000000003</v>
      </c>
      <c r="I129" s="97">
        <f>$G$129*I2</f>
        <v>289.49999999999994</v>
      </c>
      <c r="J129" s="97">
        <f>$G$129*J2</f>
        <v>460.50000000000017</v>
      </c>
      <c r="K129" s="97">
        <f>$J$129*K2</f>
        <v>7.5000000000000009</v>
      </c>
      <c r="L129" s="97">
        <f>J129*$L$2</f>
        <v>15.000000000000002</v>
      </c>
      <c r="M129" s="97">
        <f>$J$129*M2</f>
        <v>21</v>
      </c>
      <c r="N129" s="97">
        <f>$J$129*N2</f>
        <v>46.500000000000007</v>
      </c>
      <c r="O129" s="97">
        <f>$J$129*O2</f>
        <v>54.000000000000014</v>
      </c>
      <c r="P129" s="97">
        <f>$J$129*P2</f>
        <v>21.000000000000004</v>
      </c>
      <c r="Q129" s="97">
        <f>$J$129*Q2</f>
        <v>48.000000000000007</v>
      </c>
      <c r="R129" s="97">
        <f>J129*$R$2</f>
        <v>42.000000000000007</v>
      </c>
      <c r="S129" s="97">
        <f t="shared" ref="S129:AA129" si="72">$J$129*S2</f>
        <v>49.500000000000007</v>
      </c>
      <c r="T129" s="97">
        <f t="shared" si="72"/>
        <v>21.000000000000004</v>
      </c>
      <c r="U129" s="97">
        <f t="shared" si="72"/>
        <v>66.000000000000014</v>
      </c>
      <c r="V129" s="97">
        <f t="shared" si="72"/>
        <v>3.0000000000000004</v>
      </c>
      <c r="W129" s="97">
        <f t="shared" si="72"/>
        <v>7.5000000000000009</v>
      </c>
      <c r="X129" s="97">
        <f t="shared" si="72"/>
        <v>33.000000000000007</v>
      </c>
      <c r="Y129" s="97">
        <f t="shared" si="72"/>
        <v>7.5000000000000009</v>
      </c>
      <c r="Z129" s="97">
        <f t="shared" si="72"/>
        <v>18.000000000000004</v>
      </c>
      <c r="AA129" s="97">
        <f t="shared" si="72"/>
        <v>7.5000000000000009</v>
      </c>
      <c r="AB129" s="20">
        <f>G129*$AB$2</f>
        <v>0</v>
      </c>
      <c r="AC129" s="20"/>
      <c r="AD129" s="20">
        <f t="shared" si="68"/>
        <v>0</v>
      </c>
      <c r="AE129" s="20">
        <f t="shared" si="69"/>
        <v>0</v>
      </c>
      <c r="AF129" s="93">
        <f t="shared" si="61"/>
        <v>-1.1457501614131615E-13</v>
      </c>
      <c r="AG129" s="234">
        <f t="shared" si="62"/>
        <v>0</v>
      </c>
    </row>
    <row r="130" spans="1:33" s="1" customFormat="1" x14ac:dyDescent="0.25">
      <c r="A130" s="233">
        <v>62630</v>
      </c>
      <c r="B130" s="233">
        <v>626</v>
      </c>
      <c r="C130" s="322" t="s">
        <v>394</v>
      </c>
      <c r="D130" s="295"/>
      <c r="E130" s="299">
        <v>300</v>
      </c>
      <c r="F130" s="97">
        <f>E130</f>
        <v>300</v>
      </c>
      <c r="G130" s="97"/>
      <c r="H130" s="97"/>
      <c r="I130" s="97"/>
      <c r="J130" s="97"/>
      <c r="K130" s="97"/>
      <c r="L130" s="97"/>
      <c r="M130" s="97"/>
      <c r="N130" s="97"/>
      <c r="O130" s="97"/>
      <c r="P130" s="97"/>
      <c r="Q130" s="97"/>
      <c r="R130" s="97"/>
      <c r="S130" s="97"/>
      <c r="T130" s="97"/>
      <c r="U130" s="97"/>
      <c r="V130" s="97"/>
      <c r="W130" s="97"/>
      <c r="X130" s="97"/>
      <c r="Y130" s="97"/>
      <c r="Z130" s="97"/>
      <c r="AA130" s="97">
        <f>F130</f>
        <v>300</v>
      </c>
      <c r="AB130" s="20">
        <f>G130*$AB$2</f>
        <v>0</v>
      </c>
      <c r="AC130" s="20"/>
      <c r="AD130" s="20">
        <f t="shared" si="68"/>
        <v>0</v>
      </c>
      <c r="AE130" s="20">
        <f t="shared" si="69"/>
        <v>0</v>
      </c>
      <c r="AF130" s="93">
        <f t="shared" si="61"/>
        <v>0</v>
      </c>
      <c r="AG130" s="234"/>
    </row>
    <row r="131" spans="1:33" x14ac:dyDescent="0.25">
      <c r="A131" s="9">
        <v>6265</v>
      </c>
      <c r="B131" s="9">
        <v>626</v>
      </c>
      <c r="C131" s="20" t="s">
        <v>24</v>
      </c>
      <c r="D131" s="295">
        <v>6000</v>
      </c>
      <c r="E131" s="299">
        <v>5000</v>
      </c>
      <c r="F131" s="10"/>
      <c r="G131" s="93">
        <f>E131</f>
        <v>5000</v>
      </c>
      <c r="H131" s="97">
        <f>$G$131*H2</f>
        <v>791.66666666666674</v>
      </c>
      <c r="I131" s="97">
        <f>$G$131*I2</f>
        <v>1608.333333333333</v>
      </c>
      <c r="J131" s="97">
        <f>$G$131*J2</f>
        <v>2558.3333333333339</v>
      </c>
      <c r="K131" s="97">
        <f>$J$131*K2</f>
        <v>41.666666666666671</v>
      </c>
      <c r="L131" s="97">
        <f>J131*$L$2</f>
        <v>83.333333333333343</v>
      </c>
      <c r="M131" s="97">
        <f>$J$131*M2</f>
        <v>116.66666666666666</v>
      </c>
      <c r="N131" s="97">
        <f>$J$131*N2</f>
        <v>258.33333333333331</v>
      </c>
      <c r="O131" s="97">
        <f>$J$131*O2</f>
        <v>300</v>
      </c>
      <c r="P131" s="97">
        <f>$J$131*P2</f>
        <v>116.66666666666667</v>
      </c>
      <c r="Q131" s="97">
        <f>$J$131*Q2</f>
        <v>266.66666666666669</v>
      </c>
      <c r="R131" s="97">
        <f>J131*$R$2</f>
        <v>233.33333333333334</v>
      </c>
      <c r="S131" s="97">
        <f t="shared" ref="S131:AA131" si="73">$J$131*S2</f>
        <v>275</v>
      </c>
      <c r="T131" s="97">
        <f t="shared" si="73"/>
        <v>116.66666666666667</v>
      </c>
      <c r="U131" s="97">
        <f t="shared" si="73"/>
        <v>366.66666666666669</v>
      </c>
      <c r="V131" s="97">
        <f t="shared" si="73"/>
        <v>16.666666666666668</v>
      </c>
      <c r="W131" s="97">
        <f t="shared" si="73"/>
        <v>41.666666666666671</v>
      </c>
      <c r="X131" s="97">
        <f t="shared" si="73"/>
        <v>183.33333333333334</v>
      </c>
      <c r="Y131" s="97">
        <f t="shared" si="73"/>
        <v>41.666666666666671</v>
      </c>
      <c r="Z131" s="97">
        <f t="shared" si="73"/>
        <v>100</v>
      </c>
      <c r="AA131" s="97">
        <f t="shared" si="73"/>
        <v>41.666666666666671</v>
      </c>
      <c r="AB131" s="20">
        <f>G131*$AB$2</f>
        <v>0</v>
      </c>
      <c r="AC131" s="10"/>
      <c r="AD131" s="20">
        <f t="shared" si="68"/>
        <v>0</v>
      </c>
      <c r="AE131" s="20">
        <f t="shared" si="69"/>
        <v>0</v>
      </c>
      <c r="AF131" s="93">
        <f t="shared" si="61"/>
        <v>-6.1106675275368616E-13</v>
      </c>
      <c r="AG131" s="94">
        <f t="shared" si="62"/>
        <v>0</v>
      </c>
    </row>
    <row r="132" spans="1:33" x14ac:dyDescent="0.25">
      <c r="A132" s="9">
        <v>6265</v>
      </c>
      <c r="B132" s="9">
        <v>626</v>
      </c>
      <c r="C132" s="322" t="s">
        <v>395</v>
      </c>
      <c r="D132" s="295"/>
      <c r="E132" s="299">
        <v>2200</v>
      </c>
      <c r="F132" s="93">
        <f>E132</f>
        <v>2200</v>
      </c>
      <c r="G132" s="93"/>
      <c r="H132" s="97"/>
      <c r="I132" s="97"/>
      <c r="J132" s="97"/>
      <c r="K132" s="97"/>
      <c r="L132" s="97"/>
      <c r="M132" s="97"/>
      <c r="N132" s="97"/>
      <c r="O132" s="97"/>
      <c r="P132" s="97"/>
      <c r="Q132" s="97"/>
      <c r="R132" s="97"/>
      <c r="S132" s="97"/>
      <c r="T132" s="97"/>
      <c r="U132" s="97"/>
      <c r="V132" s="97"/>
      <c r="W132" s="97"/>
      <c r="X132" s="97"/>
      <c r="Y132" s="97"/>
      <c r="Z132" s="97"/>
      <c r="AA132" s="97">
        <f>F132</f>
        <v>2200</v>
      </c>
      <c r="AB132" s="20"/>
      <c r="AC132" s="10"/>
      <c r="AD132" s="20"/>
      <c r="AE132" s="20"/>
      <c r="AF132" s="93">
        <f t="shared" si="61"/>
        <v>0</v>
      </c>
      <c r="AG132" s="94"/>
    </row>
    <row r="133" spans="1:33" x14ac:dyDescent="0.25">
      <c r="A133" s="9">
        <v>628</v>
      </c>
      <c r="B133" s="9">
        <v>628</v>
      </c>
      <c r="C133" s="20" t="s">
        <v>302</v>
      </c>
      <c r="D133" s="295">
        <v>3435</v>
      </c>
      <c r="E133" s="299">
        <v>2980</v>
      </c>
      <c r="F133" s="93">
        <f>E133</f>
        <v>2980</v>
      </c>
      <c r="G133" s="10"/>
      <c r="H133" s="20"/>
      <c r="I133" s="97">
        <f>F133</f>
        <v>2980</v>
      </c>
      <c r="J133" s="20"/>
      <c r="K133" s="20"/>
      <c r="L133" s="97"/>
      <c r="M133" s="20"/>
      <c r="N133" s="20"/>
      <c r="O133" s="20"/>
      <c r="P133" s="20"/>
      <c r="Q133" s="20"/>
      <c r="R133" s="97"/>
      <c r="S133" s="20"/>
      <c r="T133" s="20"/>
      <c r="U133" s="20"/>
      <c r="V133" s="20"/>
      <c r="W133" s="20"/>
      <c r="X133" s="20"/>
      <c r="Y133" s="20"/>
      <c r="Z133" s="20"/>
      <c r="AA133" s="20"/>
      <c r="AB133" s="10"/>
      <c r="AC133" s="10"/>
      <c r="AD133" s="10"/>
      <c r="AE133" s="10"/>
      <c r="AF133" s="93">
        <f t="shared" si="61"/>
        <v>0</v>
      </c>
      <c r="AG133" s="94">
        <f t="shared" si="62"/>
        <v>0</v>
      </c>
    </row>
    <row r="134" spans="1:33" x14ac:dyDescent="0.25">
      <c r="A134" s="9">
        <v>628</v>
      </c>
      <c r="B134" s="9">
        <v>628</v>
      </c>
      <c r="C134" s="322" t="s">
        <v>396</v>
      </c>
      <c r="D134" s="295"/>
      <c r="E134" s="299">
        <v>745</v>
      </c>
      <c r="F134" s="93">
        <f>E134</f>
        <v>745</v>
      </c>
      <c r="G134" s="10"/>
      <c r="H134" s="20"/>
      <c r="I134" s="97"/>
      <c r="J134" s="20"/>
      <c r="K134" s="20"/>
      <c r="L134" s="97"/>
      <c r="M134" s="20"/>
      <c r="N134" s="20"/>
      <c r="O134" s="20"/>
      <c r="P134" s="20"/>
      <c r="Q134" s="20"/>
      <c r="R134" s="97"/>
      <c r="S134" s="20"/>
      <c r="T134" s="20"/>
      <c r="U134" s="20"/>
      <c r="V134" s="20"/>
      <c r="W134" s="20"/>
      <c r="X134" s="20"/>
      <c r="Y134" s="20"/>
      <c r="Z134" s="20"/>
      <c r="AA134" s="97">
        <f>F134</f>
        <v>745</v>
      </c>
      <c r="AB134" s="10"/>
      <c r="AC134" s="10"/>
      <c r="AD134" s="10"/>
      <c r="AE134" s="10"/>
      <c r="AF134" s="93">
        <f t="shared" si="61"/>
        <v>0</v>
      </c>
      <c r="AG134" s="94"/>
    </row>
    <row r="135" spans="1:33" x14ac:dyDescent="0.25">
      <c r="A135" s="9">
        <v>628</v>
      </c>
      <c r="B135" s="9">
        <v>628</v>
      </c>
      <c r="C135" s="20" t="s">
        <v>303</v>
      </c>
      <c r="D135" s="295">
        <v>5000</v>
      </c>
      <c r="E135" s="299">
        <v>3450</v>
      </c>
      <c r="F135" s="10"/>
      <c r="G135" s="93">
        <f>E135</f>
        <v>3450</v>
      </c>
      <c r="H135" s="97">
        <f>$G$135*H2</f>
        <v>546.25000000000011</v>
      </c>
      <c r="I135" s="97">
        <f>$G$135*I2</f>
        <v>1109.7499999999998</v>
      </c>
      <c r="J135" s="97">
        <f>$G$135*J2</f>
        <v>1765.2500000000005</v>
      </c>
      <c r="K135" s="97">
        <f>$J$135*K2</f>
        <v>28.750000000000004</v>
      </c>
      <c r="L135" s="97">
        <f>J135*$L$2</f>
        <v>57.500000000000007</v>
      </c>
      <c r="M135" s="97">
        <f>$J$135*M2</f>
        <v>80.5</v>
      </c>
      <c r="N135" s="97">
        <f>$J$135*N2</f>
        <v>178.25</v>
      </c>
      <c r="O135" s="97">
        <f>$J$135*O2</f>
        <v>207.00000000000003</v>
      </c>
      <c r="P135" s="97">
        <f>$J$135*P2</f>
        <v>80.500000000000014</v>
      </c>
      <c r="Q135" s="97">
        <f>$J$135*Q2</f>
        <v>184</v>
      </c>
      <c r="R135" s="97">
        <f>J135*$R$2</f>
        <v>161.00000000000003</v>
      </c>
      <c r="S135" s="97">
        <f t="shared" ref="S135:AA135" si="74">$J$135*S2</f>
        <v>189.75</v>
      </c>
      <c r="T135" s="97">
        <f t="shared" si="74"/>
        <v>80.500000000000014</v>
      </c>
      <c r="U135" s="97">
        <f t="shared" si="74"/>
        <v>253.00000000000003</v>
      </c>
      <c r="V135" s="97">
        <f t="shared" si="74"/>
        <v>11.5</v>
      </c>
      <c r="W135" s="97">
        <f t="shared" si="74"/>
        <v>28.750000000000004</v>
      </c>
      <c r="X135" s="97">
        <f t="shared" si="74"/>
        <v>126.50000000000001</v>
      </c>
      <c r="Y135" s="97">
        <f t="shared" si="74"/>
        <v>28.750000000000004</v>
      </c>
      <c r="Z135" s="97">
        <f t="shared" si="74"/>
        <v>69</v>
      </c>
      <c r="AA135" s="97">
        <f t="shared" si="74"/>
        <v>28.750000000000004</v>
      </c>
      <c r="AB135" s="10">
        <f>G135*$AB$2</f>
        <v>0</v>
      </c>
      <c r="AC135" s="10"/>
      <c r="AD135" s="10">
        <f t="shared" si="68"/>
        <v>0</v>
      </c>
      <c r="AE135" s="10">
        <f t="shared" si="69"/>
        <v>0</v>
      </c>
      <c r="AF135" s="93">
        <f t="shared" si="61"/>
        <v>-2.3092638912203256E-13</v>
      </c>
      <c r="AG135" s="94">
        <f t="shared" si="62"/>
        <v>0</v>
      </c>
    </row>
    <row r="136" spans="1:33" x14ac:dyDescent="0.25">
      <c r="A136" s="9">
        <v>628</v>
      </c>
      <c r="B136" s="9">
        <v>628</v>
      </c>
      <c r="C136" s="322" t="s">
        <v>397</v>
      </c>
      <c r="D136" s="295"/>
      <c r="E136" s="299">
        <v>800</v>
      </c>
      <c r="F136" s="93">
        <f t="shared" ref="F136:F141" si="75">E136</f>
        <v>800</v>
      </c>
      <c r="G136" s="93"/>
      <c r="H136" s="97"/>
      <c r="I136" s="97"/>
      <c r="J136" s="97"/>
      <c r="K136" s="97"/>
      <c r="L136" s="97"/>
      <c r="M136" s="97"/>
      <c r="N136" s="97"/>
      <c r="O136" s="97"/>
      <c r="P136" s="97"/>
      <c r="Q136" s="97"/>
      <c r="R136" s="97"/>
      <c r="S136" s="97"/>
      <c r="T136" s="97"/>
      <c r="U136" s="97"/>
      <c r="V136" s="97"/>
      <c r="W136" s="97"/>
      <c r="X136" s="97"/>
      <c r="Y136" s="97"/>
      <c r="Z136" s="97"/>
      <c r="AA136" s="97">
        <f>F136</f>
        <v>800</v>
      </c>
      <c r="AB136" s="10"/>
      <c r="AC136" s="10"/>
      <c r="AD136" s="10"/>
      <c r="AE136" s="10"/>
      <c r="AF136" s="93">
        <f t="shared" si="61"/>
        <v>0</v>
      </c>
      <c r="AG136" s="94"/>
    </row>
    <row r="137" spans="1:33" ht="30" x14ac:dyDescent="0.25">
      <c r="A137" s="9">
        <v>628</v>
      </c>
      <c r="B137" s="9">
        <v>628</v>
      </c>
      <c r="C137" s="323" t="s">
        <v>398</v>
      </c>
      <c r="D137" s="295"/>
      <c r="E137" s="299">
        <v>4000</v>
      </c>
      <c r="F137" s="93">
        <f t="shared" si="75"/>
        <v>4000</v>
      </c>
      <c r="G137" s="93"/>
      <c r="H137" s="97"/>
      <c r="I137" s="97"/>
      <c r="J137" s="97"/>
      <c r="K137" s="97"/>
      <c r="L137" s="97"/>
      <c r="M137" s="97"/>
      <c r="N137" s="97"/>
      <c r="O137" s="97"/>
      <c r="P137" s="97"/>
      <c r="Q137" s="97"/>
      <c r="R137" s="97"/>
      <c r="S137" s="97"/>
      <c r="T137" s="97"/>
      <c r="U137" s="97"/>
      <c r="V137" s="97"/>
      <c r="W137" s="97"/>
      <c r="X137" s="97"/>
      <c r="Y137" s="97"/>
      <c r="Z137" s="97"/>
      <c r="AA137" s="97">
        <f>F137</f>
        <v>4000</v>
      </c>
      <c r="AB137" s="10"/>
      <c r="AC137" s="10"/>
      <c r="AD137" s="10"/>
      <c r="AE137" s="10"/>
      <c r="AF137" s="93">
        <f t="shared" si="61"/>
        <v>0</v>
      </c>
      <c r="AG137" s="94"/>
    </row>
    <row r="138" spans="1:33" x14ac:dyDescent="0.25">
      <c r="A138" s="9">
        <v>628</v>
      </c>
      <c r="B138" s="9">
        <v>628</v>
      </c>
      <c r="C138" s="20" t="s">
        <v>304</v>
      </c>
      <c r="D138" s="295">
        <v>1580</v>
      </c>
      <c r="E138" s="299">
        <v>1700</v>
      </c>
      <c r="F138" s="97">
        <f t="shared" si="75"/>
        <v>1700</v>
      </c>
      <c r="G138" s="10"/>
      <c r="H138" s="97">
        <v>1700</v>
      </c>
      <c r="I138" s="97"/>
      <c r="J138" s="20"/>
      <c r="K138" s="20"/>
      <c r="L138" s="97"/>
      <c r="M138" s="20"/>
      <c r="N138" s="20"/>
      <c r="O138" s="20"/>
      <c r="P138" s="20"/>
      <c r="Q138" s="20"/>
      <c r="R138" s="97"/>
      <c r="S138" s="20"/>
      <c r="T138" s="20"/>
      <c r="U138" s="20"/>
      <c r="V138" s="20"/>
      <c r="W138" s="20"/>
      <c r="X138" s="20"/>
      <c r="Y138" s="20"/>
      <c r="Z138" s="20"/>
      <c r="AA138" s="20"/>
      <c r="AB138" s="10"/>
      <c r="AC138" s="10"/>
      <c r="AD138" s="10"/>
      <c r="AE138" s="10"/>
      <c r="AF138" s="93">
        <f t="shared" si="61"/>
        <v>0</v>
      </c>
      <c r="AG138" s="94">
        <f t="shared" si="62"/>
        <v>0</v>
      </c>
    </row>
    <row r="139" spans="1:33" x14ac:dyDescent="0.25">
      <c r="A139" s="9">
        <v>628</v>
      </c>
      <c r="B139" s="9">
        <v>628</v>
      </c>
      <c r="C139" s="20" t="s">
        <v>305</v>
      </c>
      <c r="D139" s="295"/>
      <c r="E139" s="299">
        <v>1040</v>
      </c>
      <c r="F139" s="97">
        <f t="shared" si="75"/>
        <v>1040</v>
      </c>
      <c r="G139" s="97"/>
      <c r="H139" s="97">
        <f>F139</f>
        <v>1040</v>
      </c>
      <c r="I139" s="97"/>
      <c r="J139" s="97"/>
      <c r="K139" s="97"/>
      <c r="L139" s="97"/>
      <c r="M139" s="97"/>
      <c r="N139" s="97"/>
      <c r="O139" s="97"/>
      <c r="P139" s="97"/>
      <c r="Q139" s="97"/>
      <c r="R139" s="97"/>
      <c r="S139" s="97"/>
      <c r="T139" s="97"/>
      <c r="U139" s="97"/>
      <c r="V139" s="97"/>
      <c r="W139" s="97"/>
      <c r="X139" s="97"/>
      <c r="Y139" s="97"/>
      <c r="Z139" s="97"/>
      <c r="AA139" s="97"/>
      <c r="AB139" s="10"/>
      <c r="AC139" s="10"/>
      <c r="AD139" s="10"/>
      <c r="AE139" s="10"/>
      <c r="AF139" s="93">
        <f t="shared" si="61"/>
        <v>0</v>
      </c>
      <c r="AG139" s="94">
        <f t="shared" si="62"/>
        <v>0</v>
      </c>
    </row>
    <row r="140" spans="1:33" x14ac:dyDescent="0.25">
      <c r="A140" s="9">
        <v>6227</v>
      </c>
      <c r="B140" s="9">
        <v>622</v>
      </c>
      <c r="C140" s="20" t="s">
        <v>25</v>
      </c>
      <c r="D140" s="295">
        <v>60</v>
      </c>
      <c r="E140" s="299">
        <v>2000</v>
      </c>
      <c r="F140" s="93">
        <f t="shared" si="75"/>
        <v>2000</v>
      </c>
      <c r="G140" s="10"/>
      <c r="H140" s="20"/>
      <c r="I140" s="20"/>
      <c r="J140" s="20"/>
      <c r="K140" s="20"/>
      <c r="L140" s="97"/>
      <c r="M140" s="20"/>
      <c r="N140" s="20"/>
      <c r="O140" s="20"/>
      <c r="P140" s="20"/>
      <c r="Q140" s="20"/>
      <c r="R140" s="97"/>
      <c r="S140" s="20"/>
      <c r="T140" s="20"/>
      <c r="U140" s="20"/>
      <c r="V140" s="20"/>
      <c r="W140" s="20"/>
      <c r="X140" s="20"/>
      <c r="Y140" s="20"/>
      <c r="Z140" s="20"/>
      <c r="AA140" s="20"/>
      <c r="AB140" s="93">
        <f>AC140</f>
        <v>2000</v>
      </c>
      <c r="AC140" s="93">
        <f>F140</f>
        <v>2000</v>
      </c>
      <c r="AD140" s="93"/>
      <c r="AE140" s="93"/>
      <c r="AF140" s="93">
        <f t="shared" si="61"/>
        <v>0</v>
      </c>
      <c r="AG140" s="94">
        <f t="shared" si="62"/>
        <v>0</v>
      </c>
    </row>
    <row r="141" spans="1:33" x14ac:dyDescent="0.25">
      <c r="A141" s="9">
        <v>6273</v>
      </c>
      <c r="B141" s="9">
        <v>627</v>
      </c>
      <c r="C141" s="20" t="s">
        <v>19</v>
      </c>
      <c r="D141" s="295">
        <v>2000</v>
      </c>
      <c r="E141" s="299">
        <v>2700</v>
      </c>
      <c r="F141" s="93">
        <f t="shared" si="75"/>
        <v>2700</v>
      </c>
      <c r="G141" s="10"/>
      <c r="H141" s="20"/>
      <c r="I141" s="20"/>
      <c r="J141" s="20"/>
      <c r="K141" s="20"/>
      <c r="L141" s="97"/>
      <c r="M141" s="20"/>
      <c r="N141" s="20"/>
      <c r="O141" s="20"/>
      <c r="P141" s="20"/>
      <c r="Q141" s="20"/>
      <c r="R141" s="97"/>
      <c r="S141" s="20"/>
      <c r="T141" s="20"/>
      <c r="U141" s="20"/>
      <c r="V141" s="20"/>
      <c r="W141" s="20"/>
      <c r="X141" s="20"/>
      <c r="Y141" s="20"/>
      <c r="Z141" s="20"/>
      <c r="AA141" s="20"/>
      <c r="AB141" s="93">
        <f>AC141</f>
        <v>2700</v>
      </c>
      <c r="AC141" s="93">
        <f>F141</f>
        <v>2700</v>
      </c>
      <c r="AD141" s="93"/>
      <c r="AE141" s="93"/>
      <c r="AF141" s="93">
        <f t="shared" si="61"/>
        <v>0</v>
      </c>
      <c r="AG141" s="94">
        <f t="shared" si="62"/>
        <v>0</v>
      </c>
    </row>
    <row r="142" spans="1:33" x14ac:dyDescent="0.25">
      <c r="A142" s="9">
        <v>631</v>
      </c>
      <c r="B142" s="9">
        <v>631</v>
      </c>
      <c r="C142" s="20" t="s">
        <v>306</v>
      </c>
      <c r="D142" s="295">
        <v>1800</v>
      </c>
      <c r="E142" s="299">
        <v>1000</v>
      </c>
      <c r="F142" s="10"/>
      <c r="G142" s="93">
        <f>E142</f>
        <v>1000</v>
      </c>
      <c r="H142" s="97">
        <f>$G$142*H2</f>
        <v>158.33333333333334</v>
      </c>
      <c r="I142" s="97">
        <f>$G$142*I2</f>
        <v>321.66666666666663</v>
      </c>
      <c r="J142" s="97">
        <f>$G$142*J2</f>
        <v>511.6666666666668</v>
      </c>
      <c r="K142" s="97">
        <f>$J$142*K2</f>
        <v>8.3333333333333339</v>
      </c>
      <c r="L142" s="97">
        <f>J142*$L$2</f>
        <v>16.666666666666668</v>
      </c>
      <c r="M142" s="97">
        <f>$J$142*M2</f>
        <v>23.333333333333332</v>
      </c>
      <c r="N142" s="97">
        <f>$J$142*N2</f>
        <v>51.666666666666664</v>
      </c>
      <c r="O142" s="97">
        <f>$J$142*O2</f>
        <v>60.000000000000007</v>
      </c>
      <c r="P142" s="97">
        <f>$J$142*P2</f>
        <v>23.333333333333336</v>
      </c>
      <c r="Q142" s="97">
        <f>$J$142*Q2</f>
        <v>53.333333333333336</v>
      </c>
      <c r="R142" s="97">
        <f>J142*$R$2</f>
        <v>46.666666666666671</v>
      </c>
      <c r="S142" s="97">
        <f t="shared" ref="S142:AA142" si="76">$J$142*S2</f>
        <v>55</v>
      </c>
      <c r="T142" s="97">
        <f t="shared" si="76"/>
        <v>23.333333333333336</v>
      </c>
      <c r="U142" s="97">
        <f t="shared" si="76"/>
        <v>73.333333333333343</v>
      </c>
      <c r="V142" s="97">
        <f t="shared" si="76"/>
        <v>3.3333333333333335</v>
      </c>
      <c r="W142" s="97">
        <f t="shared" si="76"/>
        <v>8.3333333333333339</v>
      </c>
      <c r="X142" s="97">
        <f t="shared" si="76"/>
        <v>36.666666666666671</v>
      </c>
      <c r="Y142" s="97">
        <f t="shared" si="76"/>
        <v>8.3333333333333339</v>
      </c>
      <c r="Z142" s="97">
        <f t="shared" si="76"/>
        <v>20</v>
      </c>
      <c r="AA142" s="97">
        <f t="shared" si="76"/>
        <v>8.3333333333333339</v>
      </c>
      <c r="AB142" s="10">
        <f>G142*$AB$2</f>
        <v>0</v>
      </c>
      <c r="AC142" s="10"/>
      <c r="AD142" s="10">
        <f t="shared" ref="AD142:AD146" si="77">AB142*$AD$2</f>
        <v>0</v>
      </c>
      <c r="AE142" s="10">
        <f t="shared" ref="AE142:AE146" si="78">AB142*$AE$2</f>
        <v>0</v>
      </c>
      <c r="AF142" s="93">
        <f t="shared" si="61"/>
        <v>-1.3322676295501878E-13</v>
      </c>
      <c r="AG142" s="94">
        <f t="shared" si="62"/>
        <v>0</v>
      </c>
    </row>
    <row r="143" spans="1:33" x14ac:dyDescent="0.25">
      <c r="A143" s="9">
        <v>631</v>
      </c>
      <c r="B143" s="9">
        <v>631</v>
      </c>
      <c r="C143" s="322" t="s">
        <v>399</v>
      </c>
      <c r="D143" s="295"/>
      <c r="E143" s="299">
        <v>1000</v>
      </c>
      <c r="F143" s="93">
        <f>E143</f>
        <v>1000</v>
      </c>
      <c r="G143" s="93"/>
      <c r="H143" s="97"/>
      <c r="I143" s="97"/>
      <c r="J143" s="97"/>
      <c r="K143" s="97"/>
      <c r="L143" s="97"/>
      <c r="M143" s="97"/>
      <c r="N143" s="97"/>
      <c r="O143" s="97"/>
      <c r="P143" s="97"/>
      <c r="Q143" s="97"/>
      <c r="R143" s="97"/>
      <c r="S143" s="97"/>
      <c r="T143" s="97"/>
      <c r="U143" s="97"/>
      <c r="V143" s="97"/>
      <c r="W143" s="97"/>
      <c r="X143" s="97"/>
      <c r="Y143" s="97"/>
      <c r="Z143" s="97"/>
      <c r="AA143" s="97">
        <f>F143</f>
        <v>1000</v>
      </c>
      <c r="AB143" s="10"/>
      <c r="AC143" s="10"/>
      <c r="AD143" s="10"/>
      <c r="AE143" s="10"/>
      <c r="AF143" s="93">
        <f t="shared" si="61"/>
        <v>0</v>
      </c>
      <c r="AG143" s="94"/>
    </row>
    <row r="144" spans="1:33" x14ac:dyDescent="0.25">
      <c r="A144" s="9">
        <v>6312</v>
      </c>
      <c r="B144" s="9">
        <v>631</v>
      </c>
      <c r="C144" s="20" t="s">
        <v>26</v>
      </c>
      <c r="D144" s="295"/>
      <c r="E144" s="299">
        <v>2000</v>
      </c>
      <c r="F144" s="10"/>
      <c r="G144" s="93">
        <f>E144</f>
        <v>2000</v>
      </c>
      <c r="H144" s="97">
        <f>$G$144*H2</f>
        <v>316.66666666666669</v>
      </c>
      <c r="I144" s="97">
        <f>$G$144*I2</f>
        <v>643.33333333333326</v>
      </c>
      <c r="J144" s="97">
        <f>$G$144*J2</f>
        <v>1023.3333333333336</v>
      </c>
      <c r="K144" s="97">
        <f>$J$144*K2</f>
        <v>16.666666666666668</v>
      </c>
      <c r="L144" s="97">
        <f>J144*$L$2</f>
        <v>33.333333333333336</v>
      </c>
      <c r="M144" s="97">
        <f>$J$144*M2</f>
        <v>46.666666666666664</v>
      </c>
      <c r="N144" s="97">
        <f>$J$144*N2</f>
        <v>103.33333333333333</v>
      </c>
      <c r="O144" s="97">
        <f>$J$144*O2</f>
        <v>120.00000000000001</v>
      </c>
      <c r="P144" s="97">
        <f>$J$144*P2</f>
        <v>46.666666666666671</v>
      </c>
      <c r="Q144" s="97">
        <f>$J$144*Q2</f>
        <v>106.66666666666667</v>
      </c>
      <c r="R144" s="97">
        <f>J144*$R$2</f>
        <v>93.333333333333343</v>
      </c>
      <c r="S144" s="97">
        <f t="shared" ref="S144:AA144" si="79">$J$144*S2</f>
        <v>110</v>
      </c>
      <c r="T144" s="97">
        <f t="shared" si="79"/>
        <v>46.666666666666671</v>
      </c>
      <c r="U144" s="97">
        <f t="shared" si="79"/>
        <v>146.66666666666669</v>
      </c>
      <c r="V144" s="97">
        <f t="shared" si="79"/>
        <v>6.666666666666667</v>
      </c>
      <c r="W144" s="97">
        <f t="shared" si="79"/>
        <v>16.666666666666668</v>
      </c>
      <c r="X144" s="97">
        <f t="shared" si="79"/>
        <v>73.333333333333343</v>
      </c>
      <c r="Y144" s="97">
        <f t="shared" si="79"/>
        <v>16.666666666666668</v>
      </c>
      <c r="Z144" s="97">
        <f t="shared" si="79"/>
        <v>40</v>
      </c>
      <c r="AA144" s="97">
        <f t="shared" si="79"/>
        <v>16.666666666666668</v>
      </c>
      <c r="AB144" s="10">
        <f>G144*$AB$2</f>
        <v>0</v>
      </c>
      <c r="AC144" s="10"/>
      <c r="AD144" s="10">
        <f t="shared" si="77"/>
        <v>0</v>
      </c>
      <c r="AE144" s="10">
        <f t="shared" si="78"/>
        <v>0</v>
      </c>
      <c r="AF144" s="93">
        <f t="shared" si="61"/>
        <v>-2.6645352591003757E-13</v>
      </c>
      <c r="AG144" s="94">
        <f t="shared" si="62"/>
        <v>0</v>
      </c>
    </row>
    <row r="145" spans="1:34" x14ac:dyDescent="0.25">
      <c r="A145" s="9">
        <v>6312</v>
      </c>
      <c r="B145" s="9">
        <v>631</v>
      </c>
      <c r="C145" s="322" t="s">
        <v>400</v>
      </c>
      <c r="D145" s="295"/>
      <c r="E145" s="299">
        <v>1000</v>
      </c>
      <c r="F145" s="93">
        <f>E145</f>
        <v>1000</v>
      </c>
      <c r="G145" s="93"/>
      <c r="H145" s="97"/>
      <c r="I145" s="97"/>
      <c r="J145" s="97"/>
      <c r="K145" s="97"/>
      <c r="L145" s="97"/>
      <c r="M145" s="97"/>
      <c r="N145" s="97"/>
      <c r="O145" s="97"/>
      <c r="P145" s="97"/>
      <c r="Q145" s="97"/>
      <c r="R145" s="97"/>
      <c r="S145" s="97"/>
      <c r="T145" s="97"/>
      <c r="U145" s="97"/>
      <c r="V145" s="97"/>
      <c r="W145" s="97"/>
      <c r="X145" s="97"/>
      <c r="Y145" s="97"/>
      <c r="Z145" s="97"/>
      <c r="AA145" s="97">
        <f>F145</f>
        <v>1000</v>
      </c>
      <c r="AB145" s="10"/>
      <c r="AC145" s="10"/>
      <c r="AD145" s="10"/>
      <c r="AE145" s="10"/>
      <c r="AF145" s="93">
        <f t="shared" si="61"/>
        <v>0</v>
      </c>
      <c r="AG145" s="94"/>
    </row>
    <row r="146" spans="1:34" x14ac:dyDescent="0.25">
      <c r="A146" s="9">
        <v>6313</v>
      </c>
      <c r="B146" s="9">
        <v>631</v>
      </c>
      <c r="C146" s="20" t="s">
        <v>27</v>
      </c>
      <c r="D146" s="295">
        <v>100</v>
      </c>
      <c r="E146" s="299">
        <v>1950</v>
      </c>
      <c r="F146" s="10"/>
      <c r="G146" s="93">
        <f>E146</f>
        <v>1950</v>
      </c>
      <c r="H146" s="97">
        <f>$G$146*H2</f>
        <v>308.75000000000006</v>
      </c>
      <c r="I146" s="97">
        <f>$G$146*I2</f>
        <v>627.24999999999989</v>
      </c>
      <c r="J146" s="97">
        <f>$G$146*J2</f>
        <v>997.75000000000034</v>
      </c>
      <c r="K146" s="97">
        <f>$J$146*K2</f>
        <v>16.250000000000004</v>
      </c>
      <c r="L146" s="97">
        <f>J146*$L$2</f>
        <v>32.500000000000007</v>
      </c>
      <c r="M146" s="97">
        <f>$J$146*M2</f>
        <v>45.5</v>
      </c>
      <c r="N146" s="97">
        <f>$J$146*N2</f>
        <v>100.75000000000001</v>
      </c>
      <c r="O146" s="97">
        <f>$J$146*O2</f>
        <v>117.00000000000003</v>
      </c>
      <c r="P146" s="97">
        <f>$J$146*P2</f>
        <v>45.500000000000007</v>
      </c>
      <c r="Q146" s="97">
        <f>$J$146*Q2</f>
        <v>104.00000000000001</v>
      </c>
      <c r="R146" s="97">
        <f>J146*$R$2</f>
        <v>91.000000000000014</v>
      </c>
      <c r="S146" s="97">
        <f t="shared" ref="S146:AA146" si="80">$J$146*S2</f>
        <v>107.25000000000001</v>
      </c>
      <c r="T146" s="97">
        <f t="shared" si="80"/>
        <v>45.500000000000007</v>
      </c>
      <c r="U146" s="97">
        <f t="shared" si="80"/>
        <v>143.00000000000003</v>
      </c>
      <c r="V146" s="97">
        <f t="shared" si="80"/>
        <v>6.5000000000000009</v>
      </c>
      <c r="W146" s="97">
        <f t="shared" si="80"/>
        <v>16.250000000000004</v>
      </c>
      <c r="X146" s="97">
        <f t="shared" si="80"/>
        <v>71.500000000000014</v>
      </c>
      <c r="Y146" s="97">
        <f t="shared" si="80"/>
        <v>16.250000000000004</v>
      </c>
      <c r="Z146" s="97">
        <f t="shared" si="80"/>
        <v>39</v>
      </c>
      <c r="AA146" s="97">
        <f t="shared" si="80"/>
        <v>16.250000000000004</v>
      </c>
      <c r="AB146" s="10">
        <f>G146*$AB$2</f>
        <v>0</v>
      </c>
      <c r="AC146" s="10"/>
      <c r="AD146" s="10">
        <f t="shared" si="77"/>
        <v>0</v>
      </c>
      <c r="AE146" s="10">
        <f t="shared" si="78"/>
        <v>0</v>
      </c>
      <c r="AF146" s="93">
        <f t="shared" si="61"/>
        <v>-2.3092638912203256E-13</v>
      </c>
      <c r="AG146" s="94">
        <f t="shared" si="62"/>
        <v>0</v>
      </c>
    </row>
    <row r="147" spans="1:34" x14ac:dyDescent="0.25">
      <c r="A147" s="9">
        <v>6313</v>
      </c>
      <c r="B147" s="9">
        <v>631</v>
      </c>
      <c r="C147" s="322" t="s">
        <v>401</v>
      </c>
      <c r="D147" s="295"/>
      <c r="E147" s="299">
        <v>1000</v>
      </c>
      <c r="F147" s="93">
        <f>E147</f>
        <v>1000</v>
      </c>
      <c r="G147" s="93"/>
      <c r="H147" s="97"/>
      <c r="I147" s="97"/>
      <c r="J147" s="97"/>
      <c r="K147" s="97"/>
      <c r="L147" s="97"/>
      <c r="M147" s="97"/>
      <c r="N147" s="97"/>
      <c r="O147" s="97"/>
      <c r="P147" s="97"/>
      <c r="Q147" s="97"/>
      <c r="R147" s="97"/>
      <c r="S147" s="97"/>
      <c r="T147" s="97"/>
      <c r="U147" s="97"/>
      <c r="V147" s="97"/>
      <c r="W147" s="97"/>
      <c r="X147" s="97"/>
      <c r="Y147" s="97"/>
      <c r="Z147" s="97"/>
      <c r="AA147" s="97">
        <f>E147</f>
        <v>1000</v>
      </c>
      <c r="AB147" s="10"/>
      <c r="AC147" s="10"/>
      <c r="AD147" s="10"/>
      <c r="AE147" s="10"/>
      <c r="AF147" s="93">
        <f t="shared" si="61"/>
        <v>0</v>
      </c>
      <c r="AG147" s="94"/>
    </row>
    <row r="148" spans="1:34" x14ac:dyDescent="0.25">
      <c r="A148" s="233">
        <v>641101</v>
      </c>
      <c r="B148" s="233">
        <v>641</v>
      </c>
      <c r="C148" s="20" t="s">
        <v>307</v>
      </c>
      <c r="D148" s="295">
        <v>157159.75</v>
      </c>
      <c r="E148" s="299">
        <f>Salaires!E7+Salaires!E8+Salaires!E9+Salaires!E10+Salaires!E11+Salaires!E12</f>
        <v>269372.03999999998</v>
      </c>
      <c r="F148" s="266">
        <f>E148</f>
        <v>269372.03999999998</v>
      </c>
      <c r="G148" s="10"/>
      <c r="H148" s="97">
        <f>Salaires!F18</f>
        <v>61916.103999999999</v>
      </c>
      <c r="I148" s="97">
        <f>Salaires!G18</f>
        <v>73638.719599999997</v>
      </c>
      <c r="J148" s="97">
        <f>Salaires!H18</f>
        <v>131158.25600000002</v>
      </c>
      <c r="K148" s="97">
        <f>Salaires!I18</f>
        <v>2658.9603999999999</v>
      </c>
      <c r="L148" s="97">
        <f>Salaires!J18</f>
        <v>4229.992400000001</v>
      </c>
      <c r="M148" s="97">
        <f>Salaires!K18</f>
        <v>6072.0184000000008</v>
      </c>
      <c r="N148" s="97">
        <f>Salaires!L18</f>
        <v>13597.477999999999</v>
      </c>
      <c r="O148" s="97">
        <f>Salaires!M18</f>
        <v>14358.332399999999</v>
      </c>
      <c r="P148" s="97">
        <f>Salaires!N18</f>
        <v>5355.0028000000002</v>
      </c>
      <c r="Q148" s="97">
        <f>Salaires!O18</f>
        <v>11111.947600000001</v>
      </c>
      <c r="R148" s="97">
        <f>Salaires!R18</f>
        <v>10960.571600000001</v>
      </c>
      <c r="S148" s="97">
        <f>Salaires!P18</f>
        <v>12604.843200000001</v>
      </c>
      <c r="T148" s="97">
        <f>Salaires!Q18</f>
        <v>7039.6000000000013</v>
      </c>
      <c r="U148" s="97">
        <f>Salaires!S18</f>
        <v>19843.382799999999</v>
      </c>
      <c r="V148" s="97">
        <f>Salaires!T18</f>
        <v>1396.1356000000001</v>
      </c>
      <c r="W148" s="97">
        <f>Salaires!U18</f>
        <v>2819.9043999999999</v>
      </c>
      <c r="X148" s="97">
        <f>Salaires!V18</f>
        <v>10298.6036</v>
      </c>
      <c r="Y148" s="97">
        <f>Salaires!W18</f>
        <v>2658.9603999999999</v>
      </c>
      <c r="Z148" s="97">
        <f>Salaires!X18</f>
        <v>6152.5224000000007</v>
      </c>
      <c r="AA148" s="97">
        <f>Salaires!Y7+Salaires!Y8+Salaires!Y9+Salaires!Y10+Salaires!Y11</f>
        <v>2658.9603999999999</v>
      </c>
      <c r="AB148" s="257">
        <f>AD148+AE148</f>
        <v>0</v>
      </c>
      <c r="AC148" s="10"/>
      <c r="AD148" s="257"/>
      <c r="AE148" s="257"/>
      <c r="AF148" s="93">
        <f t="shared" si="61"/>
        <v>-4.7293724492192268E-11</v>
      </c>
      <c r="AG148" s="94">
        <f t="shared" si="62"/>
        <v>0</v>
      </c>
    </row>
    <row r="149" spans="1:34" x14ac:dyDescent="0.25">
      <c r="A149" s="233">
        <v>641101</v>
      </c>
      <c r="B149" s="233">
        <v>641</v>
      </c>
      <c r="C149" s="322" t="s">
        <v>308</v>
      </c>
      <c r="D149" s="295"/>
      <c r="E149" s="299">
        <f>Salaires!E13+Salaires!E14</f>
        <v>139083</v>
      </c>
      <c r="F149" s="266">
        <f>E149</f>
        <v>139083</v>
      </c>
      <c r="G149" s="10"/>
      <c r="H149" s="97"/>
      <c r="I149" s="97"/>
      <c r="J149" s="97"/>
      <c r="K149" s="97"/>
      <c r="L149" s="97"/>
      <c r="M149" s="97"/>
      <c r="N149" s="97"/>
      <c r="O149" s="97"/>
      <c r="P149" s="97"/>
      <c r="Q149" s="97"/>
      <c r="R149" s="97"/>
      <c r="S149" s="97"/>
      <c r="T149" s="97"/>
      <c r="U149" s="97"/>
      <c r="V149" s="97"/>
      <c r="W149" s="97"/>
      <c r="X149" s="97"/>
      <c r="Y149" s="97"/>
      <c r="Z149" s="97"/>
      <c r="AA149" s="97">
        <f>Salaires!E13+Salaires!E14</f>
        <v>139083</v>
      </c>
      <c r="AB149" s="93">
        <f>AC149</f>
        <v>0</v>
      </c>
      <c r="AC149" s="93"/>
      <c r="AD149" s="10"/>
      <c r="AE149" s="93"/>
      <c r="AF149" s="93">
        <f t="shared" si="61"/>
        <v>0</v>
      </c>
      <c r="AG149" s="94">
        <f t="shared" si="62"/>
        <v>0</v>
      </c>
    </row>
    <row r="150" spans="1:34" x14ac:dyDescent="0.25">
      <c r="A150" s="9">
        <v>64141</v>
      </c>
      <c r="B150" s="9">
        <v>641</v>
      </c>
      <c r="C150" s="20" t="s">
        <v>309</v>
      </c>
      <c r="D150" s="295">
        <v>1000</v>
      </c>
      <c r="E150" s="299">
        <v>50</v>
      </c>
      <c r="F150" s="10"/>
      <c r="G150" s="93">
        <f>E150</f>
        <v>50</v>
      </c>
      <c r="H150" s="97">
        <f>$G$150*H2</f>
        <v>7.9166666666666679</v>
      </c>
      <c r="I150" s="97">
        <f>$G$150*I2</f>
        <v>16.083333333333329</v>
      </c>
      <c r="J150" s="97">
        <f>$G$150*J2</f>
        <v>25.583333333333343</v>
      </c>
      <c r="K150" s="97">
        <f>$J$150*K2</f>
        <v>0.41666666666666674</v>
      </c>
      <c r="L150" s="97">
        <f>J150*$L$2</f>
        <v>0.83333333333333348</v>
      </c>
      <c r="M150" s="97">
        <f>$J$150*M2</f>
        <v>1.1666666666666667</v>
      </c>
      <c r="N150" s="97">
        <f>$J$150*N2</f>
        <v>2.5833333333333335</v>
      </c>
      <c r="O150" s="97">
        <f>$J$150*O2</f>
        <v>3.0000000000000009</v>
      </c>
      <c r="P150" s="97">
        <f>$J$150*P2</f>
        <v>1.166666666666667</v>
      </c>
      <c r="Q150" s="97">
        <f>$J$150*Q2</f>
        <v>2.666666666666667</v>
      </c>
      <c r="R150" s="97">
        <f>J150*$R$2</f>
        <v>2.3333333333333339</v>
      </c>
      <c r="S150" s="97">
        <f t="shared" ref="S150:AA150" si="81">$J$150*S2</f>
        <v>2.7500000000000004</v>
      </c>
      <c r="T150" s="97">
        <f t="shared" si="81"/>
        <v>1.166666666666667</v>
      </c>
      <c r="U150" s="97">
        <f t="shared" si="81"/>
        <v>3.6666666666666674</v>
      </c>
      <c r="V150" s="97">
        <f t="shared" si="81"/>
        <v>0.16666666666666669</v>
      </c>
      <c r="W150" s="97">
        <f t="shared" si="81"/>
        <v>0.41666666666666674</v>
      </c>
      <c r="X150" s="97">
        <f t="shared" si="81"/>
        <v>1.8333333333333337</v>
      </c>
      <c r="Y150" s="97">
        <f t="shared" si="81"/>
        <v>0.41666666666666674</v>
      </c>
      <c r="Z150" s="97">
        <f t="shared" si="81"/>
        <v>1</v>
      </c>
      <c r="AA150" s="97">
        <f t="shared" si="81"/>
        <v>0.41666666666666674</v>
      </c>
      <c r="AB150" s="10">
        <f>G150*$AB$2</f>
        <v>0</v>
      </c>
      <c r="AC150" s="10"/>
      <c r="AD150" s="10">
        <f t="shared" ref="AD150:AD155" si="82">AB150*$AD$2</f>
        <v>0</v>
      </c>
      <c r="AE150" s="10">
        <f t="shared" ref="AE150:AE155" si="83">AB150*$AE$2</f>
        <v>0</v>
      </c>
      <c r="AF150" s="93">
        <f t="shared" si="61"/>
        <v>-9.5479180117763462E-15</v>
      </c>
      <c r="AG150" s="94">
        <f t="shared" si="62"/>
        <v>0</v>
      </c>
    </row>
    <row r="151" spans="1:34" x14ac:dyDescent="0.25">
      <c r="A151" s="9">
        <v>6457</v>
      </c>
      <c r="B151" s="9">
        <v>645</v>
      </c>
      <c r="C151" s="20" t="s">
        <v>28</v>
      </c>
      <c r="D151" s="295"/>
      <c r="E151" s="299">
        <v>700</v>
      </c>
      <c r="F151" s="97"/>
      <c r="G151" s="93">
        <f>E151</f>
        <v>700</v>
      </c>
      <c r="H151" s="97">
        <f>$G$151*H2</f>
        <v>110.83333333333334</v>
      </c>
      <c r="I151" s="97">
        <f>$G$151*I2</f>
        <v>225.16666666666663</v>
      </c>
      <c r="J151" s="97">
        <f>$G$151*J2</f>
        <v>358.1666666666668</v>
      </c>
      <c r="K151" s="97">
        <f>$J$151*K2</f>
        <v>5.8333333333333339</v>
      </c>
      <c r="L151" s="97">
        <f>J151*$L$2</f>
        <v>11.666666666666668</v>
      </c>
      <c r="M151" s="97">
        <f>$J$151*M2</f>
        <v>16.333333333333336</v>
      </c>
      <c r="N151" s="97">
        <f>$J$151*N2</f>
        <v>36.166666666666671</v>
      </c>
      <c r="O151" s="97">
        <f>$J$151*O2</f>
        <v>42.000000000000007</v>
      </c>
      <c r="P151" s="97">
        <f>$J$151*P2</f>
        <v>16.333333333333336</v>
      </c>
      <c r="Q151" s="97">
        <f>$J$151*Q2</f>
        <v>37.333333333333336</v>
      </c>
      <c r="R151" s="97">
        <f>J151*$R$2</f>
        <v>32.666666666666671</v>
      </c>
      <c r="S151" s="97">
        <f t="shared" ref="S151:AA151" si="84">$J$151*S2</f>
        <v>38.500000000000007</v>
      </c>
      <c r="T151" s="97">
        <f t="shared" si="84"/>
        <v>16.333333333333336</v>
      </c>
      <c r="U151" s="97">
        <f t="shared" si="84"/>
        <v>51.333333333333343</v>
      </c>
      <c r="V151" s="97">
        <f t="shared" si="84"/>
        <v>2.3333333333333335</v>
      </c>
      <c r="W151" s="97">
        <f t="shared" si="84"/>
        <v>5.8333333333333339</v>
      </c>
      <c r="X151" s="97">
        <f t="shared" si="84"/>
        <v>25.666666666666671</v>
      </c>
      <c r="Y151" s="97">
        <f t="shared" si="84"/>
        <v>5.8333333333333339</v>
      </c>
      <c r="Z151" s="97">
        <f t="shared" si="84"/>
        <v>14.000000000000002</v>
      </c>
      <c r="AA151" s="97">
        <f t="shared" si="84"/>
        <v>5.8333333333333339</v>
      </c>
      <c r="AB151" s="10">
        <f>G151*$AB$2</f>
        <v>0</v>
      </c>
      <c r="AC151" s="93"/>
      <c r="AD151" s="10">
        <f t="shared" si="82"/>
        <v>0</v>
      </c>
      <c r="AE151" s="10">
        <f t="shared" si="83"/>
        <v>0</v>
      </c>
      <c r="AF151" s="93">
        <f t="shared" si="61"/>
        <v>-1.3322676295501878E-13</v>
      </c>
      <c r="AG151" s="94">
        <f t="shared" si="62"/>
        <v>0</v>
      </c>
    </row>
    <row r="152" spans="1:34" x14ac:dyDescent="0.25">
      <c r="A152" s="9">
        <v>6457</v>
      </c>
      <c r="B152" s="9">
        <v>645</v>
      </c>
      <c r="C152" s="322" t="s">
        <v>402</v>
      </c>
      <c r="D152" s="295"/>
      <c r="E152" s="299">
        <v>300</v>
      </c>
      <c r="F152" s="97">
        <f>E152</f>
        <v>300</v>
      </c>
      <c r="G152" s="93"/>
      <c r="H152" s="97"/>
      <c r="I152" s="97"/>
      <c r="J152" s="97"/>
      <c r="K152" s="97"/>
      <c r="L152" s="97"/>
      <c r="M152" s="97"/>
      <c r="N152" s="97"/>
      <c r="O152" s="97"/>
      <c r="P152" s="97"/>
      <c r="Q152" s="97"/>
      <c r="R152" s="97"/>
      <c r="S152" s="97"/>
      <c r="T152" s="97"/>
      <c r="U152" s="97"/>
      <c r="V152" s="97"/>
      <c r="W152" s="97"/>
      <c r="X152" s="97"/>
      <c r="Y152" s="97"/>
      <c r="Z152" s="97"/>
      <c r="AA152" s="97">
        <f>E152</f>
        <v>300</v>
      </c>
      <c r="AB152" s="10"/>
      <c r="AC152" s="93"/>
      <c r="AD152" s="10"/>
      <c r="AE152" s="10"/>
      <c r="AF152" s="93">
        <f t="shared" si="61"/>
        <v>0</v>
      </c>
      <c r="AG152" s="94"/>
    </row>
    <row r="153" spans="1:34" x14ac:dyDescent="0.25">
      <c r="A153" s="9">
        <v>6616</v>
      </c>
      <c r="B153" s="9">
        <v>661</v>
      </c>
      <c r="C153" s="20" t="s">
        <v>310</v>
      </c>
      <c r="D153" s="295"/>
      <c r="E153" s="299">
        <v>500</v>
      </c>
      <c r="F153" s="93">
        <f>E153</f>
        <v>500</v>
      </c>
      <c r="G153" s="93"/>
      <c r="H153" s="20"/>
      <c r="I153" s="20"/>
      <c r="J153" s="20"/>
      <c r="K153" s="20"/>
      <c r="L153" s="97"/>
      <c r="M153" s="20"/>
      <c r="N153" s="20"/>
      <c r="O153" s="20"/>
      <c r="P153" s="20"/>
      <c r="Q153" s="20"/>
      <c r="R153" s="97"/>
      <c r="S153" s="20"/>
      <c r="T153" s="20"/>
      <c r="U153" s="20"/>
      <c r="V153" s="20"/>
      <c r="W153" s="20"/>
      <c r="X153" s="20"/>
      <c r="Y153" s="20"/>
      <c r="Z153" s="20"/>
      <c r="AA153" s="20"/>
      <c r="AB153" s="93">
        <f>AC153</f>
        <v>500</v>
      </c>
      <c r="AC153" s="93">
        <f>F153</f>
        <v>500</v>
      </c>
      <c r="AD153" s="10"/>
      <c r="AE153" s="10"/>
      <c r="AF153" s="93">
        <f t="shared" si="61"/>
        <v>0</v>
      </c>
      <c r="AG153" s="94">
        <f t="shared" si="62"/>
        <v>0</v>
      </c>
    </row>
    <row r="154" spans="1:34" x14ac:dyDescent="0.25">
      <c r="A154" s="9">
        <v>6351</v>
      </c>
      <c r="B154" s="9">
        <v>635</v>
      </c>
      <c r="C154" s="20" t="s">
        <v>311</v>
      </c>
      <c r="D154" s="295"/>
      <c r="E154" s="299">
        <v>800</v>
      </c>
      <c r="F154" s="93"/>
      <c r="G154" s="93">
        <f>E154</f>
        <v>800</v>
      </c>
      <c r="H154" s="97">
        <f>$G$154*H2</f>
        <v>126.66666666666669</v>
      </c>
      <c r="I154" s="97">
        <f>$G$154*I2</f>
        <v>257.33333333333326</v>
      </c>
      <c r="J154" s="97">
        <f>$G$154*J2</f>
        <v>409.33333333333348</v>
      </c>
      <c r="K154" s="97">
        <f>$J$154*K2</f>
        <v>6.6666666666666679</v>
      </c>
      <c r="L154" s="97">
        <f>J154*$L$2</f>
        <v>13.333333333333336</v>
      </c>
      <c r="M154" s="97">
        <f>$J$154*M2</f>
        <v>18.666666666666668</v>
      </c>
      <c r="N154" s="97">
        <f>$J$154*N2</f>
        <v>41.333333333333336</v>
      </c>
      <c r="O154" s="97">
        <f>$J$154*O2</f>
        <v>48.000000000000014</v>
      </c>
      <c r="P154" s="97">
        <f>$J$154*P2</f>
        <v>18.666666666666671</v>
      </c>
      <c r="Q154" s="97">
        <f>$J$154*Q2</f>
        <v>42.666666666666671</v>
      </c>
      <c r="R154" s="97">
        <f>J154*$R$2</f>
        <v>37.333333333333343</v>
      </c>
      <c r="S154" s="97">
        <f t="shared" ref="S154:AA154" si="85">$J$154*S2</f>
        <v>44.000000000000007</v>
      </c>
      <c r="T154" s="97">
        <f t="shared" si="85"/>
        <v>18.666666666666671</v>
      </c>
      <c r="U154" s="97">
        <f t="shared" si="85"/>
        <v>58.666666666666679</v>
      </c>
      <c r="V154" s="97">
        <f t="shared" si="85"/>
        <v>2.666666666666667</v>
      </c>
      <c r="W154" s="97">
        <f t="shared" si="85"/>
        <v>6.6666666666666679</v>
      </c>
      <c r="X154" s="97">
        <f t="shared" si="85"/>
        <v>29.333333333333339</v>
      </c>
      <c r="Y154" s="97">
        <f t="shared" si="85"/>
        <v>6.6666666666666679</v>
      </c>
      <c r="Z154" s="97">
        <f t="shared" si="85"/>
        <v>16</v>
      </c>
      <c r="AA154" s="97">
        <f t="shared" si="85"/>
        <v>6.6666666666666679</v>
      </c>
      <c r="AB154" s="93">
        <f>G154*$AB$2</f>
        <v>0</v>
      </c>
      <c r="AC154" s="93"/>
      <c r="AD154" s="10">
        <f t="shared" si="82"/>
        <v>0</v>
      </c>
      <c r="AE154" s="10">
        <f t="shared" si="83"/>
        <v>0</v>
      </c>
      <c r="AF154" s="93">
        <f t="shared" si="61"/>
        <v>-1.5276668818842154E-13</v>
      </c>
      <c r="AG154" s="94">
        <f t="shared" si="62"/>
        <v>0</v>
      </c>
    </row>
    <row r="155" spans="1:34" x14ac:dyDescent="0.25">
      <c r="A155" s="9">
        <v>635</v>
      </c>
      <c r="B155" s="9">
        <v>635</v>
      </c>
      <c r="C155" s="20" t="s">
        <v>55</v>
      </c>
      <c r="D155" s="290"/>
      <c r="E155" s="299">
        <v>267</v>
      </c>
      <c r="F155" s="93"/>
      <c r="G155" s="93">
        <f>E155</f>
        <v>267</v>
      </c>
      <c r="H155" s="97">
        <f>$G$155*H2</f>
        <v>42.275000000000006</v>
      </c>
      <c r="I155" s="97">
        <f>$G$155*I2</f>
        <v>85.884999999999977</v>
      </c>
      <c r="J155" s="97">
        <f>$G$155*J2</f>
        <v>136.61500000000004</v>
      </c>
      <c r="K155" s="97">
        <f>$J$155*K2</f>
        <v>2.2250000000000001</v>
      </c>
      <c r="L155" s="97">
        <f>J155*$L$2</f>
        <v>4.45</v>
      </c>
      <c r="M155" s="97">
        <f>$J$155*M2</f>
        <v>6.2299999999999995</v>
      </c>
      <c r="N155" s="97">
        <f>$J$155*N2</f>
        <v>13.795</v>
      </c>
      <c r="O155" s="97">
        <f>$J$155*O2</f>
        <v>16.020000000000003</v>
      </c>
      <c r="P155" s="97">
        <f>$J$155*P2</f>
        <v>6.23</v>
      </c>
      <c r="Q155" s="97">
        <f>$J$155*Q2</f>
        <v>14.24</v>
      </c>
      <c r="R155" s="97">
        <f>J155*$R$2</f>
        <v>12.46</v>
      </c>
      <c r="S155" s="97">
        <f t="shared" ref="S155:AA155" si="86">$J$155*S2</f>
        <v>14.685</v>
      </c>
      <c r="T155" s="97">
        <f t="shared" si="86"/>
        <v>6.23</v>
      </c>
      <c r="U155" s="97">
        <f t="shared" si="86"/>
        <v>19.580000000000002</v>
      </c>
      <c r="V155" s="97">
        <f t="shared" si="86"/>
        <v>0.89</v>
      </c>
      <c r="W155" s="97">
        <f t="shared" si="86"/>
        <v>2.2250000000000001</v>
      </c>
      <c r="X155" s="97">
        <f t="shared" si="86"/>
        <v>9.7900000000000009</v>
      </c>
      <c r="Y155" s="97">
        <f t="shared" si="86"/>
        <v>2.2250000000000001</v>
      </c>
      <c r="Z155" s="97">
        <f t="shared" si="86"/>
        <v>5.34</v>
      </c>
      <c r="AA155" s="97">
        <f t="shared" si="86"/>
        <v>2.2250000000000001</v>
      </c>
      <c r="AB155" s="93">
        <f>G155*$AB$2</f>
        <v>0</v>
      </c>
      <c r="AC155" s="93"/>
      <c r="AD155" s="10">
        <f t="shared" si="82"/>
        <v>0</v>
      </c>
      <c r="AE155" s="10">
        <f t="shared" si="83"/>
        <v>0</v>
      </c>
      <c r="AF155" s="93">
        <f t="shared" si="61"/>
        <v>-5.773159728050814E-15</v>
      </c>
      <c r="AG155" s="94">
        <f t="shared" si="62"/>
        <v>0</v>
      </c>
    </row>
    <row r="156" spans="1:34" x14ac:dyDescent="0.25">
      <c r="A156" s="9">
        <v>86</v>
      </c>
      <c r="B156" s="9">
        <v>86</v>
      </c>
      <c r="C156" s="322" t="s">
        <v>312</v>
      </c>
      <c r="D156" s="290"/>
      <c r="E156" s="299">
        <v>20000</v>
      </c>
      <c r="F156" s="93">
        <f t="shared" ref="F156:F157" si="87">E156</f>
        <v>20000</v>
      </c>
      <c r="G156" s="10"/>
      <c r="H156" s="20"/>
      <c r="I156" s="20"/>
      <c r="J156" s="20"/>
      <c r="K156" s="20"/>
      <c r="L156" s="20"/>
      <c r="M156" s="20"/>
      <c r="N156" s="20"/>
      <c r="O156" s="20"/>
      <c r="P156" s="20"/>
      <c r="Q156" s="20"/>
      <c r="R156" s="20"/>
      <c r="S156" s="20"/>
      <c r="T156" s="20"/>
      <c r="U156" s="20"/>
      <c r="V156" s="20"/>
      <c r="W156" s="20"/>
      <c r="X156" s="20"/>
      <c r="Y156" s="20"/>
      <c r="Z156" s="20"/>
      <c r="AA156" s="97">
        <f>F156</f>
        <v>20000</v>
      </c>
      <c r="AB156" s="93">
        <f>AC156</f>
        <v>0</v>
      </c>
      <c r="AC156" s="93"/>
      <c r="AD156" s="93"/>
      <c r="AE156" s="93"/>
      <c r="AF156" s="93">
        <f t="shared" si="61"/>
        <v>0</v>
      </c>
      <c r="AG156" s="94">
        <f t="shared" si="62"/>
        <v>0</v>
      </c>
    </row>
    <row r="157" spans="1:34" x14ac:dyDescent="0.25">
      <c r="A157" s="9">
        <v>86</v>
      </c>
      <c r="B157" s="9">
        <v>86</v>
      </c>
      <c r="C157" s="20" t="s">
        <v>313</v>
      </c>
      <c r="D157" s="290"/>
      <c r="E157" s="299">
        <f>Valo!X21</f>
        <v>40821.720000000008</v>
      </c>
      <c r="F157" s="93">
        <f t="shared" si="87"/>
        <v>40821.720000000008</v>
      </c>
      <c r="G157" s="10"/>
      <c r="H157" s="10">
        <f>Valo!V21</f>
        <v>1394.7999999999995</v>
      </c>
      <c r="I157" s="10">
        <f>Valo!W21</f>
        <v>39426.920000000013</v>
      </c>
      <c r="J157" s="10"/>
      <c r="K157" s="10"/>
      <c r="L157" s="10"/>
      <c r="M157" s="10"/>
      <c r="N157" s="10"/>
      <c r="O157" s="10"/>
      <c r="P157" s="10"/>
      <c r="Q157" s="10"/>
      <c r="R157" s="10"/>
      <c r="S157" s="10"/>
      <c r="T157" s="10"/>
      <c r="U157" s="10"/>
      <c r="V157" s="10"/>
      <c r="W157" s="10"/>
      <c r="X157" s="10"/>
      <c r="Y157" s="10"/>
      <c r="Z157" s="10"/>
      <c r="AA157" s="10"/>
      <c r="AB157" s="10"/>
      <c r="AC157" s="10"/>
      <c r="AD157" s="10"/>
      <c r="AE157" s="10"/>
      <c r="AF157" s="93">
        <f t="shared" si="61"/>
        <v>-7.2759576141834259E-12</v>
      </c>
      <c r="AG157" s="94">
        <f t="shared" si="62"/>
        <v>0</v>
      </c>
    </row>
    <row r="158" spans="1:34" ht="20.25" thickBot="1" x14ac:dyDescent="0.35">
      <c r="A158" s="40"/>
      <c r="B158" s="9"/>
      <c r="C158" s="41"/>
      <c r="D158" s="42">
        <f>SUM(D3:D154)</f>
        <v>554024.75</v>
      </c>
      <c r="E158" s="84">
        <f t="shared" ref="E158:AA158" si="88">SUM(E3:E157)</f>
        <v>1497432.96</v>
      </c>
      <c r="F158" s="96">
        <f t="shared" si="88"/>
        <v>1384745.96</v>
      </c>
      <c r="G158" s="96">
        <f t="shared" si="88"/>
        <v>112687</v>
      </c>
      <c r="H158" s="96">
        <f t="shared" si="88"/>
        <v>102193.01233333333</v>
      </c>
      <c r="I158" s="96">
        <f t="shared" si="88"/>
        <v>219993.2912666667</v>
      </c>
      <c r="J158" s="96">
        <f t="shared" si="88"/>
        <v>736440.63766666665</v>
      </c>
      <c r="K158" s="96">
        <f t="shared" si="88"/>
        <v>38728.018733333331</v>
      </c>
      <c r="L158" s="96">
        <f t="shared" si="88"/>
        <v>23308.109066666671</v>
      </c>
      <c r="M158" s="96">
        <f t="shared" si="88"/>
        <v>24854.381733333335</v>
      </c>
      <c r="N158" s="96">
        <f t="shared" si="88"/>
        <v>156733.83966666667</v>
      </c>
      <c r="O158" s="96">
        <f t="shared" si="88"/>
        <v>89719.5524</v>
      </c>
      <c r="P158" s="96">
        <f t="shared" si="88"/>
        <v>33964.366133333329</v>
      </c>
      <c r="Q158" s="96">
        <f t="shared" si="88"/>
        <v>29921.920933333335</v>
      </c>
      <c r="R158" s="96">
        <f t="shared" si="88"/>
        <v>32519.298266666668</v>
      </c>
      <c r="S158" s="96">
        <f t="shared" si="88"/>
        <v>39652.628199999999</v>
      </c>
      <c r="T158" s="96">
        <f t="shared" si="88"/>
        <v>26648.963333333337</v>
      </c>
      <c r="U158" s="96">
        <f t="shared" si="88"/>
        <v>73484.09613333334</v>
      </c>
      <c r="V158" s="96">
        <f t="shared" si="88"/>
        <v>7771.7589333333326</v>
      </c>
      <c r="W158" s="96">
        <f t="shared" si="88"/>
        <v>93408.962733333334</v>
      </c>
      <c r="X158" s="96">
        <f t="shared" si="88"/>
        <v>30120.460266666665</v>
      </c>
      <c r="Y158" s="96">
        <f t="shared" si="88"/>
        <v>18298.018733333334</v>
      </c>
      <c r="Z158" s="96">
        <f t="shared" si="88"/>
        <v>17306.2624</v>
      </c>
      <c r="AA158" s="96">
        <f t="shared" si="88"/>
        <v>433606.01873333339</v>
      </c>
      <c r="AB158" s="96">
        <f>SUM(AB3:AB157)</f>
        <v>5200</v>
      </c>
      <c r="AC158" s="96">
        <f>SUM(AC3:AC157)</f>
        <v>5200</v>
      </c>
      <c r="AD158" s="96">
        <f>SUM(AD3:AD157)</f>
        <v>0</v>
      </c>
      <c r="AE158" s="96">
        <f>SUM(AE3:AE157)</f>
        <v>0</v>
      </c>
      <c r="AF158" s="93">
        <f t="shared" si="61"/>
        <v>0</v>
      </c>
      <c r="AG158" s="94">
        <f>J158-SUM(K158:Z158)</f>
        <v>0</v>
      </c>
      <c r="AH158" s="94">
        <f>E158-H158-I158-J158-AB158-AA158</f>
        <v>0</v>
      </c>
    </row>
    <row r="159" spans="1:34" x14ac:dyDescent="0.25">
      <c r="D159" s="43"/>
      <c r="E159" s="98">
        <f>E158-Dépenses!E166</f>
        <v>0</v>
      </c>
      <c r="F159" s="95"/>
    </row>
    <row r="160" spans="1:34" x14ac:dyDescent="0.25">
      <c r="D160" s="43"/>
      <c r="E160" s="44"/>
      <c r="H160" s="94"/>
    </row>
    <row r="161" spans="5:28" x14ac:dyDescent="0.25">
      <c r="H161" s="94"/>
      <c r="I161" s="94"/>
      <c r="K161" s="94"/>
      <c r="L161" s="94"/>
      <c r="M161" s="94"/>
      <c r="N161" s="94"/>
      <c r="O161" s="94"/>
      <c r="P161" s="94"/>
      <c r="Q161" s="94"/>
      <c r="R161" s="94"/>
      <c r="S161" s="94"/>
      <c r="T161" s="94"/>
      <c r="U161" s="94"/>
      <c r="V161" s="94"/>
      <c r="W161" s="94"/>
      <c r="X161" s="94"/>
      <c r="Y161" s="94"/>
      <c r="Z161" s="94"/>
      <c r="AA161" s="94"/>
      <c r="AB161" s="94"/>
    </row>
    <row r="162" spans="5:28" x14ac:dyDescent="0.25">
      <c r="E162" s="234"/>
    </row>
    <row r="163" spans="5:28" x14ac:dyDescent="0.25">
      <c r="AB163" s="94"/>
    </row>
    <row r="164" spans="5:28" x14ac:dyDescent="0.25">
      <c r="H164" s="94"/>
    </row>
    <row r="166" spans="5:28" x14ac:dyDescent="0.25">
      <c r="J166" s="258"/>
      <c r="K166" s="258"/>
      <c r="L166" s="258"/>
    </row>
    <row r="167" spans="5:28" x14ac:dyDescent="0.25">
      <c r="E167" s="234"/>
    </row>
  </sheetData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AB47"/>
  <sheetViews>
    <sheetView workbookViewId="0">
      <selection activeCell="I4" sqref="I4"/>
    </sheetView>
  </sheetViews>
  <sheetFormatPr baseColWidth="10" defaultColWidth="11.42578125" defaultRowHeight="15" x14ac:dyDescent="0.25"/>
  <cols>
    <col min="1" max="1" width="4.42578125" style="137" bestFit="1" customWidth="1"/>
    <col min="2" max="2" width="39.28515625" style="130" bestFit="1" customWidth="1"/>
    <col min="3" max="3" width="17.28515625" style="130" customWidth="1"/>
    <col min="4" max="6" width="9.5703125" style="130" bestFit="1" customWidth="1"/>
    <col min="7" max="7" width="9.28515625" style="130" customWidth="1"/>
    <col min="8" max="8" width="13.5703125" style="130" customWidth="1"/>
    <col min="9" max="9" width="10.42578125" style="130" customWidth="1"/>
    <col min="10" max="10" width="10.5703125" style="130" customWidth="1"/>
    <col min="11" max="11" width="9.5703125" style="130" customWidth="1"/>
    <col min="12" max="12" width="13" style="130" customWidth="1"/>
    <col min="13" max="13" width="12.85546875" style="130" customWidth="1"/>
    <col min="14" max="14" width="12.7109375" style="130" customWidth="1"/>
    <col min="15" max="15" width="15.140625" style="130" customWidth="1"/>
    <col min="16" max="16" width="9.85546875" style="130" customWidth="1"/>
    <col min="17" max="17" width="12.5703125" style="130" customWidth="1"/>
    <col min="18" max="18" width="10.85546875" style="130" customWidth="1"/>
    <col min="19" max="19" width="9.5703125" style="130" customWidth="1"/>
    <col min="20" max="20" width="10" style="130" customWidth="1"/>
    <col min="21" max="21" width="18" style="130" customWidth="1"/>
    <col min="22" max="23" width="12.5703125" style="130" customWidth="1"/>
    <col min="24" max="24" width="9.28515625" style="130" customWidth="1"/>
    <col min="25" max="25" width="12.28515625" style="130" customWidth="1"/>
    <col min="26" max="27" width="13.42578125" style="130" customWidth="1"/>
    <col min="28" max="28" width="11.140625" style="130" customWidth="1"/>
    <col min="29" max="29" width="7.5703125" style="130" bestFit="1" customWidth="1"/>
    <col min="30" max="16384" width="11.42578125" style="130"/>
  </cols>
  <sheetData>
    <row r="1" spans="1:28" s="174" customFormat="1" ht="60.75" customHeight="1" thickBot="1" x14ac:dyDescent="0.3">
      <c r="A1" s="171"/>
      <c r="B1" s="172"/>
      <c r="C1" s="173" t="s">
        <v>418</v>
      </c>
      <c r="D1" s="173" t="str">
        <f>Analytique!H1</f>
        <v xml:space="preserve">A </v>
      </c>
      <c r="E1" s="173" t="str">
        <f>Analytique!I1</f>
        <v xml:space="preserve">B </v>
      </c>
      <c r="F1" s="173" t="str">
        <f>Analytique!J1</f>
        <v>C</v>
      </c>
      <c r="G1" s="320" t="str">
        <f>Analytique!K1</f>
        <v>MICE PLACE</v>
      </c>
      <c r="H1" s="320" t="str">
        <f>Analytique!L1</f>
        <v>Application Wacan</v>
      </c>
      <c r="I1" s="320" t="str">
        <f>Analytique!M1</f>
        <v>SBE Lyon</v>
      </c>
      <c r="J1" s="320" t="str">
        <f>Analytique!N1</f>
        <v>HEAVENT</v>
      </c>
      <c r="K1" s="320" t="str">
        <f>Analytique!O1</f>
        <v>IMEX</v>
      </c>
      <c r="L1" s="320" t="str">
        <f>Analytique!P1</f>
        <v>WORKSHOP ALLG</v>
      </c>
      <c r="M1" s="320" t="str">
        <f>Analytique!Q1</f>
        <v>EDUCTOUR 1&amp;2</v>
      </c>
      <c r="N1" s="320" t="str">
        <f>Analytique!R1</f>
        <v>WORKSHOP GRANDE BRETAGNE</v>
      </c>
      <c r="O1" s="320" t="str">
        <f>Analytique!S1</f>
        <v>Operation Paris Été</v>
      </c>
      <c r="P1" s="320" t="str">
        <f>Analytique!T1</f>
        <v>Workshop Lyon</v>
      </c>
      <c r="Q1" s="320" t="str">
        <f>Analytique!U1</f>
        <v>OPERATION PARIS DECEMBRE</v>
      </c>
      <c r="R1" s="320" t="str">
        <f>Analytique!V1</f>
        <v>Soutien aux actions a l'international</v>
      </c>
      <c r="S1" s="320" t="str">
        <f>Analytique!W1</f>
        <v>IBTM</v>
      </c>
      <c r="T1" s="320" t="str">
        <f>Analytique!X1</f>
        <v>EDUCTOUR Belgique</v>
      </c>
      <c r="U1" s="320" t="str">
        <f>Analytique!Y1</f>
        <v>MP2</v>
      </c>
      <c r="V1" s="321" t="str">
        <f>Analytique!Z1</f>
        <v>Demarchages europe</v>
      </c>
      <c r="W1" s="321" t="s">
        <v>352</v>
      </c>
      <c r="X1" s="173" t="str">
        <f>Analytique!AB1</f>
        <v>D</v>
      </c>
      <c r="Y1" s="173" t="str">
        <f>Analytique!AC1</f>
        <v>D frais complémentaires</v>
      </c>
      <c r="Z1" s="173">
        <f>Analytique!AD1</f>
        <v>0</v>
      </c>
      <c r="AA1" s="173">
        <f>Analytique!AE1</f>
        <v>0</v>
      </c>
      <c r="AB1" s="174" t="str">
        <f>Analytique!AF1</f>
        <v>vérif</v>
      </c>
    </row>
    <row r="2" spans="1:28" s="129" customFormat="1" ht="15.75" thickBot="1" x14ac:dyDescent="0.3">
      <c r="A2" s="135"/>
      <c r="B2" s="303" t="s">
        <v>102</v>
      </c>
      <c r="C2" s="304"/>
      <c r="D2" s="304"/>
      <c r="E2" s="304"/>
      <c r="F2" s="304"/>
      <c r="G2" s="304"/>
      <c r="H2" s="304"/>
      <c r="I2" s="304"/>
      <c r="J2" s="304"/>
      <c r="K2" s="304"/>
      <c r="L2" s="304"/>
      <c r="M2" s="304"/>
      <c r="N2" s="304"/>
      <c r="O2" s="304"/>
      <c r="P2" s="304"/>
      <c r="Q2" s="304"/>
      <c r="R2" s="304"/>
      <c r="S2" s="304"/>
      <c r="T2" s="304"/>
      <c r="U2" s="304"/>
      <c r="V2" s="304"/>
      <c r="W2" s="304"/>
      <c r="X2" s="305"/>
      <c r="Y2" s="238"/>
      <c r="Z2" s="238"/>
      <c r="AA2" s="238"/>
    </row>
    <row r="3" spans="1:28" x14ac:dyDescent="0.25">
      <c r="A3" s="136">
        <v>604</v>
      </c>
      <c r="B3" s="249" t="s">
        <v>76</v>
      </c>
      <c r="C3" s="239">
        <f>SUMIF(Analytique!$B$3:$B$157,'Recap dep rec'!A3,Analytique!$E$3:$E$157)</f>
        <v>0</v>
      </c>
      <c r="D3" s="239">
        <f>SUMIF(Analytique!$B$3:$B$157,'Recap dep rec'!A3,Analytique!$H$3:$H$157)</f>
        <v>0</v>
      </c>
      <c r="E3" s="239">
        <f>SUMIF(Analytique!$B$3:$B$157,'Recap dep rec'!$A3,Analytique!I$3:I$157)</f>
        <v>0</v>
      </c>
      <c r="F3" s="239">
        <f>SUMIF(Analytique!$B$3:$B$157,'Recap dep rec'!$A3,Analytique!J$3:J$157)</f>
        <v>0</v>
      </c>
      <c r="G3" s="250">
        <f>SUMIF(Analytique!$B$3:$B$157,'Recap dep rec'!A3,Analytique!$K$3:$K$157)</f>
        <v>0</v>
      </c>
      <c r="H3" s="250">
        <f ca="1">SUMIF(Analytique!$B$3:$B$158,'Recap dep rec'!A3,Analytique!$L$3:$L$157)</f>
        <v>0</v>
      </c>
      <c r="I3" s="250">
        <f>SUMIF(Analytique!$B$3:$B$157,'Recap dep rec'!A3,Analytique!$M$3:$M$157)</f>
        <v>0</v>
      </c>
      <c r="J3" s="250">
        <f>SUMIF(Analytique!$B$3:$B$157,'Recap dep rec'!A3,Analytique!$N$3:$N$157)</f>
        <v>0</v>
      </c>
      <c r="K3" s="250">
        <f>SUMIF(Analytique!$B$3:$B$157,'Recap dep rec'!A3,Analytique!$O$3:$O$157)</f>
        <v>0</v>
      </c>
      <c r="L3" s="250">
        <f ca="1">SUMIF(Analytique!$B$3:$B$158,'Recap dep rec'!A3,Analytique!$P$3:$P$157)</f>
        <v>0</v>
      </c>
      <c r="M3" s="250">
        <f ca="1">SUMIF(Analytique!$B$3:$B$157,'Recap dep rec'!A3,Analytique!$Q$3:$Q$156)</f>
        <v>0</v>
      </c>
      <c r="N3" s="250">
        <f>SUMIF(Analytique!$B:$B,'Recap dep rec'!A3,Analytique!$R:$R)</f>
        <v>0</v>
      </c>
      <c r="O3" s="250">
        <f ca="1">SUMIF(Analytique!$B$3:$B$157,'Recap dep rec'!A3,Analytique!$S$3:$S$156)</f>
        <v>0</v>
      </c>
      <c r="P3" s="250">
        <f>SUMIF(Analytique!$B$3:$B$157,'Recap dep rec'!A3,Analytique!$T$3:$T$157)</f>
        <v>0</v>
      </c>
      <c r="Q3" s="250">
        <f>SUMIF(Analytique!$B$3:$B$157,'Recap dep rec'!A3,Analytique!$U$3:$U$157)</f>
        <v>0</v>
      </c>
      <c r="R3" s="250">
        <f>SUMIF(Analytique!$B$3:$B$157,'Recap dep rec'!A3,Analytique!$V$3:$V$157)</f>
        <v>0</v>
      </c>
      <c r="S3" s="250">
        <f>SUMIF(Analytique!$B$3:$B$157,'Recap dep rec'!A3,Analytique!$W$3:$W$157)</f>
        <v>0</v>
      </c>
      <c r="T3" s="250">
        <f>SUMIF(Analytique!$B$3:$B$157,'Recap dep rec'!$A3,Analytique!X$3:X$157)</f>
        <v>0</v>
      </c>
      <c r="U3" s="250">
        <f>SUMIF(Analytique!$B:$B,A3,Analytique!$Y:$Y)</f>
        <v>0</v>
      </c>
      <c r="V3" s="251">
        <f>SUMIF(Analytique!$B$3:$B$157,'Recap dep rec'!$A3,Analytique!Z$3:Z$157)</f>
        <v>0</v>
      </c>
      <c r="W3" s="251"/>
      <c r="X3" s="239">
        <f>SUMIF(Analytique!$B$3:$B$157,'Recap dep rec'!$A3,Analytique!AB$3:AB$157)</f>
        <v>0</v>
      </c>
      <c r="Y3" s="239">
        <f>SUMIF(Analytique!$B$3:$B$157,'Recap dep rec'!A3,Analytique!$AC$3:$AC$157)</f>
        <v>0</v>
      </c>
      <c r="Z3" s="239">
        <f>SUMIF(Analytique!$B$3:$B$157,'Recap dep rec'!A3,Analytique!$AD$3:$AD$157)</f>
        <v>0</v>
      </c>
      <c r="AA3" s="239">
        <f>SUMIF(Analytique!$B$3:$B$157,'Recap dep rec'!A3,Analytique!$AE$3:$AE$157)</f>
        <v>0</v>
      </c>
      <c r="AB3" s="130">
        <f>C3-D3-E3-F3-X3</f>
        <v>0</v>
      </c>
    </row>
    <row r="4" spans="1:28" x14ac:dyDescent="0.25">
      <c r="A4" s="136">
        <v>605</v>
      </c>
      <c r="B4" s="143" t="s">
        <v>77</v>
      </c>
      <c r="C4" s="141">
        <f>SUMIF(Analytique!$B$3:$B$157,'Recap dep rec'!A4,Analytique!$E$3:$E$157)</f>
        <v>2000</v>
      </c>
      <c r="D4" s="141">
        <f>SUMIF(Analytique!$B$3:$B$157,'Recap dep rec'!A4,Analytique!$H$3:$H$157)</f>
        <v>205.83333333333337</v>
      </c>
      <c r="E4" s="141">
        <f>SUMIF(Analytique!$B$3:$B$157,'Recap dep rec'!$A4,Analytique!I$3:I$157)</f>
        <v>418.16666666666657</v>
      </c>
      <c r="F4" s="141">
        <f>SUMIF(Analytique!$B$3:$B$157,'Recap dep rec'!$A4,Analytique!J$3:J$157)</f>
        <v>665.16666666666686</v>
      </c>
      <c r="G4" s="132">
        <f>SUMIF(Analytique!$B$3:$B$157,'Recap dep rec'!A4,Analytique!$K$3:$K$157)</f>
        <v>10.833333333333334</v>
      </c>
      <c r="H4" s="132">
        <f ca="1">SUMIF(Analytique!$B$3:$B$158,'Recap dep rec'!A4,Analytique!$L$3:$L$157)</f>
        <v>21.666666666666668</v>
      </c>
      <c r="I4" s="132">
        <f>SUMIF(Analytique!$B$3:$B$157,'Recap dep rec'!A4,Analytique!$M$3:$M$157)</f>
        <v>30.333333333333332</v>
      </c>
      <c r="J4" s="132">
        <f>SUMIF(Analytique!$B$3:$B$157,'Recap dep rec'!A4,Analytique!$N$3:$N$157)</f>
        <v>67.166666666666671</v>
      </c>
      <c r="K4" s="132">
        <f>SUMIF(Analytique!$B$3:$B$157,'Recap dep rec'!A4,Analytique!$O$3:$O$157)</f>
        <v>78.000000000000014</v>
      </c>
      <c r="L4" s="132">
        <f ca="1">SUMIF(Analytique!$B$3:$B$158,'Recap dep rec'!A4,Analytique!$P$3:$P$157)</f>
        <v>30.333333333333336</v>
      </c>
      <c r="M4" s="132">
        <f ca="1">SUMIF(Analytique!$B$3:$B$157,'Recap dep rec'!A4,Analytique!$Q$3:$Q$156)</f>
        <v>69.333333333333343</v>
      </c>
      <c r="N4" s="132">
        <f>SUMIF(Analytique!$B:$B,'Recap dep rec'!A4,Analytique!$R:$R)</f>
        <v>60.666666666666671</v>
      </c>
      <c r="O4" s="132">
        <f ca="1">SUMIF(Analytique!$B$3:$B$157,'Recap dep rec'!A4,Analytique!$S$3:$S$156)</f>
        <v>71.5</v>
      </c>
      <c r="P4" s="132">
        <f>SUMIF(Analytique!$B$3:$B$157,'Recap dep rec'!A4,Analytique!$T$3:$T$157)</f>
        <v>30.333333333333336</v>
      </c>
      <c r="Q4" s="132">
        <f>SUMIF(Analytique!$B$3:$B$157,'Recap dep rec'!A4,Analytique!$U$3:$U$157)</f>
        <v>95.333333333333343</v>
      </c>
      <c r="R4" s="132">
        <f>SUMIF(Analytique!$B$3:$B$157,'Recap dep rec'!A4,Analytique!$V$3:$V$157)</f>
        <v>4.3333333333333339</v>
      </c>
      <c r="S4" s="132">
        <f>SUMIF(Analytique!$B$3:$B$157,'Recap dep rec'!A4,Analytique!$W$3:$W$157)</f>
        <v>10.833333333333334</v>
      </c>
      <c r="T4" s="132">
        <f>SUMIF(Analytique!$B$3:$B$157,'Recap dep rec'!$A4,Analytique!X$3:X$157)</f>
        <v>47.666666666666671</v>
      </c>
      <c r="U4" s="132">
        <f>SUMIF(Analytique!$B:$B,A4,Analytique!$Y:$Y)</f>
        <v>10.833333333333334</v>
      </c>
      <c r="V4" s="142">
        <f>SUMIF(Analytique!$B$3:$B$157,'Recap dep rec'!$A4,Analytique!Z$3:Z$157)</f>
        <v>26</v>
      </c>
      <c r="W4" s="142">
        <f>SUMIF(Analytique!$B$3:$B$157,'Recap dep rec'!$A4,Analytique!AA$3:AA$157)</f>
        <v>710.83333333333337</v>
      </c>
      <c r="X4" s="141">
        <f>SUMIF(Analytique!$B$3:$B$157,'Recap dep rec'!$A4,Analytique!AB$3:AB$157)</f>
        <v>0</v>
      </c>
      <c r="Y4" s="141">
        <f>SUMIF(Analytique!$B$3:$B$157,'Recap dep rec'!A4,Analytique!$AC$3:$AC$157)</f>
        <v>0</v>
      </c>
      <c r="Z4" s="141">
        <f>SUMIF(Analytique!$B$3:$B$157,'Recap dep rec'!A4,Analytique!$AD$3:$AD$157)</f>
        <v>0</v>
      </c>
      <c r="AA4" s="141">
        <f>SUMIF(Analytique!$B$3:$B$157,'Recap dep rec'!A4,Analytique!$AE$3:$AE$157)</f>
        <v>0</v>
      </c>
      <c r="AB4" s="130">
        <f>C4-D4-E4-F4-X4-W4</f>
        <v>0</v>
      </c>
    </row>
    <row r="5" spans="1:28" x14ac:dyDescent="0.25">
      <c r="A5" s="136">
        <v>606</v>
      </c>
      <c r="B5" s="143" t="s">
        <v>78</v>
      </c>
      <c r="C5" s="141">
        <f>SUMIF(Analytique!$B$3:$B$157,'Recap dep rec'!A5,Analytique!$E$3:$E$157)</f>
        <v>10680</v>
      </c>
      <c r="D5" s="141">
        <f>SUMIF(Analytique!$B$3:$B$157,'Recap dep rec'!A5,Analytique!$H$3:$H$157)</f>
        <v>926.25000000000011</v>
      </c>
      <c r="E5" s="141">
        <f>SUMIF(Analytique!$B$3:$B$157,'Recap dep rec'!$A5,Analytique!I$3:I$157)</f>
        <v>4881.75</v>
      </c>
      <c r="F5" s="141">
        <f>SUMIF(Analytique!$B$3:$B$157,'Recap dep rec'!$A5,Analytique!J$3:J$157)</f>
        <v>2993.2500000000009</v>
      </c>
      <c r="G5" s="132">
        <f>SUMIF(Analytique!$B$3:$B$157,'Recap dep rec'!A5,Analytique!$K$3:$K$157)</f>
        <v>48.750000000000007</v>
      </c>
      <c r="H5" s="132">
        <f ca="1">SUMIF(Analytique!$B$3:$B$158,'Recap dep rec'!A5,Analytique!$L$3:$L$157)</f>
        <v>97.500000000000014</v>
      </c>
      <c r="I5" s="132">
        <f>SUMIF(Analytique!$B$3:$B$157,'Recap dep rec'!A5,Analytique!$M$3:$M$157)</f>
        <v>136.5</v>
      </c>
      <c r="J5" s="132">
        <f>SUMIF(Analytique!$B$3:$B$157,'Recap dep rec'!A5,Analytique!$N$3:$N$157)</f>
        <v>302.25</v>
      </c>
      <c r="K5" s="132">
        <f>SUMIF(Analytique!$B$3:$B$157,'Recap dep rec'!A5,Analytique!$O$3:$O$157)</f>
        <v>351.00000000000006</v>
      </c>
      <c r="L5" s="132">
        <f ca="1">SUMIF(Analytique!$B$3:$B$158,'Recap dep rec'!A5,Analytique!$P$3:$P$157)</f>
        <v>136.50000000000003</v>
      </c>
      <c r="M5" s="132">
        <f ca="1">SUMIF(Analytique!$B$3:$B$157,'Recap dep rec'!A5,Analytique!$Q$3:$Q$156)</f>
        <v>312</v>
      </c>
      <c r="N5" s="132">
        <f>SUMIF(Analytique!$B:$B,'Recap dep rec'!A5,Analytique!$R:$R)</f>
        <v>273.00000000000006</v>
      </c>
      <c r="O5" s="132">
        <f ca="1">SUMIF(Analytique!$B$3:$B$157,'Recap dep rec'!A5,Analytique!$S$3:$S$156)</f>
        <v>321.75</v>
      </c>
      <c r="P5" s="132">
        <f>SUMIF(Analytique!$B$3:$B$157,'Recap dep rec'!A5,Analytique!$T$3:$T$157)</f>
        <v>136.50000000000003</v>
      </c>
      <c r="Q5" s="132">
        <f>SUMIF(Analytique!$B$3:$B$157,'Recap dep rec'!A5,Analytique!$U$3:$U$157)</f>
        <v>429.00000000000011</v>
      </c>
      <c r="R5" s="132">
        <f>SUMIF(Analytique!$B$3:$B$157,'Recap dep rec'!A5,Analytique!$V$3:$V$157)</f>
        <v>19.5</v>
      </c>
      <c r="S5" s="132">
        <f>SUMIF(Analytique!$B$3:$B$157,'Recap dep rec'!A5,Analytique!$W$3:$W$157)</f>
        <v>48.750000000000007</v>
      </c>
      <c r="T5" s="132">
        <f>SUMIF(Analytique!$B$3:$B$157,'Recap dep rec'!$A5,Analytique!X$3:X$157)</f>
        <v>214.50000000000006</v>
      </c>
      <c r="U5" s="132">
        <f>SUMIF(Analytique!$B:$B,A5,Analytique!$Y:$Y)</f>
        <v>48.750000000000007</v>
      </c>
      <c r="V5" s="142">
        <f>SUMIF(Analytique!$B$3:$B$157,'Recap dep rec'!$A5,Analytique!Z$3:Z$157)</f>
        <v>117</v>
      </c>
      <c r="W5" s="142">
        <f>SUMIF(Analytique!$B$3:$B$157,'Recap dep rec'!$A5,Analytique!AA$3:AA$157)</f>
        <v>1878.75</v>
      </c>
      <c r="X5" s="141">
        <f>SUMIF(Analytique!$B$3:$B$157,'Recap dep rec'!$A5,Analytique!AB$3:AB$157)</f>
        <v>0</v>
      </c>
      <c r="Y5" s="141">
        <f>SUMIF(Analytique!$B$3:$B$157,'Recap dep rec'!A5,Analytique!$AC$3:$AC$157)</f>
        <v>0</v>
      </c>
      <c r="Z5" s="141">
        <f>SUMIF(Analytique!$B$3:$B$157,'Recap dep rec'!A5,Analytique!$AD$3:$AD$157)</f>
        <v>0</v>
      </c>
      <c r="AA5" s="141">
        <f>SUMIF(Analytique!$B$3:$B$157,'Recap dep rec'!A5,Analytique!$AE$3:$AE$157)</f>
        <v>0</v>
      </c>
      <c r="AB5" s="130">
        <f>C5-D5-E5-F5-X5-W5</f>
        <v>0</v>
      </c>
    </row>
    <row r="6" spans="1:28" x14ac:dyDescent="0.25">
      <c r="A6" s="136">
        <v>607</v>
      </c>
      <c r="B6" s="140" t="s">
        <v>79</v>
      </c>
      <c r="C6" s="141">
        <f>SUMIF(Analytique!$B$3:$B$157,'Recap dep rec'!A6,Analytique!$E$3:$E$157)</f>
        <v>0</v>
      </c>
      <c r="D6" s="141">
        <f>SUMIF(Analytique!$B$3:$B$157,'Recap dep rec'!A6,Analytique!$H$3:$H$157)</f>
        <v>0</v>
      </c>
      <c r="E6" s="141">
        <f>SUMIF(Analytique!$B$3:$B$157,'Recap dep rec'!$A6,Analytique!I$3:I$157)</f>
        <v>0</v>
      </c>
      <c r="F6" s="141">
        <f>SUMIF(Analytique!$B$3:$B$157,'Recap dep rec'!$A6,Analytique!J$3:J$157)</f>
        <v>0</v>
      </c>
      <c r="G6" s="132">
        <f>SUMIF(Analytique!$B$3:$B$157,'Recap dep rec'!A6,Analytique!$K$3:$K$157)</f>
        <v>0</v>
      </c>
      <c r="H6" s="132">
        <f ca="1">SUMIF(Analytique!$B$3:$B$158,'Recap dep rec'!A6,Analytique!$L$3:$L$157)</f>
        <v>0</v>
      </c>
      <c r="I6" s="132">
        <f>SUMIF(Analytique!$B$3:$B$157,'Recap dep rec'!A6,Analytique!$M$3:$M$157)</f>
        <v>0</v>
      </c>
      <c r="J6" s="132">
        <f>SUMIF(Analytique!$B$3:$B$157,'Recap dep rec'!A6,Analytique!$N$3:$N$157)</f>
        <v>0</v>
      </c>
      <c r="K6" s="132">
        <f>SUMIF(Analytique!$B$3:$B$157,'Recap dep rec'!A6,Analytique!$O$3:$O$157)</f>
        <v>0</v>
      </c>
      <c r="L6" s="132">
        <f ca="1">SUMIF(Analytique!$B$3:$B$158,'Recap dep rec'!A6,Analytique!$P$3:$P$157)</f>
        <v>0</v>
      </c>
      <c r="M6" s="132">
        <f ca="1">SUMIF(Analytique!$B$3:$B$157,'Recap dep rec'!A6,Analytique!$Q$3:$Q$156)</f>
        <v>0</v>
      </c>
      <c r="N6" s="132">
        <f>SUMIF(Analytique!$B:$B,'Recap dep rec'!A6,Analytique!$R:$R)</f>
        <v>0</v>
      </c>
      <c r="O6" s="132">
        <f ca="1">SUMIF(Analytique!$B$3:$B$157,'Recap dep rec'!A6,Analytique!$S$3:$S$156)</f>
        <v>0</v>
      </c>
      <c r="P6" s="132">
        <f>SUMIF(Analytique!$B$3:$B$157,'Recap dep rec'!A6,Analytique!$T$3:$T$157)</f>
        <v>0</v>
      </c>
      <c r="Q6" s="132">
        <f>SUMIF(Analytique!$B$3:$B$157,'Recap dep rec'!A6,Analytique!$U$3:$U$157)</f>
        <v>0</v>
      </c>
      <c r="R6" s="132">
        <f>SUMIF(Analytique!$B$3:$B$157,'Recap dep rec'!A6,Analytique!$V$3:$V$157)</f>
        <v>0</v>
      </c>
      <c r="S6" s="132">
        <f>SUMIF(Analytique!$B$3:$B$157,'Recap dep rec'!A6,Analytique!$W$3:$W$157)</f>
        <v>0</v>
      </c>
      <c r="T6" s="132">
        <f>SUMIF(Analytique!$B$3:$B$157,'Recap dep rec'!$A6,Analytique!X$3:X$157)</f>
        <v>0</v>
      </c>
      <c r="U6" s="132">
        <f>SUMIF(Analytique!$B:$B,A6,Analytique!$Y:$Y)</f>
        <v>0</v>
      </c>
      <c r="V6" s="142">
        <f>SUMIF(Analytique!$B$3:$B$157,'Recap dep rec'!$A6,Analytique!Z$3:Z$157)</f>
        <v>0</v>
      </c>
      <c r="W6" s="142">
        <f>SUMIF(Analytique!$B$3:$B$157,'Recap dep rec'!$A6,Analytique!AA$3:AA$157)</f>
        <v>0</v>
      </c>
      <c r="X6" s="141">
        <f>SUMIF(Analytique!$B$3:$B$157,'Recap dep rec'!$A6,Analytique!AB$3:AB$157)</f>
        <v>0</v>
      </c>
      <c r="Y6" s="141">
        <f>SUMIF(Analytique!$B$3:$B$157,'Recap dep rec'!A6,Analytique!$AC$3:$AC$157)</f>
        <v>0</v>
      </c>
      <c r="Z6" s="141">
        <f>SUMIF(Analytique!$B$3:$B$157,'Recap dep rec'!A6,Analytique!$AD$3:$AD$157)</f>
        <v>0</v>
      </c>
      <c r="AA6" s="141">
        <f>SUMIF(Analytique!$B$3:$B$157,'Recap dep rec'!A6,Analytique!$AE$3:$AE$157)</f>
        <v>0</v>
      </c>
      <c r="AB6" s="130">
        <f t="shared" ref="AB6:AB27" si="0">C6-D6-E6-F6-X6-W6</f>
        <v>0</v>
      </c>
    </row>
    <row r="7" spans="1:28" x14ac:dyDescent="0.25">
      <c r="A7" s="136">
        <v>611</v>
      </c>
      <c r="B7" s="140" t="s">
        <v>80</v>
      </c>
      <c r="C7" s="141">
        <f>SUMIF(Analytique!$B$3:$B$157,'Recap dep rec'!A7,Analytique!$E$3:$E$157)</f>
        <v>663084.19999999995</v>
      </c>
      <c r="D7" s="141">
        <f>SUMIF(Analytique!$B$3:$B$157,'Recap dep rec'!A7,Analytique!$H$3:$H$157)</f>
        <v>18000</v>
      </c>
      <c r="E7" s="141">
        <f>SUMIF(Analytique!$B$3:$B$157,'Recap dep rec'!$A7,Analytique!I$3:I$157)</f>
        <v>52500</v>
      </c>
      <c r="F7" s="141">
        <f>SUMIF(Analytique!$B$3:$B$157,'Recap dep rec'!$A7,Analytique!J$3:J$157)</f>
        <v>506434.2</v>
      </c>
      <c r="G7" s="132">
        <f>SUMIF(Analytique!$B$3:$B$157,'Recap dep rec'!A7,Analytique!$K$3:$K$157)</f>
        <v>35130</v>
      </c>
      <c r="H7" s="132">
        <f ca="1">SUMIF(Analytique!$B$3:$B$158,'Recap dep rec'!A7,Analytique!$L$3:$L$157)</f>
        <v>17200</v>
      </c>
      <c r="I7" s="132">
        <f>SUMIF(Analytique!$B$3:$B$157,'Recap dep rec'!A7,Analytique!$M$3:$M$157)</f>
        <v>15703</v>
      </c>
      <c r="J7" s="132">
        <f>SUMIF(Analytique!$B$3:$B$157,'Recap dep rec'!A7,Analytique!$N$3:$N$157)</f>
        <v>136114.20000000001</v>
      </c>
      <c r="K7" s="132">
        <f>SUMIF(Analytique!$B$3:$B$157,'Recap dep rec'!A7,Analytique!$O$3:$O$157)</f>
        <v>67750</v>
      </c>
      <c r="L7" s="132">
        <f ca="1">SUMIF(Analytique!$B$3:$B$158,'Recap dep rec'!A7,Analytique!$P$3:$P$157)</f>
        <v>18040</v>
      </c>
      <c r="M7" s="132">
        <f ca="1">SUMIF(Analytique!$B$3:$B$157,'Recap dep rec'!A7,Analytique!$Q$3:$Q$156)</f>
        <v>1000</v>
      </c>
      <c r="N7" s="132">
        <f>SUMIF(Analytique!$B:$B,'Recap dep rec'!A7,Analytique!$R:$R)</f>
        <v>15500</v>
      </c>
      <c r="O7" s="132">
        <f ca="1">SUMIF(Analytique!$B$3:$B$157,'Recap dep rec'!A7,Analytique!$S$3:$S$156)</f>
        <v>18550</v>
      </c>
      <c r="P7" s="132">
        <f>SUMIF(Analytique!$B$3:$B$157,'Recap dep rec'!A7,Analytique!$T$3:$T$157)</f>
        <v>16080</v>
      </c>
      <c r="Q7" s="132">
        <f>SUMIF(Analytique!$B$3:$B$157,'Recap dep rec'!A7,Analytique!$U$3:$U$157)</f>
        <v>42177</v>
      </c>
      <c r="R7" s="132">
        <f>SUMIF(Analytique!$B$3:$B$157,'Recap dep rec'!A7,Analytique!$V$3:$V$157)</f>
        <v>6000</v>
      </c>
      <c r="S7" s="132">
        <f>SUMIF(Analytique!$B$3:$B$157,'Recap dep rec'!A7,Analytique!$W$3:$W$157)</f>
        <v>88850</v>
      </c>
      <c r="T7" s="132">
        <f>SUMIF(Analytique!$B$3:$B$157,'Recap dep rec'!$A7,Analytique!X$3:X$157)</f>
        <v>4940</v>
      </c>
      <c r="U7" s="132">
        <f>SUMIF(Analytique!$B:$B,A7,Analytique!$Y:$Y)</f>
        <v>14500</v>
      </c>
      <c r="V7" s="142">
        <f>SUMIF(Analytique!$B$3:$B$157,'Recap dep rec'!$A7,Analytique!Z$3:Z$157)</f>
        <v>8900</v>
      </c>
      <c r="W7" s="142">
        <f>SUMIF(Analytique!$B$3:$B$157,'Recap dep rec'!$A7,Analytique!AA$3:AA$157)</f>
        <v>86150</v>
      </c>
      <c r="X7" s="141">
        <f>SUMIF(Analytique!$B$3:$B$157,'Recap dep rec'!$A7,Analytique!AB$3:AB$157)</f>
        <v>0</v>
      </c>
      <c r="Y7" s="141">
        <f>SUMIF(Analytique!$B$3:$B$157,'Recap dep rec'!A7,Analytique!$AC$3:$AC$157)</f>
        <v>0</v>
      </c>
      <c r="Z7" s="141">
        <f>SUMIF(Analytique!$B$3:$B$157,'Recap dep rec'!A7,Analytique!$AD$3:$AD$157)</f>
        <v>0</v>
      </c>
      <c r="AA7" s="141">
        <f>SUMIF(Analytique!$B$3:$B$157,'Recap dep rec'!A7,Analytique!$AE$3:$AE$157)</f>
        <v>0</v>
      </c>
      <c r="AB7" s="130">
        <f t="shared" si="0"/>
        <v>0</v>
      </c>
    </row>
    <row r="8" spans="1:28" x14ac:dyDescent="0.25">
      <c r="A8" s="136">
        <v>613</v>
      </c>
      <c r="B8" s="140" t="s">
        <v>81</v>
      </c>
      <c r="C8" s="141">
        <f>SUMIF(Analytique!$B$3:$B$157,'Recap dep rec'!A8,Analytique!$E$3:$E$157)</f>
        <v>27500</v>
      </c>
      <c r="D8" s="141">
        <f>SUMIF(Analytique!$B$3:$B$157,'Recap dep rec'!A8,Analytique!$H$3:$H$157)</f>
        <v>3245.8333333333335</v>
      </c>
      <c r="E8" s="141">
        <f>SUMIF(Analytique!$B$3:$B$157,'Recap dep rec'!$A8,Analytique!I$3:I$157)</f>
        <v>6594.1666666666652</v>
      </c>
      <c r="F8" s="141">
        <f>SUMIF(Analytique!$B$3:$B$157,'Recap dep rec'!$A8,Analytique!J$3:J$157)</f>
        <v>10489.16666666667</v>
      </c>
      <c r="G8" s="132">
        <f>SUMIF(Analytique!$B$3:$B$157,'Recap dep rec'!A8,Analytique!$K$3:$K$157)</f>
        <v>170.83333333333334</v>
      </c>
      <c r="H8" s="132">
        <f ca="1">SUMIF(Analytique!$B$3:$B$158,'Recap dep rec'!A8,Analytique!$L$3:$L$157)</f>
        <v>341.66666666666669</v>
      </c>
      <c r="I8" s="132">
        <f>SUMIF(Analytique!$B$3:$B$157,'Recap dep rec'!A8,Analytique!$M$3:$M$157)</f>
        <v>478.33333333333331</v>
      </c>
      <c r="J8" s="132">
        <f>SUMIF(Analytique!$B$3:$B$157,'Recap dep rec'!A8,Analytique!$N$3:$N$157)</f>
        <v>1059.1666666666665</v>
      </c>
      <c r="K8" s="132">
        <f>SUMIF(Analytique!$B$3:$B$157,'Recap dep rec'!A8,Analytique!$O$3:$O$157)</f>
        <v>1230</v>
      </c>
      <c r="L8" s="132">
        <f ca="1">SUMIF(Analytique!$B$3:$B$158,'Recap dep rec'!A8,Analytique!$P$3:$P$157)</f>
        <v>478.33333333333337</v>
      </c>
      <c r="M8" s="132">
        <f ca="1">SUMIF(Analytique!$B$3:$B$157,'Recap dep rec'!A8,Analytique!$Q$3:$Q$156)</f>
        <v>1093.3333333333335</v>
      </c>
      <c r="N8" s="132">
        <f>SUMIF(Analytique!$B:$B,'Recap dep rec'!A8,Analytique!$R:$R)</f>
        <v>956.66666666666674</v>
      </c>
      <c r="O8" s="132">
        <f ca="1">SUMIF(Analytique!$B$3:$B$157,'Recap dep rec'!A8,Analytique!$S$3:$S$156)</f>
        <v>1127.5</v>
      </c>
      <c r="P8" s="132">
        <f>SUMIF(Analytique!$B$3:$B$157,'Recap dep rec'!A8,Analytique!$T$3:$T$157)</f>
        <v>478.33333333333337</v>
      </c>
      <c r="Q8" s="132">
        <f>SUMIF(Analytique!$B$3:$B$157,'Recap dep rec'!A8,Analytique!$U$3:$U$157)</f>
        <v>1503.3333333333335</v>
      </c>
      <c r="R8" s="132">
        <f>SUMIF(Analytique!$B$3:$B$157,'Recap dep rec'!A8,Analytique!$V$3:$V$157)</f>
        <v>68.333333333333343</v>
      </c>
      <c r="S8" s="132">
        <f>SUMIF(Analytique!$B$3:$B$157,'Recap dep rec'!A8,Analytique!$W$3:$W$157)</f>
        <v>170.83333333333334</v>
      </c>
      <c r="T8" s="132">
        <f>SUMIF(Analytique!$B$3:$B$157,'Recap dep rec'!$A8,Analytique!X$3:X$157)</f>
        <v>751.66666666666674</v>
      </c>
      <c r="U8" s="132">
        <f>SUMIF(Analytique!$B:$B,A8,Analytique!$Y:$Y)</f>
        <v>170.83333333333334</v>
      </c>
      <c r="V8" s="142">
        <f>SUMIF(Analytique!$B$3:$B$157,'Recap dep rec'!$A8,Analytique!Z$3:Z$157)</f>
        <v>410</v>
      </c>
      <c r="W8" s="142">
        <f>SUMIF(Analytique!$B$3:$B$157,'Recap dep rec'!$A8,Analytique!AA$3:AA$157)</f>
        <v>7170.8333333333339</v>
      </c>
      <c r="X8" s="141">
        <f>SUMIF(Analytique!$B$3:$B$157,'Recap dep rec'!$A8,Analytique!AB$3:AB$157)</f>
        <v>0</v>
      </c>
      <c r="Y8" s="141">
        <f>SUMIF(Analytique!$B$3:$B$157,'Recap dep rec'!A8,Analytique!$AC$3:$AC$157)</f>
        <v>0</v>
      </c>
      <c r="Z8" s="141">
        <f>SUMIF(Analytique!$B$3:$B$157,'Recap dep rec'!A8,Analytique!$AD$3:$AD$157)</f>
        <v>0</v>
      </c>
      <c r="AA8" s="141">
        <f>SUMIF(Analytique!$B$3:$B$157,'Recap dep rec'!A8,Analytique!$AE$3:$AE$157)</f>
        <v>0</v>
      </c>
      <c r="AB8" s="130">
        <f t="shared" si="0"/>
        <v>0</v>
      </c>
    </row>
    <row r="9" spans="1:28" x14ac:dyDescent="0.25">
      <c r="A9" s="136">
        <v>615</v>
      </c>
      <c r="B9" s="140" t="s">
        <v>65</v>
      </c>
      <c r="C9" s="141">
        <f>SUMIF(Analytique!$B$3:$B$157,'Recap dep rec'!A9,Analytique!$E$3:$E$157)</f>
        <v>10700</v>
      </c>
      <c r="D9" s="141">
        <f>SUMIF(Analytique!$B$3:$B$157,'Recap dep rec'!A9,Analytique!$H$3:$H$157)</f>
        <v>997.50000000000023</v>
      </c>
      <c r="E9" s="141">
        <f>SUMIF(Analytique!$B$3:$B$157,'Recap dep rec'!$A9,Analytique!I$3:I$157)</f>
        <v>4826.5</v>
      </c>
      <c r="F9" s="141">
        <f>SUMIF(Analytique!$B$3:$B$157,'Recap dep rec'!$A9,Analytique!J$3:J$157)</f>
        <v>3223.5000000000005</v>
      </c>
      <c r="G9" s="132">
        <f>SUMIF(Analytique!$B$3:$B$157,'Recap dep rec'!A9,Analytique!$K$3:$K$157)</f>
        <v>52.5</v>
      </c>
      <c r="H9" s="132">
        <f ca="1">SUMIF(Analytique!$B$3:$B$158,'Recap dep rec'!A9,Analytique!$L$3:$L$157)</f>
        <v>105</v>
      </c>
      <c r="I9" s="132">
        <f>SUMIF(Analytique!$B$3:$B$157,'Recap dep rec'!A9,Analytique!$M$3:$M$157)</f>
        <v>146.99999999999997</v>
      </c>
      <c r="J9" s="132">
        <f>SUMIF(Analytique!$B$3:$B$157,'Recap dep rec'!A9,Analytique!$N$3:$N$157)</f>
        <v>325.5</v>
      </c>
      <c r="K9" s="132">
        <f>SUMIF(Analytique!$B$3:$B$157,'Recap dep rec'!A9,Analytique!$O$3:$O$157)</f>
        <v>378.00000000000006</v>
      </c>
      <c r="L9" s="132">
        <f ca="1">SUMIF(Analytique!$B$3:$B$158,'Recap dep rec'!A9,Analytique!$P$3:$P$157)</f>
        <v>147</v>
      </c>
      <c r="M9" s="132">
        <f ca="1">SUMIF(Analytique!$B$3:$B$157,'Recap dep rec'!A9,Analytique!$Q$3:$Q$156)</f>
        <v>336</v>
      </c>
      <c r="N9" s="132">
        <f>SUMIF(Analytique!$B:$B,'Recap dep rec'!A9,Analytique!$R:$R)</f>
        <v>294</v>
      </c>
      <c r="O9" s="132">
        <f ca="1">SUMIF(Analytique!$B$3:$B$157,'Recap dep rec'!A9,Analytique!$S$3:$S$156)</f>
        <v>346.5</v>
      </c>
      <c r="P9" s="132">
        <f>SUMIF(Analytique!$B$3:$B$157,'Recap dep rec'!A9,Analytique!$T$3:$T$157)</f>
        <v>147</v>
      </c>
      <c r="Q9" s="132">
        <f>SUMIF(Analytique!$B$3:$B$157,'Recap dep rec'!A9,Analytique!$U$3:$U$157)</f>
        <v>462.00000000000006</v>
      </c>
      <c r="R9" s="132">
        <f>SUMIF(Analytique!$B$3:$B$157,'Recap dep rec'!A9,Analytique!$V$3:$V$157)</f>
        <v>21</v>
      </c>
      <c r="S9" s="132">
        <f>SUMIF(Analytique!$B$3:$B$157,'Recap dep rec'!A9,Analytique!$W$3:$W$157)</f>
        <v>52.5</v>
      </c>
      <c r="T9" s="132">
        <f>SUMIF(Analytique!$B$3:$B$157,'Recap dep rec'!$A9,Analytique!X$3:X$157)</f>
        <v>231.00000000000003</v>
      </c>
      <c r="U9" s="132">
        <f>SUMIF(Analytique!$B:$B,A9,Analytique!$Y:$Y)</f>
        <v>52.5</v>
      </c>
      <c r="V9" s="142">
        <f>SUMIF(Analytique!$B$3:$B$157,'Recap dep rec'!$A9,Analytique!Z$3:Z$157)</f>
        <v>126</v>
      </c>
      <c r="W9" s="142">
        <f>SUMIF(Analytique!$B$3:$B$157,'Recap dep rec'!$A9,Analytique!AA$3:AA$157)</f>
        <v>1652.5</v>
      </c>
      <c r="X9" s="141">
        <f>SUMIF(Analytique!$B$3:$B$157,'Recap dep rec'!$A9,Analytique!AB$3:AB$157)</f>
        <v>0</v>
      </c>
      <c r="Y9" s="141">
        <f>SUMIF(Analytique!$B$3:$B$157,'Recap dep rec'!A9,Analytique!$AC$3:$AC$157)</f>
        <v>0</v>
      </c>
      <c r="Z9" s="141">
        <f>SUMIF(Analytique!$B$3:$B$157,'Recap dep rec'!A9,Analytique!$AD$3:$AD$157)</f>
        <v>0</v>
      </c>
      <c r="AA9" s="141">
        <f>SUMIF(Analytique!$B$3:$B$157,'Recap dep rec'!A9,Analytique!$AE$3:$AE$157)</f>
        <v>0</v>
      </c>
      <c r="AB9" s="130">
        <f t="shared" si="0"/>
        <v>0</v>
      </c>
    </row>
    <row r="10" spans="1:28" x14ac:dyDescent="0.25">
      <c r="A10" s="136">
        <v>616</v>
      </c>
      <c r="B10" s="140" t="s">
        <v>66</v>
      </c>
      <c r="C10" s="141">
        <f>SUMIF(Analytique!$B$3:$B$157,'Recap dep rec'!A10,Analytique!$E$3:$E$157)</f>
        <v>4120</v>
      </c>
      <c r="D10" s="141">
        <f>SUMIF(Analytique!$B$3:$B$157,'Recap dep rec'!A10,Analytique!$H$3:$H$157)</f>
        <v>636.5</v>
      </c>
      <c r="E10" s="141">
        <f>SUMIF(Analytique!$B$3:$B$157,'Recap dep rec'!$A10,Analytique!I$3:I$157)</f>
        <v>1293.0999999999997</v>
      </c>
      <c r="F10" s="141">
        <f>SUMIF(Analytique!$B$3:$B$157,'Recap dep rec'!$A10,Analytique!J$3:J$157)</f>
        <v>2056.9000000000005</v>
      </c>
      <c r="G10" s="132">
        <f>SUMIF(Analytique!$B$3:$B$157,'Recap dep rec'!A10,Analytique!$K$3:$K$157)</f>
        <v>33.5</v>
      </c>
      <c r="H10" s="132">
        <f ca="1">SUMIF(Analytique!$B$3:$B$158,'Recap dep rec'!A10,Analytique!$L$3:$L$157)</f>
        <v>67</v>
      </c>
      <c r="I10" s="132">
        <f>SUMIF(Analytique!$B$3:$B$157,'Recap dep rec'!A10,Analytique!$M$3:$M$157)</f>
        <v>93.8</v>
      </c>
      <c r="J10" s="132">
        <f>SUMIF(Analytique!$B$3:$B$157,'Recap dep rec'!A10,Analytique!$N$3:$N$157)</f>
        <v>207.7</v>
      </c>
      <c r="K10" s="132">
        <f>SUMIF(Analytique!$B$3:$B$157,'Recap dep rec'!A10,Analytique!$O$3:$O$157)</f>
        <v>241.20000000000005</v>
      </c>
      <c r="L10" s="132">
        <f ca="1">SUMIF(Analytique!$B$3:$B$158,'Recap dep rec'!A10,Analytique!$P$3:$P$157)</f>
        <v>93.800000000000011</v>
      </c>
      <c r="M10" s="132">
        <f ca="1">SUMIF(Analytique!$B$3:$B$157,'Recap dep rec'!A10,Analytique!$Q$3:$Q$156)</f>
        <v>214.4</v>
      </c>
      <c r="N10" s="132">
        <f>SUMIF(Analytique!$B:$B,'Recap dep rec'!A10,Analytique!$R:$R)</f>
        <v>187.60000000000002</v>
      </c>
      <c r="O10" s="132">
        <f ca="1">SUMIF(Analytique!$B$3:$B$157,'Recap dep rec'!A10,Analytique!$S$3:$S$156)</f>
        <v>221.10000000000002</v>
      </c>
      <c r="P10" s="132">
        <f>SUMIF(Analytique!$B$3:$B$157,'Recap dep rec'!A10,Analytique!$T$3:$T$157)</f>
        <v>93.800000000000011</v>
      </c>
      <c r="Q10" s="132">
        <f>SUMIF(Analytique!$B$3:$B$157,'Recap dep rec'!A10,Analytique!$U$3:$U$157)</f>
        <v>294.80000000000007</v>
      </c>
      <c r="R10" s="132">
        <f>SUMIF(Analytique!$B$3:$B$157,'Recap dep rec'!A10,Analytique!$V$3:$V$157)</f>
        <v>13.4</v>
      </c>
      <c r="S10" s="132">
        <f>SUMIF(Analytique!$B$3:$B$157,'Recap dep rec'!A10,Analytique!$W$3:$W$157)</f>
        <v>33.5</v>
      </c>
      <c r="T10" s="132">
        <f>SUMIF(Analytique!$B$3:$B$157,'Recap dep rec'!$A10,Analytique!X$3:X$157)</f>
        <v>147.40000000000003</v>
      </c>
      <c r="U10" s="132">
        <f>SUMIF(Analytique!$B:$B,A10,Analytique!$Y:$Y)</f>
        <v>33.5</v>
      </c>
      <c r="V10" s="142">
        <f>SUMIF(Analytique!$B$3:$B$157,'Recap dep rec'!$A10,Analytique!Z$3:Z$157)</f>
        <v>80.400000000000006</v>
      </c>
      <c r="W10" s="142">
        <f>SUMIF(Analytique!$B$3:$B$157,'Recap dep rec'!$A10,Analytique!AA$3:AA$157)</f>
        <v>133.5</v>
      </c>
      <c r="X10" s="141">
        <f>SUMIF(Analytique!$B$3:$B$157,'Recap dep rec'!$A10,Analytique!AB$3:AB$157)</f>
        <v>0</v>
      </c>
      <c r="Y10" s="141">
        <f>SUMIF(Analytique!$B$3:$B$157,'Recap dep rec'!A10,Analytique!$AC$3:$AC$157)</f>
        <v>0</v>
      </c>
      <c r="Z10" s="141">
        <f>SUMIF(Analytique!$B$3:$B$157,'Recap dep rec'!A10,Analytique!$AD$3:$AD$157)</f>
        <v>0</v>
      </c>
      <c r="AA10" s="141">
        <f>SUMIF(Analytique!$B$3:$B$157,'Recap dep rec'!A10,Analytique!$AE$3:$AE$157)</f>
        <v>0</v>
      </c>
      <c r="AB10" s="130">
        <f t="shared" si="0"/>
        <v>0</v>
      </c>
    </row>
    <row r="11" spans="1:28" x14ac:dyDescent="0.25">
      <c r="A11" s="136">
        <v>617</v>
      </c>
      <c r="B11" s="140" t="s">
        <v>67</v>
      </c>
      <c r="C11" s="141">
        <f>SUMIF(Analytique!$B$3:$B$157,'Recap dep rec'!A11,Analytique!$E$3:$E$157)</f>
        <v>1700</v>
      </c>
      <c r="D11" s="141">
        <f>SUMIF(Analytique!$B$3:$B$157,'Recap dep rec'!A11,Analytique!$H$3:$H$157)</f>
        <v>0</v>
      </c>
      <c r="E11" s="141">
        <f>SUMIF(Analytique!$B$3:$B$157,'Recap dep rec'!$A11,Analytique!I$3:I$157)</f>
        <v>300</v>
      </c>
      <c r="F11" s="141">
        <f>SUMIF(Analytique!$B$3:$B$157,'Recap dep rec'!$A11,Analytique!J$3:J$157)</f>
        <v>0</v>
      </c>
      <c r="G11" s="132">
        <f>SUMIF(Analytique!$B$3:$B$157,'Recap dep rec'!A11,Analytique!$K$3:$K$157)</f>
        <v>0</v>
      </c>
      <c r="H11" s="132">
        <f ca="1">SUMIF(Analytique!$B$3:$B$158,'Recap dep rec'!A11,Analytique!$L$3:$L$157)</f>
        <v>0</v>
      </c>
      <c r="I11" s="132">
        <f>SUMIF(Analytique!$B$3:$B$157,'Recap dep rec'!A11,Analytique!$M$3:$M$157)</f>
        <v>0</v>
      </c>
      <c r="J11" s="132">
        <f>SUMIF(Analytique!$B$3:$B$157,'Recap dep rec'!A11,Analytique!$N$3:$N$157)</f>
        <v>0</v>
      </c>
      <c r="K11" s="132">
        <f>SUMIF(Analytique!$B$3:$B$157,'Recap dep rec'!A11,Analytique!$O$3:$O$157)</f>
        <v>0</v>
      </c>
      <c r="L11" s="132">
        <f ca="1">SUMIF(Analytique!$B$3:$B$158,'Recap dep rec'!A11,Analytique!$P$3:$P$157)</f>
        <v>0</v>
      </c>
      <c r="M11" s="132">
        <f ca="1">SUMIF(Analytique!$B$3:$B$157,'Recap dep rec'!A11,Analytique!$Q$3:$Q$156)</f>
        <v>0</v>
      </c>
      <c r="N11" s="132">
        <f>SUMIF(Analytique!$B:$B,'Recap dep rec'!A11,Analytique!$R:$R)</f>
        <v>0</v>
      </c>
      <c r="O11" s="132">
        <f ca="1">SUMIF(Analytique!$B$3:$B$157,'Recap dep rec'!A11,Analytique!$S$3:$S$156)</f>
        <v>0</v>
      </c>
      <c r="P11" s="132">
        <f>SUMIF(Analytique!$B$3:$B$157,'Recap dep rec'!A11,Analytique!$T$3:$T$157)</f>
        <v>0</v>
      </c>
      <c r="Q11" s="132">
        <f>SUMIF(Analytique!$B$3:$B$157,'Recap dep rec'!A11,Analytique!$U$3:$U$157)</f>
        <v>0</v>
      </c>
      <c r="R11" s="132">
        <f>SUMIF(Analytique!$B$3:$B$157,'Recap dep rec'!A11,Analytique!$V$3:$V$157)</f>
        <v>0</v>
      </c>
      <c r="S11" s="132">
        <f>SUMIF(Analytique!$B$3:$B$157,'Recap dep rec'!A11,Analytique!$W$3:$W$157)</f>
        <v>0</v>
      </c>
      <c r="T11" s="132">
        <f>SUMIF(Analytique!$B$3:$B$157,'Recap dep rec'!$A11,Analytique!X$3:X$157)</f>
        <v>0</v>
      </c>
      <c r="U11" s="132">
        <f>SUMIF(Analytique!$B:$B,A11,Analytique!$Y:$Y)</f>
        <v>0</v>
      </c>
      <c r="V11" s="142">
        <f>SUMIF(Analytique!$B$3:$B$157,'Recap dep rec'!$A11,Analytique!Z$3:Z$157)</f>
        <v>0</v>
      </c>
      <c r="W11" s="142">
        <f>SUMIF(Analytique!$B$3:$B$157,'Recap dep rec'!$A11,Analytique!AA$3:AA$157)</f>
        <v>1400</v>
      </c>
      <c r="X11" s="141">
        <f>SUMIF(Analytique!$B$3:$B$157,'Recap dep rec'!$A11,Analytique!AB$3:AB$157)</f>
        <v>0</v>
      </c>
      <c r="Y11" s="141">
        <f>SUMIF(Analytique!$B$3:$B$157,'Recap dep rec'!A11,Analytique!$AC$3:$AC$157)</f>
        <v>0</v>
      </c>
      <c r="Z11" s="141">
        <f>SUMIF(Analytique!$B$3:$B$157,'Recap dep rec'!A11,Analytique!$AD$3:$AD$157)</f>
        <v>0</v>
      </c>
      <c r="AA11" s="141">
        <f>SUMIF(Analytique!$B$3:$B$157,'Recap dep rec'!A11,Analytique!$AE$3:$AE$157)</f>
        <v>0</v>
      </c>
      <c r="AB11" s="130">
        <f t="shared" si="0"/>
        <v>0</v>
      </c>
    </row>
    <row r="12" spans="1:28" x14ac:dyDescent="0.25">
      <c r="A12" s="136">
        <v>618</v>
      </c>
      <c r="B12" s="140" t="s">
        <v>82</v>
      </c>
      <c r="C12" s="141">
        <f>SUMIF(Analytique!$B$3:$B$157,'Recap dep rec'!A12,Analytique!$E$3:$E$157)</f>
        <v>4600</v>
      </c>
      <c r="D12" s="141">
        <f>SUMIF(Analytique!$B$3:$B$157,'Recap dep rec'!A12,Analytique!$H$3:$H$157)</f>
        <v>253.33333333333337</v>
      </c>
      <c r="E12" s="141">
        <f>SUMIF(Analytique!$B$3:$B$157,'Recap dep rec'!$A12,Analytique!I$3:I$157)</f>
        <v>514.66666666666652</v>
      </c>
      <c r="F12" s="141">
        <f>SUMIF(Analytique!$B$3:$B$157,'Recap dep rec'!$A12,Analytique!J$3:J$157)</f>
        <v>818.66666666666697</v>
      </c>
      <c r="G12" s="132">
        <f>SUMIF(Analytique!$B$3:$B$157,'Recap dep rec'!A12,Analytique!$K$3:$K$157)</f>
        <v>13.333333333333336</v>
      </c>
      <c r="H12" s="132">
        <f ca="1">SUMIF(Analytique!$B$3:$B$158,'Recap dep rec'!A12,Analytique!$L$3:$L$157)</f>
        <v>26.666666666666671</v>
      </c>
      <c r="I12" s="132">
        <f>SUMIF(Analytique!$B$3:$B$157,'Recap dep rec'!A12,Analytique!$M$3:$M$157)</f>
        <v>37.333333333333336</v>
      </c>
      <c r="J12" s="132">
        <f>SUMIF(Analytique!$B$3:$B$157,'Recap dep rec'!A12,Analytique!$N$3:$N$157)</f>
        <v>82.666666666666671</v>
      </c>
      <c r="K12" s="132">
        <f>SUMIF(Analytique!$B$3:$B$157,'Recap dep rec'!A12,Analytique!$O$3:$O$157)</f>
        <v>96.000000000000028</v>
      </c>
      <c r="L12" s="132">
        <f ca="1">SUMIF(Analytique!$B$3:$B$158,'Recap dep rec'!A12,Analytique!$P$3:$P$157)</f>
        <v>37.333333333333343</v>
      </c>
      <c r="M12" s="132">
        <f ca="1">SUMIF(Analytique!$B$3:$B$157,'Recap dep rec'!A12,Analytique!$Q$3:$Q$156)</f>
        <v>85.333333333333343</v>
      </c>
      <c r="N12" s="132">
        <f>SUMIF(Analytique!$B:$B,'Recap dep rec'!A12,Analytique!$R:$R)</f>
        <v>74.666666666666686</v>
      </c>
      <c r="O12" s="132">
        <f ca="1">SUMIF(Analytique!$B$3:$B$157,'Recap dep rec'!A12,Analytique!$S$3:$S$156)</f>
        <v>88.000000000000014</v>
      </c>
      <c r="P12" s="132">
        <f>SUMIF(Analytique!$B$3:$B$157,'Recap dep rec'!A12,Analytique!$T$3:$T$157)</f>
        <v>37.333333333333343</v>
      </c>
      <c r="Q12" s="132">
        <f>SUMIF(Analytique!$B$3:$B$157,'Recap dep rec'!A12,Analytique!$U$3:$U$157)</f>
        <v>117.33333333333336</v>
      </c>
      <c r="R12" s="132">
        <f>SUMIF(Analytique!$B$3:$B$157,'Recap dep rec'!A12,Analytique!$V$3:$V$157)</f>
        <v>5.3333333333333339</v>
      </c>
      <c r="S12" s="132">
        <f>SUMIF(Analytique!$B$3:$B$157,'Recap dep rec'!A12,Analytique!$W$3:$W$157)</f>
        <v>13.333333333333336</v>
      </c>
      <c r="T12" s="132">
        <f>SUMIF(Analytique!$B$3:$B$157,'Recap dep rec'!$A12,Analytique!X$3:X$157)</f>
        <v>58.666666666666679</v>
      </c>
      <c r="U12" s="132">
        <f>SUMIF(Analytique!$B:$B,A12,Analytique!$Y:$Y)</f>
        <v>13.333333333333336</v>
      </c>
      <c r="V12" s="142">
        <f>SUMIF(Analytique!$B$3:$B$157,'Recap dep rec'!$A12,Analytique!Z$3:Z$157)</f>
        <v>32</v>
      </c>
      <c r="W12" s="142">
        <f>SUMIF(Analytique!$B$3:$B$157,'Recap dep rec'!$A12,Analytique!AA$3:AA$157)</f>
        <v>3013.3333333333335</v>
      </c>
      <c r="X12" s="141">
        <f>SUMIF(Analytique!$B$3:$B$157,'Recap dep rec'!$A12,Analytique!AB$3:AB$157)</f>
        <v>0</v>
      </c>
      <c r="Y12" s="141">
        <f>SUMIF(Analytique!$B$3:$B$157,'Recap dep rec'!A12,Analytique!$AC$3:$AC$157)</f>
        <v>0</v>
      </c>
      <c r="Z12" s="141">
        <f>SUMIF(Analytique!$B$3:$B$157,'Recap dep rec'!A12,Analytique!$AD$3:$AD$157)</f>
        <v>0</v>
      </c>
      <c r="AA12" s="141">
        <f>SUMIF(Analytique!$B$3:$B$157,'Recap dep rec'!A12,Analytique!$AE$3:$AE$157)</f>
        <v>0</v>
      </c>
      <c r="AB12" s="130">
        <f t="shared" si="0"/>
        <v>0</v>
      </c>
    </row>
    <row r="13" spans="1:28" x14ac:dyDescent="0.25">
      <c r="A13" s="136">
        <v>621</v>
      </c>
      <c r="B13" s="140" t="s">
        <v>98</v>
      </c>
      <c r="C13" s="141">
        <f>SUMIF(Analytique!$B$3:$B$157,'Recap dep rec'!A13,Analytique!$E$3:$E$157)</f>
        <v>0</v>
      </c>
      <c r="D13" s="141">
        <f>SUMIF(Analytique!$B$3:$B$157,'Recap dep rec'!A13,Analytique!$H$3:$H$157)</f>
        <v>0</v>
      </c>
      <c r="E13" s="141">
        <f>SUMIF(Analytique!$B$3:$B$157,'Recap dep rec'!$A13,Analytique!I$3:I$157)</f>
        <v>0</v>
      </c>
      <c r="F13" s="141">
        <f>SUMIF(Analytique!$B$3:$B$157,'Recap dep rec'!$A13,Analytique!J$3:J$157)</f>
        <v>0</v>
      </c>
      <c r="G13" s="132">
        <f>SUMIF(Analytique!$B$3:$B$157,'Recap dep rec'!A13,Analytique!$K$3:$K$157)</f>
        <v>0</v>
      </c>
      <c r="H13" s="132">
        <f ca="1">SUMIF(Analytique!$B$3:$B$158,'Recap dep rec'!A13,Analytique!$L$3:$L$157)</f>
        <v>0</v>
      </c>
      <c r="I13" s="132">
        <f>SUMIF(Analytique!$B$3:$B$157,'Recap dep rec'!A13,Analytique!$M$3:$M$157)</f>
        <v>0</v>
      </c>
      <c r="J13" s="132">
        <f>SUMIF(Analytique!$B$3:$B$157,'Recap dep rec'!A13,Analytique!$N$3:$N$157)</f>
        <v>0</v>
      </c>
      <c r="K13" s="132">
        <f>SUMIF(Analytique!$B$3:$B$157,'Recap dep rec'!A13,Analytique!$O$3:$O$157)</f>
        <v>0</v>
      </c>
      <c r="L13" s="132">
        <f ca="1">SUMIF(Analytique!$B$3:$B$158,'Recap dep rec'!A13,Analytique!$P$3:$P$157)</f>
        <v>0</v>
      </c>
      <c r="M13" s="132">
        <f ca="1">SUMIF(Analytique!$B$3:$B$157,'Recap dep rec'!A13,Analytique!$Q$3:$Q$156)</f>
        <v>0</v>
      </c>
      <c r="N13" s="132">
        <f>SUMIF(Analytique!$B:$B,'Recap dep rec'!A13,Analytique!$R:$R)</f>
        <v>0</v>
      </c>
      <c r="O13" s="132">
        <f ca="1">SUMIF(Analytique!$B$3:$B$157,'Recap dep rec'!A13,Analytique!$S$3:$S$156)</f>
        <v>0</v>
      </c>
      <c r="P13" s="132">
        <f>SUMIF(Analytique!$B$3:$B$157,'Recap dep rec'!A13,Analytique!$T$3:$T$157)</f>
        <v>0</v>
      </c>
      <c r="Q13" s="132">
        <f>SUMIF(Analytique!$B$3:$B$157,'Recap dep rec'!A13,Analytique!$U$3:$U$157)</f>
        <v>0</v>
      </c>
      <c r="R13" s="132">
        <f>SUMIF(Analytique!$B$3:$B$157,'Recap dep rec'!A13,Analytique!$V$3:$V$157)</f>
        <v>0</v>
      </c>
      <c r="S13" s="132">
        <f>SUMIF(Analytique!$B$3:$B$157,'Recap dep rec'!A13,Analytique!$W$3:$W$157)</f>
        <v>0</v>
      </c>
      <c r="T13" s="132">
        <f>SUMIF(Analytique!$B$3:$B$157,'Recap dep rec'!$A13,Analytique!X$3:X$157)</f>
        <v>0</v>
      </c>
      <c r="U13" s="132">
        <f>SUMIF(Analytique!$B:$B,A13,Analytique!$Y:$Y)</f>
        <v>0</v>
      </c>
      <c r="V13" s="142">
        <f>SUMIF(Analytique!$B$3:$B$157,'Recap dep rec'!$A13,Analytique!Z$3:Z$157)</f>
        <v>0</v>
      </c>
      <c r="W13" s="142">
        <f>SUMIF(Analytique!$B$3:$B$157,'Recap dep rec'!$A13,Analytique!AA$3:AA$157)</f>
        <v>0</v>
      </c>
      <c r="X13" s="141">
        <f>SUMIF(Analytique!$B$3:$B$157,'Recap dep rec'!$A13,Analytique!AB$3:AB$157)</f>
        <v>0</v>
      </c>
      <c r="Y13" s="141">
        <f>SUMIF(Analytique!$B$3:$B$157,'Recap dep rec'!A13,Analytique!$AC$3:$AC$157)</f>
        <v>0</v>
      </c>
      <c r="Z13" s="141">
        <f>SUMIF(Analytique!$B$3:$B$157,'Recap dep rec'!A13,Analytique!$AD$3:$AD$157)</f>
        <v>0</v>
      </c>
      <c r="AA13" s="141">
        <f>SUMIF(Analytique!$B$3:$B$157,'Recap dep rec'!A13,Analytique!$AE$3:$AE$157)</f>
        <v>0</v>
      </c>
      <c r="AB13" s="130">
        <f t="shared" si="0"/>
        <v>0</v>
      </c>
    </row>
    <row r="14" spans="1:28" x14ac:dyDescent="0.25">
      <c r="A14" s="136">
        <v>622</v>
      </c>
      <c r="B14" s="140" t="s">
        <v>83</v>
      </c>
      <c r="C14" s="141">
        <f>SUMIF(Analytique!$B$3:$B$157,'Recap dep rec'!A14,Analytique!$E$3:$E$157)</f>
        <v>28500</v>
      </c>
      <c r="D14" s="141">
        <f>SUMIF(Analytique!$B$3:$B$157,'Recap dep rec'!A14,Analytique!$H$3:$H$157)</f>
        <v>3214.166666666667</v>
      </c>
      <c r="E14" s="141">
        <f>SUMIF(Analytique!$B$3:$B$157,'Recap dep rec'!$A14,Analytique!I$3:I$157)</f>
        <v>6529.833333333333</v>
      </c>
      <c r="F14" s="141">
        <f>SUMIF(Analytique!$B$3:$B$157,'Recap dep rec'!$A14,Analytique!J$3:J$157)</f>
        <v>10386.833333333336</v>
      </c>
      <c r="G14" s="132">
        <f>SUMIF(Analytique!$B$3:$B$157,'Recap dep rec'!A14,Analytique!$K$3:$K$157)</f>
        <v>169.16666666666669</v>
      </c>
      <c r="H14" s="132">
        <f ca="1">SUMIF(Analytique!$B$3:$B$158,'Recap dep rec'!A14,Analytique!$L$3:$L$157)</f>
        <v>338.33333333333337</v>
      </c>
      <c r="I14" s="132">
        <f>SUMIF(Analytique!$B$3:$B$157,'Recap dep rec'!A14,Analytique!$M$3:$M$157)</f>
        <v>473.66666666666663</v>
      </c>
      <c r="J14" s="132">
        <f>SUMIF(Analytique!$B$3:$B$157,'Recap dep rec'!A14,Analytique!$N$3:$N$157)</f>
        <v>1048.8333333333335</v>
      </c>
      <c r="K14" s="132">
        <f>SUMIF(Analytique!$B$3:$B$157,'Recap dep rec'!A14,Analytique!$O$3:$O$157)</f>
        <v>1218</v>
      </c>
      <c r="L14" s="132">
        <f ca="1">SUMIF(Analytique!$B$3:$B$158,'Recap dep rec'!A14,Analytique!$P$3:$P$157)</f>
        <v>473.66666666666669</v>
      </c>
      <c r="M14" s="132">
        <f ca="1">SUMIF(Analytique!$B$3:$B$157,'Recap dep rec'!A14,Analytique!$Q$3:$Q$156)</f>
        <v>1082.6666666666667</v>
      </c>
      <c r="N14" s="132">
        <f>SUMIF(Analytique!$B:$B,'Recap dep rec'!A14,Analytique!$R:$R)</f>
        <v>947.33333333333337</v>
      </c>
      <c r="O14" s="132">
        <f ca="1">SUMIF(Analytique!$B$3:$B$157,'Recap dep rec'!A14,Analytique!$S$3:$S$156)</f>
        <v>1116.5</v>
      </c>
      <c r="P14" s="132">
        <f>SUMIF(Analytique!$B$3:$B$157,'Recap dep rec'!A14,Analytique!$T$3:$T$157)</f>
        <v>473.66666666666669</v>
      </c>
      <c r="Q14" s="132">
        <f>SUMIF(Analytique!$B$3:$B$157,'Recap dep rec'!A14,Analytique!$U$3:$U$157)</f>
        <v>1488.6666666666667</v>
      </c>
      <c r="R14" s="132">
        <f>SUMIF(Analytique!$B$3:$B$157,'Recap dep rec'!A14,Analytique!$V$3:$V$157)</f>
        <v>67.666666666666671</v>
      </c>
      <c r="S14" s="132">
        <f>SUMIF(Analytique!$B$3:$B$157,'Recap dep rec'!A14,Analytique!$W$3:$W$157)</f>
        <v>169.16666666666669</v>
      </c>
      <c r="T14" s="132">
        <f>SUMIF(Analytique!$B$3:$B$157,'Recap dep rec'!$A14,Analytique!X$3:X$157)</f>
        <v>744.33333333333337</v>
      </c>
      <c r="U14" s="132">
        <f>SUMIF(Analytique!$B:$B,A14,Analytique!$Y:$Y)</f>
        <v>169.16666666666669</v>
      </c>
      <c r="V14" s="142">
        <f>SUMIF(Analytique!$B$3:$B$157,'Recap dep rec'!$A14,Analytique!Z$3:Z$157)</f>
        <v>406</v>
      </c>
      <c r="W14" s="142">
        <f>SUMIF(Analytique!$B$3:$B$157,'Recap dep rec'!$A14,Analytique!AA$3:AA$157)</f>
        <v>6369.166666666667</v>
      </c>
      <c r="X14" s="141">
        <f>SUMIF(Analytique!$B$3:$B$157,'Recap dep rec'!$A14,Analytique!AB$3:AB$157)</f>
        <v>2000</v>
      </c>
      <c r="Y14" s="141">
        <f>SUMIF(Analytique!$B$3:$B$157,'Recap dep rec'!A14,Analytique!$AC$3:$AC$157)</f>
        <v>2000</v>
      </c>
      <c r="Z14" s="141">
        <f>SUMIF(Analytique!$B$3:$B$157,'Recap dep rec'!A14,Analytique!$AD$3:$AD$157)</f>
        <v>0</v>
      </c>
      <c r="AA14" s="141">
        <f>SUMIF(Analytique!$B$3:$B$157,'Recap dep rec'!A14,Analytique!$AE$3:$AE$157)</f>
        <v>0</v>
      </c>
      <c r="AB14" s="130">
        <f t="shared" si="0"/>
        <v>0</v>
      </c>
    </row>
    <row r="15" spans="1:28" x14ac:dyDescent="0.25">
      <c r="A15" s="136">
        <v>623</v>
      </c>
      <c r="B15" s="140" t="s">
        <v>84</v>
      </c>
      <c r="C15" s="141">
        <f>SUMIF(Analytique!$B$3:$B$157,'Recap dep rec'!A15,Analytique!$E$3:$E$157)</f>
        <v>84800</v>
      </c>
      <c r="D15" s="141">
        <f>SUMIF(Analytique!$B$3:$B$157,'Recap dep rec'!A15,Analytique!$H$3:$H$157)</f>
        <v>1235.0000000000002</v>
      </c>
      <c r="E15" s="141">
        <f>SUMIF(Analytique!$B$3:$B$157,'Recap dep rec'!$A15,Analytique!I$3:I$157)</f>
        <v>3108.9999999999991</v>
      </c>
      <c r="F15" s="141">
        <f>SUMIF(Analytique!$B$3:$B$157,'Recap dep rec'!$A15,Analytique!J$3:J$157)</f>
        <v>4791.0000000000018</v>
      </c>
      <c r="G15" s="132">
        <f>SUMIF(Analytique!$B$3:$B$157,'Recap dep rec'!A15,Analytique!$K$3:$K$157)</f>
        <v>65.000000000000014</v>
      </c>
      <c r="H15" s="132">
        <f ca="1">SUMIF(Analytique!$B$3:$B$158,'Recap dep rec'!A15,Analytique!$L$3:$L$157)</f>
        <v>130.00000000000003</v>
      </c>
      <c r="I15" s="132">
        <f>SUMIF(Analytique!$B$3:$B$157,'Recap dep rec'!A15,Analytique!$M$3:$M$157)</f>
        <v>182</v>
      </c>
      <c r="J15" s="132">
        <f>SUMIF(Analytique!$B$3:$B$157,'Recap dep rec'!A15,Analytique!$N$3:$N$157)</f>
        <v>403</v>
      </c>
      <c r="K15" s="132">
        <f>SUMIF(Analytique!$B$3:$B$157,'Recap dep rec'!A15,Analytique!$O$3:$O$157)</f>
        <v>468.00000000000006</v>
      </c>
      <c r="L15" s="132">
        <f ca="1">SUMIF(Analytique!$B$3:$B$158,'Recap dep rec'!A15,Analytique!$P$3:$P$157)</f>
        <v>182.00000000000006</v>
      </c>
      <c r="M15" s="132">
        <f ca="1">SUMIF(Analytique!$B$3:$B$157,'Recap dep rec'!A15,Analytique!$Q$3:$Q$156)</f>
        <v>1216</v>
      </c>
      <c r="N15" s="132">
        <f>SUMIF(Analytique!$B:$B,'Recap dep rec'!A15,Analytique!$R:$R)</f>
        <v>364.00000000000011</v>
      </c>
      <c r="O15" s="132">
        <f ca="1">SUMIF(Analytique!$B$3:$B$157,'Recap dep rec'!A15,Analytique!$S$3:$S$156)</f>
        <v>429.00000000000006</v>
      </c>
      <c r="P15" s="132">
        <f>SUMIF(Analytique!$B$3:$B$157,'Recap dep rec'!A15,Analytique!$T$3:$T$157)</f>
        <v>182.00000000000006</v>
      </c>
      <c r="Q15" s="132">
        <f>SUMIF(Analytique!$B$3:$B$157,'Recap dep rec'!A15,Analytique!$U$3:$U$157)</f>
        <v>572.00000000000011</v>
      </c>
      <c r="R15" s="132">
        <f>SUMIF(Analytique!$B$3:$B$157,'Recap dep rec'!A15,Analytique!$V$3:$V$157)</f>
        <v>26.000000000000004</v>
      </c>
      <c r="S15" s="132">
        <f>SUMIF(Analytique!$B$3:$B$157,'Recap dep rec'!A15,Analytique!$W$3:$W$157)</f>
        <v>65.000000000000014</v>
      </c>
      <c r="T15" s="132">
        <f>SUMIF(Analytique!$B$3:$B$157,'Recap dep rec'!$A15,Analytique!X$3:X$157)</f>
        <v>286.00000000000006</v>
      </c>
      <c r="U15" s="132">
        <f>SUMIF(Analytique!$B:$B,A15,Analytique!$Y:$Y)</f>
        <v>65.000000000000014</v>
      </c>
      <c r="V15" s="142">
        <f>SUMIF(Analytique!$B$3:$B$157,'Recap dep rec'!$A15,Analytique!Z$3:Z$157)</f>
        <v>156</v>
      </c>
      <c r="W15" s="142">
        <f>SUMIF(Analytique!$B$3:$B$157,'Recap dep rec'!$A15,Analytique!AA$3:AA$157)</f>
        <v>75665</v>
      </c>
      <c r="X15" s="141">
        <f>SUMIF(Analytique!$B$3:$B$157,'Recap dep rec'!$A15,Analytique!AB$3:AB$157)</f>
        <v>0</v>
      </c>
      <c r="Y15" s="141">
        <f>SUMIF(Analytique!$B$3:$B$157,'Recap dep rec'!A15,Analytique!$AC$3:$AC$157)</f>
        <v>0</v>
      </c>
      <c r="Z15" s="141">
        <f>SUMIF(Analytique!$B$3:$B$157,'Recap dep rec'!A15,Analytique!$AD$3:$AD$157)</f>
        <v>0</v>
      </c>
      <c r="AA15" s="141">
        <f>SUMIF(Analytique!$B$3:$B$157,'Recap dep rec'!A15,Analytique!$AE$3:$AE$157)</f>
        <v>0</v>
      </c>
      <c r="AB15" s="130">
        <f t="shared" si="0"/>
        <v>0</v>
      </c>
    </row>
    <row r="16" spans="1:28" x14ac:dyDescent="0.25">
      <c r="A16" s="136">
        <v>625</v>
      </c>
      <c r="B16" s="140" t="s">
        <v>68</v>
      </c>
      <c r="C16" s="141">
        <f>SUMIF(Analytique!$B$3:$B$157,'Recap dep rec'!A16,Analytique!$E$3:$E$157)</f>
        <v>154090</v>
      </c>
      <c r="D16" s="141">
        <f>SUMIF(Analytique!$B$3:$B$157,'Recap dep rec'!A16,Analytique!$H$3:$H$157)</f>
        <v>4875.8333333333339</v>
      </c>
      <c r="E16" s="141">
        <f>SUMIF(Analytique!$B$3:$B$157,'Recap dep rec'!$A16,Analytique!I$3:I$157)</f>
        <v>17796.166666666664</v>
      </c>
      <c r="F16" s="141">
        <f>SUMIF(Analytique!$B$3:$B$157,'Recap dep rec'!$A16,Analytique!J$3:J$157)</f>
        <v>55177.166666666664</v>
      </c>
      <c r="G16" s="132">
        <f>SUMIF(Analytique!$B$3:$B$157,'Recap dep rec'!A16,Analytique!$K$3:$K$157)</f>
        <v>240.8333333333334</v>
      </c>
      <c r="H16" s="132">
        <f ca="1">SUMIF(Analytique!$B$3:$B$158,'Recap dep rec'!A16,Analytique!$L$3:$L$157)</f>
        <v>481.6666666666668</v>
      </c>
      <c r="I16" s="132">
        <f>SUMIF(Analytique!$B$3:$B$157,'Recap dep rec'!A16,Analytique!$M$3:$M$157)</f>
        <v>1124.3333333333333</v>
      </c>
      <c r="J16" s="132">
        <f>SUMIF(Analytique!$B$3:$B$157,'Recap dep rec'!A16,Analytique!$N$3:$N$157)</f>
        <v>2693.166666666667</v>
      </c>
      <c r="K16" s="132">
        <f>SUMIF(Analytique!$B$3:$B$157,'Recap dep rec'!A16,Analytique!$O$3:$O$157)</f>
        <v>2584</v>
      </c>
      <c r="L16" s="132">
        <f ca="1">SUMIF(Analytique!$B$3:$B$158,'Recap dep rec'!A16,Analytique!$P$3:$P$157)</f>
        <v>8614.3333333333321</v>
      </c>
      <c r="M16" s="132">
        <f ca="1">SUMIF(Analytique!$B$3:$B$157,'Recap dep rec'!A16,Analytique!$Q$3:$Q$156)</f>
        <v>12541.333333333334</v>
      </c>
      <c r="N16" s="132">
        <f>SUMIF(Analytique!$B:$B,'Recap dep rec'!A16,Analytique!$R:$R)</f>
        <v>2148.6666666666665</v>
      </c>
      <c r="O16" s="132">
        <f ca="1">SUMIF(Analytique!$B$3:$B$157,'Recap dep rec'!A16,Analytique!$S$3:$S$156)</f>
        <v>3889.5</v>
      </c>
      <c r="P16" s="132">
        <f>SUMIF(Analytique!$B$3:$B$157,'Recap dep rec'!A16,Analytique!$T$3:$T$157)</f>
        <v>1574.3333333333335</v>
      </c>
      <c r="Q16" s="132">
        <f>SUMIF(Analytique!$B$3:$B$157,'Recap dep rec'!A16,Analytique!$U$3:$U$157)</f>
        <v>5319.3333333333339</v>
      </c>
      <c r="R16" s="132">
        <f>SUMIF(Analytique!$B$3:$B$157,'Recap dep rec'!A16,Analytique!$V$3:$V$157)</f>
        <v>96.333333333333343</v>
      </c>
      <c r="S16" s="132">
        <f>SUMIF(Analytique!$B$3:$B$157,'Recap dep rec'!A16,Analytique!$W$3:$W$157)</f>
        <v>1040.8333333333333</v>
      </c>
      <c r="T16" s="132">
        <f>SUMIF(Analytique!$B$3:$B$157,'Recap dep rec'!$A16,Analytique!X$3:X$157)</f>
        <v>11809.666666666666</v>
      </c>
      <c r="U16" s="132">
        <f>SUMIF(Analytique!$B:$B,A16,Analytique!$Y:$Y)</f>
        <v>440.83333333333337</v>
      </c>
      <c r="V16" s="142">
        <f>SUMIF(Analytique!$B$3:$B$157,'Recap dep rec'!$A16,Analytique!Z$3:Z$157)</f>
        <v>578</v>
      </c>
      <c r="W16" s="142">
        <f>SUMIF(Analytique!$B$3:$B$157,'Recap dep rec'!$A16,Analytique!AA$3:AA$157)</f>
        <v>76240.833333333328</v>
      </c>
      <c r="X16" s="141">
        <f>SUMIF(Analytique!$B$3:$B$157,'Recap dep rec'!$A16,Analytique!AB$3:AB$157)</f>
        <v>0</v>
      </c>
      <c r="Y16" s="141">
        <f>SUMIF(Analytique!$B$3:$B$157,'Recap dep rec'!A16,Analytique!$AC$3:$AC$157)</f>
        <v>0</v>
      </c>
      <c r="Z16" s="141">
        <f>SUMIF(Analytique!$B$3:$B$157,'Recap dep rec'!A16,Analytique!$AD$3:$AD$157)</f>
        <v>0</v>
      </c>
      <c r="AA16" s="141">
        <f>SUMIF(Analytique!$B$3:$B$157,'Recap dep rec'!A16,Analytique!$AE$3:$AE$157)</f>
        <v>0</v>
      </c>
      <c r="AB16" s="130">
        <f t="shared" si="0"/>
        <v>0</v>
      </c>
    </row>
    <row r="17" spans="1:28" x14ac:dyDescent="0.25">
      <c r="A17" s="136">
        <v>626</v>
      </c>
      <c r="B17" s="140" t="s">
        <v>69</v>
      </c>
      <c r="C17" s="141">
        <f>SUMIF(Analytique!$B$3:$B$157,'Recap dep rec'!A17,Analytique!$E$3:$E$157)</f>
        <v>8400</v>
      </c>
      <c r="D17" s="141">
        <f>SUMIF(Analytique!$B$3:$B$157,'Recap dep rec'!A17,Analytique!$H$3:$H$157)</f>
        <v>934.16666666666674</v>
      </c>
      <c r="E17" s="141">
        <f>SUMIF(Analytique!$B$3:$B$157,'Recap dep rec'!$A17,Analytique!I$3:I$157)</f>
        <v>1897.833333333333</v>
      </c>
      <c r="F17" s="141">
        <f>SUMIF(Analytique!$B$3:$B$157,'Recap dep rec'!$A17,Analytique!J$3:J$157)</f>
        <v>3018.8333333333339</v>
      </c>
      <c r="G17" s="132">
        <f>SUMIF(Analytique!$B$3:$B$157,'Recap dep rec'!A17,Analytique!$K$3:$K$157)</f>
        <v>49.166666666666671</v>
      </c>
      <c r="H17" s="132">
        <f ca="1">SUMIF(Analytique!$B$3:$B$158,'Recap dep rec'!A17,Analytique!$L$3:$L$157)</f>
        <v>98.333333333333343</v>
      </c>
      <c r="I17" s="132">
        <f>SUMIF(Analytique!$B$3:$B$157,'Recap dep rec'!A17,Analytique!$M$3:$M$157)</f>
        <v>137.66666666666666</v>
      </c>
      <c r="J17" s="132">
        <f>SUMIF(Analytique!$B$3:$B$157,'Recap dep rec'!A17,Analytique!$N$3:$N$157)</f>
        <v>304.83333333333331</v>
      </c>
      <c r="K17" s="132">
        <f>SUMIF(Analytique!$B$3:$B$157,'Recap dep rec'!A17,Analytique!$O$3:$O$157)</f>
        <v>354</v>
      </c>
      <c r="L17" s="132">
        <f ca="1">SUMIF(Analytique!$B$3:$B$158,'Recap dep rec'!A17,Analytique!$P$3:$P$157)</f>
        <v>137.66666666666669</v>
      </c>
      <c r="M17" s="132">
        <f ca="1">SUMIF(Analytique!$B$3:$B$157,'Recap dep rec'!A17,Analytique!$Q$3:$Q$156)</f>
        <v>314.66666666666669</v>
      </c>
      <c r="N17" s="132">
        <f>SUMIF(Analytique!$B:$B,'Recap dep rec'!A17,Analytique!$R:$R)</f>
        <v>275.33333333333337</v>
      </c>
      <c r="O17" s="132">
        <f ca="1">SUMIF(Analytique!$B$3:$B$157,'Recap dep rec'!A17,Analytique!$S$3:$S$156)</f>
        <v>324.5</v>
      </c>
      <c r="P17" s="132">
        <f>SUMIF(Analytique!$B$3:$B$157,'Recap dep rec'!A17,Analytique!$T$3:$T$157)</f>
        <v>137.66666666666669</v>
      </c>
      <c r="Q17" s="132">
        <f>SUMIF(Analytique!$B$3:$B$157,'Recap dep rec'!A17,Analytique!$U$3:$U$157)</f>
        <v>432.66666666666669</v>
      </c>
      <c r="R17" s="132">
        <f>SUMIF(Analytique!$B$3:$B$157,'Recap dep rec'!A17,Analytique!$V$3:$V$157)</f>
        <v>19.666666666666668</v>
      </c>
      <c r="S17" s="132">
        <f>SUMIF(Analytique!$B$3:$B$157,'Recap dep rec'!A17,Analytique!$W$3:$W$157)</f>
        <v>49.166666666666671</v>
      </c>
      <c r="T17" s="132">
        <f>SUMIF(Analytique!$B$3:$B$157,'Recap dep rec'!$A17,Analytique!X$3:X$157)</f>
        <v>216.33333333333334</v>
      </c>
      <c r="U17" s="132">
        <f>SUMIF(Analytique!$B:$B,A17,Analytique!$Y:$Y)</f>
        <v>49.166666666666671</v>
      </c>
      <c r="V17" s="142">
        <f>SUMIF(Analytique!$B$3:$B$157,'Recap dep rec'!$A17,Analytique!Z$3:Z$157)</f>
        <v>118</v>
      </c>
      <c r="W17" s="142">
        <f>SUMIF(Analytique!$B$3:$B$157,'Recap dep rec'!$A17,Analytique!AA$3:AA$157)</f>
        <v>2549.1666666666665</v>
      </c>
      <c r="X17" s="141">
        <f>SUMIF(Analytique!$B$3:$B$157,'Recap dep rec'!$A17,Analytique!AB$3:AB$157)</f>
        <v>0</v>
      </c>
      <c r="Y17" s="141">
        <f>SUMIF(Analytique!$B$3:$B$157,'Recap dep rec'!A17,Analytique!$AC$3:$AC$157)</f>
        <v>0</v>
      </c>
      <c r="Z17" s="141">
        <f>SUMIF(Analytique!$B$3:$B$157,'Recap dep rec'!A17,Analytique!$AD$3:$AD$157)</f>
        <v>0</v>
      </c>
      <c r="AA17" s="141">
        <f>SUMIF(Analytique!$B$3:$B$157,'Recap dep rec'!A17,Analytique!$AE$3:$AE$157)</f>
        <v>0</v>
      </c>
      <c r="AB17" s="130">
        <f t="shared" si="0"/>
        <v>0</v>
      </c>
    </row>
    <row r="18" spans="1:28" x14ac:dyDescent="0.25">
      <c r="A18" s="136">
        <v>627</v>
      </c>
      <c r="B18" s="140" t="s">
        <v>323</v>
      </c>
      <c r="C18" s="141">
        <f>SUMIF(Analytique!B3:B157,'Recap dep rec'!A18,Analytique!E3:E157)</f>
        <v>2700</v>
      </c>
      <c r="D18" s="141"/>
      <c r="E18" s="141"/>
      <c r="F18" s="141"/>
      <c r="G18" s="132"/>
      <c r="H18" s="132">
        <f ca="1">SUMIF(Analytique!$B$3:$B$158,'Recap dep rec'!A18,Analytique!$L$3:$L$157)</f>
        <v>0</v>
      </c>
      <c r="I18" s="132"/>
      <c r="J18" s="132"/>
      <c r="K18" s="132"/>
      <c r="L18" s="132"/>
      <c r="M18" s="132"/>
      <c r="N18" s="132">
        <f>SUMIF(Analytique!$B:$B,'Recap dep rec'!A18,Analytique!$R:$R)</f>
        <v>0</v>
      </c>
      <c r="O18" s="132"/>
      <c r="P18" s="132"/>
      <c r="Q18" s="132"/>
      <c r="R18" s="132"/>
      <c r="S18" s="132"/>
      <c r="T18" s="132"/>
      <c r="U18" s="132">
        <f>SUMIF(Analytique!$B:$B,A18,Analytique!$Y:$Y)</f>
        <v>0</v>
      </c>
      <c r="V18" s="142"/>
      <c r="W18" s="142"/>
      <c r="X18" s="141">
        <f>C18</f>
        <v>2700</v>
      </c>
      <c r="Y18" s="141">
        <f>X18</f>
        <v>2700</v>
      </c>
      <c r="Z18" s="141"/>
      <c r="AA18" s="141"/>
      <c r="AB18" s="130">
        <f t="shared" si="0"/>
        <v>0</v>
      </c>
    </row>
    <row r="19" spans="1:28" x14ac:dyDescent="0.25">
      <c r="A19" s="136">
        <v>628</v>
      </c>
      <c r="B19" s="140" t="s">
        <v>70</v>
      </c>
      <c r="C19" s="141">
        <f>SUMIF(Analytique!$B$3:$B$157,'Recap dep rec'!A19,Analytique!$E$3:$E$157)</f>
        <v>14715</v>
      </c>
      <c r="D19" s="141">
        <f>SUMIF(Analytique!$B$3:$B$157,'Recap dep rec'!A19,Analytique!$H$3:$H$157)</f>
        <v>3286.25</v>
      </c>
      <c r="E19" s="141">
        <f>SUMIF(Analytique!$B$3:$B$157,'Recap dep rec'!$A19,Analytique!I$3:I$157)</f>
        <v>4089.75</v>
      </c>
      <c r="F19" s="141">
        <f>SUMIF(Analytique!$B$3:$B$157,'Recap dep rec'!$A19,Analytique!J$3:J$157)</f>
        <v>1765.2500000000005</v>
      </c>
      <c r="G19" s="132">
        <f>SUMIF(Analytique!$B$3:$B$157,'Recap dep rec'!A19,Analytique!$K$3:$K$157)</f>
        <v>28.750000000000004</v>
      </c>
      <c r="H19" s="132">
        <f ca="1">SUMIF(Analytique!$B$3:$B$158,'Recap dep rec'!A19,Analytique!$L$3:$L$157)</f>
        <v>57.500000000000007</v>
      </c>
      <c r="I19" s="132">
        <f>SUMIF(Analytique!$B$3:$B$157,'Recap dep rec'!A19,Analytique!$M$3:$M$157)</f>
        <v>80.5</v>
      </c>
      <c r="J19" s="132">
        <f>SUMIF(Analytique!$B$3:$B$157,'Recap dep rec'!A19,Analytique!$N$3:$N$157)</f>
        <v>178.25</v>
      </c>
      <c r="K19" s="132">
        <f>SUMIF(Analytique!$B$3:$B$157,'Recap dep rec'!A19,Analytique!$O$3:$O$157)</f>
        <v>207.00000000000003</v>
      </c>
      <c r="L19" s="132">
        <f ca="1">SUMIF(Analytique!$B$3:$B$158,'Recap dep rec'!A19,Analytique!$P$3:$P$157)</f>
        <v>80.500000000000014</v>
      </c>
      <c r="M19" s="132">
        <f ca="1">SUMIF(Analytique!$B$3:$B$157,'Recap dep rec'!A19,Analytique!$Q$3:$Q$156)</f>
        <v>184</v>
      </c>
      <c r="N19" s="132">
        <f>SUMIF(Analytique!$B:$B,'Recap dep rec'!A19,Analytique!$R:$R)</f>
        <v>161.00000000000003</v>
      </c>
      <c r="O19" s="132">
        <f ca="1">SUMIF(Analytique!$B$3:$B$157,'Recap dep rec'!A19,Analytique!$S$3:$S$156)</f>
        <v>189.75</v>
      </c>
      <c r="P19" s="132">
        <f>SUMIF(Analytique!$B$3:$B$157,'Recap dep rec'!A19,Analytique!$T$3:$T$157)</f>
        <v>80.500000000000014</v>
      </c>
      <c r="Q19" s="132">
        <f>SUMIF(Analytique!$B$3:$B$157,'Recap dep rec'!A19,Analytique!$U$3:$U$157)</f>
        <v>253.00000000000003</v>
      </c>
      <c r="R19" s="132">
        <f>SUMIF(Analytique!$B$3:$B$157,'Recap dep rec'!A19,Analytique!$V$3:$V$157)</f>
        <v>11.5</v>
      </c>
      <c r="S19" s="132">
        <f>SUMIF(Analytique!$B$3:$B$157,'Recap dep rec'!A19,Analytique!$W$3:$W$157)</f>
        <v>28.750000000000004</v>
      </c>
      <c r="T19" s="132">
        <f>SUMIF(Analytique!$B$3:$B$157,'Recap dep rec'!$A19,Analytique!X$3:X$157)</f>
        <v>126.50000000000001</v>
      </c>
      <c r="U19" s="132">
        <f>SUMIF(Analytique!$B:$B,A19,Analytique!$Y:$Y)</f>
        <v>28.750000000000004</v>
      </c>
      <c r="V19" s="142">
        <f>SUMIF(Analytique!$B$3:$B$157,'Recap dep rec'!$A19,Analytique!Z$3:Z$157)</f>
        <v>69</v>
      </c>
      <c r="W19" s="142">
        <f>SUMIF(Analytique!$B$3:$B$157,'Recap dep rec'!$A19,Analytique!AA$3:AA$157)</f>
        <v>5573.75</v>
      </c>
      <c r="X19" s="141">
        <f>SUMIF(Analytique!$B$3:$B$157,'Recap dep rec'!$A19,Analytique!AB$3:AB$157)</f>
        <v>0</v>
      </c>
      <c r="Y19" s="141">
        <f>SUMIF(Analytique!$B$3:$B$157,'Recap dep rec'!A19,Analytique!$AC$3:$AC$157)</f>
        <v>0</v>
      </c>
      <c r="Z19" s="141">
        <f>SUMIF(Analytique!$B$3:$B$157,'Recap dep rec'!A19,Analytique!$AD$3:$AD$157)</f>
        <v>0</v>
      </c>
      <c r="AA19" s="141">
        <f>SUMIF(Analytique!$B$3:$B$157,'Recap dep rec'!A19,Analytique!$AE$3:$AE$157)</f>
        <v>0</v>
      </c>
      <c r="AB19" s="130">
        <f t="shared" si="0"/>
        <v>0</v>
      </c>
    </row>
    <row r="20" spans="1:28" x14ac:dyDescent="0.25">
      <c r="A20" s="136">
        <v>631</v>
      </c>
      <c r="B20" s="140" t="s">
        <v>99</v>
      </c>
      <c r="C20" s="141">
        <f>SUMIF(Analytique!$B$3:$B$157,'Recap dep rec'!A20,Analytique!$E$3:$E$157)</f>
        <v>7950</v>
      </c>
      <c r="D20" s="141">
        <f>SUMIF(Analytique!$B$3:$B$157,'Recap dep rec'!A20,Analytique!$H$3:$H$157)</f>
        <v>783.75</v>
      </c>
      <c r="E20" s="141">
        <f>SUMIF(Analytique!$B$3:$B$157,'Recap dep rec'!$A20,Analytique!I$3:I$157)</f>
        <v>1592.2499999999998</v>
      </c>
      <c r="F20" s="141">
        <f>SUMIF(Analytique!$B$3:$B$157,'Recap dep rec'!$A20,Analytique!J$3:J$157)</f>
        <v>2532.7500000000009</v>
      </c>
      <c r="G20" s="132">
        <f>SUMIF(Analytique!$B$3:$B$157,'Recap dep rec'!A20,Analytique!$K$3:$K$157)</f>
        <v>41.25</v>
      </c>
      <c r="H20" s="132">
        <f ca="1">SUMIF(Analytique!$B$3:$B$158,'Recap dep rec'!A20,Analytique!$L$3:$L$157)</f>
        <v>82.5</v>
      </c>
      <c r="I20" s="132">
        <f>SUMIF(Analytique!$B$3:$B$157,'Recap dep rec'!A20,Analytique!$M$3:$M$157)</f>
        <v>115.5</v>
      </c>
      <c r="J20" s="132">
        <f>SUMIF(Analytique!$B$3:$B$157,'Recap dep rec'!A20,Analytique!$N$3:$N$157)</f>
        <v>255.75</v>
      </c>
      <c r="K20" s="132">
        <f>SUMIF(Analytique!$B$3:$B$157,'Recap dep rec'!A20,Analytique!$O$3:$O$157)</f>
        <v>297.00000000000006</v>
      </c>
      <c r="L20" s="132">
        <f ca="1">SUMIF(Analytique!$B$3:$B$158,'Recap dep rec'!A20,Analytique!$P$3:$P$157)</f>
        <v>115.5</v>
      </c>
      <c r="M20" s="132">
        <f ca="1">SUMIF(Analytique!$B$3:$B$157,'Recap dep rec'!A20,Analytique!$Q$3:$Q$156)</f>
        <v>264</v>
      </c>
      <c r="N20" s="132">
        <f>SUMIF(Analytique!$B:$B,'Recap dep rec'!A20,Analytique!$R:$R)</f>
        <v>231</v>
      </c>
      <c r="O20" s="132">
        <f ca="1">SUMIF(Analytique!$B$3:$B$157,'Recap dep rec'!A20,Analytique!$S$3:$S$156)</f>
        <v>272.25</v>
      </c>
      <c r="P20" s="132">
        <f>SUMIF(Analytique!$B$3:$B$157,'Recap dep rec'!A20,Analytique!$T$3:$T$157)</f>
        <v>115.5</v>
      </c>
      <c r="Q20" s="132">
        <f>SUMIF(Analytique!$B$3:$B$157,'Recap dep rec'!A20,Analytique!$U$3:$U$157)</f>
        <v>363.00000000000006</v>
      </c>
      <c r="R20" s="132">
        <f>SUMIF(Analytique!$B$3:$B$157,'Recap dep rec'!A20,Analytique!$V$3:$V$157)</f>
        <v>16.5</v>
      </c>
      <c r="S20" s="132">
        <f>SUMIF(Analytique!$B$3:$B$157,'Recap dep rec'!A20,Analytique!$W$3:$W$157)</f>
        <v>41.25</v>
      </c>
      <c r="T20" s="132">
        <f>SUMIF(Analytique!$B$3:$B$157,'Recap dep rec'!$A20,Analytique!X$3:X$157)</f>
        <v>181.50000000000003</v>
      </c>
      <c r="U20" s="132">
        <f>SUMIF(Analytique!$B:$B,A20,Analytique!$Y:$Y)</f>
        <v>41.25</v>
      </c>
      <c r="V20" s="142">
        <f>SUMIF(Analytique!$B$3:$B$157,'Recap dep rec'!$A20,Analytique!Z$3:Z$157)</f>
        <v>99</v>
      </c>
      <c r="W20" s="142">
        <f>SUMIF(Analytique!$B$3:$B$157,'Recap dep rec'!$A20,Analytique!AA$3:AA$157)</f>
        <v>3041.25</v>
      </c>
      <c r="X20" s="141">
        <f>SUMIF(Analytique!$B$3:$B$157,'Recap dep rec'!$A20,Analytique!AB$3:AB$157)</f>
        <v>0</v>
      </c>
      <c r="Y20" s="141">
        <f>SUMIF(Analytique!$B$3:$B$157,'Recap dep rec'!A20,Analytique!$AC$3:$AC$157)</f>
        <v>0</v>
      </c>
      <c r="Z20" s="141">
        <f>SUMIF(Analytique!$B$3:$B$157,'Recap dep rec'!A20,Analytique!$AD$3:$AD$157)</f>
        <v>0</v>
      </c>
      <c r="AA20" s="141">
        <f>SUMIF(Analytique!$B$3:$B$157,'Recap dep rec'!A20,Analytique!$AE$3:$AE$157)</f>
        <v>0</v>
      </c>
      <c r="AB20" s="130">
        <f t="shared" si="0"/>
        <v>0</v>
      </c>
    </row>
    <row r="21" spans="1:28" x14ac:dyDescent="0.25">
      <c r="A21" s="136">
        <v>635</v>
      </c>
      <c r="B21" s="140" t="s">
        <v>85</v>
      </c>
      <c r="C21" s="141">
        <f>SUMIF(Analytique!$B$3:$B$157,'Recap dep rec'!A21,Analytique!$E$3:$E$157)</f>
        <v>1067</v>
      </c>
      <c r="D21" s="141">
        <f>SUMIF(Analytique!$B$3:$B$157,'Recap dep rec'!A21,Analytique!$H$3:$H$157)</f>
        <v>168.94166666666669</v>
      </c>
      <c r="E21" s="141">
        <f>SUMIF(Analytique!$B$3:$B$157,'Recap dep rec'!$A21,Analytique!I$3:I$157)</f>
        <v>343.21833333333325</v>
      </c>
      <c r="F21" s="141">
        <f>SUMIF(Analytique!$B$3:$B$157,'Recap dep rec'!$A21,Analytique!J$3:J$157)</f>
        <v>545.94833333333349</v>
      </c>
      <c r="G21" s="132">
        <f>SUMIF(Analytique!$B$3:$B$157,'Recap dep rec'!A21,Analytique!$K$3:$K$157)</f>
        <v>8.8916666666666675</v>
      </c>
      <c r="H21" s="132">
        <f ca="1">SUMIF(Analytique!$B$3:$B$158,'Recap dep rec'!A21,Analytique!$L$3:$L$157)</f>
        <v>17.783333333333335</v>
      </c>
      <c r="I21" s="132">
        <f>SUMIF(Analytique!$B$3:$B$157,'Recap dep rec'!A21,Analytique!$M$3:$M$157)</f>
        <v>24.896666666666668</v>
      </c>
      <c r="J21" s="132">
        <f>SUMIF(Analytique!$B$3:$B$157,'Recap dep rec'!A21,Analytique!$N$3:$N$157)</f>
        <v>55.128333333333337</v>
      </c>
      <c r="K21" s="132">
        <f>SUMIF(Analytique!$B$3:$B$157,'Recap dep rec'!A21,Analytique!$O$3:$O$157)</f>
        <v>64.02000000000001</v>
      </c>
      <c r="L21" s="132">
        <f ca="1">SUMIF(Analytique!$B$3:$B$158,'Recap dep rec'!A21,Analytique!$P$3:$P$157)</f>
        <v>24.896666666666672</v>
      </c>
      <c r="M21" s="132">
        <f ca="1">SUMIF(Analytique!$B$3:$B$157,'Recap dep rec'!A21,Analytique!$Q$3:$Q$156)</f>
        <v>56.906666666666673</v>
      </c>
      <c r="N21" s="132">
        <f>SUMIF(Analytique!$B:$B,'Recap dep rec'!A21,Analytique!$R:$R)</f>
        <v>49.793333333333344</v>
      </c>
      <c r="O21" s="132">
        <f ca="1">SUMIF(Analytique!$B$3:$B$157,'Recap dep rec'!A21,Analytique!$S$3:$S$156)</f>
        <v>58.685000000000009</v>
      </c>
      <c r="P21" s="132">
        <f>SUMIF(Analytique!$B$3:$B$157,'Recap dep rec'!A21,Analytique!$T$3:$T$157)</f>
        <v>24.896666666666672</v>
      </c>
      <c r="Q21" s="132">
        <f>SUMIF(Analytique!$B$3:$B$157,'Recap dep rec'!A21,Analytique!$U$3:$U$157)</f>
        <v>78.246666666666684</v>
      </c>
      <c r="R21" s="132">
        <f>SUMIF(Analytique!$B$3:$B$157,'Recap dep rec'!A21,Analytique!$V$3:$V$157)</f>
        <v>3.5566666666666671</v>
      </c>
      <c r="S21" s="132">
        <f>SUMIF(Analytique!$B$3:$B$157,'Recap dep rec'!A21,Analytique!$W$3:$W$157)</f>
        <v>8.8916666666666675</v>
      </c>
      <c r="T21" s="132">
        <f>SUMIF(Analytique!$B$3:$B$157,'Recap dep rec'!$A21,Analytique!X$3:X$157)</f>
        <v>39.123333333333342</v>
      </c>
      <c r="U21" s="132">
        <f>SUMIF(Analytique!$B:$B,A21,Analytique!$Y:$Y)</f>
        <v>8.8916666666666675</v>
      </c>
      <c r="V21" s="142">
        <f>SUMIF(Analytique!$B$3:$B$157,'Recap dep rec'!$A21,Analytique!Z$3:Z$157)</f>
        <v>21.34</v>
      </c>
      <c r="W21" s="142">
        <f>SUMIF(Analytique!$B$3:$B$157,'Recap dep rec'!$A21,Analytique!AA$3:AA$157)</f>
        <v>8.8916666666666675</v>
      </c>
      <c r="X21" s="141">
        <f>SUMIF(Analytique!$B$3:$B$157,'Recap dep rec'!$A21,Analytique!AB$3:AB$157)</f>
        <v>0</v>
      </c>
      <c r="Y21" s="141">
        <f>SUMIF(Analytique!$B$3:$B$157,'Recap dep rec'!A21,Analytique!$AC$3:$AC$157)</f>
        <v>0</v>
      </c>
      <c r="Z21" s="141">
        <f>SUMIF(Analytique!$B$3:$B$157,'Recap dep rec'!A21,Analytique!$AD$3:$AD$157)</f>
        <v>0</v>
      </c>
      <c r="AA21" s="141">
        <f>SUMIF(Analytique!$B$3:$B$157,'Recap dep rec'!A21,Analytique!$AE$3:$AE$157)</f>
        <v>0</v>
      </c>
      <c r="AB21" s="130">
        <f t="shared" si="0"/>
        <v>-1.2967404927621828E-13</v>
      </c>
    </row>
    <row r="22" spans="1:28" x14ac:dyDescent="0.25">
      <c r="A22" s="136">
        <v>641</v>
      </c>
      <c r="B22" s="140" t="s">
        <v>71</v>
      </c>
      <c r="C22" s="141">
        <f>SUMIF(Analytique!$B$3:$B$157,'Recap dep rec'!A22,Analytique!$E$3:$E$157)</f>
        <v>408505.04</v>
      </c>
      <c r="D22" s="141">
        <f>SUMIF(Analytique!$B$3:$B$157,'Recap dep rec'!A22,Analytique!$H$3:$H$157)</f>
        <v>61924.020666666664</v>
      </c>
      <c r="E22" s="141">
        <f>SUMIF(Analytique!$B$3:$B$157,'Recap dep rec'!$A22,Analytique!I$3:I$157)</f>
        <v>73654.802933333325</v>
      </c>
      <c r="F22" s="141">
        <f>SUMIF(Analytique!$B$3:$B$157,'Recap dep rec'!$A22,Analytique!J$3:J$157)</f>
        <v>131183.83933333337</v>
      </c>
      <c r="G22" s="132">
        <f>SUMIF(Analytique!$B$3:$B$157,'Recap dep rec'!A22,Analytique!$K$3:$K$157)</f>
        <v>2659.3770666666665</v>
      </c>
      <c r="H22" s="132">
        <f ca="1">SUMIF(Analytique!$B$3:$B$158,'Recap dep rec'!A22,Analytique!$L$3:$L$157)</f>
        <v>4230.825733333334</v>
      </c>
      <c r="I22" s="132">
        <f>SUMIF(Analytique!$B$3:$B$157,'Recap dep rec'!A22,Analytique!$M$3:$M$157)</f>
        <v>6073.1850666666678</v>
      </c>
      <c r="J22" s="132">
        <f>SUMIF(Analytique!$B$3:$B$157,'Recap dep rec'!A22,Analytique!$N$3:$N$157)</f>
        <v>13600.061333333333</v>
      </c>
      <c r="K22" s="132">
        <f>SUMIF(Analytique!$B$3:$B$157,'Recap dep rec'!A22,Analytique!$O$3:$O$157)</f>
        <v>14361.332399999999</v>
      </c>
      <c r="L22" s="132">
        <f ca="1">SUMIF(Analytique!$B$3:$B$158,'Recap dep rec'!A22,Analytique!$P$3:$P$157)</f>
        <v>5356.1694666666672</v>
      </c>
      <c r="M22" s="132">
        <f ca="1">SUMIF(Analytique!$B$3:$B$157,'Recap dep rec'!A22,Analytique!$Q$3:$Q$156)</f>
        <v>11114.614266666667</v>
      </c>
      <c r="N22" s="132">
        <f>SUMIF(Analytique!$B:$B,'Recap dep rec'!A22,Analytique!$R:$R)</f>
        <v>10962.904933333335</v>
      </c>
      <c r="O22" s="132">
        <f ca="1">SUMIF(Analytique!$B$3:$B$157,'Recap dep rec'!A22,Analytique!$S$3:$S$156)</f>
        <v>12607.593200000001</v>
      </c>
      <c r="P22" s="132">
        <f>SUMIF(Analytique!$B$3:$B$157,'Recap dep rec'!A22,Analytique!$T$3:$T$157)</f>
        <v>7040.7666666666682</v>
      </c>
      <c r="Q22" s="132">
        <f>SUMIF(Analytique!$B$3:$B$157,'Recap dep rec'!A22,Analytique!$U$3:$U$157)</f>
        <v>19847.049466666667</v>
      </c>
      <c r="R22" s="132">
        <f>SUMIF(Analytique!$B$3:$B$157,'Recap dep rec'!A22,Analytique!$V$3:$V$157)</f>
        <v>1396.3022666666668</v>
      </c>
      <c r="S22" s="132">
        <f>SUMIF(Analytique!$B$3:$B$157,'Recap dep rec'!A22,Analytique!$W$3:$W$157)</f>
        <v>2820.3210666666664</v>
      </c>
      <c r="T22" s="132">
        <f>SUMIF(Analytique!$B$3:$B$157,'Recap dep rec'!$A22,Analytique!X$3:X$157)</f>
        <v>10300.436933333334</v>
      </c>
      <c r="U22" s="132">
        <f>SUMIF(Analytique!$B:$B,A22,Analytique!$Y:$Y)</f>
        <v>2659.3770666666665</v>
      </c>
      <c r="V22" s="142">
        <f>SUMIF(Analytique!$B$3:$B$157,'Recap dep rec'!$A22,Analytique!Z$3:Z$157)</f>
        <v>6153.5224000000007</v>
      </c>
      <c r="W22" s="142">
        <f>SUMIF(Analytique!$B$3:$B$157,'Recap dep rec'!$A22,Analytique!AA$3:AA$157)</f>
        <v>141742.37706666667</v>
      </c>
      <c r="X22" s="141">
        <f>SUMIF(Analytique!$B$3:$B$157,'Recap dep rec'!$A22,Analytique!AB$3:AB$157)</f>
        <v>0</v>
      </c>
      <c r="Y22" s="141">
        <f>SUMIF(Analytique!$B$3:$B$157,'Recap dep rec'!A22,Analytique!$AC$3:$AC$157)</f>
        <v>0</v>
      </c>
      <c r="Z22" s="141">
        <f>SUMIF(Analytique!$B$3:$B$157,'Recap dep rec'!A22,Analytique!$AD$3:$AD$157)</f>
        <v>0</v>
      </c>
      <c r="AA22" s="141">
        <f>SUMIF(Analytique!$B$3:$B$157,'Recap dep rec'!A22,Analytique!$AE$3:$AE$157)</f>
        <v>0</v>
      </c>
      <c r="AB22" s="130">
        <f t="shared" si="0"/>
        <v>0</v>
      </c>
    </row>
    <row r="23" spans="1:28" x14ac:dyDescent="0.25">
      <c r="A23" s="136">
        <v>645</v>
      </c>
      <c r="B23" s="140" t="s">
        <v>72</v>
      </c>
      <c r="C23" s="141">
        <f>SUMIF(Analytique!$B$3:$B$157,'Recap dep rec'!A23,Analytique!$E$3:$E$157)</f>
        <v>1000</v>
      </c>
      <c r="D23" s="141">
        <f>SUMIF(Analytique!$B$3:$B$157,'Recap dep rec'!A23,Analytique!$H$3:$H$157)</f>
        <v>110.83333333333334</v>
      </c>
      <c r="E23" s="141">
        <f>SUMIF(Analytique!$B$3:$B$157,'Recap dep rec'!$A23,Analytique!I$3:I$157)</f>
        <v>225.16666666666663</v>
      </c>
      <c r="F23" s="141">
        <f>SUMIF(Analytique!$B$3:$B$157,'Recap dep rec'!$A23,Analytique!J$3:J$157)</f>
        <v>358.1666666666668</v>
      </c>
      <c r="G23" s="132">
        <f>SUMIF(Analytique!$B$3:$B$157,'Recap dep rec'!A23,Analytique!$K$3:$K$157)</f>
        <v>5.8333333333333339</v>
      </c>
      <c r="H23" s="132">
        <f ca="1">SUMIF(Analytique!$B$3:$B$158,'Recap dep rec'!A23,Analytique!$L$3:$L$157)</f>
        <v>11.666666666666668</v>
      </c>
      <c r="I23" s="132">
        <f>SUMIF(Analytique!$B$3:$B$157,'Recap dep rec'!A23,Analytique!$M$3:$M$157)</f>
        <v>16.333333333333336</v>
      </c>
      <c r="J23" s="132">
        <f>SUMIF(Analytique!$B$3:$B$157,'Recap dep rec'!A23,Analytique!$N$3:$N$157)</f>
        <v>36.166666666666671</v>
      </c>
      <c r="K23" s="132">
        <f>SUMIF(Analytique!$B$3:$B$157,'Recap dep rec'!A23,Analytique!$O$3:$O$157)</f>
        <v>42.000000000000007</v>
      </c>
      <c r="L23" s="132">
        <f ca="1">SUMIF(Analytique!$B$3:$B$158,'Recap dep rec'!A23,Analytique!$P$3:$P$157)</f>
        <v>16.333333333333336</v>
      </c>
      <c r="M23" s="132">
        <f ca="1">SUMIF(Analytique!$B$3:$B$157,'Recap dep rec'!A23,Analytique!$Q$3:$Q$156)</f>
        <v>37.333333333333336</v>
      </c>
      <c r="N23" s="132">
        <f>SUMIF(Analytique!$B:$B,'Recap dep rec'!A23,Analytique!$R:$R)</f>
        <v>32.666666666666671</v>
      </c>
      <c r="O23" s="132">
        <f ca="1">SUMIF(Analytique!$B$3:$B$157,'Recap dep rec'!A23,Analytique!$S$3:$S$156)</f>
        <v>38.500000000000007</v>
      </c>
      <c r="P23" s="132">
        <f>SUMIF(Analytique!$B$3:$B$157,'Recap dep rec'!A23,Analytique!$T$3:$T$157)</f>
        <v>16.333333333333336</v>
      </c>
      <c r="Q23" s="132">
        <f>SUMIF(Analytique!$B$3:$B$157,'Recap dep rec'!A23,Analytique!$U$3:$U$157)</f>
        <v>51.333333333333343</v>
      </c>
      <c r="R23" s="132">
        <f>SUMIF(Analytique!$B$3:$B$157,'Recap dep rec'!A23,Analytique!$V$3:$V$157)</f>
        <v>2.3333333333333335</v>
      </c>
      <c r="S23" s="132">
        <f>SUMIF(Analytique!$B$3:$B$157,'Recap dep rec'!A23,Analytique!$W$3:$W$157)</f>
        <v>5.8333333333333339</v>
      </c>
      <c r="T23" s="132">
        <f>SUMIF(Analytique!$B$3:$B$157,'Recap dep rec'!$A23,Analytique!X$3:X$157)</f>
        <v>25.666666666666671</v>
      </c>
      <c r="U23" s="132">
        <f>SUMIF(Analytique!$B:$B,A23,Analytique!$Y:$Y)</f>
        <v>5.8333333333333339</v>
      </c>
      <c r="V23" s="142">
        <f>SUMIF(Analytique!$B$3:$B$157,'Recap dep rec'!$A23,Analytique!Z$3:Z$157)</f>
        <v>14.000000000000002</v>
      </c>
      <c r="W23" s="142">
        <f>SUMIF(Analytique!$B$3:$B$157,'Recap dep rec'!$A23,Analytique!AA$3:AA$157)</f>
        <v>305.83333333333331</v>
      </c>
      <c r="X23" s="141">
        <f>SUMIF(Analytique!$B$3:$B$157,'Recap dep rec'!$A23,Analytique!AB$3:AB$157)</f>
        <v>0</v>
      </c>
      <c r="Y23" s="141">
        <f>SUMIF(Analytique!$B$3:$B$157,'Recap dep rec'!A23,Analytique!$AC$3:$AC$157)</f>
        <v>0</v>
      </c>
      <c r="Z23" s="141">
        <f>SUMIF(Analytique!$B$3:$B$157,'Recap dep rec'!A23,Analytique!$AD$3:$AD$157)</f>
        <v>0</v>
      </c>
      <c r="AA23" s="141">
        <f>SUMIF(Analytique!$B$3:$B$157,'Recap dep rec'!A23,Analytique!$AE$3:$AE$157)</f>
        <v>0</v>
      </c>
      <c r="AB23" s="130">
        <f t="shared" si="0"/>
        <v>0</v>
      </c>
    </row>
    <row r="24" spans="1:28" x14ac:dyDescent="0.25">
      <c r="A24" s="136">
        <v>65</v>
      </c>
      <c r="B24" s="140" t="s">
        <v>73</v>
      </c>
      <c r="C24" s="141">
        <f>SUMIF(Analytique!$B$3:$B$157,'Recap dep rec'!A24,Analytique!$E$3:$E$157)</f>
        <v>0</v>
      </c>
      <c r="D24" s="141">
        <f>SUMIF(Analytique!$B$3:$B$157,'Recap dep rec'!A24,Analytique!$H$3:$H$157)</f>
        <v>0</v>
      </c>
      <c r="E24" s="141">
        <f>SUMIF(Analytique!$B$3:$B$157,'Recap dep rec'!$A24,Analytique!I$3:I$157)</f>
        <v>0</v>
      </c>
      <c r="F24" s="141">
        <f>SUMIF(Analytique!$B$3:$B$157,'Recap dep rec'!$A24,Analytique!J$3:J$157)</f>
        <v>0</v>
      </c>
      <c r="G24" s="132">
        <f>SUMIF(Analytique!$B$3:$B$157,'Recap dep rec'!A24,Analytique!$K$3:$K$157)</f>
        <v>0</v>
      </c>
      <c r="H24" s="132">
        <f ca="1">SUMIF(Analytique!$B$3:$B$158,'Recap dep rec'!A24,Analytique!$L$3:$L$157)</f>
        <v>0</v>
      </c>
      <c r="I24" s="132">
        <f>SUMIF(Analytique!$B$3:$B$157,'Recap dep rec'!A24,Analytique!$M$3:$M$157)</f>
        <v>0</v>
      </c>
      <c r="J24" s="132">
        <f>SUMIF(Analytique!$B$3:$B$157,'Recap dep rec'!A24,Analytique!$N$3:$N$157)</f>
        <v>0</v>
      </c>
      <c r="K24" s="132">
        <f>SUMIF(Analytique!$B$3:$B$157,'Recap dep rec'!A24,Analytique!$O$3:$O$157)</f>
        <v>0</v>
      </c>
      <c r="L24" s="132">
        <f ca="1">SUMIF(Analytique!$B$3:$B$158,'Recap dep rec'!A24,Analytique!$P$3:$P$157)</f>
        <v>0</v>
      </c>
      <c r="M24" s="132">
        <f ca="1">SUMIF(Analytique!$B$3:$B$157,'Recap dep rec'!A24,Analytique!$Q$3:$Q$156)</f>
        <v>0</v>
      </c>
      <c r="N24" s="132">
        <f>SUMIF(Analytique!$B:$B,'Recap dep rec'!A24,Analytique!$R:$R)</f>
        <v>0</v>
      </c>
      <c r="O24" s="132">
        <f ca="1">SUMIF(Analytique!$B$3:$B$157,'Recap dep rec'!A24,Analytique!$S$3:$S$156)</f>
        <v>0</v>
      </c>
      <c r="P24" s="132">
        <f>SUMIF(Analytique!$B$3:$B$157,'Recap dep rec'!A24,Analytique!$T$3:$T$157)</f>
        <v>0</v>
      </c>
      <c r="Q24" s="132">
        <f>SUMIF(Analytique!$B$3:$B$157,'Recap dep rec'!A24,Analytique!$U$3:$U$157)</f>
        <v>0</v>
      </c>
      <c r="R24" s="132">
        <f>SUMIF(Analytique!$B$3:$B$157,'Recap dep rec'!A24,Analytique!$V$3:$V$157)</f>
        <v>0</v>
      </c>
      <c r="S24" s="132">
        <f>SUMIF(Analytique!$B$3:$B$157,'Recap dep rec'!A24,Analytique!$W$3:$W$157)</f>
        <v>0</v>
      </c>
      <c r="T24" s="132">
        <f>SUMIF(Analytique!$B$3:$B$157,'Recap dep rec'!$A24,Analytique!X$3:X$157)</f>
        <v>0</v>
      </c>
      <c r="U24" s="132">
        <f>SUMIF(Analytique!$B:$B,A24,Analytique!$Y:$Y)</f>
        <v>0</v>
      </c>
      <c r="V24" s="142">
        <f>SUMIF(Analytique!$B$3:$B$157,'Recap dep rec'!$A24,Analytique!Z$3:Z$157)</f>
        <v>0</v>
      </c>
      <c r="W24" s="142">
        <f>SUMIF(Analytique!$B$3:$B$157,'Recap dep rec'!$A24,Analytique!AA$3:AA$157)</f>
        <v>0</v>
      </c>
      <c r="X24" s="141">
        <f>SUMIF(Analytique!$B$3:$B$157,'Recap dep rec'!$A24,Analytique!AB$3:AB$157)</f>
        <v>0</v>
      </c>
      <c r="Y24" s="141">
        <f>SUMIF(Analytique!$B$3:$B$157,'Recap dep rec'!A24,Analytique!$AC$3:$AC$157)</f>
        <v>0</v>
      </c>
      <c r="Z24" s="141">
        <f>SUMIF(Analytique!$B$3:$B$157,'Recap dep rec'!A24,Analytique!$AD$3:$AD$157)</f>
        <v>0</v>
      </c>
      <c r="AA24" s="141">
        <f>SUMIF(Analytique!$B$3:$B$157,'Recap dep rec'!A24,Analytique!$AE$3:$AE$157)</f>
        <v>0</v>
      </c>
      <c r="AB24" s="130">
        <f t="shared" si="0"/>
        <v>0</v>
      </c>
    </row>
    <row r="25" spans="1:28" x14ac:dyDescent="0.25">
      <c r="A25" s="136">
        <v>661</v>
      </c>
      <c r="B25" s="140" t="s">
        <v>74</v>
      </c>
      <c r="C25" s="141">
        <f>SUMIF(Analytique!$B$3:$B$157,'Recap dep rec'!A25,Analytique!$E$3:$E$157)</f>
        <v>500</v>
      </c>
      <c r="D25" s="141">
        <f>SUMIF(Analytique!$B$3:$B$157,'Recap dep rec'!A25,Analytique!$H$3:$H$157)</f>
        <v>0</v>
      </c>
      <c r="E25" s="141">
        <f>SUMIF(Analytique!$B$3:$B$157,'Recap dep rec'!$A25,Analytique!I$3:I$157)</f>
        <v>0</v>
      </c>
      <c r="F25" s="141">
        <f>SUMIF(Analytique!$B$3:$B$157,'Recap dep rec'!$A25,Analytique!J$3:J$157)</f>
        <v>0</v>
      </c>
      <c r="G25" s="132">
        <f>SUMIF(Analytique!$B$3:$B$157,'Recap dep rec'!A25,Analytique!$K$3:$K$157)</f>
        <v>0</v>
      </c>
      <c r="H25" s="132">
        <f ca="1">SUMIF(Analytique!$B$3:$B$158,'Recap dep rec'!A25,Analytique!$L$3:$L$157)</f>
        <v>0</v>
      </c>
      <c r="I25" s="132">
        <f>SUMIF(Analytique!$B$3:$B$157,'Recap dep rec'!A25,Analytique!$M$3:$M$157)</f>
        <v>0</v>
      </c>
      <c r="J25" s="132">
        <f>SUMIF(Analytique!$B$3:$B$157,'Recap dep rec'!A25,Analytique!$N$3:$N$157)</f>
        <v>0</v>
      </c>
      <c r="K25" s="132">
        <f>SUMIF(Analytique!$B$3:$B$157,'Recap dep rec'!A25,Analytique!$O$3:$O$157)</f>
        <v>0</v>
      </c>
      <c r="L25" s="132">
        <f ca="1">SUMIF(Analytique!$B$3:$B$158,'Recap dep rec'!A25,Analytique!$P$3:$P$157)</f>
        <v>0</v>
      </c>
      <c r="M25" s="132">
        <f ca="1">SUMIF(Analytique!$B$3:$B$157,'Recap dep rec'!A25,Analytique!$Q$3:$Q$156)</f>
        <v>0</v>
      </c>
      <c r="N25" s="132">
        <f>SUMIF(Analytique!$B:$B,'Recap dep rec'!A25,Analytique!$R:$R)</f>
        <v>0</v>
      </c>
      <c r="O25" s="132">
        <f ca="1">SUMIF(Analytique!$B$3:$B$157,'Recap dep rec'!A25,Analytique!$S$3:$S$156)</f>
        <v>0</v>
      </c>
      <c r="P25" s="132">
        <f>SUMIF(Analytique!$B$3:$B$157,'Recap dep rec'!A25,Analytique!$T$3:$T$157)</f>
        <v>0</v>
      </c>
      <c r="Q25" s="132">
        <f>SUMIF(Analytique!$B$3:$B$157,'Recap dep rec'!A25,Analytique!$U$3:$U$157)</f>
        <v>0</v>
      </c>
      <c r="R25" s="132">
        <f>SUMIF(Analytique!$B$3:$B$157,'Recap dep rec'!A25,Analytique!$V$3:$V$157)</f>
        <v>0</v>
      </c>
      <c r="S25" s="132">
        <f>SUMIF(Analytique!$B$3:$B$157,'Recap dep rec'!A25,Analytique!$W$3:$W$157)</f>
        <v>0</v>
      </c>
      <c r="T25" s="132">
        <f>SUMIF(Analytique!$B$3:$B$157,'Recap dep rec'!$A25,Analytique!X$3:X$157)</f>
        <v>0</v>
      </c>
      <c r="U25" s="132">
        <f>SUMIF(Analytique!$B:$B,A25,Analytique!$Y:$Y)</f>
        <v>0</v>
      </c>
      <c r="V25" s="142">
        <f>SUMIF(Analytique!$B$3:$B$157,'Recap dep rec'!$A25,Analytique!Z$3:Z$157)</f>
        <v>0</v>
      </c>
      <c r="W25" s="142">
        <f>SUMIF(Analytique!$B$3:$B$157,'Recap dep rec'!$A25,Analytique!AA$3:AA$157)</f>
        <v>0</v>
      </c>
      <c r="X25" s="141">
        <f>SUMIF(Analytique!$B$3:$B$157,'Recap dep rec'!$A25,Analytique!AB$3:AB$157)</f>
        <v>500</v>
      </c>
      <c r="Y25" s="141">
        <f>SUMIF(Analytique!$B$3:$B$157,'Recap dep rec'!A25,Analytique!$AC$3:$AC$157)</f>
        <v>500</v>
      </c>
      <c r="Z25" s="141">
        <f>SUMIF(Analytique!$B$3:$B$157,'Recap dep rec'!A25,Analytique!$AD$3:$AD$157)</f>
        <v>0</v>
      </c>
      <c r="AA25" s="141">
        <f>SUMIF(Analytique!$B$3:$B$157,'Recap dep rec'!A25,Analytique!$AE$3:$AE$157)</f>
        <v>0</v>
      </c>
      <c r="AB25" s="130">
        <f t="shared" si="0"/>
        <v>0</v>
      </c>
    </row>
    <row r="26" spans="1:28" ht="15.75" thickBot="1" x14ac:dyDescent="0.3">
      <c r="A26" s="136">
        <v>681</v>
      </c>
      <c r="B26" s="252" t="s">
        <v>75</v>
      </c>
      <c r="C26" s="144">
        <f>SUMIF(Analytique!$B$3:$B$157,'Recap dep rec'!A26,Analytique!$E$3:$E$157)</f>
        <v>0</v>
      </c>
      <c r="D26" s="144">
        <f>SUMIF(Analytique!$B$3:$B$157,'Recap dep rec'!A26,Analytique!$H$3:$H$157)</f>
        <v>0</v>
      </c>
      <c r="E26" s="144">
        <f>SUMIF(Analytique!$B$3:$B$157,'Recap dep rec'!$A26,Analytique!I$3:I$157)</f>
        <v>0</v>
      </c>
      <c r="F26" s="144">
        <f>SUMIF(Analytique!$B$3:$B$157,'Recap dep rec'!$A26,Analytique!J$3:J$157)</f>
        <v>0</v>
      </c>
      <c r="G26" s="145">
        <f>SUMIF(Analytique!$B$3:$B$157,'Recap dep rec'!A26,Analytique!$K$3:$K$157)</f>
        <v>0</v>
      </c>
      <c r="H26" s="145">
        <f ca="1">SUMIF(Analytique!$B$3:$B$158,'Recap dep rec'!A26,Analytique!$L$3:$L$157)</f>
        <v>0</v>
      </c>
      <c r="I26" s="145">
        <f>SUMIF(Analytique!$B$3:$B$157,'Recap dep rec'!A26,Analytique!$M$3:$M$157)</f>
        <v>0</v>
      </c>
      <c r="J26" s="145">
        <f>SUMIF(Analytique!$B$3:$B$157,'Recap dep rec'!A26,Analytique!$N$3:$N$157)</f>
        <v>0</v>
      </c>
      <c r="K26" s="145">
        <f>SUMIF(Analytique!$B$3:$B$157,'Recap dep rec'!A26,Analytique!$O$3:$O$157)</f>
        <v>0</v>
      </c>
      <c r="L26" s="145">
        <f ca="1">SUMIF(Analytique!$B$3:$B$158,'Recap dep rec'!A26,Analytique!$P$3:$P$157)</f>
        <v>0</v>
      </c>
      <c r="M26" s="145">
        <f ca="1">SUMIF(Analytique!$B$3:$B$157,'Recap dep rec'!A26,Analytique!$Q$3:$Q$156)</f>
        <v>0</v>
      </c>
      <c r="N26" s="145">
        <f>SUMIF(Analytique!$B:$B,'Recap dep rec'!A26,Analytique!$R:$R)</f>
        <v>0</v>
      </c>
      <c r="O26" s="145">
        <f ca="1">SUMIF(Analytique!$B$3:$B$157,'Recap dep rec'!A26,Analytique!$S$3:$S$156)</f>
        <v>0</v>
      </c>
      <c r="P26" s="145">
        <f>SUMIF(Analytique!$B$3:$B$157,'Recap dep rec'!A26,Analytique!$T$3:$T$157)</f>
        <v>0</v>
      </c>
      <c r="Q26" s="145">
        <f>SUMIF(Analytique!$B$3:$B$157,'Recap dep rec'!A26,Analytique!$U$3:$U$157)</f>
        <v>0</v>
      </c>
      <c r="R26" s="145">
        <f>SUMIF(Analytique!$B$3:$B$157,'Recap dep rec'!A26,Analytique!$V$3:$V$157)</f>
        <v>0</v>
      </c>
      <c r="S26" s="145">
        <f>SUMIF(Analytique!$B$3:$B$157,'Recap dep rec'!A26,Analytique!$W$3:$W$157)</f>
        <v>0</v>
      </c>
      <c r="T26" s="145">
        <f>SUMIF(Analytique!$B$3:$B$157,'Recap dep rec'!$A26,Analytique!X$3:X$157)</f>
        <v>0</v>
      </c>
      <c r="U26" s="145">
        <f>SUMIF(Analytique!$B:$B,A26,Analytique!$Y:$Y)</f>
        <v>0</v>
      </c>
      <c r="V26" s="146">
        <f>SUMIF(Analytique!$B$3:$B$157,'Recap dep rec'!$A26,Analytique!Z$3:Z$157)</f>
        <v>0</v>
      </c>
      <c r="W26" s="146">
        <f>SUMIF(Analytique!$B$3:$B$157,'Recap dep rec'!$A26,Analytique!AA$3:AA$157)</f>
        <v>0</v>
      </c>
      <c r="X26" s="144">
        <f>SUMIF(Analytique!$B$3:$B$157,'Recap dep rec'!$A26,Analytique!AB$3:AB$157)</f>
        <v>0</v>
      </c>
      <c r="Y26" s="144">
        <f>SUMIF(Analytique!$B$3:$B$157,'Recap dep rec'!A26,Analytique!$AC$3:$AC$157)</f>
        <v>0</v>
      </c>
      <c r="Z26" s="144">
        <f>SUMIF(Analytique!$B$3:$B$157,'Recap dep rec'!A26,Analytique!$AD$3:$AD$157)</f>
        <v>0</v>
      </c>
      <c r="AA26" s="144">
        <f>SUMIF(Analytique!$B$3:$B$157,'Recap dep rec'!A26,Analytique!$AE$3:$AE$157)</f>
        <v>0</v>
      </c>
      <c r="AB26" s="130">
        <f t="shared" si="0"/>
        <v>0</v>
      </c>
    </row>
    <row r="27" spans="1:28" ht="15.75" thickBot="1" x14ac:dyDescent="0.3">
      <c r="A27" s="136">
        <v>86</v>
      </c>
      <c r="B27" s="253" t="s">
        <v>29</v>
      </c>
      <c r="C27" s="254">
        <f>SUMIF(Analytique!$B$3:$B$157,'Recap dep rec'!A27,Analytique!$E$3:$E$157)</f>
        <v>60821.720000000008</v>
      </c>
      <c r="D27" s="254">
        <f>SUMIF(Analytique!$B$3:$B$157,'Recap dep rec'!A27,Analytique!$H$3:$H$157)</f>
        <v>1394.7999999999995</v>
      </c>
      <c r="E27" s="254">
        <f>SUMIF(Analytique!$B$3:$B$157,'Recap dep rec'!$A27,Analytique!I$3:I$157)</f>
        <v>39426.920000000013</v>
      </c>
      <c r="F27" s="254">
        <f>SUMIF(Analytique!$B$3:$B$157,'Recap dep rec'!$A27,Analytique!J$3:J$157)</f>
        <v>0</v>
      </c>
      <c r="G27" s="255">
        <f>SUMIF(Analytique!$B$3:$B$157,'Recap dep rec'!A27,Analytique!$K$3:$K$157)</f>
        <v>0</v>
      </c>
      <c r="H27" s="145">
        <f ca="1">SUMIF(Analytique!$B$3:$B$158,'Recap dep rec'!A27,Analytique!$L$3:$L$157)</f>
        <v>0</v>
      </c>
      <c r="I27" s="255">
        <f>SUMIF(Analytique!$B$3:$B$157,'Recap dep rec'!A27,Analytique!$M$3:$M$157)</f>
        <v>0</v>
      </c>
      <c r="J27" s="255">
        <f>SUMIF(Analytique!$B$3:$B$157,'Recap dep rec'!A27,Analytique!$N$3:$N$157)</f>
        <v>0</v>
      </c>
      <c r="K27" s="255">
        <f>SUMIF(Analytique!$B$3:$B$157,'Recap dep rec'!A27,Analytique!$O$3:$O$157)</f>
        <v>0</v>
      </c>
      <c r="L27" s="255">
        <f ca="1">SUMIF(Analytique!$B$3:$B$158,'Recap dep rec'!A27,Analytique!$P$3:$P$157)</f>
        <v>0</v>
      </c>
      <c r="M27" s="255">
        <f ca="1">SUMIF(Analytique!$B$3:$B$157,'Recap dep rec'!A27,Analytique!$Q$3:$Q$156)</f>
        <v>0</v>
      </c>
      <c r="N27" s="255">
        <f>SUMIF(Analytique!$B:$B,'Recap dep rec'!A27,Analytique!$R:$R)</f>
        <v>0</v>
      </c>
      <c r="O27" s="255">
        <f ca="1">SUMIF(Analytique!$B$3:$B$157,'Recap dep rec'!A27,Analytique!$S$3:$S$156)</f>
        <v>0</v>
      </c>
      <c r="P27" s="255">
        <f>SUMIF(Analytique!$B$3:$B$157,'Recap dep rec'!A27,Analytique!$T$3:$T$157)</f>
        <v>0</v>
      </c>
      <c r="Q27" s="255">
        <f>SUMIF(Analytique!$B$3:$B$157,'Recap dep rec'!A27,Analytique!$U$3:$U$157)</f>
        <v>0</v>
      </c>
      <c r="R27" s="255">
        <f>SUMIF(Analytique!$B$3:$B$157,'Recap dep rec'!A27,Analytique!$V$3:$V$157)</f>
        <v>0</v>
      </c>
      <c r="S27" s="255">
        <f>SUMIF(Analytique!$B$3:$B$157,'Recap dep rec'!A27,Analytique!$W$3:$W$157)</f>
        <v>0</v>
      </c>
      <c r="T27" s="255">
        <f>SUMIF(Analytique!$B$3:$B$157,'Recap dep rec'!$A27,Analytique!X$3:X$157)</f>
        <v>0</v>
      </c>
      <c r="U27" s="255">
        <f>SUMIF(Analytique!$B:$B,A27,Analytique!$Y:$Y)</f>
        <v>0</v>
      </c>
      <c r="V27" s="256">
        <f>SUMIF(Analytique!$B$3:$B$157,'Recap dep rec'!$A27,Analytique!Z$3:Z$157)</f>
        <v>0</v>
      </c>
      <c r="W27" s="256">
        <f>Analytique!AA156</f>
        <v>20000</v>
      </c>
      <c r="X27" s="254">
        <f>SUMIF(Analytique!$B$3:$B$157,'Recap dep rec'!$A27,Analytique!AB$3:AB$157)</f>
        <v>0</v>
      </c>
      <c r="Y27" s="254">
        <f>SUMIF(Analytique!$B$3:$B$157,'Recap dep rec'!A27,Analytique!$AC$3:$AC$157)</f>
        <v>0</v>
      </c>
      <c r="Z27" s="254">
        <f>SUMIF(Analytique!$B$3:$B$157,'Recap dep rec'!A27,Analytique!$AD$3:$AD$157)</f>
        <v>0</v>
      </c>
      <c r="AA27" s="254">
        <f>SUMIF(Analytique!$B$3:$B$157,'Recap dep rec'!A27,Analytique!$AE$3:$AE$157)</f>
        <v>0</v>
      </c>
      <c r="AB27" s="130">
        <f t="shared" si="0"/>
        <v>0</v>
      </c>
    </row>
    <row r="28" spans="1:28" s="149" customFormat="1" ht="15.75" thickBot="1" x14ac:dyDescent="0.3">
      <c r="A28" s="136"/>
      <c r="B28" s="147"/>
      <c r="C28" s="148"/>
      <c r="D28" s="148"/>
      <c r="E28" s="148"/>
      <c r="F28" s="148"/>
      <c r="G28" s="133"/>
      <c r="H28" s="133"/>
      <c r="I28" s="133"/>
      <c r="J28" s="133"/>
      <c r="K28" s="133"/>
      <c r="L28" s="133"/>
      <c r="M28" s="133"/>
      <c r="N28" s="133"/>
      <c r="O28" s="133"/>
      <c r="P28" s="133"/>
      <c r="Q28" s="133"/>
      <c r="R28" s="133"/>
      <c r="S28" s="133"/>
      <c r="T28" s="133"/>
      <c r="U28" s="133"/>
      <c r="V28" s="150"/>
      <c r="W28" s="150"/>
      <c r="X28" s="148"/>
      <c r="Y28" s="133"/>
      <c r="Z28" s="133"/>
      <c r="AA28" s="133"/>
    </row>
    <row r="29" spans="1:28" ht="15.75" thickBot="1" x14ac:dyDescent="0.3">
      <c r="A29" s="136"/>
      <c r="B29" s="151" t="s">
        <v>86</v>
      </c>
      <c r="C29" s="152">
        <f>SUM(C3:C27)</f>
        <v>1497432.96</v>
      </c>
      <c r="D29" s="152">
        <f>SUM(D3:D27)</f>
        <v>102193.01233333332</v>
      </c>
      <c r="E29" s="152">
        <f>SUM(E3:E27)</f>
        <v>219993.29126666667</v>
      </c>
      <c r="F29" s="152">
        <f t="shared" ref="F29:X29" si="1">SUM(F3:F27)</f>
        <v>736440.63766666676</v>
      </c>
      <c r="G29" s="153">
        <f t="shared" si="1"/>
        <v>38728.018733333345</v>
      </c>
      <c r="H29" s="153">
        <f t="shared" ca="1" si="1"/>
        <v>23308.109066666671</v>
      </c>
      <c r="I29" s="153">
        <f t="shared" si="1"/>
        <v>24854.381733333335</v>
      </c>
      <c r="J29" s="153">
        <f t="shared" si="1"/>
        <v>156733.83966666667</v>
      </c>
      <c r="K29" s="153">
        <f t="shared" si="1"/>
        <v>89719.5524</v>
      </c>
      <c r="L29" s="153">
        <f t="shared" ca="1" si="1"/>
        <v>33964.366133333337</v>
      </c>
      <c r="M29" s="153">
        <f t="shared" ca="1" si="1"/>
        <v>29921.920933333335</v>
      </c>
      <c r="N29" s="153">
        <f t="shared" si="1"/>
        <v>32519.298266666668</v>
      </c>
      <c r="O29" s="153">
        <f t="shared" ca="1" si="1"/>
        <v>39652.628199999999</v>
      </c>
      <c r="P29" s="153">
        <f t="shared" si="1"/>
        <v>26648.963333333337</v>
      </c>
      <c r="Q29" s="153">
        <f t="shared" si="1"/>
        <v>73484.09613333334</v>
      </c>
      <c r="R29" s="153">
        <f t="shared" si="1"/>
        <v>7771.7589333333317</v>
      </c>
      <c r="S29" s="153">
        <f t="shared" si="1"/>
        <v>93408.962733333319</v>
      </c>
      <c r="T29" s="153">
        <f t="shared" si="1"/>
        <v>30120.460266666669</v>
      </c>
      <c r="U29" s="153">
        <f t="shared" si="1"/>
        <v>18298.018733333334</v>
      </c>
      <c r="V29" s="154">
        <f t="shared" si="1"/>
        <v>17306.2624</v>
      </c>
      <c r="W29" s="154">
        <f>SUM(W3:W27)</f>
        <v>433606.01873333333</v>
      </c>
      <c r="X29" s="152">
        <f t="shared" si="1"/>
        <v>5200</v>
      </c>
      <c r="Y29" s="152">
        <f>SUM(Y3:Y27)</f>
        <v>5200</v>
      </c>
      <c r="Z29" s="152">
        <f>SUM(Z3:Z27)</f>
        <v>0</v>
      </c>
      <c r="AA29" s="152">
        <f>SUM(AA3:AA27)</f>
        <v>0</v>
      </c>
      <c r="AB29" s="130">
        <f>C29-D29-E29-F29-X29-W29</f>
        <v>0</v>
      </c>
    </row>
    <row r="30" spans="1:28" s="139" customFormat="1" ht="12.75" x14ac:dyDescent="0.2">
      <c r="A30" s="138"/>
      <c r="B30" s="139" t="s">
        <v>96</v>
      </c>
      <c r="C30" s="155">
        <f>C29-Analytique!E158</f>
        <v>0</v>
      </c>
      <c r="D30" s="155">
        <f>D29-Analytique!H158</f>
        <v>0</v>
      </c>
      <c r="E30" s="155">
        <f>E29-Analytique!I158</f>
        <v>0</v>
      </c>
      <c r="F30" s="155">
        <f>F29-Analytique!J158</f>
        <v>0</v>
      </c>
      <c r="G30" s="156">
        <f>G29-Analytique!K158</f>
        <v>0</v>
      </c>
      <c r="H30" s="156"/>
      <c r="I30" s="156">
        <f>I29-Analytique!M158</f>
        <v>0</v>
      </c>
      <c r="J30" s="156">
        <f>J29-Analytique!N158</f>
        <v>0</v>
      </c>
      <c r="K30" s="156">
        <f>K29-Analytique!O158</f>
        <v>0</v>
      </c>
      <c r="L30" s="156">
        <f ca="1">L29-Analytique!P158</f>
        <v>0</v>
      </c>
      <c r="M30" s="156">
        <f ca="1">M29-Analytique!Q158</f>
        <v>0</v>
      </c>
      <c r="N30" s="156"/>
      <c r="O30" s="156">
        <f ca="1">O29-Analytique!S158</f>
        <v>0</v>
      </c>
      <c r="P30" s="156">
        <f>P29-Analytique!T158</f>
        <v>0</v>
      </c>
      <c r="Q30" s="156">
        <f>Q29-Analytique!U158</f>
        <v>0</v>
      </c>
      <c r="R30" s="156">
        <f>R29-Analytique!V158</f>
        <v>0</v>
      </c>
      <c r="S30" s="156">
        <f>S29-Analytique!W158</f>
        <v>0</v>
      </c>
      <c r="T30" s="156">
        <f>T29-Analytique!X158</f>
        <v>0</v>
      </c>
      <c r="U30" s="156"/>
      <c r="V30" s="157">
        <f>V29-Analytique!Z158</f>
        <v>0</v>
      </c>
      <c r="W30" s="157"/>
      <c r="X30" s="155">
        <f>X29-Analytique!AB158</f>
        <v>0</v>
      </c>
      <c r="Y30" s="156"/>
      <c r="Z30" s="156"/>
      <c r="AA30" s="156"/>
      <c r="AB30" s="139">
        <f>C30-D30-E30-F30-X30</f>
        <v>0</v>
      </c>
    </row>
    <row r="31" spans="1:28" s="139" customFormat="1" ht="13.5" thickBot="1" x14ac:dyDescent="0.25">
      <c r="A31" s="138"/>
      <c r="C31" s="156"/>
      <c r="D31" s="156"/>
      <c r="E31" s="156"/>
      <c r="F31" s="156"/>
      <c r="G31" s="156"/>
      <c r="H31" s="156"/>
      <c r="I31" s="156"/>
      <c r="J31" s="156"/>
      <c r="K31" s="156"/>
      <c r="L31" s="156"/>
      <c r="M31" s="156"/>
      <c r="N31" s="156"/>
      <c r="O31" s="156"/>
      <c r="P31" s="156"/>
      <c r="Q31" s="156"/>
      <c r="R31" s="156"/>
      <c r="S31" s="156"/>
      <c r="T31" s="156"/>
      <c r="U31" s="156"/>
      <c r="V31" s="156"/>
      <c r="W31" s="156"/>
      <c r="X31" s="157"/>
      <c r="Y31" s="156"/>
      <c r="Z31" s="156"/>
      <c r="AA31" s="156"/>
    </row>
    <row r="32" spans="1:28" s="129" customFormat="1" ht="15.75" thickBot="1" x14ac:dyDescent="0.3">
      <c r="A32" s="134"/>
      <c r="B32" s="306" t="s">
        <v>101</v>
      </c>
      <c r="C32" s="307"/>
      <c r="D32" s="307"/>
      <c r="E32" s="307"/>
      <c r="F32" s="307"/>
      <c r="G32" s="307"/>
      <c r="H32" s="307"/>
      <c r="I32" s="307"/>
      <c r="J32" s="307"/>
      <c r="K32" s="307"/>
      <c r="L32" s="307"/>
      <c r="M32" s="307"/>
      <c r="N32" s="307"/>
      <c r="O32" s="307"/>
      <c r="P32" s="307"/>
      <c r="Q32" s="307"/>
      <c r="R32" s="307"/>
      <c r="S32" s="307"/>
      <c r="T32" s="307"/>
      <c r="U32" s="307"/>
      <c r="V32" s="307"/>
      <c r="W32" s="307"/>
      <c r="X32" s="308"/>
      <c r="Y32" s="240"/>
      <c r="Z32" s="247"/>
      <c r="AA32" s="248"/>
    </row>
    <row r="33" spans="1:28" x14ac:dyDescent="0.25">
      <c r="B33" s="159" t="s">
        <v>87</v>
      </c>
      <c r="C33" s="160">
        <f>SUM(Dépenses!J6:J8)+Dépenses!J28+Dépenses!J29+Dépenses!J30+Dépenses!J36+Dépenses!J38</f>
        <v>213371.69</v>
      </c>
      <c r="D33" s="160">
        <f>33067+26-5500-800-6793</f>
        <v>20000</v>
      </c>
      <c r="E33" s="160">
        <f>82023+6793-3599</f>
        <v>85217</v>
      </c>
      <c r="F33" s="160">
        <f>SUM(G33:V33)</f>
        <v>9356</v>
      </c>
      <c r="G33" s="161"/>
      <c r="H33" s="161">
        <v>1000</v>
      </c>
      <c r="I33" s="161"/>
      <c r="J33" s="161"/>
      <c r="K33" s="161">
        <v>1000</v>
      </c>
      <c r="L33" s="161">
        <v>3056</v>
      </c>
      <c r="M33" s="161"/>
      <c r="N33" s="161"/>
      <c r="O33" s="161"/>
      <c r="P33" s="161"/>
      <c r="Q33" s="161"/>
      <c r="R33" s="161">
        <v>800</v>
      </c>
      <c r="S33" s="161"/>
      <c r="T33" s="161"/>
      <c r="U33" s="161">
        <v>3000</v>
      </c>
      <c r="V33" s="162">
        <v>500</v>
      </c>
      <c r="W33" s="162">
        <f>Dépenses!J28+Dépenses!J29+Dépenses!J30+Dépenses!J36+Dépenses!J38+3599</f>
        <v>93599</v>
      </c>
      <c r="X33" s="160">
        <v>5200</v>
      </c>
      <c r="Y33" s="241">
        <v>5200</v>
      </c>
      <c r="Z33" s="160"/>
      <c r="AA33" s="160"/>
      <c r="AB33" s="130">
        <f>C33-D33-E33-F33-X33-W33</f>
        <v>-0.30999999999767169</v>
      </c>
    </row>
    <row r="34" spans="1:28" x14ac:dyDescent="0.25">
      <c r="B34" s="159" t="s">
        <v>100</v>
      </c>
      <c r="C34" s="160">
        <f>Dépenses!J9+Dépenses!J10</f>
        <v>17860</v>
      </c>
      <c r="D34" s="160"/>
      <c r="E34" s="160"/>
      <c r="F34" s="160">
        <f>SUM(G34:V34)</f>
        <v>17860</v>
      </c>
      <c r="G34" s="161"/>
      <c r="H34" s="161"/>
      <c r="I34" s="161"/>
      <c r="J34" s="161"/>
      <c r="K34" s="161"/>
      <c r="L34" s="161"/>
      <c r="M34" s="161">
        <f>C34</f>
        <v>17860</v>
      </c>
      <c r="N34" s="161"/>
      <c r="O34" s="161"/>
      <c r="P34" s="161"/>
      <c r="Q34" s="161"/>
      <c r="R34" s="161"/>
      <c r="S34" s="161"/>
      <c r="T34" s="161"/>
      <c r="U34" s="161"/>
      <c r="V34" s="162"/>
      <c r="W34" s="162"/>
      <c r="X34" s="160"/>
      <c r="Y34" s="160"/>
      <c r="Z34" s="160"/>
      <c r="AA34" s="160"/>
      <c r="AB34" s="130">
        <f t="shared" ref="AB34:AB38" si="2">C34-D34-E34-F34-X34-W34</f>
        <v>0</v>
      </c>
    </row>
    <row r="35" spans="1:28" x14ac:dyDescent="0.25">
      <c r="B35" s="159" t="s">
        <v>88</v>
      </c>
      <c r="C35" s="160">
        <f>Dépenses!J11+Dépenses!J12+Dépenses!J13+Dépenses!J14+Dépenses!J15+Dépenses!J16+Dépenses!J17+Dépenses!J18+Dépenses!J19+Dépenses!J20+Dépenses!J21+Dépenses!J22+Dépenses!J23+Dépenses!J24+Dépenses!J25+Dépenses!J26+Dépenses!J41+Dépenses!J31+Dépenses!J32+Dépenses!J33+Dépenses!J34+Dépenses!J35+Dépenses!J37</f>
        <v>502026.55</v>
      </c>
      <c r="D35" s="160"/>
      <c r="E35" s="160">
        <f>Dépenses!J11+Dépenses!J25</f>
        <v>5021.2</v>
      </c>
      <c r="F35" s="160">
        <f>SUM(G35:V35)</f>
        <v>476997.35</v>
      </c>
      <c r="G35" s="161">
        <f>Dépenses!J12</f>
        <v>24393.600000000002</v>
      </c>
      <c r="H35" s="161">
        <f>Dépenses!J41</f>
        <v>15250</v>
      </c>
      <c r="I35" s="161">
        <f>Dépenses!J19</f>
        <v>19000</v>
      </c>
      <c r="J35" s="161">
        <f>Dépenses!J13</f>
        <v>108656.25</v>
      </c>
      <c r="K35" s="161">
        <f>Dépenses!J14</f>
        <v>65075</v>
      </c>
      <c r="L35" s="161">
        <f>Dépenses!J18</f>
        <v>21250</v>
      </c>
      <c r="M35" s="161"/>
      <c r="N35" s="161">
        <f>Dépenses!J22</f>
        <v>17550</v>
      </c>
      <c r="O35" s="161">
        <f>Dépenses!J24</f>
        <v>27000</v>
      </c>
      <c r="P35" s="161">
        <f>Dépenses!J21</f>
        <v>16900</v>
      </c>
      <c r="Q35" s="161">
        <f>Dépenses!J23</f>
        <v>46312.5</v>
      </c>
      <c r="R35" s="161">
        <f>Dépenses!J26</f>
        <v>4500</v>
      </c>
      <c r="S35" s="161">
        <f>Dépenses!J16</f>
        <v>66310</v>
      </c>
      <c r="T35" s="161">
        <f>Dépenses!J17</f>
        <v>15900</v>
      </c>
      <c r="U35" s="161">
        <f>Dépenses!J15</f>
        <v>13000</v>
      </c>
      <c r="V35" s="162">
        <f>Dépenses!J20</f>
        <v>15900</v>
      </c>
      <c r="W35" s="162">
        <f>Dépenses!J31+Dépenses!J32+Dépenses!J33+Dépenses!J34+Dépenses!J35+Dépenses!J37</f>
        <v>20008</v>
      </c>
      <c r="X35" s="160">
        <f>Z35+AA35+Y35</f>
        <v>0</v>
      </c>
      <c r="Y35" s="160"/>
      <c r="Z35" s="160"/>
      <c r="AA35" s="160"/>
      <c r="AB35" s="130">
        <f t="shared" si="2"/>
        <v>0</v>
      </c>
    </row>
    <row r="36" spans="1:28" x14ac:dyDescent="0.25">
      <c r="B36" s="159" t="s">
        <v>89</v>
      </c>
      <c r="C36" s="160">
        <f>Dépenses!J39</f>
        <v>50000</v>
      </c>
      <c r="D36" s="160"/>
      <c r="E36" s="160"/>
      <c r="F36" s="160">
        <f t="shared" ref="F36:F40" si="3">SUM(G36:V36)</f>
        <v>0</v>
      </c>
      <c r="G36" s="161"/>
      <c r="H36" s="161"/>
      <c r="I36" s="161"/>
      <c r="J36" s="161"/>
      <c r="K36" s="161"/>
      <c r="L36" s="161"/>
      <c r="M36" s="161"/>
      <c r="N36" s="161"/>
      <c r="O36" s="161"/>
      <c r="P36" s="161"/>
      <c r="Q36" s="161"/>
      <c r="R36" s="161"/>
      <c r="S36" s="161"/>
      <c r="T36" s="161"/>
      <c r="U36" s="161"/>
      <c r="V36" s="162"/>
      <c r="W36" s="162">
        <f>Dépenses!J39</f>
        <v>50000</v>
      </c>
      <c r="X36" s="160"/>
      <c r="Y36" s="160"/>
      <c r="Z36" s="160"/>
      <c r="AA36" s="160"/>
      <c r="AB36" s="130">
        <f t="shared" si="2"/>
        <v>0</v>
      </c>
    </row>
    <row r="37" spans="1:28" s="129" customFormat="1" x14ac:dyDescent="0.25">
      <c r="A37" s="134"/>
      <c r="B37" s="158" t="s">
        <v>90</v>
      </c>
      <c r="C37" s="163">
        <f t="shared" ref="C37" si="4">SUM(C33:C36)</f>
        <v>783258.24</v>
      </c>
      <c r="D37" s="163">
        <f t="shared" ref="D37" si="5">SUM(D33:D36)</f>
        <v>20000</v>
      </c>
      <c r="E37" s="163">
        <f t="shared" ref="E37" si="6">SUM(E33:E36)</f>
        <v>90238.2</v>
      </c>
      <c r="F37" s="163">
        <f t="shared" ref="F37:V37" si="7">SUM(F33:F36)</f>
        <v>504213.35</v>
      </c>
      <c r="G37" s="164">
        <f>SUM(G33:G36)</f>
        <v>24393.600000000002</v>
      </c>
      <c r="H37" s="164">
        <f t="shared" si="7"/>
        <v>16250</v>
      </c>
      <c r="I37" s="164">
        <f t="shared" si="7"/>
        <v>19000</v>
      </c>
      <c r="J37" s="164">
        <f t="shared" si="7"/>
        <v>108656.25</v>
      </c>
      <c r="K37" s="164">
        <f t="shared" si="7"/>
        <v>66075</v>
      </c>
      <c r="L37" s="164">
        <f t="shared" si="7"/>
        <v>24306</v>
      </c>
      <c r="M37" s="164">
        <f>SUM(M33:M36)</f>
        <v>17860</v>
      </c>
      <c r="N37" s="164">
        <f>SUM(N33:N36)</f>
        <v>17550</v>
      </c>
      <c r="O37" s="164">
        <f t="shared" si="7"/>
        <v>27000</v>
      </c>
      <c r="P37" s="164">
        <f t="shared" si="7"/>
        <v>16900</v>
      </c>
      <c r="Q37" s="164">
        <f t="shared" si="7"/>
        <v>46312.5</v>
      </c>
      <c r="R37" s="164">
        <f t="shared" si="7"/>
        <v>5300</v>
      </c>
      <c r="S37" s="164">
        <f t="shared" si="7"/>
        <v>66310</v>
      </c>
      <c r="T37" s="164">
        <f t="shared" si="7"/>
        <v>15900</v>
      </c>
      <c r="U37" s="164">
        <f t="shared" si="7"/>
        <v>16000</v>
      </c>
      <c r="V37" s="164">
        <f t="shared" si="7"/>
        <v>16400</v>
      </c>
      <c r="W37" s="164">
        <f>W36+W35+W34+W33</f>
        <v>163607</v>
      </c>
      <c r="X37" s="163">
        <f>SUM(X33:X35)</f>
        <v>5200</v>
      </c>
      <c r="Y37" s="163">
        <f>SUM(Y33:Y36)</f>
        <v>5200</v>
      </c>
      <c r="Z37" s="163"/>
      <c r="AA37" s="163"/>
      <c r="AB37" s="130">
        <f t="shared" si="2"/>
        <v>-0.30999999993946403</v>
      </c>
    </row>
    <row r="38" spans="1:28" x14ac:dyDescent="0.25">
      <c r="B38" s="159" t="s">
        <v>91</v>
      </c>
      <c r="C38" s="160">
        <f>Dépenses!J42+Dépenses!J43</f>
        <v>559853</v>
      </c>
      <c r="D38" s="160">
        <f>64231-26+5500+800+6793</f>
        <v>77298</v>
      </c>
      <c r="E38" s="160">
        <f>86729+3599</f>
        <v>90328</v>
      </c>
      <c r="F38" s="160">
        <f t="shared" ca="1" si="3"/>
        <v>232227.28766666673</v>
      </c>
      <c r="G38" s="161">
        <f t="shared" ref="G38:H38" si="8">G29-G37-G42</f>
        <v>14334.418733333343</v>
      </c>
      <c r="H38" s="161">
        <f t="shared" ca="1" si="8"/>
        <v>7058.1090666666714</v>
      </c>
      <c r="I38" s="161">
        <f t="shared" ref="I38:N38" si="9">I29-I37-I42</f>
        <v>5854.3817333333354</v>
      </c>
      <c r="J38" s="161">
        <f t="shared" si="9"/>
        <v>48077.589666666667</v>
      </c>
      <c r="K38" s="161">
        <f t="shared" si="9"/>
        <v>23644.5524</v>
      </c>
      <c r="L38" s="161">
        <f t="shared" ca="1" si="9"/>
        <v>9658.3661333333366</v>
      </c>
      <c r="M38" s="161">
        <f t="shared" ca="1" si="9"/>
        <v>12061.920933333335</v>
      </c>
      <c r="N38" s="161">
        <f t="shared" si="9"/>
        <v>14969.298266666668</v>
      </c>
      <c r="O38" s="161">
        <f t="shared" ref="O38:V38" ca="1" si="10">O29-O37-O42</f>
        <v>12652.628199999999</v>
      </c>
      <c r="P38" s="161">
        <f t="shared" si="10"/>
        <v>9748.9633333333368</v>
      </c>
      <c r="Q38" s="161">
        <f t="shared" si="10"/>
        <v>27171.59613333334</v>
      </c>
      <c r="R38" s="161">
        <f t="shared" si="10"/>
        <v>2471.7589333333317</v>
      </c>
      <c r="S38" s="161">
        <f t="shared" si="10"/>
        <v>27098.962733333319</v>
      </c>
      <c r="T38" s="161">
        <f t="shared" si="10"/>
        <v>14220.460266666669</v>
      </c>
      <c r="U38" s="161">
        <f t="shared" si="10"/>
        <v>2298.0187333333342</v>
      </c>
      <c r="V38" s="162">
        <f t="shared" si="10"/>
        <v>906.26239999999962</v>
      </c>
      <c r="W38" s="162">
        <v>160000</v>
      </c>
      <c r="X38" s="160">
        <f>SUM(Z38:AA38)</f>
        <v>0</v>
      </c>
      <c r="Y38" s="160"/>
      <c r="Z38" s="160"/>
      <c r="AA38" s="160"/>
      <c r="AB38" s="130">
        <f t="shared" ca="1" si="2"/>
        <v>-0.28766666672891006</v>
      </c>
    </row>
    <row r="39" spans="1:28" x14ac:dyDescent="0.25">
      <c r="B39" s="159" t="s">
        <v>92</v>
      </c>
      <c r="C39" s="160">
        <f>Dépenses!J40</f>
        <v>3500</v>
      </c>
      <c r="D39" s="160">
        <f>C39</f>
        <v>3500</v>
      </c>
      <c r="E39" s="160"/>
      <c r="F39" s="160">
        <f t="shared" si="3"/>
        <v>0</v>
      </c>
      <c r="G39" s="161"/>
      <c r="H39" s="161"/>
      <c r="I39" s="161"/>
      <c r="J39" s="161"/>
      <c r="K39" s="161"/>
      <c r="L39" s="161"/>
      <c r="M39" s="161"/>
      <c r="N39" s="161"/>
      <c r="O39" s="161"/>
      <c r="P39" s="161"/>
      <c r="Q39" s="161"/>
      <c r="R39" s="161"/>
      <c r="S39" s="161"/>
      <c r="T39" s="161"/>
      <c r="U39" s="161"/>
      <c r="V39" s="162"/>
      <c r="W39" s="162"/>
      <c r="X39" s="160"/>
      <c r="Y39" s="160"/>
      <c r="Z39" s="160"/>
      <c r="AA39" s="160"/>
      <c r="AB39" s="130">
        <f>C39-D39-E39-F39-X39</f>
        <v>0</v>
      </c>
    </row>
    <row r="40" spans="1:28" x14ac:dyDescent="0.25">
      <c r="B40" s="159" t="s">
        <v>89</v>
      </c>
      <c r="C40" s="160">
        <f>+Dépenses!J27</f>
        <v>90000</v>
      </c>
      <c r="D40" s="160"/>
      <c r="E40" s="160"/>
      <c r="F40" s="160">
        <f t="shared" si="3"/>
        <v>0</v>
      </c>
      <c r="G40" s="161"/>
      <c r="H40" s="161"/>
      <c r="I40" s="161"/>
      <c r="J40" s="161"/>
      <c r="K40" s="161"/>
      <c r="L40" s="161"/>
      <c r="M40" s="161"/>
      <c r="N40" s="161"/>
      <c r="O40" s="161"/>
      <c r="P40" s="161"/>
      <c r="Q40" s="161"/>
      <c r="R40" s="161"/>
      <c r="S40" s="161"/>
      <c r="T40" s="161"/>
      <c r="U40" s="161"/>
      <c r="V40" s="162"/>
      <c r="W40" s="162">
        <f>+Dépenses!J27</f>
        <v>90000</v>
      </c>
      <c r="X40" s="160"/>
      <c r="Y40" s="160"/>
      <c r="Z40" s="160"/>
      <c r="AA40" s="160"/>
      <c r="AB40" s="130">
        <f>C40-D40-E40-F40-X40-W40</f>
        <v>0</v>
      </c>
    </row>
    <row r="41" spans="1:28" s="129" customFormat="1" x14ac:dyDescent="0.25">
      <c r="A41" s="134"/>
      <c r="B41" s="158" t="s">
        <v>93</v>
      </c>
      <c r="C41" s="163">
        <f>SUM(C38:C40)</f>
        <v>653353</v>
      </c>
      <c r="D41" s="163">
        <f t="shared" ref="D41:X41" si="11">SUM(D38:D40)</f>
        <v>80798</v>
      </c>
      <c r="E41" s="163">
        <f t="shared" si="11"/>
        <v>90328</v>
      </c>
      <c r="F41" s="163">
        <f ca="1">SUM(F38:F40)</f>
        <v>232227.28766666673</v>
      </c>
      <c r="G41" s="164">
        <f t="shared" si="11"/>
        <v>14334.418733333343</v>
      </c>
      <c r="H41" s="164">
        <f t="shared" ca="1" si="11"/>
        <v>7058.1090666666714</v>
      </c>
      <c r="I41" s="164">
        <f t="shared" si="11"/>
        <v>5854.3817333333354</v>
      </c>
      <c r="J41" s="164">
        <f t="shared" si="11"/>
        <v>48077.589666666667</v>
      </c>
      <c r="K41" s="164">
        <f t="shared" si="11"/>
        <v>23644.5524</v>
      </c>
      <c r="L41" s="164">
        <f t="shared" ca="1" si="11"/>
        <v>9658.3661333333366</v>
      </c>
      <c r="M41" s="164">
        <f t="shared" ca="1" si="11"/>
        <v>12061.920933333335</v>
      </c>
      <c r="N41" s="164">
        <f t="shared" si="11"/>
        <v>14969.298266666668</v>
      </c>
      <c r="O41" s="164">
        <f t="shared" ca="1" si="11"/>
        <v>12652.628199999999</v>
      </c>
      <c r="P41" s="164">
        <f t="shared" si="11"/>
        <v>9748.9633333333368</v>
      </c>
      <c r="Q41" s="164">
        <f>Q38</f>
        <v>27171.59613333334</v>
      </c>
      <c r="R41" s="164">
        <f t="shared" si="11"/>
        <v>2471.7589333333317</v>
      </c>
      <c r="S41" s="164">
        <f t="shared" si="11"/>
        <v>27098.962733333319</v>
      </c>
      <c r="T41" s="164">
        <f>T38</f>
        <v>14220.460266666669</v>
      </c>
      <c r="U41" s="164">
        <f>U38</f>
        <v>2298.0187333333342</v>
      </c>
      <c r="V41" s="165">
        <f>V38</f>
        <v>906.26239999999962</v>
      </c>
      <c r="W41" s="165">
        <f>+W40+W38</f>
        <v>250000</v>
      </c>
      <c r="X41" s="163">
        <f t="shared" si="11"/>
        <v>0</v>
      </c>
      <c r="Y41" s="163">
        <f>SUM(Y38:Y40)</f>
        <v>0</v>
      </c>
      <c r="Z41" s="163"/>
      <c r="AA41" s="163"/>
      <c r="AB41" s="130">
        <f ca="1">C41-D41-E41-F41-X41-W41</f>
        <v>-0.28766666672891006</v>
      </c>
    </row>
    <row r="42" spans="1:28" ht="15.75" thickBot="1" x14ac:dyDescent="0.3">
      <c r="A42" s="137" t="s">
        <v>325</v>
      </c>
      <c r="B42" s="159" t="s">
        <v>94</v>
      </c>
      <c r="C42" s="160">
        <f>C27</f>
        <v>60821.720000000008</v>
      </c>
      <c r="D42" s="160">
        <f t="shared" ref="D42:X42" si="12">D27</f>
        <v>1394.7999999999995</v>
      </c>
      <c r="E42" s="160">
        <f t="shared" si="12"/>
        <v>39426.920000000013</v>
      </c>
      <c r="F42" s="160">
        <f t="shared" si="12"/>
        <v>0</v>
      </c>
      <c r="G42" s="161">
        <f t="shared" si="12"/>
        <v>0</v>
      </c>
      <c r="H42" s="161"/>
      <c r="I42" s="161">
        <f t="shared" si="12"/>
        <v>0</v>
      </c>
      <c r="J42" s="161">
        <f t="shared" si="12"/>
        <v>0</v>
      </c>
      <c r="K42" s="161">
        <f t="shared" si="12"/>
        <v>0</v>
      </c>
      <c r="L42" s="161">
        <f t="shared" ca="1" si="12"/>
        <v>0</v>
      </c>
      <c r="M42" s="161">
        <f t="shared" ca="1" si="12"/>
        <v>0</v>
      </c>
      <c r="N42" s="161">
        <f t="shared" si="12"/>
        <v>0</v>
      </c>
      <c r="O42" s="161">
        <f t="shared" ca="1" si="12"/>
        <v>0</v>
      </c>
      <c r="P42" s="161">
        <f t="shared" si="12"/>
        <v>0</v>
      </c>
      <c r="Q42" s="161">
        <f t="shared" si="12"/>
        <v>0</v>
      </c>
      <c r="R42" s="161">
        <f t="shared" si="12"/>
        <v>0</v>
      </c>
      <c r="S42" s="161">
        <f t="shared" si="12"/>
        <v>0</v>
      </c>
      <c r="T42" s="161">
        <f t="shared" si="12"/>
        <v>0</v>
      </c>
      <c r="U42" s="161">
        <f t="shared" si="12"/>
        <v>0</v>
      </c>
      <c r="V42" s="162">
        <f t="shared" si="12"/>
        <v>0</v>
      </c>
      <c r="W42" s="162">
        <f>Dépenses!J44</f>
        <v>20000</v>
      </c>
      <c r="X42" s="160">
        <f t="shared" si="12"/>
        <v>0</v>
      </c>
      <c r="Y42" s="242"/>
      <c r="Z42" s="160"/>
      <c r="AA42" s="160"/>
      <c r="AB42" s="130">
        <f>C42-D42-E42-F42-X42-W42</f>
        <v>0</v>
      </c>
    </row>
    <row r="43" spans="1:28" s="129" customFormat="1" ht="15.75" thickBot="1" x14ac:dyDescent="0.3">
      <c r="A43" s="134"/>
      <c r="B43" s="166" t="s">
        <v>95</v>
      </c>
      <c r="C43" s="167">
        <f>C41+C37+C42</f>
        <v>1497432.96</v>
      </c>
      <c r="D43" s="167">
        <f>D41+D37+D42</f>
        <v>102192.8</v>
      </c>
      <c r="E43" s="167">
        <f t="shared" ref="E43:V43" si="13">E41+E37+E42</f>
        <v>219993.12000000002</v>
      </c>
      <c r="F43" s="167">
        <f ca="1">F42+F41+F37</f>
        <v>736440.63766666665</v>
      </c>
      <c r="G43" s="168">
        <f t="shared" si="13"/>
        <v>38728.018733333345</v>
      </c>
      <c r="H43" s="168">
        <f t="shared" ca="1" si="13"/>
        <v>23308.109066666671</v>
      </c>
      <c r="I43" s="168">
        <f t="shared" si="13"/>
        <v>24854.381733333335</v>
      </c>
      <c r="J43" s="168">
        <f t="shared" si="13"/>
        <v>156733.83966666667</v>
      </c>
      <c r="K43" s="168">
        <f t="shared" si="13"/>
        <v>89719.5524</v>
      </c>
      <c r="L43" s="168">
        <f t="shared" ca="1" si="13"/>
        <v>33964.366133333337</v>
      </c>
      <c r="M43" s="168">
        <f t="shared" ca="1" si="13"/>
        <v>29921.920933333335</v>
      </c>
      <c r="N43" s="168">
        <f t="shared" si="13"/>
        <v>32519.298266666668</v>
      </c>
      <c r="O43" s="168">
        <f t="shared" ca="1" si="13"/>
        <v>39652.628199999999</v>
      </c>
      <c r="P43" s="168">
        <f t="shared" si="13"/>
        <v>26648.963333333337</v>
      </c>
      <c r="Q43" s="168">
        <f t="shared" si="13"/>
        <v>73484.09613333334</v>
      </c>
      <c r="R43" s="168">
        <f t="shared" si="13"/>
        <v>7771.7589333333317</v>
      </c>
      <c r="S43" s="168">
        <f t="shared" si="13"/>
        <v>93408.962733333319</v>
      </c>
      <c r="T43" s="168">
        <f t="shared" si="13"/>
        <v>30120.460266666669</v>
      </c>
      <c r="U43" s="168">
        <f t="shared" si="13"/>
        <v>18298.018733333334</v>
      </c>
      <c r="V43" s="169">
        <f t="shared" si="13"/>
        <v>17306.2624</v>
      </c>
      <c r="W43" s="169">
        <f>SUM(W42+W41+W37)</f>
        <v>433607</v>
      </c>
      <c r="X43" s="167">
        <f>X42+X41+X37</f>
        <v>5200</v>
      </c>
      <c r="Y43" s="167">
        <f>Y42+Y41+Y37</f>
        <v>5200</v>
      </c>
      <c r="Z43" s="167">
        <f>SUM(Z33:Z42)</f>
        <v>0</v>
      </c>
      <c r="AA43" s="167">
        <f>SUM(AA33:AA42)</f>
        <v>0</v>
      </c>
      <c r="AB43" s="130">
        <f ca="1">C43-D43-E43-F43-X43-W43</f>
        <v>-0.59766666684299707</v>
      </c>
    </row>
    <row r="44" spans="1:28" s="139" customFormat="1" ht="12.75" x14ac:dyDescent="0.2">
      <c r="A44" s="138"/>
      <c r="B44" s="139" t="s">
        <v>96</v>
      </c>
      <c r="C44" s="139">
        <f>C43-C29</f>
        <v>0</v>
      </c>
      <c r="D44" s="139">
        <f t="shared" ref="D44:AA44" si="14">D43-D29</f>
        <v>-0.21233333331474569</v>
      </c>
      <c r="E44" s="139">
        <f t="shared" si="14"/>
        <v>-0.17126666664262302</v>
      </c>
      <c r="F44" s="139">
        <f ca="1">F43-F29</f>
        <v>0</v>
      </c>
      <c r="G44" s="139">
        <f>G43-G29</f>
        <v>0</v>
      </c>
      <c r="H44" s="139">
        <f ca="1">H43-H29</f>
        <v>0</v>
      </c>
      <c r="I44" s="139">
        <f t="shared" si="14"/>
        <v>0</v>
      </c>
      <c r="J44" s="139">
        <f t="shared" si="14"/>
        <v>0</v>
      </c>
      <c r="K44" s="139">
        <f t="shared" si="14"/>
        <v>0</v>
      </c>
      <c r="L44" s="139">
        <f t="shared" ca="1" si="14"/>
        <v>0</v>
      </c>
      <c r="M44" s="139">
        <f t="shared" ca="1" si="14"/>
        <v>0</v>
      </c>
      <c r="N44" s="139">
        <f t="shared" si="14"/>
        <v>0</v>
      </c>
      <c r="O44" s="139">
        <f t="shared" ca="1" si="14"/>
        <v>0</v>
      </c>
      <c r="P44" s="139">
        <f t="shared" si="14"/>
        <v>0</v>
      </c>
      <c r="Q44" s="139">
        <f t="shared" si="14"/>
        <v>0</v>
      </c>
      <c r="R44" s="139">
        <f t="shared" si="14"/>
        <v>0</v>
      </c>
      <c r="S44" s="139">
        <f t="shared" si="14"/>
        <v>0</v>
      </c>
      <c r="T44" s="139">
        <f t="shared" si="14"/>
        <v>0</v>
      </c>
      <c r="U44" s="139">
        <f t="shared" si="14"/>
        <v>0</v>
      </c>
      <c r="V44" s="139">
        <f t="shared" si="14"/>
        <v>0</v>
      </c>
      <c r="X44" s="139">
        <f t="shared" si="14"/>
        <v>0</v>
      </c>
      <c r="Y44" s="139">
        <f>Y43-Y29</f>
        <v>0</v>
      </c>
      <c r="Z44" s="139">
        <f t="shared" si="14"/>
        <v>0</v>
      </c>
      <c r="AA44" s="139">
        <f t="shared" si="14"/>
        <v>0</v>
      </c>
      <c r="AB44" s="170">
        <f ca="1">C44-D44-E44-F44-X44</f>
        <v>0.38359999995736871</v>
      </c>
    </row>
    <row r="45" spans="1:28" s="99" customFormat="1" x14ac:dyDescent="0.25">
      <c r="A45" s="175"/>
      <c r="B45" s="99" t="s">
        <v>97</v>
      </c>
      <c r="C45" s="99">
        <f t="shared" ref="C45:X45" si="15">C41/C29</f>
        <v>0.43631535931999255</v>
      </c>
      <c r="D45" s="261">
        <f>D41/D29</f>
        <v>0.7906411422383065</v>
      </c>
      <c r="E45" s="261">
        <f>E41/E29</f>
        <v>0.41059433894512798</v>
      </c>
      <c r="F45" s="99">
        <f t="shared" ca="1" si="15"/>
        <v>0.31533741592866738</v>
      </c>
      <c r="G45" s="99">
        <f t="shared" si="15"/>
        <v>0.37013044307881565</v>
      </c>
      <c r="H45" s="99">
        <f t="shared" ca="1" si="15"/>
        <v>0.30281774666828698</v>
      </c>
      <c r="I45" s="99">
        <f t="shared" si="15"/>
        <v>0.23554726873297191</v>
      </c>
      <c r="J45" s="99">
        <f t="shared" si="15"/>
        <v>0.30674671002073051</v>
      </c>
      <c r="K45" s="99">
        <f t="shared" si="15"/>
        <v>0.26353845697518213</v>
      </c>
      <c r="L45" s="99">
        <f t="shared" ca="1" si="15"/>
        <v>0.28436762504024521</v>
      </c>
      <c r="M45" s="99">
        <f t="shared" ca="1" si="15"/>
        <v>0.40311318782666217</v>
      </c>
      <c r="N45" s="99">
        <f t="shared" si="15"/>
        <v>0.46032045783751374</v>
      </c>
      <c r="O45" s="99">
        <f t="shared" ca="1" si="15"/>
        <v>0.31908674845416679</v>
      </c>
      <c r="P45" s="99">
        <f t="shared" si="15"/>
        <v>0.36582898972055083</v>
      </c>
      <c r="Q45" s="99">
        <f t="shared" si="15"/>
        <v>0.36976158873930753</v>
      </c>
      <c r="R45" s="99">
        <f t="shared" si="15"/>
        <v>0.31804369571113117</v>
      </c>
      <c r="S45" s="99">
        <f t="shared" si="15"/>
        <v>0.29011094803285892</v>
      </c>
      <c r="T45" s="99">
        <f t="shared" si="15"/>
        <v>0.47211962037658461</v>
      </c>
      <c r="U45" s="99">
        <f t="shared" si="15"/>
        <v>0.12558839111619524</v>
      </c>
      <c r="V45" s="99">
        <f t="shared" si="15"/>
        <v>5.2366153884272529E-2</v>
      </c>
      <c r="W45" s="99">
        <f t="shared" si="15"/>
        <v>0.57656026254042703</v>
      </c>
      <c r="X45" s="99">
        <f t="shared" si="15"/>
        <v>0</v>
      </c>
      <c r="Y45" s="99">
        <f>Y41/Y29</f>
        <v>0</v>
      </c>
    </row>
    <row r="47" spans="1:28" x14ac:dyDescent="0.25">
      <c r="B47" s="130" t="s">
        <v>128</v>
      </c>
      <c r="D47" s="131">
        <f ca="1">D43/($D$43+$E$43+$F$43)</f>
        <v>9.6533380217897174E-2</v>
      </c>
      <c r="E47" s="131">
        <f ca="1">E43/($D$43+$E$43+$F$43)</f>
        <v>0.20780993864813843</v>
      </c>
      <c r="F47" s="131">
        <f ca="1">F43/($D$43+$E$43+$F$43)</f>
        <v>0.69565668113396428</v>
      </c>
    </row>
  </sheetData>
  <conditionalFormatting sqref="A45:XFD45">
    <cfRule type="cellIs" dxfId="0" priority="1" operator="greaterThan">
      <formula>0.5</formula>
    </cfRule>
  </conditionalFormatting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-0.249977111117893"/>
  </sheetPr>
  <dimension ref="A1:G59"/>
  <sheetViews>
    <sheetView topLeftCell="A22" workbookViewId="0">
      <selection activeCell="G39" sqref="G39"/>
    </sheetView>
  </sheetViews>
  <sheetFormatPr baseColWidth="10" defaultRowHeight="15" x14ac:dyDescent="0.25"/>
  <cols>
    <col min="1" max="1" width="50.85546875" bestFit="1" customWidth="1"/>
    <col min="2" max="2" width="17.42578125" style="289" customWidth="1"/>
    <col min="4" max="4" width="5.42578125" customWidth="1"/>
    <col min="5" max="5" width="33" bestFit="1" customWidth="1"/>
    <col min="6" max="6" width="13" style="289" bestFit="1" customWidth="1"/>
  </cols>
  <sheetData>
    <row r="1" spans="1:7" ht="34.5" customHeight="1" x14ac:dyDescent="0.25">
      <c r="A1" s="366" t="s">
        <v>341</v>
      </c>
      <c r="B1" s="367"/>
      <c r="C1" s="367"/>
      <c r="D1" s="367"/>
      <c r="E1" s="367"/>
      <c r="F1" s="367"/>
      <c r="G1" s="368"/>
    </row>
    <row r="2" spans="1:7" x14ac:dyDescent="0.35">
      <c r="A2" s="176"/>
      <c r="B2" s="309"/>
      <c r="C2" s="178"/>
      <c r="D2" s="177"/>
      <c r="E2" s="177"/>
      <c r="F2" s="309"/>
      <c r="G2" s="178"/>
    </row>
    <row r="3" spans="1:7" x14ac:dyDescent="0.25">
      <c r="A3" s="179" t="s">
        <v>129</v>
      </c>
      <c r="B3" s="310" t="s">
        <v>130</v>
      </c>
      <c r="C3" s="181" t="s">
        <v>131</v>
      </c>
      <c r="D3" s="182"/>
      <c r="E3" s="179" t="s">
        <v>132</v>
      </c>
      <c r="F3" s="332" t="s">
        <v>130</v>
      </c>
      <c r="G3" s="181" t="s">
        <v>131</v>
      </c>
    </row>
    <row r="4" spans="1:7" ht="14.45" x14ac:dyDescent="0.35">
      <c r="A4" s="183" t="s">
        <v>133</v>
      </c>
      <c r="B4" s="311"/>
      <c r="C4" s="185"/>
      <c r="D4" s="182"/>
      <c r="E4" s="183" t="s">
        <v>134</v>
      </c>
      <c r="F4" s="186"/>
      <c r="G4" s="187"/>
    </row>
    <row r="5" spans="1:7" ht="14.45" x14ac:dyDescent="0.35">
      <c r="A5" s="188" t="s">
        <v>135</v>
      </c>
      <c r="B5" s="312">
        <f ca="1">'Gouvernance A'!C5+'Ecosysteme B'!C5+'Actions 1er semestre 2018'!B5+'Action Second semestre '!B5</f>
        <v>0</v>
      </c>
      <c r="C5" s="189"/>
      <c r="D5" s="182"/>
      <c r="E5" s="190"/>
      <c r="F5" s="191"/>
      <c r="G5" s="189"/>
    </row>
    <row r="6" spans="1:7" x14ac:dyDescent="0.25">
      <c r="A6" s="192" t="s">
        <v>136</v>
      </c>
      <c r="B6" s="312">
        <f ca="1">'Gouvernance A'!C6+'Ecosysteme B'!C6+'Actions 1er semestre 2018'!B6+'Action Second semestre '!B6+'Cellule Gds EV'!C6+'Budget D'!C6</f>
        <v>2000</v>
      </c>
      <c r="C6" s="195">
        <f ca="1">B6/B55</f>
        <v>1.3356181664265182E-3</v>
      </c>
      <c r="D6" s="182"/>
      <c r="E6" s="190" t="s">
        <v>137</v>
      </c>
      <c r="F6" s="191"/>
      <c r="G6" s="193"/>
    </row>
    <row r="7" spans="1:7" ht="14.45" x14ac:dyDescent="0.35">
      <c r="A7" s="192" t="s">
        <v>138</v>
      </c>
      <c r="B7" s="312">
        <f ca="1">'Gouvernance A'!C7+'Ecosysteme B'!C7+'Actions 1er semestre 2018'!B7+'Action Second semestre '!B7+'Budget D'!C7+'Cellule Gds EV'!C7</f>
        <v>10680</v>
      </c>
      <c r="C7" s="195">
        <f ca="1">B7/B55</f>
        <v>7.1322010087176068E-3</v>
      </c>
      <c r="D7" s="182"/>
      <c r="E7" s="196"/>
      <c r="F7" s="191"/>
      <c r="G7" s="189"/>
    </row>
    <row r="8" spans="1:7" ht="14.45" x14ac:dyDescent="0.35">
      <c r="A8" s="188" t="s">
        <v>139</v>
      </c>
      <c r="B8" s="312">
        <f ca="1">'Gouvernance A'!C8+'Ecosysteme B'!C8+'Actions 1er semestre 2018'!B8+'Action Second semestre '!B8</f>
        <v>0</v>
      </c>
      <c r="C8" s="189"/>
      <c r="D8" s="182"/>
      <c r="E8" s="196"/>
      <c r="F8" s="191"/>
      <c r="G8" s="189"/>
    </row>
    <row r="9" spans="1:7" ht="14.45" x14ac:dyDescent="0.35">
      <c r="A9" s="188"/>
      <c r="B9" s="194"/>
      <c r="C9" s="189"/>
      <c r="D9" s="182"/>
      <c r="E9" s="196"/>
      <c r="F9" s="191"/>
      <c r="G9" s="189"/>
    </row>
    <row r="10" spans="1:7" x14ac:dyDescent="0.25">
      <c r="A10" s="196"/>
      <c r="B10" s="197"/>
      <c r="C10" s="198"/>
      <c r="D10" s="182"/>
      <c r="E10" s="199" t="s">
        <v>140</v>
      </c>
      <c r="F10" s="191"/>
      <c r="G10" s="198"/>
    </row>
    <row r="11" spans="1:7" x14ac:dyDescent="0.25">
      <c r="A11" s="190" t="s">
        <v>141</v>
      </c>
      <c r="B11" s="186"/>
      <c r="C11" s="187"/>
      <c r="D11" s="182"/>
      <c r="E11" s="200"/>
      <c r="F11" s="191"/>
      <c r="G11" s="198"/>
    </row>
    <row r="12" spans="1:7" x14ac:dyDescent="0.25">
      <c r="A12" s="188" t="s">
        <v>142</v>
      </c>
      <c r="B12" s="312">
        <f ca="1">'Gouvernance A'!C12+'Ecosysteme B'!C12+'Actions 1er semestre 2018'!B12+'Action Second semestre '!B12+'Cellule Gds EV'!C12+1</f>
        <v>663085.19999999995</v>
      </c>
      <c r="C12" s="263">
        <f ca="1">B12/B55</f>
        <v>0.44281431950428046</v>
      </c>
      <c r="D12" s="182"/>
      <c r="E12" s="201"/>
      <c r="F12" s="191"/>
      <c r="G12" s="198"/>
    </row>
    <row r="13" spans="1:7" ht="14.45" x14ac:dyDescent="0.35">
      <c r="A13" s="188" t="s">
        <v>170</v>
      </c>
      <c r="B13" s="312">
        <f ca="1">'Gouvernance A'!C13+'Ecosysteme B'!C13+'Actions 1er semestre 2018'!B13+'Action Second semestre '!B13+'Cellule Gds EV'!C13</f>
        <v>27500</v>
      </c>
      <c r="C13" s="263">
        <f ca="1">B13/B55</f>
        <v>1.8364749788364623E-2</v>
      </c>
      <c r="D13" s="182"/>
      <c r="E13" s="202"/>
      <c r="F13" s="191"/>
      <c r="G13" s="198"/>
    </row>
    <row r="14" spans="1:7" ht="14.45" x14ac:dyDescent="0.35">
      <c r="A14" s="188" t="s">
        <v>65</v>
      </c>
      <c r="B14" s="312">
        <f ca="1">'Gouvernance A'!C14+'Ecosysteme B'!C14+'Actions 1er semestre 2018'!B14+'Action Second semestre '!B14+'Cellule Gds EV'!C14</f>
        <v>10700</v>
      </c>
      <c r="C14" s="263">
        <f ca="1">B14/B55</f>
        <v>7.145557190381872E-3</v>
      </c>
      <c r="D14" s="182"/>
      <c r="E14" s="202"/>
      <c r="F14" s="191"/>
      <c r="G14" s="198"/>
    </row>
    <row r="15" spans="1:7" x14ac:dyDescent="0.25">
      <c r="A15" s="188" t="s">
        <v>66</v>
      </c>
      <c r="B15" s="312">
        <f ca="1">'Gouvernance A'!C15+'Ecosysteme B'!C15+'Actions 1er semestre 2018'!B15+'Action Second semestre '!B15+'Cellule Gds EV'!C15</f>
        <v>4120</v>
      </c>
      <c r="C15" s="263">
        <f ca="1">B15/B55</f>
        <v>2.7513734228386275E-3</v>
      </c>
      <c r="D15" s="182"/>
      <c r="E15" s="190" t="s">
        <v>143</v>
      </c>
      <c r="F15" s="191">
        <f ca="1">'Gouvernance A'!G15+'Ecosysteme B'!G15+'Actions 1er semestre 2018'!F15+'Action Second semestre '!F15+'Cellule Gds EV'!G15</f>
        <v>559853.28766666667</v>
      </c>
      <c r="G15" s="263">
        <f ca="1">F15/B55</f>
        <v>0.37387511077060565</v>
      </c>
    </row>
    <row r="16" spans="1:7" ht="14.45" x14ac:dyDescent="0.35">
      <c r="A16" s="188" t="s">
        <v>67</v>
      </c>
      <c r="B16" s="312">
        <f>'Gouvernance A'!C16+'Ecosysteme B'!C16+'Actions 1er semestre 2018'!B16+'Action Second semestre '!B16+'Cellule Gds EV'!C16</f>
        <v>1700</v>
      </c>
      <c r="C16" s="198"/>
      <c r="D16" s="182"/>
      <c r="E16" s="203"/>
      <c r="F16" s="191"/>
      <c r="G16" s="198"/>
    </row>
    <row r="17" spans="1:7" ht="14.45" x14ac:dyDescent="0.35">
      <c r="A17" s="188" t="s">
        <v>144</v>
      </c>
      <c r="B17" s="312">
        <f ca="1">'Gouvernance A'!C17+'Ecosysteme B'!C17+'Actions 1er semestre 2018'!B17+'Action Second semestre '!B17+'Cellule Gds EV'!C17</f>
        <v>4600</v>
      </c>
      <c r="C17" s="198"/>
      <c r="D17" s="182"/>
      <c r="E17" s="203"/>
      <c r="F17" s="191"/>
      <c r="G17" s="198"/>
    </row>
    <row r="18" spans="1:7" ht="14.45" x14ac:dyDescent="0.35">
      <c r="A18" s="188"/>
      <c r="B18" s="197"/>
      <c r="C18" s="198"/>
      <c r="D18" s="182"/>
      <c r="E18" s="202"/>
      <c r="F18" s="191"/>
      <c r="G18" s="198"/>
    </row>
    <row r="19" spans="1:7" x14ac:dyDescent="0.25">
      <c r="A19" s="188"/>
      <c r="B19" s="197"/>
      <c r="C19" s="198"/>
      <c r="D19" s="204"/>
      <c r="E19" s="205" t="s">
        <v>174</v>
      </c>
      <c r="F19" s="191">
        <f>'Gouvernance A'!G19</f>
        <v>3500</v>
      </c>
      <c r="G19" s="263">
        <f ca="1">F19/B55</f>
        <v>2.3373317912464067E-3</v>
      </c>
    </row>
    <row r="20" spans="1:7" x14ac:dyDescent="0.25">
      <c r="A20" s="190" t="s">
        <v>146</v>
      </c>
      <c r="B20" s="186"/>
      <c r="C20" s="187"/>
      <c r="D20" s="182"/>
      <c r="E20" s="196"/>
      <c r="F20" s="191"/>
      <c r="G20" s="198"/>
    </row>
    <row r="21" spans="1:7" ht="14.45" x14ac:dyDescent="0.35">
      <c r="A21" s="190"/>
      <c r="B21" s="186"/>
      <c r="C21" s="187"/>
      <c r="D21" s="182"/>
      <c r="E21" s="196"/>
      <c r="F21" s="191"/>
      <c r="G21" s="198"/>
    </row>
    <row r="22" spans="1:7" x14ac:dyDescent="0.25">
      <c r="A22" s="188" t="s">
        <v>147</v>
      </c>
      <c r="B22" s="312">
        <f ca="1">'Gouvernance A'!C22+'Ecosysteme B'!C22+'Actions 1er semestre 2018'!B22+'Action Second semestre '!B22+'Cellule Gds EV'!C22+'Budget D'!C22</f>
        <v>28500.000000000004</v>
      </c>
      <c r="C22" s="263">
        <f ca="1">B22/B55</f>
        <v>1.9032558871577884E-2</v>
      </c>
      <c r="D22" s="182"/>
      <c r="E22" s="203"/>
      <c r="F22" s="191"/>
      <c r="G22" s="198"/>
    </row>
    <row r="23" spans="1:7" ht="14.45" x14ac:dyDescent="0.35">
      <c r="A23" s="188" t="s">
        <v>148</v>
      </c>
      <c r="B23" s="197"/>
      <c r="C23" s="198"/>
      <c r="D23" s="182"/>
      <c r="E23" s="190"/>
      <c r="F23" s="191"/>
      <c r="G23" s="198"/>
    </row>
    <row r="24" spans="1:7" x14ac:dyDescent="0.25">
      <c r="A24" s="188" t="s">
        <v>149</v>
      </c>
      <c r="B24" s="312">
        <f ca="1">'Gouvernance A'!C24+'Ecosysteme B'!C24+'Actions 1er semestre 2018'!B24+'Action Second semestre '!B24+'Cellule Gds EV'!C24</f>
        <v>84800</v>
      </c>
      <c r="C24" s="198"/>
      <c r="D24" s="182"/>
      <c r="E24" s="190" t="s">
        <v>150</v>
      </c>
      <c r="F24" s="191"/>
      <c r="G24" s="198"/>
    </row>
    <row r="25" spans="1:7" x14ac:dyDescent="0.25">
      <c r="A25" s="188" t="s">
        <v>68</v>
      </c>
      <c r="B25" s="312">
        <f ca="1">'Gouvernance A'!C25+'Ecosysteme B'!C25+'Actions 1er semestre 2018'!B25+'Action Second semestre '!B25+'Cellule Gds EV'!C25</f>
        <v>154090</v>
      </c>
      <c r="C25" s="263">
        <f ca="1">B25/B55</f>
        <v>0.10290270163233109</v>
      </c>
      <c r="D25" s="182"/>
      <c r="E25" s="196"/>
      <c r="F25" s="191"/>
      <c r="G25" s="198"/>
    </row>
    <row r="26" spans="1:7" x14ac:dyDescent="0.25">
      <c r="A26" s="188" t="s">
        <v>69</v>
      </c>
      <c r="B26" s="312">
        <f ca="1">'Gouvernance A'!C26+'Ecosysteme B'!C26+'Actions 1er semestre 2018'!B26+'Action Second semestre '!B26+'Cellule Gds EV'!C26+'Budget D'!C27</f>
        <v>11100</v>
      </c>
      <c r="C26" s="263">
        <f ca="1">B26/B55</f>
        <v>7.4126808236671757E-3</v>
      </c>
      <c r="D26" s="182"/>
      <c r="E26" s="196"/>
      <c r="F26" s="191"/>
      <c r="G26" s="198"/>
    </row>
    <row r="27" spans="1:7" x14ac:dyDescent="0.25">
      <c r="A27" s="188" t="s">
        <v>70</v>
      </c>
      <c r="B27" s="312">
        <f ca="1">'Gouvernance A'!C27+'Ecosysteme B'!C27+'Actions 1er semestre 2018'!B27+'Action Second semestre '!B27+'Cellule Gds EV'!C27</f>
        <v>14715</v>
      </c>
      <c r="C27" s="263">
        <f ca="1">B27/B55</f>
        <v>9.8268106594831071E-3</v>
      </c>
      <c r="D27" s="182"/>
      <c r="E27" s="196"/>
      <c r="F27" s="191"/>
      <c r="G27" s="198"/>
    </row>
    <row r="28" spans="1:7" x14ac:dyDescent="0.25">
      <c r="A28" s="188"/>
      <c r="B28" s="197"/>
      <c r="C28" s="198"/>
      <c r="D28" s="182"/>
      <c r="E28" s="190" t="s">
        <v>421</v>
      </c>
      <c r="F28" s="191">
        <f>'Cellule Gds EV'!G28</f>
        <v>90000</v>
      </c>
      <c r="G28" s="263">
        <f ca="1">F28/B55</f>
        <v>6.0102817489193314E-2</v>
      </c>
    </row>
    <row r="29" spans="1:7" x14ac:dyDescent="0.25">
      <c r="A29" s="190" t="s">
        <v>171</v>
      </c>
      <c r="B29" s="197"/>
      <c r="C29" s="198"/>
      <c r="D29" s="182"/>
      <c r="E29" s="190"/>
      <c r="F29" s="191"/>
      <c r="G29" s="198"/>
    </row>
    <row r="30" spans="1:7" x14ac:dyDescent="0.25">
      <c r="A30" s="188" t="s">
        <v>172</v>
      </c>
      <c r="B30" s="312">
        <f ca="1">'Gouvernance A'!C30+'Ecosysteme B'!C30+'Actions 1er semestre 2018'!B30+'Action Second semestre '!B30+'Cellule Gds EV'!C30</f>
        <v>7950</v>
      </c>
      <c r="C30" s="263">
        <f ca="1">B30/B55</f>
        <v>5.3090822115454094E-3</v>
      </c>
      <c r="D30" s="182"/>
      <c r="E30" s="190"/>
      <c r="F30" s="191"/>
      <c r="G30" s="198"/>
    </row>
    <row r="31" spans="1:7" x14ac:dyDescent="0.25">
      <c r="A31" s="188" t="s">
        <v>173</v>
      </c>
      <c r="B31" s="312">
        <f ca="1">'Gouvernance A'!C31+'Ecosysteme B'!C31+'Actions 1er semestre 2018'!B31+'Action Second semestre '!B31+'Cellule Gds EV'!C31</f>
        <v>1067.0000000000002</v>
      </c>
      <c r="C31" s="263">
        <f ca="1">B31/B55</f>
        <v>7.1255229178854751E-4</v>
      </c>
      <c r="D31" s="182"/>
      <c r="E31" s="190"/>
      <c r="F31" s="191"/>
      <c r="G31" s="198"/>
    </row>
    <row r="32" spans="1:7" x14ac:dyDescent="0.25">
      <c r="A32" s="190" t="s">
        <v>152</v>
      </c>
      <c r="B32" s="206"/>
      <c r="C32" s="207"/>
      <c r="D32" s="182"/>
      <c r="E32" s="196"/>
      <c r="F32" s="191"/>
      <c r="G32" s="198"/>
    </row>
    <row r="33" spans="1:7" x14ac:dyDescent="0.25">
      <c r="A33" s="188" t="s">
        <v>71</v>
      </c>
      <c r="B33" s="312">
        <f ca="1">'Gouvernance A'!C33+'Ecosysteme B'!C33+'Actions 1er semestre 2018'!B33+'Action Second semestre '!B33+'Cellule Gds EV'!C33</f>
        <v>408505.04</v>
      </c>
      <c r="C33" s="264">
        <f ca="1">B33/B55</f>
        <v>0.27280337625039569</v>
      </c>
      <c r="D33" s="182"/>
      <c r="E33" s="196"/>
      <c r="F33" s="191"/>
      <c r="G33" s="198"/>
    </row>
    <row r="34" spans="1:7" x14ac:dyDescent="0.25">
      <c r="A34" s="188" t="s">
        <v>72</v>
      </c>
      <c r="B34" s="312">
        <f ca="1">'Gouvernance A'!C34+'Ecosysteme B'!C34+'Actions 1er semestre 2018'!B34+'Action Second semestre '!B34+'Cellule Gds EV'!C34</f>
        <v>1000</v>
      </c>
      <c r="C34" s="263">
        <f ca="1">B34/B55</f>
        <v>6.6780908321325909E-4</v>
      </c>
      <c r="D34" s="182"/>
      <c r="E34" s="196"/>
      <c r="F34" s="191"/>
      <c r="G34" s="198"/>
    </row>
    <row r="35" spans="1:7" x14ac:dyDescent="0.25">
      <c r="A35" s="188"/>
      <c r="B35" s="197"/>
      <c r="C35" s="198"/>
      <c r="D35" s="182"/>
      <c r="E35" s="190" t="s">
        <v>153</v>
      </c>
      <c r="F35" s="191"/>
      <c r="G35" s="198"/>
    </row>
    <row r="36" spans="1:7" x14ac:dyDescent="0.25">
      <c r="A36" s="188"/>
      <c r="B36" s="197"/>
      <c r="C36" s="198"/>
      <c r="D36" s="182"/>
      <c r="E36" s="208"/>
      <c r="F36" s="191"/>
      <c r="G36" s="198"/>
    </row>
    <row r="37" spans="1:7" x14ac:dyDescent="0.25">
      <c r="A37" s="188" t="s">
        <v>73</v>
      </c>
      <c r="B37" s="197"/>
      <c r="C37" s="198"/>
      <c r="D37" s="182"/>
      <c r="E37" s="208"/>
      <c r="F37" s="191"/>
      <c r="G37" s="198"/>
    </row>
    <row r="38" spans="1:7" x14ac:dyDescent="0.25">
      <c r="A38" s="190"/>
      <c r="B38" s="186"/>
      <c r="C38" s="187"/>
      <c r="D38" s="182"/>
      <c r="E38" s="208"/>
      <c r="F38" s="191"/>
      <c r="G38" s="198"/>
    </row>
    <row r="39" spans="1:7" x14ac:dyDescent="0.25">
      <c r="A39" s="188"/>
      <c r="B39" s="197"/>
      <c r="C39" s="198"/>
      <c r="D39" s="182"/>
      <c r="E39" s="209" t="s">
        <v>154</v>
      </c>
      <c r="F39" s="210">
        <f ca="1">F28+F19+F15</f>
        <v>653353.28766666667</v>
      </c>
      <c r="G39" s="265">
        <f ca="1">G15+G19</f>
        <v>0.37621244256185205</v>
      </c>
    </row>
    <row r="40" spans="1:7" x14ac:dyDescent="0.25">
      <c r="A40" s="190" t="s">
        <v>155</v>
      </c>
      <c r="B40" s="197"/>
      <c r="C40" s="198"/>
      <c r="D40" s="182"/>
      <c r="E40" s="188"/>
      <c r="F40" s="191"/>
      <c r="G40" s="189"/>
    </row>
    <row r="41" spans="1:7" x14ac:dyDescent="0.25">
      <c r="A41" s="188" t="s">
        <v>74</v>
      </c>
      <c r="B41" s="312">
        <f ca="1">'Gouvernance A'!C41+'Ecosysteme B'!C41+'Actions 1er semestre 2018'!B41+'Action Second semestre '!B41</f>
        <v>0</v>
      </c>
      <c r="C41" s="187"/>
      <c r="D41" s="182"/>
      <c r="E41" s="190" t="s">
        <v>156</v>
      </c>
      <c r="F41" s="186">
        <f>F42+F44+F45</f>
        <v>783258.55</v>
      </c>
      <c r="G41" s="264">
        <f ca="1">F41/B55</f>
        <v>0.5230671741944467</v>
      </c>
    </row>
    <row r="42" spans="1:7" x14ac:dyDescent="0.25">
      <c r="A42" s="188"/>
      <c r="B42" s="197">
        <f>'Budget D'!C42</f>
        <v>500</v>
      </c>
      <c r="C42" s="198"/>
      <c r="D42" s="182"/>
      <c r="E42" s="188" t="s">
        <v>88</v>
      </c>
      <c r="F42" s="191">
        <f>'Ecosysteme B'!G42+'Actions 1er semestre 2018'!F42+'Action Second semestre '!F42+'Cellule Gds EV'!G42</f>
        <v>519886.55000000005</v>
      </c>
      <c r="G42" s="198"/>
    </row>
    <row r="43" spans="1:7" x14ac:dyDescent="0.25">
      <c r="A43" s="188"/>
      <c r="B43" s="197"/>
      <c r="C43" s="198"/>
      <c r="D43" s="182"/>
      <c r="E43" s="188" t="s">
        <v>157</v>
      </c>
      <c r="F43" s="212"/>
      <c r="G43" s="198"/>
    </row>
    <row r="44" spans="1:7" x14ac:dyDescent="0.25">
      <c r="A44" s="190" t="s">
        <v>158</v>
      </c>
      <c r="B44" s="197"/>
      <c r="C44" s="198"/>
      <c r="D44" s="182"/>
      <c r="E44" s="188" t="s">
        <v>87</v>
      </c>
      <c r="F44" s="191">
        <f>'Gouvernance A'!G44+'Ecosysteme B'!G44+'Actions 1er semestre 2018'!F44+'Action Second semestre '!F44+'Budget D'!G45+'Cellule Gds EV'!G44</f>
        <v>213372</v>
      </c>
      <c r="G44" s="198"/>
    </row>
    <row r="45" spans="1:7" x14ac:dyDescent="0.25">
      <c r="A45" s="190" t="s">
        <v>159</v>
      </c>
      <c r="B45" s="194"/>
      <c r="C45" s="189"/>
      <c r="D45" s="182"/>
      <c r="E45" s="188" t="s">
        <v>160</v>
      </c>
      <c r="F45" s="191">
        <f>'Cellule Gds EV'!G45</f>
        <v>50000</v>
      </c>
      <c r="G45" s="198"/>
    </row>
    <row r="46" spans="1:7" x14ac:dyDescent="0.25">
      <c r="A46" s="213" t="s">
        <v>75</v>
      </c>
      <c r="B46" s="312">
        <f ca="1">'Gouvernance A'!C46+'Ecosysteme B'!C46+'Actions 1er semestre 2018'!B46+'Action Second semestre '!B46</f>
        <v>0</v>
      </c>
      <c r="C46" s="187"/>
      <c r="D46" s="182"/>
      <c r="E46" s="188"/>
      <c r="F46" s="191"/>
      <c r="G46" s="198"/>
    </row>
    <row r="47" spans="1:7" x14ac:dyDescent="0.25">
      <c r="A47" s="188" t="s">
        <v>161</v>
      </c>
      <c r="B47" s="194"/>
      <c r="C47" s="189"/>
      <c r="D47" s="182"/>
      <c r="E47" s="188"/>
      <c r="F47" s="191"/>
      <c r="G47" s="189"/>
    </row>
    <row r="48" spans="1:7" x14ac:dyDescent="0.25">
      <c r="A48" s="213"/>
      <c r="B48" s="194"/>
      <c r="C48" s="189"/>
      <c r="D48" s="182"/>
      <c r="E48" s="190"/>
      <c r="F48" s="191"/>
      <c r="G48" s="189"/>
    </row>
    <row r="49" spans="1:7" x14ac:dyDescent="0.25">
      <c r="A49" s="213"/>
      <c r="B49" s="194"/>
      <c r="C49" s="189"/>
      <c r="D49" s="182"/>
      <c r="E49" s="190" t="s">
        <v>162</v>
      </c>
      <c r="F49" s="186"/>
      <c r="G49" s="187"/>
    </row>
    <row r="50" spans="1:7" x14ac:dyDescent="0.25">
      <c r="A50" s="190" t="s">
        <v>163</v>
      </c>
      <c r="B50" s="186"/>
      <c r="C50" s="187"/>
      <c r="D50" s="182"/>
      <c r="E50" s="188" t="s">
        <v>164</v>
      </c>
      <c r="F50" s="191">
        <f ca="1">B51</f>
        <v>60821.720000000016</v>
      </c>
      <c r="G50" s="195">
        <f ca="1">F50/B55</f>
        <v>4.0617297072653553E-2</v>
      </c>
    </row>
    <row r="51" spans="1:7" ht="15.75" x14ac:dyDescent="0.25">
      <c r="A51" s="213" t="s">
        <v>29</v>
      </c>
      <c r="B51" s="312">
        <f ca="1">'Gouvernance A'!C51+'Ecosysteme B'!C51+'Actions 1er semestre 2018'!B51+'Action Second semestre '!B51+'Cellule Gds EV'!C51</f>
        <v>60821.720000000016</v>
      </c>
      <c r="C51" s="195">
        <f ca="1">B51/B55</f>
        <v>4.0617297072653553E-2</v>
      </c>
      <c r="D51" s="217"/>
      <c r="E51" s="188" t="s">
        <v>165</v>
      </c>
      <c r="F51" s="191"/>
      <c r="G51" s="189"/>
    </row>
    <row r="52" spans="1:7" ht="15.75" x14ac:dyDescent="0.25">
      <c r="A52" s="188" t="s">
        <v>166</v>
      </c>
      <c r="B52" s="194"/>
      <c r="C52" s="189"/>
      <c r="D52" s="217"/>
      <c r="E52" s="188" t="s">
        <v>167</v>
      </c>
      <c r="F52" s="191"/>
      <c r="G52" s="189"/>
    </row>
    <row r="53" spans="1:7" x14ac:dyDescent="0.25">
      <c r="A53" s="188" t="s">
        <v>167</v>
      </c>
      <c r="B53" s="194"/>
      <c r="C53" s="189"/>
      <c r="E53" s="188"/>
      <c r="F53" s="191"/>
      <c r="G53" s="189"/>
    </row>
    <row r="54" spans="1:7" x14ac:dyDescent="0.25">
      <c r="A54" s="218"/>
      <c r="B54" s="313"/>
      <c r="C54" s="220"/>
      <c r="E54" s="188"/>
      <c r="F54" s="191"/>
      <c r="G54" s="189"/>
    </row>
    <row r="55" spans="1:7" x14ac:dyDescent="0.25">
      <c r="A55" s="221" t="s">
        <v>168</v>
      </c>
      <c r="B55" s="222">
        <f ca="1">SUM(B5:B54)</f>
        <v>1497433.96</v>
      </c>
      <c r="C55" s="223"/>
      <c r="E55" s="221" t="s">
        <v>169</v>
      </c>
      <c r="F55" s="224">
        <f ca="1">F50+F45+F44+F42+F39</f>
        <v>1497433.5576666668</v>
      </c>
      <c r="G55" s="223"/>
    </row>
    <row r="56" spans="1:7" x14ac:dyDescent="0.25">
      <c r="A56" s="182"/>
      <c r="B56" s="314"/>
      <c r="C56" s="226"/>
      <c r="E56" s="182"/>
      <c r="F56" s="314">
        <f ca="1">F55-B55</f>
        <v>-0.40233333315700293</v>
      </c>
      <c r="G56" s="227"/>
    </row>
    <row r="57" spans="1:7" ht="15.75" x14ac:dyDescent="0.25">
      <c r="A57" s="182"/>
      <c r="B57" s="315"/>
      <c r="C57" s="229"/>
      <c r="E57" s="217"/>
      <c r="F57" s="315"/>
      <c r="G57" s="230"/>
    </row>
    <row r="58" spans="1:7" ht="15.75" x14ac:dyDescent="0.25">
      <c r="A58" s="217"/>
      <c r="B58" s="315"/>
      <c r="C58" s="229"/>
      <c r="E58" s="217"/>
      <c r="F58" s="315"/>
      <c r="G58" s="226"/>
    </row>
    <row r="59" spans="1:7" ht="15.75" x14ac:dyDescent="0.25">
      <c r="C59" s="232"/>
      <c r="G59" s="229"/>
    </row>
  </sheetData>
  <mergeCells count="1">
    <mergeCell ref="A1:G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9"/>
  <sheetViews>
    <sheetView topLeftCell="A22" workbookViewId="0">
      <selection activeCell="F59" sqref="F59"/>
    </sheetView>
  </sheetViews>
  <sheetFormatPr baseColWidth="10" defaultRowHeight="15" x14ac:dyDescent="0.25"/>
  <cols>
    <col min="1" max="1" width="7.5703125" bestFit="1" customWidth="1"/>
    <col min="2" max="2" width="50.85546875" bestFit="1" customWidth="1"/>
    <col min="3" max="3" width="17.42578125" style="289" customWidth="1"/>
    <col min="5" max="5" width="5.42578125" customWidth="1"/>
    <col min="6" max="6" width="33" bestFit="1" customWidth="1"/>
  </cols>
  <sheetData>
    <row r="1" spans="1:8" ht="45" customHeight="1" x14ac:dyDescent="0.25">
      <c r="B1" s="366" t="s">
        <v>324</v>
      </c>
      <c r="C1" s="367"/>
      <c r="D1" s="367"/>
      <c r="E1" s="367"/>
      <c r="F1" s="367"/>
      <c r="G1" s="367"/>
      <c r="H1" s="368"/>
    </row>
    <row r="2" spans="1:8" x14ac:dyDescent="0.35">
      <c r="B2" s="176"/>
      <c r="C2" s="309"/>
      <c r="D2" s="178"/>
      <c r="E2" s="177"/>
      <c r="F2" s="177"/>
      <c r="G2" s="177"/>
      <c r="H2" s="178"/>
    </row>
    <row r="3" spans="1:8" x14ac:dyDescent="0.25">
      <c r="B3" s="179" t="s">
        <v>129</v>
      </c>
      <c r="C3" s="310" t="s">
        <v>130</v>
      </c>
      <c r="D3" s="181" t="s">
        <v>131</v>
      </c>
      <c r="E3" s="182"/>
      <c r="F3" s="179" t="s">
        <v>132</v>
      </c>
      <c r="G3" s="179" t="s">
        <v>130</v>
      </c>
      <c r="H3" s="181" t="s">
        <v>131</v>
      </c>
    </row>
    <row r="4" spans="1:8" ht="14.45" x14ac:dyDescent="0.35">
      <c r="B4" s="183" t="s">
        <v>133</v>
      </c>
      <c r="C4" s="311"/>
      <c r="D4" s="185"/>
      <c r="E4" s="182"/>
      <c r="F4" s="183" t="s">
        <v>134</v>
      </c>
      <c r="G4" s="186"/>
      <c r="H4" s="187"/>
    </row>
    <row r="5" spans="1:8" ht="14.45" x14ac:dyDescent="0.35">
      <c r="A5" t="str">
        <f>LEFT(B5,3)</f>
        <v>604</v>
      </c>
      <c r="B5" s="188" t="s">
        <v>135</v>
      </c>
      <c r="C5" s="312">
        <f>SUMIF('Recap dep rec'!$A:$A,'Gouvernance A'!A5,'Recap dep rec'!$D:$D)</f>
        <v>0</v>
      </c>
      <c r="D5" s="189"/>
      <c r="E5" s="182"/>
      <c r="F5" s="190"/>
      <c r="G5" s="191"/>
      <c r="H5" s="189"/>
    </row>
    <row r="6" spans="1:8" x14ac:dyDescent="0.25">
      <c r="A6" t="str">
        <f t="shared" ref="A6:A46" si="0">LEFT(B6,3)</f>
        <v>605</v>
      </c>
      <c r="B6" s="192" t="s">
        <v>136</v>
      </c>
      <c r="C6" s="312">
        <f>SUMIF('Recap dep rec'!$A:$A,'Gouvernance A'!A6,'Recap dep rec'!$D:$D)</f>
        <v>205.83333333333337</v>
      </c>
      <c r="D6" s="195">
        <f>C6/C55</f>
        <v>2.01416250126717E-3</v>
      </c>
      <c r="E6" s="182"/>
      <c r="F6" s="190" t="s">
        <v>137</v>
      </c>
      <c r="G6" s="191"/>
      <c r="H6" s="193"/>
    </row>
    <row r="7" spans="1:8" ht="14.45" x14ac:dyDescent="0.35">
      <c r="A7" t="str">
        <f t="shared" si="0"/>
        <v>606</v>
      </c>
      <c r="B7" s="192" t="s">
        <v>138</v>
      </c>
      <c r="C7" s="312">
        <f>SUMIF('Recap dep rec'!$A:$A,'Gouvernance A'!A7,'Recap dep rec'!$D:$D)</f>
        <v>926.25000000000011</v>
      </c>
      <c r="D7" s="195">
        <f>C7/C55</f>
        <v>9.0637312557022634E-3</v>
      </c>
      <c r="E7" s="182"/>
      <c r="F7" s="196"/>
      <c r="G7" s="191"/>
      <c r="H7" s="189"/>
    </row>
    <row r="8" spans="1:8" ht="14.45" x14ac:dyDescent="0.35">
      <c r="A8" t="str">
        <f t="shared" si="0"/>
        <v>607</v>
      </c>
      <c r="B8" s="188" t="s">
        <v>139</v>
      </c>
      <c r="C8" s="312">
        <f>SUMIF('Recap dep rec'!$A:$A,'Gouvernance A'!A8,'Recap dep rec'!$D:$D)</f>
        <v>0</v>
      </c>
      <c r="D8" s="189"/>
      <c r="E8" s="182"/>
      <c r="F8" s="196"/>
      <c r="G8" s="191"/>
      <c r="H8" s="189"/>
    </row>
    <row r="9" spans="1:8" ht="14.45" x14ac:dyDescent="0.35">
      <c r="A9" t="str">
        <f t="shared" si="0"/>
        <v/>
      </c>
      <c r="B9" s="188"/>
      <c r="C9" s="312"/>
      <c r="D9" s="189"/>
      <c r="E9" s="182"/>
      <c r="F9" s="196"/>
      <c r="G9" s="191"/>
      <c r="H9" s="189"/>
    </row>
    <row r="10" spans="1:8" x14ac:dyDescent="0.25">
      <c r="A10" t="str">
        <f t="shared" si="0"/>
        <v/>
      </c>
      <c r="B10" s="196"/>
      <c r="C10" s="312"/>
      <c r="D10" s="198"/>
      <c r="E10" s="182"/>
      <c r="F10" s="199" t="s">
        <v>140</v>
      </c>
      <c r="G10" s="191"/>
      <c r="H10" s="198"/>
    </row>
    <row r="11" spans="1:8" x14ac:dyDescent="0.25">
      <c r="B11" s="190" t="s">
        <v>141</v>
      </c>
      <c r="C11" s="312">
        <f>SUMIF('Recap dep rec'!$A:$A,'Gouvernance A'!A11,'Recap dep rec'!$D:$D)</f>
        <v>0</v>
      </c>
      <c r="D11" s="187"/>
      <c r="E11" s="182"/>
      <c r="F11" s="200"/>
      <c r="G11" s="191"/>
      <c r="H11" s="198"/>
    </row>
    <row r="12" spans="1:8" x14ac:dyDescent="0.25">
      <c r="A12" t="str">
        <f t="shared" si="0"/>
        <v>611</v>
      </c>
      <c r="B12" s="188" t="s">
        <v>142</v>
      </c>
      <c r="C12" s="312">
        <f>SUMIF('Recap dep rec'!$A:$A,'Gouvernance A'!A12,'Recap dep rec'!$D:$D)</f>
        <v>18000</v>
      </c>
      <c r="D12" s="263">
        <f>C12/C55</f>
        <v>0.17613728756020591</v>
      </c>
      <c r="E12" s="182"/>
      <c r="F12" s="201"/>
      <c r="G12" s="191"/>
      <c r="H12" s="198"/>
    </row>
    <row r="13" spans="1:8" ht="14.45" x14ac:dyDescent="0.35">
      <c r="A13" t="str">
        <f t="shared" si="0"/>
        <v>613</v>
      </c>
      <c r="B13" s="188" t="s">
        <v>170</v>
      </c>
      <c r="C13" s="312">
        <f>SUMIF('Recap dep rec'!$A:$A,'Gouvernance A'!A13,'Recap dep rec'!$D:$D)</f>
        <v>3245.8333333333335</v>
      </c>
      <c r="D13" s="263">
        <f>C13/C55</f>
        <v>3.176179328921306E-2</v>
      </c>
      <c r="E13" s="182"/>
      <c r="F13" s="202"/>
      <c r="G13" s="191"/>
      <c r="H13" s="198"/>
    </row>
    <row r="14" spans="1:8" ht="14.45" x14ac:dyDescent="0.35">
      <c r="A14" t="str">
        <f t="shared" si="0"/>
        <v>615</v>
      </c>
      <c r="B14" s="188" t="s">
        <v>65</v>
      </c>
      <c r="C14" s="312">
        <f>SUMIF('Recap dep rec'!$A:$A,'Gouvernance A'!A14,'Recap dep rec'!$D:$D)</f>
        <v>997.50000000000023</v>
      </c>
      <c r="D14" s="263">
        <f>C14/C55</f>
        <v>9.7609413522947459E-3</v>
      </c>
      <c r="E14" s="182"/>
      <c r="F14" s="202"/>
      <c r="G14" s="191"/>
      <c r="H14" s="198"/>
    </row>
    <row r="15" spans="1:8" x14ac:dyDescent="0.25">
      <c r="A15" t="str">
        <f t="shared" si="0"/>
        <v>616</v>
      </c>
      <c r="B15" s="188" t="s">
        <v>66</v>
      </c>
      <c r="C15" s="312">
        <f>SUMIF('Recap dep rec'!$A:$A,'Gouvernance A'!A15,'Recap dep rec'!$D:$D)</f>
        <v>636.5</v>
      </c>
      <c r="D15" s="263">
        <f>C15/C55</f>
        <v>6.2284101962261701E-3</v>
      </c>
      <c r="E15" s="182"/>
      <c r="F15" s="190" t="s">
        <v>143</v>
      </c>
      <c r="G15" s="191">
        <f>'Recap dep rec'!D38</f>
        <v>77298</v>
      </c>
      <c r="H15" s="263">
        <f>G15/C55</f>
        <v>0.75639222521271088</v>
      </c>
    </row>
    <row r="16" spans="1:8" ht="14.45" x14ac:dyDescent="0.35">
      <c r="A16" t="str">
        <f t="shared" si="0"/>
        <v>617</v>
      </c>
      <c r="B16" s="188" t="s">
        <v>67</v>
      </c>
      <c r="C16" s="312">
        <f>SUMIF('Recap dep rec'!$A:$A,'Gouvernance A'!A16,'Recap dep rec'!$D:$D)</f>
        <v>0</v>
      </c>
      <c r="D16" s="198"/>
      <c r="E16" s="182"/>
      <c r="F16" s="203"/>
      <c r="G16" s="191"/>
      <c r="H16" s="198"/>
    </row>
    <row r="17" spans="1:8" ht="14.45" x14ac:dyDescent="0.35">
      <c r="A17" t="str">
        <f t="shared" si="0"/>
        <v>618</v>
      </c>
      <c r="B17" s="188" t="s">
        <v>144</v>
      </c>
      <c r="C17" s="312">
        <f>SUMIF('Recap dep rec'!$A:$A,'Gouvernance A'!A17,'Recap dep rec'!$D:$D)</f>
        <v>253.33333333333337</v>
      </c>
      <c r="D17" s="198"/>
      <c r="E17" s="182"/>
      <c r="F17" s="203"/>
      <c r="G17" s="191"/>
      <c r="H17" s="198"/>
    </row>
    <row r="18" spans="1:8" ht="14.45" x14ac:dyDescent="0.35">
      <c r="A18" t="str">
        <f t="shared" si="0"/>
        <v/>
      </c>
      <c r="B18" s="188"/>
      <c r="C18" s="197"/>
      <c r="D18" s="198"/>
      <c r="E18" s="182"/>
      <c r="F18" s="202"/>
      <c r="G18" s="191"/>
      <c r="H18" s="198"/>
    </row>
    <row r="19" spans="1:8" x14ac:dyDescent="0.25">
      <c r="A19" t="str">
        <f t="shared" si="0"/>
        <v/>
      </c>
      <c r="B19" s="188"/>
      <c r="C19" s="197"/>
      <c r="D19" s="198"/>
      <c r="E19" s="204"/>
      <c r="F19" s="205" t="s">
        <v>174</v>
      </c>
      <c r="G19" s="191">
        <f>'Recap dep rec'!D39</f>
        <v>3500</v>
      </c>
      <c r="H19" s="263">
        <f>G19/C55</f>
        <v>3.4248917025595592E-2</v>
      </c>
    </row>
    <row r="20" spans="1:8" x14ac:dyDescent="0.25">
      <c r="B20" s="190" t="s">
        <v>146</v>
      </c>
      <c r="C20" s="186"/>
      <c r="D20" s="187"/>
      <c r="E20" s="182"/>
      <c r="F20" s="196"/>
      <c r="G20" s="191"/>
      <c r="H20" s="198"/>
    </row>
    <row r="21" spans="1:8" ht="14.45" x14ac:dyDescent="0.35">
      <c r="A21" t="str">
        <f t="shared" si="0"/>
        <v/>
      </c>
      <c r="B21" s="190"/>
      <c r="C21" s="186"/>
      <c r="D21" s="187"/>
      <c r="E21" s="182"/>
      <c r="F21" s="196"/>
      <c r="G21" s="191"/>
      <c r="H21" s="198"/>
    </row>
    <row r="22" spans="1:8" x14ac:dyDescent="0.25">
      <c r="A22" t="str">
        <f t="shared" si="0"/>
        <v>622</v>
      </c>
      <c r="B22" s="188" t="s">
        <v>147</v>
      </c>
      <c r="C22" s="312">
        <f>SUMIF('Recap dep rec'!$A:$A,'Gouvernance A'!A22,'Recap dep rec'!$D:$D)</f>
        <v>3214.166666666667</v>
      </c>
      <c r="D22" s="263">
        <f>C22/C55</f>
        <v>3.1451922135171957E-2</v>
      </c>
      <c r="E22" s="182"/>
      <c r="F22" s="203"/>
      <c r="G22" s="191"/>
      <c r="H22" s="198"/>
    </row>
    <row r="23" spans="1:8" ht="14.45" x14ac:dyDescent="0.35">
      <c r="A23" t="str">
        <f t="shared" si="0"/>
        <v xml:space="preserve">et </v>
      </c>
      <c r="B23" s="188" t="s">
        <v>148</v>
      </c>
      <c r="C23" s="312"/>
      <c r="D23" s="198"/>
      <c r="E23" s="182"/>
      <c r="F23" s="190"/>
      <c r="G23" s="191"/>
      <c r="H23" s="198"/>
    </row>
    <row r="24" spans="1:8" x14ac:dyDescent="0.25">
      <c r="A24" t="str">
        <f t="shared" si="0"/>
        <v>623</v>
      </c>
      <c r="B24" s="188" t="s">
        <v>149</v>
      </c>
      <c r="C24" s="312">
        <f>SUMIF('Recap dep rec'!$A:$A,'Gouvernance A'!A24,'Recap dep rec'!$D:$D)</f>
        <v>1235.0000000000002</v>
      </c>
      <c r="D24" s="198"/>
      <c r="E24" s="182"/>
      <c r="F24" s="190" t="s">
        <v>150</v>
      </c>
      <c r="G24" s="191"/>
      <c r="H24" s="198"/>
    </row>
    <row r="25" spans="1:8" x14ac:dyDescent="0.25">
      <c r="A25" t="str">
        <f t="shared" si="0"/>
        <v>625</v>
      </c>
      <c r="B25" s="188" t="s">
        <v>68</v>
      </c>
      <c r="C25" s="312">
        <f>SUMIF('Recap dep rec'!$A:$A,'Gouvernance A'!A25,'Recap dep rec'!$D:$D)</f>
        <v>4875.8333333333339</v>
      </c>
      <c r="D25" s="263">
        <f>C25/C55</f>
        <v>4.7712003218276157E-2</v>
      </c>
      <c r="E25" s="182"/>
      <c r="F25" s="196"/>
      <c r="G25" s="191"/>
      <c r="H25" s="198"/>
    </row>
    <row r="26" spans="1:8" x14ac:dyDescent="0.25">
      <c r="A26" t="str">
        <f t="shared" si="0"/>
        <v>626</v>
      </c>
      <c r="B26" s="188" t="s">
        <v>69</v>
      </c>
      <c r="C26" s="312">
        <f>SUMIF('Recap dep rec'!$A:$A,'Gouvernance A'!A26,'Recap dep rec'!$D:$D)</f>
        <v>934.16666666666674</v>
      </c>
      <c r="D26" s="263">
        <f>C26/C55</f>
        <v>9.141199044212539E-3</v>
      </c>
      <c r="E26" s="182"/>
      <c r="F26" s="196"/>
      <c r="G26" s="191"/>
      <c r="H26" s="198"/>
    </row>
    <row r="27" spans="1:8" x14ac:dyDescent="0.25">
      <c r="A27" t="str">
        <f t="shared" si="0"/>
        <v>628</v>
      </c>
      <c r="B27" s="188" t="s">
        <v>70</v>
      </c>
      <c r="C27" s="312">
        <f>SUMIF('Recap dep rec'!$A:$A,'Gouvernance A'!A27,'Recap dep rec'!$D:$D)</f>
        <v>3286.25</v>
      </c>
      <c r="D27" s="263">
        <f>C27/C55</f>
        <v>3.215728673581815E-2</v>
      </c>
      <c r="E27" s="182"/>
      <c r="F27" s="196"/>
      <c r="G27" s="191"/>
      <c r="H27" s="198"/>
    </row>
    <row r="28" spans="1:8" ht="14.45" x14ac:dyDescent="0.35">
      <c r="A28" t="str">
        <f t="shared" si="0"/>
        <v/>
      </c>
      <c r="B28" s="188"/>
      <c r="C28" s="197"/>
      <c r="D28" s="198"/>
      <c r="E28" s="182"/>
      <c r="F28" s="190" t="s">
        <v>151</v>
      </c>
      <c r="G28" s="191"/>
      <c r="H28" s="198"/>
    </row>
    <row r="29" spans="1:8" x14ac:dyDescent="0.25">
      <c r="B29" s="190" t="s">
        <v>171</v>
      </c>
      <c r="C29" s="197"/>
      <c r="D29" s="198"/>
      <c r="E29" s="182"/>
      <c r="F29" s="190"/>
      <c r="G29" s="191"/>
      <c r="H29" s="198"/>
    </row>
    <row r="30" spans="1:8" x14ac:dyDescent="0.25">
      <c r="A30" t="str">
        <f t="shared" si="0"/>
        <v>631</v>
      </c>
      <c r="B30" s="188" t="s">
        <v>172</v>
      </c>
      <c r="C30" s="312">
        <f>SUMIF('Recap dep rec'!$A:$A,'Gouvernance A'!A30,'Recap dep rec'!$D:$D)</f>
        <v>783.75</v>
      </c>
      <c r="D30" s="263">
        <f>C30/C55</f>
        <v>7.6693110625172993E-3</v>
      </c>
      <c r="E30" s="182"/>
      <c r="F30" s="190"/>
      <c r="G30" s="191"/>
      <c r="H30" s="198"/>
    </row>
    <row r="31" spans="1:8" x14ac:dyDescent="0.25">
      <c r="A31" t="str">
        <f t="shared" si="0"/>
        <v>635</v>
      </c>
      <c r="B31" s="188" t="s">
        <v>173</v>
      </c>
      <c r="C31" s="312">
        <f>SUMIF('Recap dep rec'!$A:$A,'Gouvernance A'!A31,'Recap dep rec'!$D:$D)</f>
        <v>168.94166666666669</v>
      </c>
      <c r="D31" s="263">
        <f>C31/C55</f>
        <v>1.6531626068092848E-3</v>
      </c>
      <c r="E31" s="182"/>
      <c r="F31" s="190"/>
      <c r="G31" s="191"/>
      <c r="H31" s="198"/>
    </row>
    <row r="32" spans="1:8" x14ac:dyDescent="0.25">
      <c r="B32" s="190" t="s">
        <v>152</v>
      </c>
      <c r="C32" s="206"/>
      <c r="D32" s="207"/>
      <c r="E32" s="182"/>
      <c r="F32" s="196"/>
      <c r="G32" s="191"/>
      <c r="H32" s="198"/>
    </row>
    <row r="33" spans="1:8" x14ac:dyDescent="0.25">
      <c r="A33" t="str">
        <f t="shared" si="0"/>
        <v>641</v>
      </c>
      <c r="B33" s="188" t="s">
        <v>71</v>
      </c>
      <c r="C33" s="312">
        <f>SUMIF('Recap dep rec'!$A:$A,'Gouvernance A'!A33,'Recap dep rec'!$D:$D)</f>
        <v>61924.020666666664</v>
      </c>
      <c r="D33" s="264">
        <f>C33/C55</f>
        <v>0.60595161305826661</v>
      </c>
      <c r="E33" s="182"/>
      <c r="F33" s="196"/>
      <c r="G33" s="191"/>
      <c r="H33" s="198"/>
    </row>
    <row r="34" spans="1:8" x14ac:dyDescent="0.25">
      <c r="A34" t="str">
        <f t="shared" si="0"/>
        <v>645</v>
      </c>
      <c r="B34" s="188" t="s">
        <v>72</v>
      </c>
      <c r="C34" s="312">
        <f>SUMIF('Recap dep rec'!$A:$A,'Gouvernance A'!A34,'Recap dep rec'!$D:$D)</f>
        <v>110.83333333333334</v>
      </c>
      <c r="D34" s="263">
        <f>C34/C55</f>
        <v>1.0845490391438607E-3</v>
      </c>
      <c r="E34" s="182"/>
      <c r="F34" s="196"/>
      <c r="G34" s="191"/>
      <c r="H34" s="198"/>
    </row>
    <row r="35" spans="1:8" x14ac:dyDescent="0.25">
      <c r="A35" t="str">
        <f t="shared" si="0"/>
        <v/>
      </c>
      <c r="B35" s="188"/>
      <c r="C35" s="197"/>
      <c r="D35" s="198"/>
      <c r="E35" s="182"/>
      <c r="F35" s="190" t="s">
        <v>153</v>
      </c>
      <c r="G35" s="191"/>
      <c r="H35" s="198"/>
    </row>
    <row r="36" spans="1:8" x14ac:dyDescent="0.25">
      <c r="A36" t="str">
        <f t="shared" si="0"/>
        <v/>
      </c>
      <c r="B36" s="188"/>
      <c r="C36" s="197"/>
      <c r="D36" s="198"/>
      <c r="E36" s="182"/>
      <c r="F36" s="208"/>
      <c r="G36" s="191"/>
      <c r="H36" s="198"/>
    </row>
    <row r="37" spans="1:8" x14ac:dyDescent="0.25">
      <c r="A37" t="str">
        <f t="shared" si="0"/>
        <v xml:space="preserve">65 </v>
      </c>
      <c r="B37" s="188" t="s">
        <v>73</v>
      </c>
      <c r="C37" s="312">
        <f>SUMIF('Recap dep rec'!$A:$A,'Gouvernance A'!A37,'Recap dep rec'!$D:$D)</f>
        <v>0</v>
      </c>
      <c r="D37" s="198"/>
      <c r="E37" s="182"/>
      <c r="F37" s="208"/>
      <c r="G37" s="191"/>
      <c r="H37" s="198"/>
    </row>
    <row r="38" spans="1:8" x14ac:dyDescent="0.25">
      <c r="A38" t="str">
        <f t="shared" si="0"/>
        <v/>
      </c>
      <c r="B38" s="190"/>
      <c r="C38" s="186"/>
      <c r="D38" s="187"/>
      <c r="E38" s="182"/>
      <c r="F38" s="208"/>
      <c r="G38" s="191"/>
      <c r="H38" s="198"/>
    </row>
    <row r="39" spans="1:8" x14ac:dyDescent="0.25">
      <c r="A39" t="str">
        <f t="shared" si="0"/>
        <v/>
      </c>
      <c r="B39" s="188"/>
      <c r="C39" s="197"/>
      <c r="D39" s="198"/>
      <c r="E39" s="182"/>
      <c r="F39" s="209" t="s">
        <v>154</v>
      </c>
      <c r="G39" s="210">
        <f>G15+G19</f>
        <v>80798</v>
      </c>
      <c r="H39" s="265">
        <f>H15+H19</f>
        <v>0.7906411422383065</v>
      </c>
    </row>
    <row r="40" spans="1:8" x14ac:dyDescent="0.25">
      <c r="A40" t="e">
        <f ca="1">GAUHE(B40,3)</f>
        <v>#NAME?</v>
      </c>
      <c r="B40" s="190" t="s">
        <v>155</v>
      </c>
      <c r="C40" s="197"/>
      <c r="D40" s="198"/>
      <c r="E40" s="182"/>
      <c r="F40" s="188"/>
      <c r="G40" s="191"/>
      <c r="H40" s="189"/>
    </row>
    <row r="41" spans="1:8" x14ac:dyDescent="0.25">
      <c r="A41" t="str">
        <f t="shared" si="0"/>
        <v>661</v>
      </c>
      <c r="B41" s="188" t="s">
        <v>74</v>
      </c>
      <c r="C41" s="312">
        <f>SUMIF('Recap dep rec'!$A:$A,'Gouvernance A'!A41,'Recap dep rec'!$D:$D)</f>
        <v>0</v>
      </c>
      <c r="D41" s="187"/>
      <c r="E41" s="182"/>
      <c r="F41" s="190" t="s">
        <v>156</v>
      </c>
      <c r="G41" s="186">
        <f>G44</f>
        <v>20000</v>
      </c>
      <c r="H41" s="264">
        <f>G41/C55</f>
        <v>0.19570809728911767</v>
      </c>
    </row>
    <row r="42" spans="1:8" x14ac:dyDescent="0.25">
      <c r="A42" t="str">
        <f t="shared" si="0"/>
        <v/>
      </c>
      <c r="B42" s="188"/>
      <c r="C42" s="197"/>
      <c r="D42" s="198"/>
      <c r="E42" s="182"/>
      <c r="F42" s="188" t="s">
        <v>88</v>
      </c>
      <c r="G42" s="191">
        <f>'Recap dep rec'!D35</f>
        <v>0</v>
      </c>
      <c r="H42" s="198"/>
    </row>
    <row r="43" spans="1:8" x14ac:dyDescent="0.25">
      <c r="A43" t="str">
        <f t="shared" si="0"/>
        <v/>
      </c>
      <c r="B43" s="188"/>
      <c r="C43" s="197"/>
      <c r="D43" s="198"/>
      <c r="E43" s="182"/>
      <c r="F43" s="188" t="s">
        <v>157</v>
      </c>
      <c r="G43" s="212"/>
      <c r="H43" s="198"/>
    </row>
    <row r="44" spans="1:8" x14ac:dyDescent="0.25">
      <c r="A44" t="str">
        <f t="shared" si="0"/>
        <v xml:space="preserve">68 </v>
      </c>
      <c r="B44" s="190" t="s">
        <v>158</v>
      </c>
      <c r="C44" s="197"/>
      <c r="D44" s="198"/>
      <c r="E44" s="182"/>
      <c r="F44" s="188" t="s">
        <v>87</v>
      </c>
      <c r="G44" s="191">
        <f>'Recap dep rec'!D33</f>
        <v>20000</v>
      </c>
      <c r="H44" s="198"/>
    </row>
    <row r="45" spans="1:8" x14ac:dyDescent="0.25">
      <c r="A45" t="str">
        <f t="shared" si="0"/>
        <v>aux</v>
      </c>
      <c r="B45" s="190" t="s">
        <v>159</v>
      </c>
      <c r="C45" s="194"/>
      <c r="D45" s="189"/>
      <c r="E45" s="182"/>
      <c r="F45" s="188" t="s">
        <v>160</v>
      </c>
      <c r="G45" s="191"/>
      <c r="H45" s="198"/>
    </row>
    <row r="46" spans="1:8" x14ac:dyDescent="0.25">
      <c r="A46" t="str">
        <f t="shared" si="0"/>
        <v>681</v>
      </c>
      <c r="B46" s="213" t="s">
        <v>75</v>
      </c>
      <c r="C46" s="312">
        <f>SUMIF('Recap dep rec'!$A:$A,'Gouvernance A'!A46,'Recap dep rec'!$D:$D)</f>
        <v>0</v>
      </c>
      <c r="D46" s="187"/>
      <c r="E46" s="182"/>
      <c r="F46" s="188"/>
      <c r="G46" s="191"/>
      <c r="H46" s="198"/>
    </row>
    <row r="47" spans="1:8" x14ac:dyDescent="0.25">
      <c r="B47" s="188" t="s">
        <v>161</v>
      </c>
      <c r="C47" s="194"/>
      <c r="D47" s="189"/>
      <c r="E47" s="182"/>
      <c r="F47" s="188"/>
      <c r="G47" s="191"/>
      <c r="H47" s="189"/>
    </row>
    <row r="48" spans="1:8" x14ac:dyDescent="0.25">
      <c r="B48" s="213"/>
      <c r="C48" s="194"/>
      <c r="D48" s="189"/>
      <c r="E48" s="182"/>
      <c r="F48" s="190"/>
      <c r="G48" s="191"/>
      <c r="H48" s="189"/>
    </row>
    <row r="49" spans="1:8" x14ac:dyDescent="0.25">
      <c r="B49" s="213"/>
      <c r="C49" s="194"/>
      <c r="D49" s="189"/>
      <c r="E49" s="182"/>
      <c r="F49" s="190" t="s">
        <v>162</v>
      </c>
      <c r="G49" s="214"/>
      <c r="H49" s="187"/>
    </row>
    <row r="50" spans="1:8" x14ac:dyDescent="0.25">
      <c r="B50" s="190" t="s">
        <v>163</v>
      </c>
      <c r="C50" s="186"/>
      <c r="D50" s="187"/>
      <c r="E50" s="182"/>
      <c r="F50" s="188" t="s">
        <v>164</v>
      </c>
      <c r="G50" s="215">
        <f>Analytique!H157</f>
        <v>1394.7999999999995</v>
      </c>
      <c r="H50" s="195">
        <f>G50/C55</f>
        <v>1.3648682704943063E-2</v>
      </c>
    </row>
    <row r="51" spans="1:8" ht="15.75" x14ac:dyDescent="0.25">
      <c r="A51" t="s">
        <v>325</v>
      </c>
      <c r="B51" s="213" t="s">
        <v>29</v>
      </c>
      <c r="C51" s="312">
        <f>SUMIF('Recap dep rec'!$A:$A,'Gouvernance A'!A51,'Recap dep rec'!$D:$D)</f>
        <v>1394.7999999999995</v>
      </c>
      <c r="D51" s="195">
        <f>C51/C55</f>
        <v>1.3648682704943063E-2</v>
      </c>
      <c r="E51" s="217"/>
      <c r="F51" s="188" t="s">
        <v>165</v>
      </c>
      <c r="G51" s="215"/>
      <c r="H51" s="189"/>
    </row>
    <row r="52" spans="1:8" ht="15.75" x14ac:dyDescent="0.25">
      <c r="B52" s="188" t="s">
        <v>166</v>
      </c>
      <c r="C52" s="194"/>
      <c r="D52" s="189"/>
      <c r="E52" s="217"/>
      <c r="F52" s="188" t="s">
        <v>167</v>
      </c>
      <c r="G52" s="215"/>
      <c r="H52" s="189"/>
    </row>
    <row r="53" spans="1:8" x14ac:dyDescent="0.25">
      <c r="B53" s="188" t="s">
        <v>167</v>
      </c>
      <c r="C53" s="194"/>
      <c r="D53" s="189"/>
      <c r="F53" s="188"/>
      <c r="G53" s="215"/>
      <c r="H53" s="189"/>
    </row>
    <row r="54" spans="1:8" x14ac:dyDescent="0.25">
      <c r="B54" s="218"/>
      <c r="C54" s="313"/>
      <c r="D54" s="220"/>
      <c r="F54" s="188"/>
      <c r="G54" s="215"/>
      <c r="H54" s="189"/>
    </row>
    <row r="55" spans="1:8" x14ac:dyDescent="0.25">
      <c r="B55" s="221" t="s">
        <v>168</v>
      </c>
      <c r="C55" s="222">
        <f>SUM(C4:C54)</f>
        <v>102193.01233333332</v>
      </c>
      <c r="D55" s="223"/>
      <c r="F55" s="221" t="s">
        <v>169</v>
      </c>
      <c r="G55" s="224">
        <f>G50+G41+G39</f>
        <v>102192.8</v>
      </c>
      <c r="H55" s="223"/>
    </row>
    <row r="56" spans="1:8" x14ac:dyDescent="0.25">
      <c r="B56" s="182"/>
      <c r="C56" s="314">
        <f>C55-'Recap dep rec'!D43</f>
        <v>0.21233333331474569</v>
      </c>
      <c r="D56" s="226"/>
      <c r="F56" s="182"/>
      <c r="G56" s="225"/>
      <c r="H56" s="227"/>
    </row>
    <row r="57" spans="1:8" ht="15.75" x14ac:dyDescent="0.25">
      <c r="B57" s="182" t="s">
        <v>419</v>
      </c>
      <c r="C57" s="315"/>
      <c r="D57" s="229"/>
      <c r="F57" s="217"/>
      <c r="G57" s="228"/>
      <c r="H57" s="230"/>
    </row>
    <row r="58" spans="1:8" ht="15.75" x14ac:dyDescent="0.25">
      <c r="B58" s="217" t="s">
        <v>420</v>
      </c>
      <c r="C58" s="315"/>
      <c r="D58" s="229"/>
      <c r="F58" s="217"/>
      <c r="G58" s="228"/>
      <c r="H58" s="226"/>
    </row>
    <row r="59" spans="1:8" ht="15.75" x14ac:dyDescent="0.25">
      <c r="D59" s="232"/>
      <c r="G59" s="231"/>
      <c r="H59" s="229"/>
    </row>
  </sheetData>
  <mergeCells count="1">
    <mergeCell ref="B1:H1"/>
  </mergeCells>
  <pageMargins left="0.7" right="0.7" top="0.75" bottom="0.75" header="0.3" footer="0.3"/>
  <pageSetup paperSize="9" orientation="portrait" verticalDpi="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9"/>
  <sheetViews>
    <sheetView topLeftCell="A34" workbookViewId="0">
      <selection activeCell="B57" sqref="B57"/>
    </sheetView>
  </sheetViews>
  <sheetFormatPr baseColWidth="10" defaultRowHeight="15" x14ac:dyDescent="0.25"/>
  <cols>
    <col min="1" max="1" width="7.5703125" bestFit="1" customWidth="1"/>
    <col min="2" max="2" width="50.85546875" bestFit="1" customWidth="1"/>
    <col min="3" max="3" width="15.140625" style="289" customWidth="1"/>
    <col min="5" max="5" width="5.42578125" customWidth="1"/>
    <col min="6" max="6" width="33" bestFit="1" customWidth="1"/>
  </cols>
  <sheetData>
    <row r="1" spans="1:8" ht="33.75" customHeight="1" x14ac:dyDescent="0.25">
      <c r="B1" s="366" t="s">
        <v>326</v>
      </c>
      <c r="C1" s="367"/>
      <c r="D1" s="367"/>
      <c r="E1" s="367"/>
      <c r="F1" s="367"/>
      <c r="G1" s="367"/>
      <c r="H1" s="368"/>
    </row>
    <row r="2" spans="1:8" x14ac:dyDescent="0.35">
      <c r="B2" s="176"/>
      <c r="C2" s="309"/>
      <c r="D2" s="178"/>
      <c r="E2" s="177"/>
      <c r="F2" s="177"/>
      <c r="G2" s="177"/>
      <c r="H2" s="178"/>
    </row>
    <row r="3" spans="1:8" x14ac:dyDescent="0.25">
      <c r="B3" s="179" t="s">
        <v>129</v>
      </c>
      <c r="C3" s="310" t="s">
        <v>37</v>
      </c>
      <c r="D3" s="181" t="s">
        <v>131</v>
      </c>
      <c r="E3" s="182"/>
      <c r="F3" s="179" t="s">
        <v>132</v>
      </c>
      <c r="G3" s="179" t="s">
        <v>130</v>
      </c>
      <c r="H3" s="181" t="s">
        <v>131</v>
      </c>
    </row>
    <row r="4" spans="1:8" ht="14.45" x14ac:dyDescent="0.35">
      <c r="B4" s="183" t="s">
        <v>133</v>
      </c>
      <c r="C4" s="317"/>
      <c r="D4" s="185"/>
      <c r="E4" s="182"/>
      <c r="F4" s="183" t="s">
        <v>134</v>
      </c>
      <c r="G4" s="186"/>
      <c r="H4" s="187"/>
    </row>
    <row r="5" spans="1:8" ht="14.45" x14ac:dyDescent="0.35">
      <c r="A5" t="str">
        <f>LEFT(B5,3)</f>
        <v>604</v>
      </c>
      <c r="B5" s="188" t="s">
        <v>135</v>
      </c>
      <c r="C5" s="191">
        <f>SUMIF('Recap dep rec'!$A:$A,'Ecosysteme B'!A5,'Recap dep rec'!$E:$E)</f>
        <v>0</v>
      </c>
      <c r="D5" s="189"/>
      <c r="E5" s="182"/>
      <c r="F5" s="190"/>
      <c r="G5" s="191"/>
      <c r="H5" s="189"/>
    </row>
    <row r="6" spans="1:8" x14ac:dyDescent="0.25">
      <c r="A6" t="str">
        <f t="shared" ref="A6:A46" si="0">LEFT(B6,3)</f>
        <v>605</v>
      </c>
      <c r="B6" s="192" t="s">
        <v>136</v>
      </c>
      <c r="C6" s="191">
        <f>SUMIF('Recap dep rec'!$A:$A,'Ecosysteme B'!A6,'Recap dep rec'!$E:$E)</f>
        <v>418.16666666666657</v>
      </c>
      <c r="D6" s="195">
        <f>C6/C55</f>
        <v>1.9008155396874464E-3</v>
      </c>
      <c r="E6" s="182"/>
      <c r="F6" s="190" t="s">
        <v>137</v>
      </c>
      <c r="G6" s="191"/>
      <c r="H6" s="193"/>
    </row>
    <row r="7" spans="1:8" ht="14.45" x14ac:dyDescent="0.35">
      <c r="A7" t="str">
        <f t="shared" si="0"/>
        <v>606</v>
      </c>
      <c r="B7" s="192" t="s">
        <v>138</v>
      </c>
      <c r="C7" s="191">
        <f>SUMIF('Recap dep rec'!$A:$A,'Ecosysteme B'!A7,'Recap dep rec'!$E:$E)</f>
        <v>4881.75</v>
      </c>
      <c r="D7" s="195">
        <f>C7/C55</f>
        <v>2.2190449408216486E-2</v>
      </c>
      <c r="E7" s="182"/>
      <c r="F7" s="196"/>
      <c r="G7" s="191"/>
      <c r="H7" s="189"/>
    </row>
    <row r="8" spans="1:8" ht="14.45" x14ac:dyDescent="0.35">
      <c r="A8" t="str">
        <f t="shared" si="0"/>
        <v>607</v>
      </c>
      <c r="B8" s="188" t="s">
        <v>139</v>
      </c>
      <c r="C8" s="191"/>
      <c r="D8" s="189"/>
      <c r="E8" s="182"/>
      <c r="F8" s="196"/>
      <c r="G8" s="191"/>
      <c r="H8" s="189"/>
    </row>
    <row r="9" spans="1:8" ht="14.45" x14ac:dyDescent="0.35">
      <c r="A9" t="str">
        <f t="shared" si="0"/>
        <v/>
      </c>
      <c r="B9" s="188"/>
      <c r="C9" s="191"/>
      <c r="D9" s="189"/>
      <c r="E9" s="182"/>
      <c r="F9" s="196"/>
      <c r="G9" s="191"/>
      <c r="H9" s="189"/>
    </row>
    <row r="10" spans="1:8" x14ac:dyDescent="0.25">
      <c r="A10" t="str">
        <f t="shared" si="0"/>
        <v/>
      </c>
      <c r="B10" s="196"/>
      <c r="C10" s="235"/>
      <c r="D10" s="198"/>
      <c r="E10" s="182"/>
      <c r="F10" s="199" t="s">
        <v>140</v>
      </c>
      <c r="G10" s="191"/>
      <c r="H10" s="198"/>
    </row>
    <row r="11" spans="1:8" x14ac:dyDescent="0.25">
      <c r="B11" s="190" t="s">
        <v>141</v>
      </c>
      <c r="C11" s="236"/>
      <c r="D11" s="187"/>
      <c r="E11" s="182"/>
      <c r="F11" s="200"/>
      <c r="G11" s="191"/>
      <c r="H11" s="198"/>
    </row>
    <row r="12" spans="1:8" x14ac:dyDescent="0.25">
      <c r="A12" t="str">
        <f t="shared" si="0"/>
        <v>611</v>
      </c>
      <c r="B12" s="188" t="s">
        <v>142</v>
      </c>
      <c r="C12" s="191">
        <f>SUMIF('Recap dep rec'!$A:$A,'Ecosysteme B'!A12,'Recap dep rec'!$E:$E)</f>
        <v>52500</v>
      </c>
      <c r="D12" s="263">
        <f>C12/C55</f>
        <v>0.23864364089340204</v>
      </c>
      <c r="E12" s="182"/>
      <c r="F12" s="201"/>
      <c r="G12" s="191"/>
      <c r="H12" s="198"/>
    </row>
    <row r="13" spans="1:8" ht="14.45" x14ac:dyDescent="0.35">
      <c r="A13" t="str">
        <f t="shared" si="0"/>
        <v>613</v>
      </c>
      <c r="B13" s="188" t="s">
        <v>170</v>
      </c>
      <c r="C13" s="191">
        <f>SUMIF('Recap dep rec'!$A:$A,'Ecosysteme B'!A13,'Recap dep rec'!$E:$E)</f>
        <v>6594.1666666666652</v>
      </c>
      <c r="D13" s="263">
        <f>C13/C55</f>
        <v>2.997439889507127E-2</v>
      </c>
      <c r="E13" s="182"/>
      <c r="F13" s="202"/>
      <c r="G13" s="191"/>
      <c r="H13" s="198"/>
    </row>
    <row r="14" spans="1:8" ht="14.45" x14ac:dyDescent="0.35">
      <c r="A14" t="str">
        <f t="shared" si="0"/>
        <v>615</v>
      </c>
      <c r="B14" s="188" t="s">
        <v>65</v>
      </c>
      <c r="C14" s="191">
        <f>SUMIF('Recap dep rec'!$A:$A,'Ecosysteme B'!A14,'Recap dep rec'!$E:$E)</f>
        <v>4826.5</v>
      </c>
      <c r="D14" s="263">
        <f>C14/C55</f>
        <v>2.1939305386133427E-2</v>
      </c>
      <c r="E14" s="182"/>
      <c r="F14" s="202"/>
      <c r="G14" s="191"/>
      <c r="H14" s="198"/>
    </row>
    <row r="15" spans="1:8" x14ac:dyDescent="0.25">
      <c r="A15" t="str">
        <f t="shared" si="0"/>
        <v>616</v>
      </c>
      <c r="B15" s="188" t="s">
        <v>66</v>
      </c>
      <c r="C15" s="191">
        <f>SUMIF('Recap dep rec'!$A:$A,'Ecosysteme B'!A15,'Recap dep rec'!$E:$E)</f>
        <v>1293.0999999999997</v>
      </c>
      <c r="D15" s="263">
        <f>C15/C55</f>
        <v>5.8779065150334877E-3</v>
      </c>
      <c r="E15" s="182"/>
      <c r="F15" s="190" t="s">
        <v>143</v>
      </c>
      <c r="G15" s="191">
        <f>'Recap dep rec'!E38</f>
        <v>90328</v>
      </c>
      <c r="H15" s="263">
        <f>G15/C55</f>
        <v>0.41059433894512798</v>
      </c>
    </row>
    <row r="16" spans="1:8" ht="14.45" x14ac:dyDescent="0.35">
      <c r="A16" t="str">
        <f t="shared" si="0"/>
        <v>617</v>
      </c>
      <c r="B16" s="188" t="s">
        <v>67</v>
      </c>
      <c r="C16" s="191">
        <f>SUMIF('Recap dep rec'!$A:$A,'Ecosysteme B'!A16,'Recap dep rec'!$E:$E)</f>
        <v>300</v>
      </c>
      <c r="D16" s="263">
        <f>C16/C55</f>
        <v>1.3636779479622974E-3</v>
      </c>
      <c r="E16" s="182"/>
      <c r="F16" s="203"/>
      <c r="G16" s="191"/>
      <c r="H16" s="198"/>
    </row>
    <row r="17" spans="1:8" ht="14.45" x14ac:dyDescent="0.35">
      <c r="A17" t="str">
        <f t="shared" si="0"/>
        <v>618</v>
      </c>
      <c r="B17" s="188" t="s">
        <v>144</v>
      </c>
      <c r="C17" s="191">
        <f>SUMIF('Recap dep rec'!$A:$A,'Ecosysteme B'!A17,'Recap dep rec'!$E:$E)</f>
        <v>514.66666666666652</v>
      </c>
      <c r="D17" s="263">
        <f>C17/C55</f>
        <v>2.3394652796153185E-3</v>
      </c>
      <c r="E17" s="182"/>
      <c r="F17" s="203"/>
      <c r="G17" s="191"/>
      <c r="H17" s="198"/>
    </row>
    <row r="18" spans="1:8" ht="14.45" x14ac:dyDescent="0.35">
      <c r="A18" t="str">
        <f t="shared" si="0"/>
        <v/>
      </c>
      <c r="B18" s="188"/>
      <c r="C18" s="235"/>
      <c r="D18" s="198"/>
      <c r="E18" s="182"/>
      <c r="F18" s="202"/>
      <c r="G18" s="191"/>
      <c r="H18" s="198"/>
    </row>
    <row r="19" spans="1:8" x14ac:dyDescent="0.25">
      <c r="A19" t="str">
        <f t="shared" si="0"/>
        <v/>
      </c>
      <c r="B19" s="188"/>
      <c r="C19" s="235"/>
      <c r="D19" s="198"/>
      <c r="E19" s="204"/>
      <c r="F19" s="205" t="s">
        <v>174</v>
      </c>
      <c r="G19" s="191"/>
      <c r="H19" s="198"/>
    </row>
    <row r="20" spans="1:8" x14ac:dyDescent="0.25">
      <c r="B20" s="190" t="s">
        <v>146</v>
      </c>
      <c r="C20" s="236"/>
      <c r="D20" s="187"/>
      <c r="E20" s="182"/>
      <c r="F20" s="196"/>
      <c r="G20" s="191"/>
      <c r="H20" s="198"/>
    </row>
    <row r="21" spans="1:8" x14ac:dyDescent="0.25">
      <c r="A21" t="str">
        <f t="shared" si="0"/>
        <v>621</v>
      </c>
      <c r="B21" s="188" t="s">
        <v>175</v>
      </c>
      <c r="C21" s="191">
        <f>SUMIF('Recap dep rec'!$A:$A,'Ecosysteme B'!A21,'Recap dep rec'!$E:$E)</f>
        <v>0</v>
      </c>
      <c r="D21" s="187">
        <f>C21/C55</f>
        <v>0</v>
      </c>
      <c r="E21" s="182"/>
      <c r="F21" s="196"/>
      <c r="G21" s="191"/>
      <c r="H21" s="198"/>
    </row>
    <row r="22" spans="1:8" x14ac:dyDescent="0.25">
      <c r="A22" t="str">
        <f t="shared" si="0"/>
        <v>622</v>
      </c>
      <c r="B22" s="316" t="s">
        <v>147</v>
      </c>
      <c r="C22" s="191">
        <f>SUMIF('Recap dep rec'!$A:$A,'Ecosysteme B'!A22,'Recap dep rec'!$E:$E)</f>
        <v>6529.833333333333</v>
      </c>
      <c r="D22" s="263">
        <f>C22/C55</f>
        <v>2.9681965735119359E-2</v>
      </c>
      <c r="E22" s="182"/>
      <c r="F22" s="203"/>
      <c r="G22" s="191"/>
      <c r="H22" s="198"/>
    </row>
    <row r="23" spans="1:8" ht="14.45" x14ac:dyDescent="0.35">
      <c r="A23" t="str">
        <f t="shared" si="0"/>
        <v xml:space="preserve">et </v>
      </c>
      <c r="B23" s="188" t="s">
        <v>148</v>
      </c>
      <c r="C23" s="191"/>
      <c r="D23" s="198"/>
      <c r="E23" s="182"/>
      <c r="F23" s="190"/>
      <c r="G23" s="191"/>
      <c r="H23" s="198"/>
    </row>
    <row r="24" spans="1:8" x14ac:dyDescent="0.25">
      <c r="A24" t="str">
        <f t="shared" si="0"/>
        <v>623</v>
      </c>
      <c r="B24" s="188" t="s">
        <v>149</v>
      </c>
      <c r="C24" s="191">
        <f>SUMIF('Recap dep rec'!$A:$A,'Ecosysteme B'!A24,'Recap dep rec'!$E:$E)</f>
        <v>3108.9999999999991</v>
      </c>
      <c r="D24" s="198"/>
      <c r="E24" s="182"/>
      <c r="F24" s="190" t="s">
        <v>150</v>
      </c>
      <c r="G24" s="191"/>
      <c r="H24" s="198"/>
    </row>
    <row r="25" spans="1:8" x14ac:dyDescent="0.25">
      <c r="A25" t="str">
        <f t="shared" si="0"/>
        <v>625</v>
      </c>
      <c r="B25" s="188" t="s">
        <v>68</v>
      </c>
      <c r="C25" s="191">
        <f>SUMIF('Recap dep rec'!$A:$A,'Ecosysteme B'!A25,'Recap dep rec'!$E:$E)</f>
        <v>17796.166666666664</v>
      </c>
      <c r="D25" s="263">
        <f>C25/C55</f>
        <v>8.0894133471983445E-2</v>
      </c>
      <c r="E25" s="182"/>
      <c r="F25" s="196"/>
      <c r="G25" s="191"/>
      <c r="H25" s="198"/>
    </row>
    <row r="26" spans="1:8" x14ac:dyDescent="0.25">
      <c r="A26" t="str">
        <f t="shared" si="0"/>
        <v>626</v>
      </c>
      <c r="B26" s="188" t="s">
        <v>69</v>
      </c>
      <c r="C26" s="191">
        <f>SUMIF('Recap dep rec'!$A:$A,'Ecosysteme B'!A26,'Recap dep rec'!$E:$E)</f>
        <v>1897.833333333333</v>
      </c>
      <c r="D26" s="263">
        <f>C26/C55</f>
        <v>8.6267782185814879E-3</v>
      </c>
      <c r="E26" s="182"/>
      <c r="F26" s="196"/>
      <c r="G26" s="191"/>
      <c r="H26" s="198"/>
    </row>
    <row r="27" spans="1:8" x14ac:dyDescent="0.25">
      <c r="A27" t="str">
        <f t="shared" si="0"/>
        <v>628</v>
      </c>
      <c r="B27" s="188" t="s">
        <v>70</v>
      </c>
      <c r="C27" s="191">
        <f>SUMIF('Recap dep rec'!$A:$A,'Ecosysteme B'!A27,'Recap dep rec'!$E:$E)</f>
        <v>4089.75</v>
      </c>
      <c r="D27" s="263">
        <f>C27/C55</f>
        <v>1.859033962559602E-2</v>
      </c>
      <c r="E27" s="182"/>
      <c r="F27" s="196"/>
      <c r="G27" s="191"/>
      <c r="H27" s="198"/>
    </row>
    <row r="28" spans="1:8" x14ac:dyDescent="0.25">
      <c r="A28" t="str">
        <f t="shared" si="0"/>
        <v/>
      </c>
      <c r="B28" s="188"/>
      <c r="C28" s="235"/>
      <c r="D28" s="198"/>
      <c r="E28" s="182"/>
      <c r="F28" s="190" t="s">
        <v>151</v>
      </c>
      <c r="G28" s="191"/>
      <c r="H28" s="198"/>
    </row>
    <row r="29" spans="1:8" x14ac:dyDescent="0.25">
      <c r="B29" s="190" t="s">
        <v>171</v>
      </c>
      <c r="C29" s="235"/>
      <c r="D29" s="198"/>
      <c r="E29" s="182"/>
      <c r="F29" s="190"/>
      <c r="G29" s="191"/>
      <c r="H29" s="198"/>
    </row>
    <row r="30" spans="1:8" x14ac:dyDescent="0.25">
      <c r="A30" t="str">
        <f t="shared" si="0"/>
        <v>631</v>
      </c>
      <c r="B30" s="188" t="s">
        <v>172</v>
      </c>
      <c r="C30" s="191">
        <f>SUMIF('Recap dep rec'!$A:$A,'Ecosysteme B'!A30,'Recap dep rec'!$E:$E)</f>
        <v>1592.2499999999998</v>
      </c>
      <c r="D30" s="263">
        <f>C30/C55</f>
        <v>7.2377207088098923E-3</v>
      </c>
      <c r="E30" s="182"/>
      <c r="F30" s="190"/>
      <c r="G30" s="191"/>
      <c r="H30" s="198"/>
    </row>
    <row r="31" spans="1:8" x14ac:dyDescent="0.25">
      <c r="A31" t="str">
        <f t="shared" si="0"/>
        <v>635</v>
      </c>
      <c r="B31" s="188" t="s">
        <v>173</v>
      </c>
      <c r="C31" s="191">
        <f>SUMIF('Recap dep rec'!$A:$A,'Ecosysteme B'!A31,'Recap dep rec'!$E:$E)</f>
        <v>343.21833333333325</v>
      </c>
      <c r="D31" s="263">
        <f>C31/C55</f>
        <v>1.5601309083434656E-3</v>
      </c>
      <c r="E31" s="182"/>
      <c r="F31" s="190"/>
      <c r="G31" s="191"/>
      <c r="H31" s="198"/>
    </row>
    <row r="32" spans="1:8" x14ac:dyDescent="0.25">
      <c r="B32" s="190" t="s">
        <v>152</v>
      </c>
      <c r="C32" s="237"/>
      <c r="D32" s="207"/>
      <c r="E32" s="182"/>
      <c r="F32" s="196"/>
      <c r="G32" s="191"/>
      <c r="H32" s="198"/>
    </row>
    <row r="33" spans="1:8" x14ac:dyDescent="0.25">
      <c r="A33" t="str">
        <f t="shared" si="0"/>
        <v>641</v>
      </c>
      <c r="B33" s="188" t="s">
        <v>71</v>
      </c>
      <c r="C33" s="191">
        <f>SUMIF('Recap dep rec'!$A:$A,'Ecosysteme B'!A33,'Recap dep rec'!$E:$E)</f>
        <v>73654.802933333325</v>
      </c>
      <c r="D33" s="264">
        <f>C33/C55</f>
        <v>0.33480476840565132</v>
      </c>
      <c r="E33" s="182"/>
      <c r="F33" s="196"/>
      <c r="G33" s="191"/>
      <c r="H33" s="198"/>
    </row>
    <row r="34" spans="1:8" x14ac:dyDescent="0.25">
      <c r="A34" t="str">
        <f t="shared" si="0"/>
        <v>645</v>
      </c>
      <c r="B34" s="188" t="s">
        <v>72</v>
      </c>
      <c r="C34" s="191">
        <f>SUMIF('Recap dep rec'!$A:$A,'Ecosysteme B'!A34,'Recap dep rec'!$E:$E)</f>
        <v>225.16666666666663</v>
      </c>
      <c r="D34" s="263">
        <f>C34/C55</f>
        <v>1.023516059831702E-3</v>
      </c>
      <c r="E34" s="182"/>
      <c r="F34" s="196"/>
      <c r="G34" s="191"/>
      <c r="H34" s="198"/>
    </row>
    <row r="35" spans="1:8" x14ac:dyDescent="0.25">
      <c r="A35" t="str">
        <f t="shared" si="0"/>
        <v/>
      </c>
      <c r="B35" s="188"/>
      <c r="C35" s="235"/>
      <c r="D35" s="198"/>
      <c r="E35" s="182"/>
      <c r="F35" s="190" t="s">
        <v>153</v>
      </c>
      <c r="G35" s="191"/>
      <c r="H35" s="198"/>
    </row>
    <row r="36" spans="1:8" x14ac:dyDescent="0.25">
      <c r="A36" t="str">
        <f t="shared" si="0"/>
        <v/>
      </c>
      <c r="B36" s="188"/>
      <c r="C36" s="235"/>
      <c r="D36" s="198"/>
      <c r="E36" s="182"/>
      <c r="F36" s="208"/>
      <c r="G36" s="191"/>
      <c r="H36" s="198"/>
    </row>
    <row r="37" spans="1:8" x14ac:dyDescent="0.25">
      <c r="A37" t="str">
        <f t="shared" si="0"/>
        <v xml:space="preserve">65 </v>
      </c>
      <c r="B37" s="188" t="s">
        <v>73</v>
      </c>
      <c r="C37" s="191">
        <f>SUMIF('Recap dep rec'!$A:$A,'Ecosysteme B'!A37,'Recap dep rec'!$E:$E)</f>
        <v>0</v>
      </c>
      <c r="D37" s="198"/>
      <c r="E37" s="182"/>
      <c r="F37" s="208"/>
      <c r="G37" s="191"/>
      <c r="H37" s="198"/>
    </row>
    <row r="38" spans="1:8" x14ac:dyDescent="0.25">
      <c r="A38" t="str">
        <f t="shared" si="0"/>
        <v/>
      </c>
      <c r="B38" s="190"/>
      <c r="C38" s="236"/>
      <c r="D38" s="187"/>
      <c r="E38" s="182"/>
      <c r="F38" s="208"/>
      <c r="G38" s="191"/>
      <c r="H38" s="198"/>
    </row>
    <row r="39" spans="1:8" x14ac:dyDescent="0.25">
      <c r="A39" t="str">
        <f t="shared" si="0"/>
        <v/>
      </c>
      <c r="B39" s="188"/>
      <c r="C39" s="235"/>
      <c r="D39" s="198"/>
      <c r="E39" s="182"/>
      <c r="F39" s="209" t="s">
        <v>154</v>
      </c>
      <c r="G39" s="210">
        <f>G15+G19</f>
        <v>90328</v>
      </c>
      <c r="H39" s="265">
        <f>H15</f>
        <v>0.41059433894512798</v>
      </c>
    </row>
    <row r="40" spans="1:8" x14ac:dyDescent="0.25">
      <c r="B40" s="190" t="s">
        <v>155</v>
      </c>
      <c r="C40" s="235"/>
      <c r="D40" s="198"/>
      <c r="E40" s="182"/>
      <c r="F40" s="188"/>
      <c r="G40" s="191"/>
      <c r="H40" s="189"/>
    </row>
    <row r="41" spans="1:8" x14ac:dyDescent="0.25">
      <c r="A41" t="str">
        <f t="shared" si="0"/>
        <v>661</v>
      </c>
      <c r="B41" s="188" t="s">
        <v>74</v>
      </c>
      <c r="C41" s="191">
        <f>SUMIF('Recap dep rec'!$A:$A,'Ecosysteme B'!A41,'Recap dep rec'!$E:$E)</f>
        <v>0</v>
      </c>
      <c r="D41" s="187"/>
      <c r="E41" s="182"/>
      <c r="F41" s="190" t="s">
        <v>156</v>
      </c>
      <c r="G41" s="186">
        <f>G42+G44</f>
        <v>90238.2</v>
      </c>
      <c r="H41" s="264">
        <f>G41/C55</f>
        <v>0.41018614467937126</v>
      </c>
    </row>
    <row r="42" spans="1:8" x14ac:dyDescent="0.25">
      <c r="A42" t="str">
        <f t="shared" si="0"/>
        <v/>
      </c>
      <c r="B42" s="188"/>
      <c r="C42" s="235"/>
      <c r="D42" s="198"/>
      <c r="E42" s="182"/>
      <c r="F42" s="188" t="s">
        <v>88</v>
      </c>
      <c r="G42" s="191">
        <f>'Recap dep rec'!E35</f>
        <v>5021.2</v>
      </c>
      <c r="H42" s="198"/>
    </row>
    <row r="43" spans="1:8" x14ac:dyDescent="0.25">
      <c r="A43" t="str">
        <f t="shared" si="0"/>
        <v/>
      </c>
      <c r="B43" s="188"/>
      <c r="C43" s="235"/>
      <c r="D43" s="198"/>
      <c r="E43" s="182"/>
      <c r="F43" s="188" t="s">
        <v>157</v>
      </c>
      <c r="G43" s="212"/>
      <c r="H43" s="198"/>
    </row>
    <row r="44" spans="1:8" x14ac:dyDescent="0.25">
      <c r="A44" t="str">
        <f t="shared" si="0"/>
        <v xml:space="preserve">68 </v>
      </c>
      <c r="B44" s="190" t="s">
        <v>158</v>
      </c>
      <c r="C44" s="235"/>
      <c r="D44" s="198"/>
      <c r="E44" s="182"/>
      <c r="F44" s="188" t="s">
        <v>87</v>
      </c>
      <c r="G44" s="191">
        <f>'Recap dep rec'!E33</f>
        <v>85217</v>
      </c>
      <c r="H44" s="198"/>
    </row>
    <row r="45" spans="1:8" x14ac:dyDescent="0.25">
      <c r="A45" t="str">
        <f t="shared" si="0"/>
        <v>aux</v>
      </c>
      <c r="B45" s="190" t="s">
        <v>159</v>
      </c>
      <c r="C45" s="191"/>
      <c r="D45" s="189"/>
      <c r="E45" s="182"/>
      <c r="F45" s="188" t="s">
        <v>160</v>
      </c>
      <c r="G45" s="191"/>
      <c r="H45" s="198"/>
    </row>
    <row r="46" spans="1:8" x14ac:dyDescent="0.25">
      <c r="A46" t="str">
        <f t="shared" si="0"/>
        <v>681</v>
      </c>
      <c r="B46" s="213" t="s">
        <v>75</v>
      </c>
      <c r="C46" s="191">
        <f>SUMIF('Recap dep rec'!$A:$A,'Ecosysteme B'!A46,'Recap dep rec'!$E:$E)</f>
        <v>0</v>
      </c>
      <c r="D46" s="187"/>
      <c r="E46" s="182"/>
      <c r="F46" s="188"/>
      <c r="G46" s="191"/>
      <c r="H46" s="198"/>
    </row>
    <row r="47" spans="1:8" x14ac:dyDescent="0.25">
      <c r="B47" s="188" t="s">
        <v>161</v>
      </c>
      <c r="C47" s="191"/>
      <c r="D47" s="189"/>
      <c r="E47" s="182"/>
      <c r="F47" s="188"/>
      <c r="G47" s="191"/>
      <c r="H47" s="189"/>
    </row>
    <row r="48" spans="1:8" x14ac:dyDescent="0.25">
      <c r="B48" s="213"/>
      <c r="C48" s="191"/>
      <c r="D48" s="189"/>
      <c r="E48" s="182"/>
      <c r="F48" s="190"/>
      <c r="G48" s="191"/>
      <c r="H48" s="189"/>
    </row>
    <row r="49" spans="1:8" x14ac:dyDescent="0.25">
      <c r="B49" s="213"/>
      <c r="C49" s="191"/>
      <c r="D49" s="189"/>
      <c r="E49" s="182"/>
      <c r="F49" s="190" t="s">
        <v>162</v>
      </c>
      <c r="G49" s="214"/>
      <c r="H49" s="187"/>
    </row>
    <row r="50" spans="1:8" x14ac:dyDescent="0.25">
      <c r="B50" s="190" t="s">
        <v>163</v>
      </c>
      <c r="C50" s="236"/>
      <c r="D50" s="187"/>
      <c r="E50" s="182"/>
      <c r="F50" s="188" t="s">
        <v>164</v>
      </c>
      <c r="G50" s="191">
        <f>Analytique!I157</f>
        <v>39426.920000000013</v>
      </c>
      <c r="H50" s="195">
        <f>G50/C55</f>
        <v>0.17921873786691225</v>
      </c>
    </row>
    <row r="51" spans="1:8" ht="15.75" x14ac:dyDescent="0.25">
      <c r="A51" t="s">
        <v>325</v>
      </c>
      <c r="B51" s="213" t="s">
        <v>29</v>
      </c>
      <c r="C51" s="191">
        <f>SUMIF('Recap dep rec'!$A:$A,'Ecosysteme B'!A51,'Recap dep rec'!$E:$E)</f>
        <v>39426.920000000013</v>
      </c>
      <c r="D51" s="195">
        <f>C51/C55</f>
        <v>0.17921873786691225</v>
      </c>
      <c r="E51" s="217"/>
      <c r="F51" s="188" t="s">
        <v>165</v>
      </c>
      <c r="G51" s="215"/>
      <c r="H51" s="189"/>
    </row>
    <row r="52" spans="1:8" ht="15.75" x14ac:dyDescent="0.25">
      <c r="B52" s="188" t="s">
        <v>166</v>
      </c>
      <c r="C52" s="191"/>
      <c r="D52" s="189"/>
      <c r="E52" s="217"/>
      <c r="F52" s="188" t="s">
        <v>167</v>
      </c>
      <c r="G52" s="215"/>
      <c r="H52" s="189"/>
    </row>
    <row r="53" spans="1:8" x14ac:dyDescent="0.25">
      <c r="B53" s="188" t="s">
        <v>167</v>
      </c>
      <c r="C53" s="191"/>
      <c r="D53" s="189"/>
      <c r="F53" s="188"/>
      <c r="G53" s="215"/>
      <c r="H53" s="189"/>
    </row>
    <row r="54" spans="1:8" x14ac:dyDescent="0.25">
      <c r="B54" s="218"/>
      <c r="C54" s="318"/>
      <c r="D54" s="220"/>
      <c r="F54" s="188"/>
      <c r="G54" s="215"/>
      <c r="H54" s="189"/>
    </row>
    <row r="55" spans="1:8" x14ac:dyDescent="0.25">
      <c r="B55" s="221" t="s">
        <v>168</v>
      </c>
      <c r="C55" s="224">
        <f>SUM(C4:C54)</f>
        <v>219993.29126666667</v>
      </c>
      <c r="D55" s="223"/>
      <c r="F55" s="221" t="s">
        <v>169</v>
      </c>
      <c r="G55" s="224">
        <f>G50+G41+G39</f>
        <v>219993.12</v>
      </c>
      <c r="H55" s="223"/>
    </row>
    <row r="56" spans="1:8" x14ac:dyDescent="0.25">
      <c r="B56" s="182"/>
      <c r="C56" s="314">
        <f>C55-'Recap dep rec'!E43</f>
        <v>0.17126666664262302</v>
      </c>
      <c r="D56" s="226"/>
      <c r="F56" s="182"/>
      <c r="G56" s="225"/>
      <c r="H56" s="227"/>
    </row>
    <row r="57" spans="1:8" ht="15.75" x14ac:dyDescent="0.25">
      <c r="B57" s="182" t="s">
        <v>419</v>
      </c>
      <c r="C57" s="315"/>
      <c r="D57" s="229"/>
      <c r="F57" s="217"/>
      <c r="G57" s="228"/>
      <c r="H57" s="230"/>
    </row>
    <row r="58" spans="1:8" ht="15.75" x14ac:dyDescent="0.25">
      <c r="B58" s="217" t="s">
        <v>420</v>
      </c>
      <c r="C58" s="315"/>
      <c r="D58" s="229"/>
      <c r="F58" s="217"/>
      <c r="G58" s="228"/>
      <c r="H58" s="226"/>
    </row>
    <row r="59" spans="1:8" ht="15.75" x14ac:dyDescent="0.25">
      <c r="D59" s="232"/>
      <c r="G59" s="231"/>
      <c r="H59" s="229"/>
    </row>
  </sheetData>
  <mergeCells count="1">
    <mergeCell ref="B1:H1"/>
  </mergeCell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2"/>
  <sheetViews>
    <sheetView showGridLines="0" tabSelected="1" workbookViewId="0">
      <selection activeCell="C4" sqref="C4"/>
    </sheetView>
  </sheetViews>
  <sheetFormatPr baseColWidth="10" defaultRowHeight="15" x14ac:dyDescent="0.25"/>
  <cols>
    <col min="1" max="1" width="4" bestFit="1" customWidth="1"/>
    <col min="2" max="2" width="52" customWidth="1"/>
    <col min="3" max="3" width="15.140625" style="289" customWidth="1"/>
    <col min="4" max="5" width="11.42578125" style="289"/>
    <col min="12" max="12" width="6.140625" customWidth="1"/>
    <col min="13" max="13" width="18.85546875" bestFit="1" customWidth="1"/>
  </cols>
  <sheetData>
    <row r="1" spans="1:13" x14ac:dyDescent="0.25">
      <c r="M1" s="356" t="s">
        <v>436</v>
      </c>
    </row>
    <row r="2" spans="1:13" ht="15.75" x14ac:dyDescent="0.25">
      <c r="B2" s="340" t="s">
        <v>430</v>
      </c>
      <c r="C2" s="369" t="s">
        <v>428</v>
      </c>
      <c r="M2" t="s">
        <v>428</v>
      </c>
    </row>
    <row r="3" spans="1:13" x14ac:dyDescent="0.25">
      <c r="B3" s="339" t="s">
        <v>129</v>
      </c>
      <c r="C3" s="369"/>
      <c r="M3" t="s">
        <v>437</v>
      </c>
    </row>
    <row r="4" spans="1:13" x14ac:dyDescent="0.25">
      <c r="A4" t="str">
        <f t="shared" ref="A4:A21" si="0">LEFT(B4,3)</f>
        <v>604</v>
      </c>
      <c r="B4" s="341" t="s">
        <v>135</v>
      </c>
      <c r="C4" s="342">
        <f>SUMIF('Mice Place '!A:A,A4,'Mice Place '!C:C)</f>
        <v>0</v>
      </c>
      <c r="M4" t="s">
        <v>426</v>
      </c>
    </row>
    <row r="5" spans="1:13" x14ac:dyDescent="0.25">
      <c r="A5" t="str">
        <f t="shared" si="0"/>
        <v>605</v>
      </c>
      <c r="B5" s="192" t="s">
        <v>136</v>
      </c>
      <c r="C5" s="343">
        <f>SUMIF('Mice Place '!A:A,A5,'Mice Place '!C:C)</f>
        <v>10.833333333333334</v>
      </c>
      <c r="I5" s="335" t="s">
        <v>438</v>
      </c>
      <c r="M5" t="s">
        <v>427</v>
      </c>
    </row>
    <row r="6" spans="1:13" x14ac:dyDescent="0.25">
      <c r="A6" t="str">
        <f t="shared" si="0"/>
        <v>606</v>
      </c>
      <c r="B6" s="192" t="s">
        <v>138</v>
      </c>
      <c r="C6" s="343">
        <f>SUMIF('Mice Place '!A:A,A6,'Mice Place '!C:C)</f>
        <v>48.750000000000007</v>
      </c>
      <c r="M6" t="s">
        <v>439</v>
      </c>
    </row>
    <row r="7" spans="1:13" x14ac:dyDescent="0.25">
      <c r="A7" t="str">
        <f t="shared" si="0"/>
        <v>607</v>
      </c>
      <c r="B7" s="188" t="s">
        <v>139</v>
      </c>
      <c r="C7" s="343">
        <f>SUMIF('Mice Place '!A:A,A7,'Mice Place '!C:C)</f>
        <v>0</v>
      </c>
      <c r="M7" t="s">
        <v>440</v>
      </c>
    </row>
    <row r="8" spans="1:13" x14ac:dyDescent="0.25">
      <c r="A8" t="str">
        <f t="shared" si="0"/>
        <v>613</v>
      </c>
      <c r="B8" s="188" t="s">
        <v>170</v>
      </c>
      <c r="C8" s="343">
        <f>SUMIF('Mice Place '!A:A,A8,'Mice Place '!C:C)</f>
        <v>170.83333333333334</v>
      </c>
      <c r="M8" t="s">
        <v>441</v>
      </c>
    </row>
    <row r="9" spans="1:13" x14ac:dyDescent="0.25">
      <c r="A9" t="str">
        <f t="shared" si="0"/>
        <v>615</v>
      </c>
      <c r="B9" s="188" t="s">
        <v>65</v>
      </c>
      <c r="C9" s="343">
        <f>SUMIF('Mice Place '!A:A,A9,'Mice Place '!C:C)</f>
        <v>52.5</v>
      </c>
      <c r="M9" t="s">
        <v>442</v>
      </c>
    </row>
    <row r="10" spans="1:13" x14ac:dyDescent="0.25">
      <c r="A10" t="str">
        <f t="shared" si="0"/>
        <v>616</v>
      </c>
      <c r="B10" s="188" t="s">
        <v>66</v>
      </c>
      <c r="C10" s="343">
        <f>SUMIF('Mice Place '!A:A,A10,'Mice Place '!C:C)</f>
        <v>33.5</v>
      </c>
      <c r="M10" t="s">
        <v>201</v>
      </c>
    </row>
    <row r="11" spans="1:13" x14ac:dyDescent="0.25">
      <c r="A11" t="str">
        <f t="shared" si="0"/>
        <v>617</v>
      </c>
      <c r="B11" s="188" t="s">
        <v>67</v>
      </c>
      <c r="C11" s="343">
        <f>SUMIF('Mice Place '!A:A,A11,'Mice Place '!C:C)</f>
        <v>0</v>
      </c>
      <c r="M11" t="s">
        <v>443</v>
      </c>
    </row>
    <row r="12" spans="1:13" x14ac:dyDescent="0.25">
      <c r="A12" t="str">
        <f t="shared" si="0"/>
        <v>618</v>
      </c>
      <c r="B12" s="188" t="s">
        <v>144</v>
      </c>
      <c r="C12" s="343">
        <f>SUMIF('Mice Place '!A:A,A12,'Mice Place '!C:C)</f>
        <v>13.333333333333336</v>
      </c>
      <c r="M12" t="s">
        <v>180</v>
      </c>
    </row>
    <row r="13" spans="1:13" x14ac:dyDescent="0.25">
      <c r="A13" t="str">
        <f t="shared" si="0"/>
        <v>622</v>
      </c>
      <c r="B13" s="188" t="s">
        <v>147</v>
      </c>
      <c r="C13" s="343">
        <f>SUMIF('Mice Place '!A:A,A13,'Mice Place '!C:C)</f>
        <v>169.16666666666669</v>
      </c>
      <c r="M13" t="s">
        <v>444</v>
      </c>
    </row>
    <row r="14" spans="1:13" x14ac:dyDescent="0.25">
      <c r="A14" t="str">
        <f t="shared" si="0"/>
        <v>626</v>
      </c>
      <c r="B14" s="188" t="s">
        <v>69</v>
      </c>
      <c r="C14" s="343">
        <f>SUMIF('Mice Place '!A:A,A14,'Mice Place '!C:C)</f>
        <v>49.166666666666671</v>
      </c>
      <c r="M14" t="s">
        <v>445</v>
      </c>
    </row>
    <row r="15" spans="1:13" x14ac:dyDescent="0.25">
      <c r="A15" t="str">
        <f t="shared" si="0"/>
        <v>628</v>
      </c>
      <c r="B15" s="188" t="s">
        <v>70</v>
      </c>
      <c r="C15" s="343">
        <f>SUMIF('Mice Place '!A:A,A15,'Mice Place '!C:C)</f>
        <v>28.750000000000004</v>
      </c>
      <c r="M15" t="s">
        <v>199</v>
      </c>
    </row>
    <row r="16" spans="1:13" x14ac:dyDescent="0.25">
      <c r="A16" t="str">
        <f t="shared" si="0"/>
        <v>631</v>
      </c>
      <c r="B16" s="188" t="s">
        <v>172</v>
      </c>
      <c r="C16" s="343">
        <f>SUMIF('Mice Place '!A:A,A16,'Mice Place '!C:C)</f>
        <v>41.25</v>
      </c>
      <c r="M16" t="s">
        <v>195</v>
      </c>
    </row>
    <row r="17" spans="1:13" x14ac:dyDescent="0.25">
      <c r="A17" t="str">
        <f t="shared" si="0"/>
        <v>635</v>
      </c>
      <c r="B17" s="188" t="s">
        <v>173</v>
      </c>
      <c r="C17" s="343">
        <f>SUMIF('Mice Place '!A:A,A17,'Mice Place '!C:C)</f>
        <v>8.8916666666666675</v>
      </c>
      <c r="M17" t="s">
        <v>446</v>
      </c>
    </row>
    <row r="18" spans="1:13" x14ac:dyDescent="0.25">
      <c r="A18" t="str">
        <f t="shared" si="0"/>
        <v>641</v>
      </c>
      <c r="B18" s="188" t="s">
        <v>71</v>
      </c>
      <c r="C18" s="343">
        <f>SUMIF('Mice Place '!A:A,A18,'Mice Place '!C:C)</f>
        <v>2659.3770666666665</v>
      </c>
    </row>
    <row r="19" spans="1:13" x14ac:dyDescent="0.25">
      <c r="A19" t="str">
        <f t="shared" si="0"/>
        <v>645</v>
      </c>
      <c r="B19" s="188" t="s">
        <v>72</v>
      </c>
      <c r="C19" s="343">
        <f>SUMIF('Mice Place '!A:A,A19,'Mice Place '!C:C)</f>
        <v>5.8333333333333339</v>
      </c>
    </row>
    <row r="20" spans="1:13" x14ac:dyDescent="0.25">
      <c r="A20" t="str">
        <f t="shared" si="0"/>
        <v>661</v>
      </c>
      <c r="B20" s="188" t="s">
        <v>74</v>
      </c>
      <c r="C20" s="343">
        <f>SUMIF('Mice Place '!A:A,A20,'Mice Place '!C:C)</f>
        <v>0</v>
      </c>
    </row>
    <row r="21" spans="1:13" x14ac:dyDescent="0.25">
      <c r="A21" t="str">
        <f t="shared" si="0"/>
        <v>681</v>
      </c>
      <c r="B21" s="347" t="s">
        <v>75</v>
      </c>
      <c r="C21" s="344">
        <f>SUMIF('Mice Place '!A:A,A21,'Mice Place '!C:C)</f>
        <v>0</v>
      </c>
    </row>
    <row r="22" spans="1:13" x14ac:dyDescent="0.25">
      <c r="B22" s="345"/>
      <c r="C22" s="346">
        <f>SUM(C4:C21)</f>
        <v>3292.1853999999998</v>
      </c>
    </row>
    <row r="24" spans="1:13" ht="15.75" x14ac:dyDescent="0.25">
      <c r="B24" s="340" t="s">
        <v>431</v>
      </c>
    </row>
    <row r="25" spans="1:13" x14ac:dyDescent="0.25">
      <c r="B25" s="339" t="s">
        <v>129</v>
      </c>
    </row>
    <row r="26" spans="1:13" x14ac:dyDescent="0.25">
      <c r="A26" t="str">
        <f>LEFT(B26,3)</f>
        <v>611</v>
      </c>
      <c r="B26" s="341" t="s">
        <v>142</v>
      </c>
      <c r="C26" s="342">
        <f>SUMIF('Mice Place '!A:A,A26,'Mice Place '!C:C)</f>
        <v>35130</v>
      </c>
    </row>
    <row r="27" spans="1:13" x14ac:dyDescent="0.25">
      <c r="A27" t="str">
        <f>LEFT(B27,3)</f>
        <v>625</v>
      </c>
      <c r="B27" s="188" t="s">
        <v>68</v>
      </c>
      <c r="C27" s="343">
        <f>SUMIF('Mice Place '!A:A,A27,'Mice Place '!C:C)</f>
        <v>240.8333333333334</v>
      </c>
      <c r="H27" s="360"/>
    </row>
    <row r="28" spans="1:13" x14ac:dyDescent="0.25">
      <c r="A28">
        <v>623</v>
      </c>
      <c r="B28" s="218" t="s">
        <v>429</v>
      </c>
      <c r="C28" s="344">
        <f>SUMIF('Mice Place '!A:A,A28,'Mice Place '!C:C)</f>
        <v>65.000000000000014</v>
      </c>
      <c r="E28" s="355" t="s">
        <v>96</v>
      </c>
      <c r="H28" s="360"/>
    </row>
    <row r="29" spans="1:13" ht="18" thickBot="1" x14ac:dyDescent="0.35">
      <c r="C29" s="346">
        <f>SUM(C26:C28)</f>
        <v>35435.833333333336</v>
      </c>
      <c r="E29" s="357">
        <f>C29-E32</f>
        <v>35435.833333333336</v>
      </c>
      <c r="H29" s="360"/>
    </row>
    <row r="30" spans="1:13" ht="15.75" thickTop="1" x14ac:dyDescent="0.25">
      <c r="H30" s="360"/>
    </row>
    <row r="31" spans="1:13" ht="24" thickBot="1" x14ac:dyDescent="0.4">
      <c r="A31" s="348" t="s">
        <v>432</v>
      </c>
      <c r="H31" s="360"/>
    </row>
    <row r="32" spans="1:13" ht="17.25" thickTop="1" thickBot="1" x14ac:dyDescent="0.3">
      <c r="B32" s="340" t="s">
        <v>431</v>
      </c>
      <c r="E32" s="354">
        <f>SUM(E34:E52)</f>
        <v>0</v>
      </c>
      <c r="H32" s="360"/>
    </row>
    <row r="33" spans="2:8" ht="15.75" thickTop="1" x14ac:dyDescent="0.25">
      <c r="B33" s="339" t="s">
        <v>129</v>
      </c>
      <c r="C33" s="351" t="s">
        <v>433</v>
      </c>
      <c r="D33" s="351" t="s">
        <v>434</v>
      </c>
      <c r="E33" s="351" t="s">
        <v>435</v>
      </c>
      <c r="H33" s="360"/>
    </row>
    <row r="34" spans="2:8" x14ac:dyDescent="0.25">
      <c r="B34" s="349"/>
      <c r="C34" s="352"/>
      <c r="D34" s="358"/>
      <c r="E34" s="352">
        <f>D34*C34</f>
        <v>0</v>
      </c>
    </row>
    <row r="35" spans="2:8" x14ac:dyDescent="0.25">
      <c r="B35" s="350"/>
      <c r="C35" s="353"/>
      <c r="D35" s="359"/>
      <c r="E35" s="353">
        <f t="shared" ref="E35:E52" si="1">D35*C35</f>
        <v>0</v>
      </c>
    </row>
    <row r="36" spans="2:8" x14ac:dyDescent="0.25">
      <c r="B36" s="350"/>
      <c r="C36" s="353"/>
      <c r="D36" s="359"/>
      <c r="E36" s="353">
        <f t="shared" si="1"/>
        <v>0</v>
      </c>
    </row>
    <row r="37" spans="2:8" x14ac:dyDescent="0.25">
      <c r="B37" s="350"/>
      <c r="C37" s="353"/>
      <c r="D37" s="359"/>
      <c r="E37" s="353">
        <f t="shared" si="1"/>
        <v>0</v>
      </c>
    </row>
    <row r="38" spans="2:8" x14ac:dyDescent="0.25">
      <c r="B38" s="350"/>
      <c r="C38" s="353"/>
      <c r="D38" s="359"/>
      <c r="E38" s="353">
        <f t="shared" si="1"/>
        <v>0</v>
      </c>
    </row>
    <row r="39" spans="2:8" x14ac:dyDescent="0.25">
      <c r="B39" s="350"/>
      <c r="C39" s="353"/>
      <c r="D39" s="359"/>
      <c r="E39" s="353">
        <f t="shared" si="1"/>
        <v>0</v>
      </c>
    </row>
    <row r="40" spans="2:8" x14ac:dyDescent="0.25">
      <c r="B40" s="350"/>
      <c r="C40" s="353"/>
      <c r="D40" s="359"/>
      <c r="E40" s="353">
        <f t="shared" si="1"/>
        <v>0</v>
      </c>
    </row>
    <row r="41" spans="2:8" x14ac:dyDescent="0.25">
      <c r="B41" s="350"/>
      <c r="C41" s="353"/>
      <c r="D41" s="359"/>
      <c r="E41" s="353">
        <f t="shared" si="1"/>
        <v>0</v>
      </c>
    </row>
    <row r="42" spans="2:8" x14ac:dyDescent="0.25">
      <c r="B42" s="350"/>
      <c r="C42" s="353"/>
      <c r="D42" s="359"/>
      <c r="E42" s="353">
        <f t="shared" si="1"/>
        <v>0</v>
      </c>
    </row>
    <row r="43" spans="2:8" x14ac:dyDescent="0.25">
      <c r="B43" s="350"/>
      <c r="C43" s="353"/>
      <c r="D43" s="359"/>
      <c r="E43" s="353">
        <f t="shared" si="1"/>
        <v>0</v>
      </c>
    </row>
    <row r="44" spans="2:8" x14ac:dyDescent="0.25">
      <c r="B44" s="350"/>
      <c r="C44" s="353"/>
      <c r="D44" s="359"/>
      <c r="E44" s="353">
        <f t="shared" si="1"/>
        <v>0</v>
      </c>
    </row>
    <row r="45" spans="2:8" x14ac:dyDescent="0.25">
      <c r="B45" s="350"/>
      <c r="C45" s="353"/>
      <c r="D45" s="359"/>
      <c r="E45" s="353">
        <f t="shared" si="1"/>
        <v>0</v>
      </c>
    </row>
    <row r="46" spans="2:8" x14ac:dyDescent="0.25">
      <c r="B46" s="350"/>
      <c r="C46" s="353"/>
      <c r="D46" s="359"/>
      <c r="E46" s="353">
        <f t="shared" si="1"/>
        <v>0</v>
      </c>
    </row>
    <row r="47" spans="2:8" x14ac:dyDescent="0.25">
      <c r="B47" s="350"/>
      <c r="C47" s="353"/>
      <c r="D47" s="359"/>
      <c r="E47" s="353">
        <f t="shared" si="1"/>
        <v>0</v>
      </c>
    </row>
    <row r="48" spans="2:8" x14ac:dyDescent="0.25">
      <c r="B48" s="350"/>
      <c r="C48" s="353"/>
      <c r="D48" s="359"/>
      <c r="E48" s="353">
        <f t="shared" si="1"/>
        <v>0</v>
      </c>
    </row>
    <row r="49" spans="2:5" x14ac:dyDescent="0.25">
      <c r="B49" s="350"/>
      <c r="C49" s="353"/>
      <c r="D49" s="359"/>
      <c r="E49" s="353">
        <f t="shared" si="1"/>
        <v>0</v>
      </c>
    </row>
    <row r="50" spans="2:5" x14ac:dyDescent="0.25">
      <c r="B50" s="350"/>
      <c r="C50" s="353"/>
      <c r="D50" s="359"/>
      <c r="E50" s="353">
        <f t="shared" si="1"/>
        <v>0</v>
      </c>
    </row>
    <row r="51" spans="2:5" x14ac:dyDescent="0.25">
      <c r="B51" s="350"/>
      <c r="C51" s="353"/>
      <c r="D51" s="359"/>
      <c r="E51" s="353">
        <f t="shared" si="1"/>
        <v>0</v>
      </c>
    </row>
    <row r="52" spans="2:5" x14ac:dyDescent="0.25">
      <c r="B52" s="350"/>
      <c r="C52" s="353"/>
      <c r="D52" s="359"/>
      <c r="E52" s="353">
        <f t="shared" si="1"/>
        <v>0</v>
      </c>
    </row>
  </sheetData>
  <sortState ref="A6:B46">
    <sortCondition ref="A5"/>
  </sortState>
  <mergeCells count="1">
    <mergeCell ref="C2:C3"/>
  </mergeCells>
  <dataValidations count="1">
    <dataValidation type="list" allowBlank="1" showInputMessage="1" showErrorMessage="1" sqref="C2:C3">
      <formula1>$M$2:$M$17</formula1>
    </dataValidation>
  </dataValidations>
  <pageMargins left="0.7" right="0.7" top="0.75" bottom="0.75" header="0.3" footer="0.3"/>
  <pageSetup paperSize="9" orientation="portrait" horizontalDpi="4294967293" verticalDpi="4294967293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499984740745262"/>
  </sheetPr>
  <dimension ref="A1:H59"/>
  <sheetViews>
    <sheetView topLeftCell="A19" workbookViewId="0">
      <selection activeCell="A3" sqref="A3:B54"/>
    </sheetView>
  </sheetViews>
  <sheetFormatPr baseColWidth="10" defaultRowHeight="15" x14ac:dyDescent="0.25"/>
  <cols>
    <col min="1" max="1" width="7.5703125" bestFit="1" customWidth="1"/>
    <col min="2" max="2" width="50.85546875" bestFit="1" customWidth="1"/>
    <col min="5" max="5" width="5.42578125" customWidth="1"/>
    <col min="6" max="6" width="33" bestFit="1" customWidth="1"/>
  </cols>
  <sheetData>
    <row r="1" spans="1:8" ht="41.25" customHeight="1" x14ac:dyDescent="0.25">
      <c r="B1" s="366" t="s">
        <v>327</v>
      </c>
      <c r="C1" s="367"/>
      <c r="D1" s="367"/>
      <c r="E1" s="367"/>
      <c r="F1" s="367"/>
      <c r="G1" s="367"/>
      <c r="H1" s="368"/>
    </row>
    <row r="2" spans="1:8" x14ac:dyDescent="0.35">
      <c r="B2" s="176"/>
      <c r="C2" s="177"/>
      <c r="D2" s="178"/>
      <c r="E2" s="177"/>
      <c r="F2" s="177"/>
      <c r="G2" s="177"/>
      <c r="H2" s="178"/>
    </row>
    <row r="3" spans="1:8" x14ac:dyDescent="0.25">
      <c r="B3" s="179" t="s">
        <v>129</v>
      </c>
      <c r="C3" s="180" t="s">
        <v>130</v>
      </c>
      <c r="D3" s="181" t="s">
        <v>131</v>
      </c>
      <c r="E3" s="182"/>
      <c r="F3" s="179" t="s">
        <v>132</v>
      </c>
      <c r="G3" s="179" t="s">
        <v>130</v>
      </c>
      <c r="H3" s="181" t="s">
        <v>131</v>
      </c>
    </row>
    <row r="4" spans="1:8" ht="14.45" x14ac:dyDescent="0.35">
      <c r="B4" s="183" t="s">
        <v>133</v>
      </c>
      <c r="C4" s="184"/>
      <c r="D4" s="185"/>
      <c r="E4" s="182"/>
      <c r="F4" s="183" t="s">
        <v>134</v>
      </c>
      <c r="G4" s="186"/>
      <c r="H4" s="187"/>
    </row>
    <row r="5" spans="1:8" ht="14.45" x14ac:dyDescent="0.35">
      <c r="A5" t="str">
        <f>LEFT(B5,3)</f>
        <v>604</v>
      </c>
      <c r="B5" s="188" t="s">
        <v>135</v>
      </c>
      <c r="C5" s="191">
        <f>SUMIF('Recap dep rec'!$A:$A,'Mice Place '!A5,'Recap dep rec'!$G:$G)</f>
        <v>0</v>
      </c>
      <c r="D5" s="195">
        <f>C5/$C$55</f>
        <v>0</v>
      </c>
      <c r="E5" s="182"/>
      <c r="F5" s="190"/>
      <c r="G5" s="191"/>
      <c r="H5" s="189"/>
    </row>
    <row r="6" spans="1:8" x14ac:dyDescent="0.25">
      <c r="A6" t="str">
        <f t="shared" ref="A6:A46" si="0">LEFT(B6,3)</f>
        <v>605</v>
      </c>
      <c r="B6" s="192" t="s">
        <v>136</v>
      </c>
      <c r="C6" s="191">
        <f>SUMIF('Recap dep rec'!$A:$A,'Mice Place '!A6,'Recap dep rec'!$G:$G)</f>
        <v>10.833333333333334</v>
      </c>
      <c r="D6" s="195">
        <f t="shared" ref="D6:D53" si="1">C6/$C$55</f>
        <v>2.7972857088113948E-4</v>
      </c>
      <c r="E6" s="182"/>
      <c r="F6" s="190" t="s">
        <v>137</v>
      </c>
      <c r="G6" s="191"/>
      <c r="H6" s="193"/>
    </row>
    <row r="7" spans="1:8" ht="14.45" x14ac:dyDescent="0.35">
      <c r="A7" t="str">
        <f t="shared" si="0"/>
        <v>606</v>
      </c>
      <c r="B7" s="192" t="s">
        <v>138</v>
      </c>
      <c r="C7" s="191">
        <f>SUMIF('Recap dep rec'!$A:$A,'Mice Place '!A7,'Recap dep rec'!$G:$G)</f>
        <v>48.750000000000007</v>
      </c>
      <c r="D7" s="195">
        <f t="shared" si="1"/>
        <v>1.2587785689651277E-3</v>
      </c>
      <c r="E7" s="182"/>
      <c r="F7" s="196"/>
      <c r="G7" s="191"/>
      <c r="H7" s="189"/>
    </row>
    <row r="8" spans="1:8" ht="14.45" x14ac:dyDescent="0.35">
      <c r="A8" t="str">
        <f t="shared" si="0"/>
        <v>607</v>
      </c>
      <c r="B8" s="188" t="s">
        <v>139</v>
      </c>
      <c r="C8" s="194"/>
      <c r="D8" s="195"/>
      <c r="E8" s="182"/>
      <c r="F8" s="196"/>
      <c r="G8" s="191"/>
      <c r="H8" s="189"/>
    </row>
    <row r="9" spans="1:8" ht="14.45" x14ac:dyDescent="0.35">
      <c r="A9" t="str">
        <f t="shared" si="0"/>
        <v/>
      </c>
      <c r="B9" s="188"/>
      <c r="C9" s="194"/>
      <c r="D9" s="195"/>
      <c r="E9" s="182"/>
      <c r="F9" s="196"/>
      <c r="G9" s="191"/>
      <c r="H9" s="189"/>
    </row>
    <row r="10" spans="1:8" x14ac:dyDescent="0.25">
      <c r="A10" t="str">
        <f t="shared" si="0"/>
        <v/>
      </c>
      <c r="B10" s="196"/>
      <c r="C10" s="197"/>
      <c r="D10" s="195"/>
      <c r="E10" s="182"/>
      <c r="F10" s="199" t="s">
        <v>140</v>
      </c>
      <c r="G10" s="191"/>
      <c r="H10" s="198"/>
    </row>
    <row r="11" spans="1:8" x14ac:dyDescent="0.25">
      <c r="B11" s="190" t="s">
        <v>141</v>
      </c>
      <c r="C11" s="186"/>
      <c r="D11" s="195"/>
      <c r="E11" s="182"/>
      <c r="F11" s="200"/>
      <c r="G11" s="191"/>
      <c r="H11" s="198"/>
    </row>
    <row r="12" spans="1:8" x14ac:dyDescent="0.25">
      <c r="A12" t="str">
        <f t="shared" si="0"/>
        <v>611</v>
      </c>
      <c r="B12" s="188" t="s">
        <v>142</v>
      </c>
      <c r="C12" s="191">
        <f>SUMIF('Recap dep rec'!$A:$A,'Mice Place '!A12,'Recap dep rec'!$G:$G)</f>
        <v>35130</v>
      </c>
      <c r="D12" s="195">
        <f t="shared" si="1"/>
        <v>0.90709520262040888</v>
      </c>
      <c r="E12" s="182"/>
      <c r="F12" s="201"/>
      <c r="G12" s="191"/>
      <c r="H12" s="198"/>
    </row>
    <row r="13" spans="1:8" ht="14.45" x14ac:dyDescent="0.35">
      <c r="A13" t="str">
        <f t="shared" si="0"/>
        <v>613</v>
      </c>
      <c r="B13" s="188" t="s">
        <v>170</v>
      </c>
      <c r="C13" s="191">
        <f>SUMIF('Recap dep rec'!$A:$A,'Mice Place '!A13,'Recap dep rec'!$G:$G)</f>
        <v>170.83333333333334</v>
      </c>
      <c r="D13" s="195">
        <f t="shared" si="1"/>
        <v>4.4111043869718147E-3</v>
      </c>
      <c r="E13" s="182"/>
      <c r="F13" s="202"/>
      <c r="G13" s="191"/>
      <c r="H13" s="198"/>
    </row>
    <row r="14" spans="1:8" ht="14.45" x14ac:dyDescent="0.35">
      <c r="A14" t="str">
        <f t="shared" si="0"/>
        <v>615</v>
      </c>
      <c r="B14" s="188" t="s">
        <v>65</v>
      </c>
      <c r="C14" s="191">
        <f>SUMIF('Recap dep rec'!$A:$A,'Mice Place '!A14,'Recap dep rec'!$G:$G)</f>
        <v>52.5</v>
      </c>
      <c r="D14" s="195">
        <f t="shared" si="1"/>
        <v>1.3556076896547528E-3</v>
      </c>
      <c r="E14" s="182"/>
      <c r="F14" s="202"/>
      <c r="G14" s="191"/>
      <c r="H14" s="198"/>
    </row>
    <row r="15" spans="1:8" x14ac:dyDescent="0.25">
      <c r="A15" t="str">
        <f t="shared" si="0"/>
        <v>616</v>
      </c>
      <c r="B15" s="188" t="s">
        <v>66</v>
      </c>
      <c r="C15" s="191">
        <f>SUMIF('Recap dep rec'!$A:$A,'Mice Place '!A15,'Recap dep rec'!$G:$G)</f>
        <v>33.5</v>
      </c>
      <c r="D15" s="195">
        <f t="shared" si="1"/>
        <v>8.6500681149398505E-4</v>
      </c>
      <c r="E15" s="182"/>
      <c r="F15" s="190" t="s">
        <v>143</v>
      </c>
      <c r="G15" s="191">
        <f>'Recap dep rec'!G38</f>
        <v>14334.418733333343</v>
      </c>
      <c r="H15" s="263">
        <f>G15/C55</f>
        <v>0.37013044307881565</v>
      </c>
    </row>
    <row r="16" spans="1:8" ht="14.45" x14ac:dyDescent="0.35">
      <c r="A16" t="str">
        <f t="shared" si="0"/>
        <v>617</v>
      </c>
      <c r="B16" s="188" t="s">
        <v>67</v>
      </c>
      <c r="C16" s="191">
        <f>SUMIF('Recap dep rec'!$A:$A,'Mice Place '!A16,'Recap dep rec'!$G:$G)</f>
        <v>0</v>
      </c>
      <c r="D16" s="195">
        <f t="shared" si="1"/>
        <v>0</v>
      </c>
      <c r="E16" s="182"/>
      <c r="F16" s="203"/>
      <c r="G16" s="191"/>
      <c r="H16" s="198"/>
    </row>
    <row r="17" spans="1:8" ht="14.45" x14ac:dyDescent="0.35">
      <c r="A17" t="str">
        <f t="shared" si="0"/>
        <v>618</v>
      </c>
      <c r="B17" s="188" t="s">
        <v>144</v>
      </c>
      <c r="C17" s="191">
        <f>SUMIF('Recap dep rec'!$A:$A,'Mice Place '!A17,'Recap dep rec'!$G:$G)</f>
        <v>13.333333333333336</v>
      </c>
      <c r="D17" s="195">
        <f t="shared" si="1"/>
        <v>3.4428131800755632E-4</v>
      </c>
      <c r="E17" s="182"/>
      <c r="F17" s="203"/>
      <c r="G17" s="191"/>
      <c r="H17" s="198"/>
    </row>
    <row r="18" spans="1:8" ht="14.45" x14ac:dyDescent="0.35">
      <c r="A18" t="str">
        <f t="shared" si="0"/>
        <v/>
      </c>
      <c r="B18" s="188"/>
      <c r="C18" s="197"/>
      <c r="D18" s="195"/>
      <c r="E18" s="182"/>
      <c r="F18" s="202"/>
      <c r="G18" s="191"/>
      <c r="H18" s="198"/>
    </row>
    <row r="19" spans="1:8" x14ac:dyDescent="0.25">
      <c r="A19" t="str">
        <f t="shared" si="0"/>
        <v/>
      </c>
      <c r="B19" s="188"/>
      <c r="C19" s="197"/>
      <c r="D19" s="195"/>
      <c r="E19" s="204"/>
      <c r="F19" s="205" t="s">
        <v>145</v>
      </c>
      <c r="G19" s="191"/>
      <c r="H19" s="198"/>
    </row>
    <row r="20" spans="1:8" x14ac:dyDescent="0.25">
      <c r="B20" s="190" t="s">
        <v>146</v>
      </c>
      <c r="C20" s="186"/>
      <c r="D20" s="195"/>
      <c r="E20" s="182"/>
      <c r="F20" s="196"/>
      <c r="G20" s="191"/>
      <c r="H20" s="198"/>
    </row>
    <row r="21" spans="1:8" ht="14.45" x14ac:dyDescent="0.35">
      <c r="A21" t="str">
        <f t="shared" si="0"/>
        <v/>
      </c>
      <c r="B21" s="190"/>
      <c r="C21" s="186"/>
      <c r="D21" s="195"/>
      <c r="E21" s="182"/>
      <c r="F21" s="196"/>
      <c r="G21" s="191"/>
      <c r="H21" s="198"/>
    </row>
    <row r="22" spans="1:8" x14ac:dyDescent="0.25">
      <c r="A22" t="str">
        <f t="shared" si="0"/>
        <v>622</v>
      </c>
      <c r="B22" s="188" t="s">
        <v>147</v>
      </c>
      <c r="C22" s="191">
        <f>SUMIF('Recap dep rec'!$A:$A,'Mice Place '!A22,'Recap dep rec'!$G:$G)</f>
        <v>169.16666666666669</v>
      </c>
      <c r="D22" s="195">
        <f t="shared" si="1"/>
        <v>4.3680692222208706E-3</v>
      </c>
      <c r="E22" s="182"/>
      <c r="F22" s="203"/>
      <c r="G22" s="191"/>
      <c r="H22" s="198"/>
    </row>
    <row r="23" spans="1:8" x14ac:dyDescent="0.25">
      <c r="A23" t="str">
        <f t="shared" si="0"/>
        <v xml:space="preserve">et </v>
      </c>
      <c r="B23" s="188" t="s">
        <v>148</v>
      </c>
      <c r="C23" s="197"/>
      <c r="D23" s="195"/>
      <c r="E23" s="182"/>
      <c r="F23" s="190"/>
      <c r="G23" s="191"/>
      <c r="H23" s="198"/>
    </row>
    <row r="24" spans="1:8" x14ac:dyDescent="0.25">
      <c r="A24" t="str">
        <f t="shared" si="0"/>
        <v>623</v>
      </c>
      <c r="B24" s="188" t="s">
        <v>149</v>
      </c>
      <c r="C24" s="191">
        <f>SUMIF('Recap dep rec'!$A:$A,'Mice Place '!A24,'Recap dep rec'!$G:$G)</f>
        <v>65.000000000000014</v>
      </c>
      <c r="D24" s="195">
        <f t="shared" si="1"/>
        <v>1.6783714252868371E-3</v>
      </c>
      <c r="E24" s="182"/>
      <c r="F24" s="190" t="s">
        <v>150</v>
      </c>
      <c r="G24" s="191"/>
      <c r="H24" s="198"/>
    </row>
    <row r="25" spans="1:8" x14ac:dyDescent="0.25">
      <c r="A25" t="str">
        <f t="shared" si="0"/>
        <v>625</v>
      </c>
      <c r="B25" s="188" t="s">
        <v>68</v>
      </c>
      <c r="C25" s="191">
        <f>SUMIF('Recap dep rec'!$A:$A,'Mice Place '!A25,'Recap dep rec'!$G:$G)</f>
        <v>240.8333333333334</v>
      </c>
      <c r="D25" s="195">
        <f t="shared" si="1"/>
        <v>6.2185813065114863E-3</v>
      </c>
      <c r="E25" s="182"/>
      <c r="F25" s="196"/>
      <c r="G25" s="191"/>
      <c r="H25" s="198"/>
    </row>
    <row r="26" spans="1:8" x14ac:dyDescent="0.25">
      <c r="A26" t="str">
        <f t="shared" si="0"/>
        <v>626</v>
      </c>
      <c r="B26" s="188" t="s">
        <v>69</v>
      </c>
      <c r="C26" s="191">
        <f>SUMIF('Recap dep rec'!$A:$A,'Mice Place '!A26,'Recap dep rec'!$G:$G)</f>
        <v>49.166666666666671</v>
      </c>
      <c r="D26" s="195">
        <f t="shared" si="1"/>
        <v>1.2695373601528637E-3</v>
      </c>
      <c r="E26" s="182"/>
      <c r="F26" s="196"/>
      <c r="G26" s="191"/>
      <c r="H26" s="198"/>
    </row>
    <row r="27" spans="1:8" x14ac:dyDescent="0.25">
      <c r="A27" t="str">
        <f t="shared" si="0"/>
        <v>628</v>
      </c>
      <c r="B27" s="188" t="s">
        <v>70</v>
      </c>
      <c r="C27" s="191">
        <f>SUMIF('Recap dep rec'!$A:$A,'Mice Place '!A27,'Recap dep rec'!$G:$G)</f>
        <v>28.750000000000004</v>
      </c>
      <c r="D27" s="195">
        <f t="shared" si="1"/>
        <v>7.4235659195379328E-4</v>
      </c>
      <c r="E27" s="182"/>
      <c r="F27" s="196"/>
      <c r="G27" s="191"/>
      <c r="H27" s="198"/>
    </row>
    <row r="28" spans="1:8" x14ac:dyDescent="0.25">
      <c r="A28" t="str">
        <f t="shared" si="0"/>
        <v/>
      </c>
      <c r="B28" s="188"/>
      <c r="C28" s="197"/>
      <c r="D28" s="195"/>
      <c r="E28" s="182"/>
      <c r="F28" s="190" t="s">
        <v>151</v>
      </c>
      <c r="G28" s="191"/>
      <c r="H28" s="198"/>
    </row>
    <row r="29" spans="1:8" x14ac:dyDescent="0.25">
      <c r="B29" s="190" t="s">
        <v>171</v>
      </c>
      <c r="C29" s="197"/>
      <c r="D29" s="195"/>
      <c r="E29" s="182"/>
      <c r="F29" s="190"/>
      <c r="G29" s="191"/>
      <c r="H29" s="198"/>
    </row>
    <row r="30" spans="1:8" x14ac:dyDescent="0.25">
      <c r="A30" t="str">
        <f t="shared" si="0"/>
        <v>631</v>
      </c>
      <c r="B30" s="188" t="s">
        <v>172</v>
      </c>
      <c r="C30" s="191">
        <f>SUMIF('Recap dep rec'!$A:$A,'Mice Place '!A30,'Recap dep rec'!$G:$G)</f>
        <v>41.25</v>
      </c>
      <c r="D30" s="195">
        <f t="shared" si="1"/>
        <v>1.0651203275858772E-3</v>
      </c>
      <c r="E30" s="182"/>
      <c r="F30" s="190"/>
      <c r="G30" s="191"/>
      <c r="H30" s="198"/>
    </row>
    <row r="31" spans="1:8" x14ac:dyDescent="0.25">
      <c r="A31" t="str">
        <f t="shared" si="0"/>
        <v>635</v>
      </c>
      <c r="B31" s="188" t="s">
        <v>173</v>
      </c>
      <c r="C31" s="191">
        <f>SUMIF('Recap dep rec'!$A:$A,'Mice Place '!A31,'Recap dep rec'!$G:$G)</f>
        <v>8.8916666666666675</v>
      </c>
      <c r="D31" s="195">
        <f t="shared" si="1"/>
        <v>2.2959260394628909E-4</v>
      </c>
      <c r="E31" s="182"/>
      <c r="F31" s="190"/>
      <c r="G31" s="191"/>
      <c r="H31" s="198"/>
    </row>
    <row r="32" spans="1:8" x14ac:dyDescent="0.25">
      <c r="B32" s="190" t="s">
        <v>152</v>
      </c>
      <c r="C32" s="206"/>
      <c r="D32" s="195"/>
      <c r="E32" s="182"/>
      <c r="F32" s="196"/>
      <c r="G32" s="191"/>
      <c r="H32" s="198"/>
    </row>
    <row r="33" spans="1:8" x14ac:dyDescent="0.25">
      <c r="A33" t="str">
        <f t="shared" si="0"/>
        <v>641</v>
      </c>
      <c r="B33" s="188" t="s">
        <v>71</v>
      </c>
      <c r="C33" s="191">
        <f>SUMIF('Recap dep rec'!$A:$A,'Mice Place '!A33,'Recap dep rec'!$G:$G)</f>
        <v>2659.3770666666665</v>
      </c>
      <c r="D33" s="195">
        <f t="shared" si="1"/>
        <v>6.8668038119330158E-2</v>
      </c>
      <c r="E33" s="182"/>
      <c r="F33" s="196"/>
      <c r="G33" s="191"/>
      <c r="H33" s="198"/>
    </row>
    <row r="34" spans="1:8" x14ac:dyDescent="0.25">
      <c r="A34" t="str">
        <f t="shared" si="0"/>
        <v>645</v>
      </c>
      <c r="B34" s="188" t="s">
        <v>72</v>
      </c>
      <c r="C34" s="191">
        <f>SUMIF('Recap dep rec'!$A:$A,'Mice Place '!A34,'Recap dep rec'!$G:$G)</f>
        <v>5.8333333333333339</v>
      </c>
      <c r="D34" s="195">
        <f t="shared" si="1"/>
        <v>1.5062307662830587E-4</v>
      </c>
      <c r="E34" s="182"/>
      <c r="F34" s="196"/>
      <c r="G34" s="191"/>
      <c r="H34" s="198"/>
    </row>
    <row r="35" spans="1:8" x14ac:dyDescent="0.25">
      <c r="A35" t="str">
        <f t="shared" si="0"/>
        <v/>
      </c>
      <c r="B35" s="188"/>
      <c r="C35" s="197"/>
      <c r="D35" s="195"/>
      <c r="E35" s="182"/>
      <c r="F35" s="190" t="s">
        <v>153</v>
      </c>
      <c r="G35" s="191"/>
      <c r="H35" s="198"/>
    </row>
    <row r="36" spans="1:8" x14ac:dyDescent="0.25">
      <c r="A36" t="str">
        <f t="shared" si="0"/>
        <v/>
      </c>
      <c r="B36" s="188"/>
      <c r="C36" s="197"/>
      <c r="D36" s="195"/>
      <c r="E36" s="182"/>
      <c r="F36" s="208"/>
      <c r="G36" s="191"/>
      <c r="H36" s="198"/>
    </row>
    <row r="37" spans="1:8" x14ac:dyDescent="0.25">
      <c r="A37" t="str">
        <f t="shared" si="0"/>
        <v xml:space="preserve">65 </v>
      </c>
      <c r="B37" s="188" t="s">
        <v>73</v>
      </c>
      <c r="C37" s="191">
        <f>SUMIF('Recap dep rec'!$A:$A,'Mice Place '!A37,'Recap dep rec'!$G:$G)</f>
        <v>0</v>
      </c>
      <c r="D37" s="195">
        <f t="shared" si="1"/>
        <v>0</v>
      </c>
      <c r="E37" s="182"/>
      <c r="F37" s="208"/>
      <c r="G37" s="191"/>
      <c r="H37" s="198"/>
    </row>
    <row r="38" spans="1:8" x14ac:dyDescent="0.25">
      <c r="A38" t="str">
        <f t="shared" si="0"/>
        <v/>
      </c>
      <c r="B38" s="190"/>
      <c r="C38" s="186"/>
      <c r="D38" s="195"/>
      <c r="E38" s="182"/>
      <c r="F38" s="208"/>
      <c r="G38" s="191"/>
      <c r="H38" s="198"/>
    </row>
    <row r="39" spans="1:8" x14ac:dyDescent="0.25">
      <c r="A39" t="str">
        <f t="shared" si="0"/>
        <v/>
      </c>
      <c r="B39" s="188"/>
      <c r="C39" s="197"/>
      <c r="D39" s="195"/>
      <c r="E39" s="182"/>
      <c r="F39" s="209" t="s">
        <v>154</v>
      </c>
      <c r="G39" s="210">
        <f>G15</f>
        <v>14334.418733333343</v>
      </c>
      <c r="H39" s="265">
        <f>H15</f>
        <v>0.37013044307881565</v>
      </c>
    </row>
    <row r="40" spans="1:8" x14ac:dyDescent="0.25">
      <c r="B40" s="190" t="s">
        <v>155</v>
      </c>
      <c r="C40" s="197"/>
      <c r="D40" s="195"/>
      <c r="E40" s="182"/>
      <c r="F40" s="188"/>
      <c r="G40" s="191"/>
      <c r="H40" s="189"/>
    </row>
    <row r="41" spans="1:8" x14ac:dyDescent="0.25">
      <c r="A41" t="str">
        <f t="shared" si="0"/>
        <v>661</v>
      </c>
      <c r="B41" s="188" t="s">
        <v>74</v>
      </c>
      <c r="C41" s="191">
        <f>SUMIF('Recap dep rec'!$A:$A,'Mice Place '!A41,'Recap dep rec'!$G:$G)</f>
        <v>0</v>
      </c>
      <c r="D41" s="195">
        <f t="shared" si="1"/>
        <v>0</v>
      </c>
      <c r="E41" s="182"/>
      <c r="F41" s="190" t="s">
        <v>156</v>
      </c>
      <c r="G41" s="186">
        <f>G42</f>
        <v>24393.600000000002</v>
      </c>
      <c r="H41" s="264">
        <f>G41/C55</f>
        <v>0.6298695569211844</v>
      </c>
    </row>
    <row r="42" spans="1:8" x14ac:dyDescent="0.25">
      <c r="A42" t="str">
        <f t="shared" si="0"/>
        <v/>
      </c>
      <c r="B42" s="188"/>
      <c r="C42" s="197"/>
      <c r="D42" s="195"/>
      <c r="E42" s="182"/>
      <c r="F42" s="188" t="s">
        <v>88</v>
      </c>
      <c r="G42" s="191">
        <f>'Recap dep rec'!G35</f>
        <v>24393.600000000002</v>
      </c>
      <c r="H42" s="198"/>
    </row>
    <row r="43" spans="1:8" x14ac:dyDescent="0.25">
      <c r="A43" t="str">
        <f t="shared" si="0"/>
        <v/>
      </c>
      <c r="B43" s="188"/>
      <c r="C43" s="197"/>
      <c r="D43" s="195"/>
      <c r="E43" s="182"/>
      <c r="F43" s="188" t="s">
        <v>157</v>
      </c>
      <c r="G43" s="212"/>
      <c r="H43" s="198"/>
    </row>
    <row r="44" spans="1:8" x14ac:dyDescent="0.25">
      <c r="A44" t="str">
        <f t="shared" si="0"/>
        <v xml:space="preserve">68 </v>
      </c>
      <c r="B44" s="190" t="s">
        <v>158</v>
      </c>
      <c r="C44" s="197"/>
      <c r="D44" s="195"/>
      <c r="E44" s="182"/>
      <c r="F44" s="188" t="s">
        <v>87</v>
      </c>
      <c r="G44" s="191"/>
      <c r="H44" s="198"/>
    </row>
    <row r="45" spans="1:8" x14ac:dyDescent="0.25">
      <c r="A45" t="str">
        <f t="shared" si="0"/>
        <v>aux</v>
      </c>
      <c r="B45" s="190" t="s">
        <v>159</v>
      </c>
      <c r="C45" s="194"/>
      <c r="D45" s="195"/>
      <c r="E45" s="182"/>
      <c r="F45" s="188" t="s">
        <v>160</v>
      </c>
      <c r="G45" s="191"/>
      <c r="H45" s="198"/>
    </row>
    <row r="46" spans="1:8" x14ac:dyDescent="0.25">
      <c r="A46" t="str">
        <f t="shared" si="0"/>
        <v>681</v>
      </c>
      <c r="B46" s="213" t="s">
        <v>75</v>
      </c>
      <c r="C46" s="191">
        <f>SUMIF('Recap dep rec'!$A:$A,'Mice Place '!A46,'Recap dep rec'!$G:$G)</f>
        <v>0</v>
      </c>
      <c r="D46" s="195">
        <f t="shared" si="1"/>
        <v>0</v>
      </c>
      <c r="E46" s="182"/>
      <c r="F46" s="188"/>
      <c r="G46" s="191"/>
      <c r="H46" s="198"/>
    </row>
    <row r="47" spans="1:8" x14ac:dyDescent="0.25">
      <c r="B47" s="188" t="s">
        <v>161</v>
      </c>
      <c r="C47" s="194"/>
      <c r="D47" s="195"/>
      <c r="E47" s="182"/>
      <c r="F47" s="188"/>
      <c r="G47" s="191"/>
      <c r="H47" s="189"/>
    </row>
    <row r="48" spans="1:8" x14ac:dyDescent="0.25">
      <c r="B48" s="213"/>
      <c r="C48" s="194"/>
      <c r="D48" s="195"/>
      <c r="E48" s="182"/>
      <c r="F48" s="190"/>
      <c r="G48" s="191"/>
      <c r="H48" s="189"/>
    </row>
    <row r="49" spans="1:8" x14ac:dyDescent="0.25">
      <c r="B49" s="213"/>
      <c r="C49" s="194"/>
      <c r="D49" s="195"/>
      <c r="E49" s="182"/>
      <c r="F49" s="190" t="s">
        <v>162</v>
      </c>
      <c r="G49" s="214"/>
      <c r="H49" s="187"/>
    </row>
    <row r="50" spans="1:8" x14ac:dyDescent="0.25">
      <c r="B50" s="190" t="s">
        <v>163</v>
      </c>
      <c r="C50" s="186"/>
      <c r="D50" s="195"/>
      <c r="E50" s="182"/>
      <c r="F50" s="188" t="s">
        <v>164</v>
      </c>
      <c r="G50" s="215"/>
      <c r="H50" s="189"/>
    </row>
    <row r="51" spans="1:8" ht="15.75" x14ac:dyDescent="0.25">
      <c r="A51" t="s">
        <v>325</v>
      </c>
      <c r="B51" s="213" t="s">
        <v>29</v>
      </c>
      <c r="C51" s="216">
        <f>'[2]C5 Imex'!C60</f>
        <v>0</v>
      </c>
      <c r="D51" s="195">
        <f t="shared" si="1"/>
        <v>0</v>
      </c>
      <c r="E51" s="217"/>
      <c r="F51" s="188" t="s">
        <v>165</v>
      </c>
      <c r="G51" s="215"/>
      <c r="H51" s="189"/>
    </row>
    <row r="52" spans="1:8" ht="15.75" x14ac:dyDescent="0.25">
      <c r="B52" s="188" t="s">
        <v>166</v>
      </c>
      <c r="C52" s="191">
        <f>SUMIF('Recap dep rec'!$A:$A,'Mice Place '!A52,'Recap dep rec'!$G:$G)</f>
        <v>0</v>
      </c>
      <c r="D52" s="195">
        <f t="shared" si="1"/>
        <v>0</v>
      </c>
      <c r="E52" s="217"/>
      <c r="F52" s="188" t="s">
        <v>167</v>
      </c>
      <c r="G52" s="215"/>
      <c r="H52" s="189"/>
    </row>
    <row r="53" spans="1:8" x14ac:dyDescent="0.25">
      <c r="B53" s="188" t="s">
        <v>167</v>
      </c>
      <c r="C53" s="191">
        <f>SUMIF('Recap dep rec'!$A:$A,'Mice Place '!A53,'Recap dep rec'!$G:$G)</f>
        <v>0</v>
      </c>
      <c r="D53" s="195">
        <f t="shared" si="1"/>
        <v>0</v>
      </c>
      <c r="F53" s="188"/>
      <c r="G53" s="215"/>
      <c r="H53" s="189"/>
    </row>
    <row r="54" spans="1:8" x14ac:dyDescent="0.25">
      <c r="B54" s="218"/>
      <c r="C54" s="219"/>
      <c r="D54" s="220"/>
      <c r="F54" s="188"/>
      <c r="G54" s="215"/>
      <c r="H54" s="189"/>
    </row>
    <row r="55" spans="1:8" x14ac:dyDescent="0.25">
      <c r="B55" s="221" t="s">
        <v>168</v>
      </c>
      <c r="C55" s="222">
        <f>SUM(C5:C54)</f>
        <v>38728.018733333345</v>
      </c>
      <c r="D55" s="223"/>
      <c r="F55" s="221" t="s">
        <v>169</v>
      </c>
      <c r="G55" s="224">
        <f>G39+G41+G49</f>
        <v>38728.018733333345</v>
      </c>
      <c r="H55" s="223"/>
    </row>
    <row r="56" spans="1:8" x14ac:dyDescent="0.25">
      <c r="B56" s="182"/>
      <c r="C56" s="225">
        <f>C55-'Recap dep rec'!G43</f>
        <v>0</v>
      </c>
      <c r="D56" s="226"/>
      <c r="F56" s="182"/>
      <c r="G56" s="225"/>
      <c r="H56" s="227"/>
    </row>
    <row r="57" spans="1:8" ht="15.75" x14ac:dyDescent="0.25">
      <c r="B57" s="182"/>
      <c r="C57" s="228"/>
      <c r="D57" s="229"/>
      <c r="F57" s="217"/>
      <c r="G57" s="228"/>
      <c r="H57" s="230"/>
    </row>
    <row r="58" spans="1:8" ht="15.75" x14ac:dyDescent="0.25">
      <c r="B58" s="217"/>
      <c r="C58" s="228"/>
      <c r="D58" s="229"/>
      <c r="F58" s="217"/>
      <c r="G58" s="228"/>
      <c r="H58" s="226"/>
    </row>
    <row r="59" spans="1:8" ht="15.75" x14ac:dyDescent="0.25">
      <c r="C59" s="231"/>
      <c r="D59" s="232"/>
      <c r="G59" s="231"/>
      <c r="H59" s="229"/>
    </row>
  </sheetData>
  <mergeCells count="1">
    <mergeCell ref="B1:H1"/>
  </mergeCells>
  <pageMargins left="0.7" right="0.7" top="0.75" bottom="0.75" header="0.3" footer="0.3"/>
  <pageSetup paperSize="9" orientation="portrait" horizontalDpi="0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499984740745262"/>
  </sheetPr>
  <dimension ref="A1:H59"/>
  <sheetViews>
    <sheetView topLeftCell="A22" workbookViewId="0">
      <selection activeCell="B62" sqref="B62"/>
    </sheetView>
  </sheetViews>
  <sheetFormatPr baseColWidth="10" defaultRowHeight="15" x14ac:dyDescent="0.25"/>
  <cols>
    <col min="1" max="1" width="7.5703125" bestFit="1" customWidth="1"/>
    <col min="2" max="2" width="50.85546875" bestFit="1" customWidth="1"/>
    <col min="3" max="3" width="11.42578125" style="289"/>
    <col min="5" max="5" width="5.42578125" customWidth="1"/>
    <col min="6" max="6" width="33" bestFit="1" customWidth="1"/>
  </cols>
  <sheetData>
    <row r="1" spans="1:8" ht="34.5" customHeight="1" x14ac:dyDescent="0.25">
      <c r="B1" s="366" t="s">
        <v>331</v>
      </c>
      <c r="C1" s="367"/>
      <c r="D1" s="367"/>
      <c r="E1" s="367"/>
      <c r="F1" s="367"/>
      <c r="G1" s="367"/>
      <c r="H1" s="368"/>
    </row>
    <row r="2" spans="1:8" x14ac:dyDescent="0.35">
      <c r="B2" s="176"/>
      <c r="C2" s="309"/>
      <c r="D2" s="178"/>
      <c r="E2" s="177"/>
      <c r="F2" s="177"/>
      <c r="G2" s="177"/>
      <c r="H2" s="178"/>
    </row>
    <row r="3" spans="1:8" x14ac:dyDescent="0.25">
      <c r="B3" s="179" t="s">
        <v>129</v>
      </c>
      <c r="C3" s="310" t="s">
        <v>130</v>
      </c>
      <c r="D3" s="181" t="s">
        <v>131</v>
      </c>
      <c r="E3" s="182"/>
      <c r="F3" s="179" t="s">
        <v>132</v>
      </c>
      <c r="G3" s="179" t="s">
        <v>130</v>
      </c>
      <c r="H3" s="181" t="s">
        <v>131</v>
      </c>
    </row>
    <row r="4" spans="1:8" ht="14.45" x14ac:dyDescent="0.35">
      <c r="B4" s="183" t="s">
        <v>133</v>
      </c>
      <c r="C4" s="311"/>
      <c r="D4" s="185"/>
      <c r="E4" s="182"/>
      <c r="F4" s="183" t="s">
        <v>134</v>
      </c>
      <c r="G4" s="186"/>
      <c r="H4" s="187"/>
    </row>
    <row r="5" spans="1:8" ht="14.45" x14ac:dyDescent="0.35">
      <c r="A5" t="str">
        <f>LEFT(B5,3)</f>
        <v>604</v>
      </c>
      <c r="B5" s="188" t="s">
        <v>135</v>
      </c>
      <c r="C5" s="312">
        <f>SUMIF('Recap dep rec'!$A:$A,A5,'Recap dep rec'!$I:$I)</f>
        <v>0</v>
      </c>
      <c r="D5" s="189">
        <f>C5/$C$55</f>
        <v>0</v>
      </c>
      <c r="E5" s="182"/>
      <c r="F5" s="190"/>
      <c r="G5" s="191"/>
      <c r="H5" s="189"/>
    </row>
    <row r="6" spans="1:8" x14ac:dyDescent="0.25">
      <c r="A6" t="str">
        <f t="shared" ref="A6:A46" si="0">LEFT(B6,3)</f>
        <v>605</v>
      </c>
      <c r="B6" s="192" t="s">
        <v>136</v>
      </c>
      <c r="C6" s="312">
        <f>SUMIF('Recap dep rec'!$A:$A,A6,'Recap dep rec'!$I:$I)</f>
        <v>30.333333333333332</v>
      </c>
      <c r="D6" s="189">
        <f t="shared" ref="D6:D7" si="1">C6/$C$55</f>
        <v>1.2204420797420974E-3</v>
      </c>
      <c r="E6" s="182"/>
      <c r="F6" s="190" t="s">
        <v>137</v>
      </c>
      <c r="G6" s="191"/>
      <c r="H6" s="193"/>
    </row>
    <row r="7" spans="1:8" ht="14.45" x14ac:dyDescent="0.35">
      <c r="A7" t="str">
        <f t="shared" si="0"/>
        <v>606</v>
      </c>
      <c r="B7" s="192" t="s">
        <v>138</v>
      </c>
      <c r="C7" s="312">
        <f>SUMIF('Recap dep rec'!$A:$A,A7,'Recap dep rec'!$I:$I)</f>
        <v>136.5</v>
      </c>
      <c r="D7" s="189">
        <f t="shared" si="1"/>
        <v>5.4919893588394383E-3</v>
      </c>
      <c r="E7" s="182"/>
      <c r="F7" s="196"/>
      <c r="G7" s="191"/>
      <c r="H7" s="189"/>
    </row>
    <row r="8" spans="1:8" ht="14.45" x14ac:dyDescent="0.35">
      <c r="A8" t="str">
        <f t="shared" si="0"/>
        <v>607</v>
      </c>
      <c r="B8" s="188" t="s">
        <v>139</v>
      </c>
      <c r="C8" s="194"/>
      <c r="D8" s="189"/>
      <c r="E8" s="182"/>
      <c r="F8" s="196"/>
      <c r="G8" s="191"/>
      <c r="H8" s="189"/>
    </row>
    <row r="9" spans="1:8" ht="14.45" x14ac:dyDescent="0.35">
      <c r="A9" t="str">
        <f t="shared" si="0"/>
        <v/>
      </c>
      <c r="B9" s="188"/>
      <c r="C9" s="194"/>
      <c r="D9" s="189"/>
      <c r="E9" s="182"/>
      <c r="F9" s="196"/>
      <c r="G9" s="191"/>
      <c r="H9" s="189"/>
    </row>
    <row r="10" spans="1:8" x14ac:dyDescent="0.25">
      <c r="A10" t="str">
        <f t="shared" si="0"/>
        <v/>
      </c>
      <c r="B10" s="196"/>
      <c r="C10" s="197"/>
      <c r="D10" s="198"/>
      <c r="E10" s="182"/>
      <c r="F10" s="199" t="s">
        <v>140</v>
      </c>
      <c r="G10" s="191"/>
      <c r="H10" s="198"/>
    </row>
    <row r="11" spans="1:8" x14ac:dyDescent="0.25">
      <c r="B11" s="190" t="s">
        <v>141</v>
      </c>
      <c r="C11" s="186"/>
      <c r="D11" s="187"/>
      <c r="E11" s="182"/>
      <c r="F11" s="200"/>
      <c r="G11" s="191"/>
      <c r="H11" s="198"/>
    </row>
    <row r="12" spans="1:8" x14ac:dyDescent="0.25">
      <c r="A12" t="str">
        <f t="shared" si="0"/>
        <v>611</v>
      </c>
      <c r="B12" s="188" t="s">
        <v>142</v>
      </c>
      <c r="C12" s="312">
        <f>SUMIF('Recap dep rec'!$A:$A,A12,'Recap dep rec'!$I:$I)</f>
        <v>15703</v>
      </c>
      <c r="D12" s="189">
        <f t="shared" ref="D12:D17" si="2">C12/$C$55</f>
        <v>0.63180006521506016</v>
      </c>
      <c r="E12" s="182"/>
      <c r="F12" s="201"/>
      <c r="G12" s="191"/>
      <c r="H12" s="198"/>
    </row>
    <row r="13" spans="1:8" ht="14.45" x14ac:dyDescent="0.35">
      <c r="A13" t="str">
        <f t="shared" si="0"/>
        <v>613</v>
      </c>
      <c r="B13" s="188" t="s">
        <v>170</v>
      </c>
      <c r="C13" s="312">
        <f>SUMIF('Recap dep rec'!$A:$A,A13,'Recap dep rec'!$I:$I)</f>
        <v>478.33333333333331</v>
      </c>
      <c r="D13" s="189">
        <f t="shared" si="2"/>
        <v>1.9245432795933076E-2</v>
      </c>
      <c r="E13" s="182"/>
      <c r="F13" s="202"/>
      <c r="G13" s="191"/>
      <c r="H13" s="198"/>
    </row>
    <row r="14" spans="1:8" ht="14.45" x14ac:dyDescent="0.35">
      <c r="A14" t="str">
        <f t="shared" si="0"/>
        <v>615</v>
      </c>
      <c r="B14" s="188" t="s">
        <v>65</v>
      </c>
      <c r="C14" s="312">
        <f>SUMIF('Recap dep rec'!$A:$A,A14,'Recap dep rec'!$I:$I)</f>
        <v>146.99999999999997</v>
      </c>
      <c r="D14" s="189">
        <f t="shared" si="2"/>
        <v>5.9144500787501634E-3</v>
      </c>
      <c r="E14" s="182"/>
      <c r="F14" s="202"/>
      <c r="G14" s="191"/>
      <c r="H14" s="198"/>
    </row>
    <row r="15" spans="1:8" x14ac:dyDescent="0.25">
      <c r="A15" t="str">
        <f t="shared" si="0"/>
        <v>616</v>
      </c>
      <c r="B15" s="188" t="s">
        <v>66</v>
      </c>
      <c r="C15" s="312">
        <f>SUMIF('Recap dep rec'!$A:$A,A15,'Recap dep rec'!$I:$I)</f>
        <v>93.8</v>
      </c>
      <c r="D15" s="189">
        <f t="shared" si="2"/>
        <v>3.773982431202486E-3</v>
      </c>
      <c r="E15" s="182"/>
      <c r="F15" s="190" t="s">
        <v>143</v>
      </c>
      <c r="G15" s="191">
        <f>'Recap dep rec'!I38</f>
        <v>5854.3817333333354</v>
      </c>
      <c r="H15" s="263">
        <f>G15/G55</f>
        <v>0.23554726873297191</v>
      </c>
    </row>
    <row r="16" spans="1:8" ht="14.45" x14ac:dyDescent="0.35">
      <c r="A16" t="str">
        <f t="shared" si="0"/>
        <v>617</v>
      </c>
      <c r="B16" s="188" t="s">
        <v>67</v>
      </c>
      <c r="C16" s="312">
        <f>SUMIF('Recap dep rec'!$A:$A,A16,'Recap dep rec'!$I:$I)</f>
        <v>0</v>
      </c>
      <c r="D16" s="189">
        <f t="shared" si="2"/>
        <v>0</v>
      </c>
      <c r="E16" s="182"/>
      <c r="F16" s="203"/>
      <c r="G16" s="191"/>
      <c r="H16" s="198"/>
    </row>
    <row r="17" spans="1:8" ht="14.45" x14ac:dyDescent="0.35">
      <c r="A17" t="str">
        <f t="shared" si="0"/>
        <v>618</v>
      </c>
      <c r="B17" s="188" t="s">
        <v>144</v>
      </c>
      <c r="C17" s="312">
        <f>SUMIF('Recap dep rec'!$A:$A,A17,'Recap dep rec'!$I:$I)</f>
        <v>37.333333333333336</v>
      </c>
      <c r="D17" s="189">
        <f t="shared" si="2"/>
        <v>1.5020825596825816E-3</v>
      </c>
      <c r="E17" s="182"/>
      <c r="F17" s="203"/>
      <c r="G17" s="191"/>
      <c r="H17" s="198"/>
    </row>
    <row r="18" spans="1:8" ht="14.45" x14ac:dyDescent="0.35">
      <c r="A18" t="str">
        <f t="shared" si="0"/>
        <v/>
      </c>
      <c r="B18" s="188"/>
      <c r="C18" s="197"/>
      <c r="D18" s="198"/>
      <c r="E18" s="182"/>
      <c r="F18" s="202"/>
      <c r="G18" s="191"/>
      <c r="H18" s="198"/>
    </row>
    <row r="19" spans="1:8" x14ac:dyDescent="0.25">
      <c r="A19" t="str">
        <f t="shared" si="0"/>
        <v/>
      </c>
      <c r="B19" s="188"/>
      <c r="C19" s="197"/>
      <c r="D19" s="198"/>
      <c r="E19" s="204"/>
      <c r="F19" s="205" t="s">
        <v>145</v>
      </c>
      <c r="G19" s="205" t="s">
        <v>145</v>
      </c>
      <c r="H19" s="198"/>
    </row>
    <row r="20" spans="1:8" x14ac:dyDescent="0.25">
      <c r="B20" s="190" t="s">
        <v>146</v>
      </c>
      <c r="C20" s="186"/>
      <c r="D20" s="187"/>
      <c r="E20" s="182"/>
      <c r="F20" s="196"/>
      <c r="G20" s="191"/>
      <c r="H20" s="198"/>
    </row>
    <row r="21" spans="1:8" ht="14.45" x14ac:dyDescent="0.35">
      <c r="A21" t="str">
        <f t="shared" si="0"/>
        <v/>
      </c>
      <c r="B21" s="190"/>
      <c r="C21" s="186"/>
      <c r="D21" s="187"/>
      <c r="E21" s="182"/>
      <c r="F21" s="196"/>
      <c r="G21" s="191"/>
      <c r="H21" s="198"/>
    </row>
    <row r="22" spans="1:8" x14ac:dyDescent="0.25">
      <c r="A22" t="str">
        <f t="shared" si="0"/>
        <v>622</v>
      </c>
      <c r="B22" s="188" t="s">
        <v>147</v>
      </c>
      <c r="C22" s="312">
        <f>SUMIF('Recap dep rec'!$A:$A,A22,'Recap dep rec'!$I:$I)</f>
        <v>473.66666666666663</v>
      </c>
      <c r="D22" s="189">
        <f>C22/$C$55</f>
        <v>1.9057672475972752E-2</v>
      </c>
      <c r="E22" s="182"/>
      <c r="F22" s="203"/>
      <c r="G22" s="191"/>
      <c r="H22" s="198"/>
    </row>
    <row r="23" spans="1:8" ht="14.45" x14ac:dyDescent="0.35">
      <c r="A23" t="str">
        <f t="shared" si="0"/>
        <v xml:space="preserve">et </v>
      </c>
      <c r="B23" s="188" t="s">
        <v>148</v>
      </c>
      <c r="C23" s="197"/>
      <c r="D23" s="198"/>
      <c r="E23" s="182"/>
      <c r="F23" s="190"/>
      <c r="G23" s="191"/>
      <c r="H23" s="198"/>
    </row>
    <row r="24" spans="1:8" x14ac:dyDescent="0.25">
      <c r="A24" t="str">
        <f t="shared" si="0"/>
        <v>623</v>
      </c>
      <c r="B24" s="188" t="s">
        <v>149</v>
      </c>
      <c r="C24" s="312">
        <f>SUMIF('Recap dep rec'!$A:$A,A24,'Recap dep rec'!$I:$I)</f>
        <v>182</v>
      </c>
      <c r="D24" s="189">
        <f t="shared" ref="D24:D27" si="3">C24/$C$55</f>
        <v>7.3226524784525846E-3</v>
      </c>
      <c r="E24" s="182"/>
      <c r="F24" s="190" t="s">
        <v>150</v>
      </c>
      <c r="G24" s="191"/>
      <c r="H24" s="198"/>
    </row>
    <row r="25" spans="1:8" x14ac:dyDescent="0.25">
      <c r="A25" t="str">
        <f t="shared" si="0"/>
        <v>625</v>
      </c>
      <c r="B25" s="188" t="s">
        <v>68</v>
      </c>
      <c r="C25" s="312">
        <f>SUMIF('Recap dep rec'!$A:$A,A25,'Recap dep rec'!$I:$I)</f>
        <v>1124.3333333333333</v>
      </c>
      <c r="D25" s="189">
        <f t="shared" si="3"/>
        <v>4.5236825659012027E-2</v>
      </c>
      <c r="E25" s="182"/>
      <c r="F25" s="196"/>
      <c r="G25" s="191"/>
      <c r="H25" s="198"/>
    </row>
    <row r="26" spans="1:8" x14ac:dyDescent="0.25">
      <c r="A26" t="str">
        <f t="shared" si="0"/>
        <v>626</v>
      </c>
      <c r="B26" s="188" t="s">
        <v>69</v>
      </c>
      <c r="C26" s="312">
        <f>SUMIF('Recap dep rec'!$A:$A,A26,'Recap dep rec'!$I:$I)</f>
        <v>137.66666666666666</v>
      </c>
      <c r="D26" s="189">
        <f t="shared" si="3"/>
        <v>5.5389294388295193E-3</v>
      </c>
      <c r="E26" s="182"/>
      <c r="F26" s="196"/>
      <c r="G26" s="191"/>
      <c r="H26" s="198"/>
    </row>
    <row r="27" spans="1:8" x14ac:dyDescent="0.25">
      <c r="A27" t="str">
        <f t="shared" si="0"/>
        <v>628</v>
      </c>
      <c r="B27" s="188" t="s">
        <v>70</v>
      </c>
      <c r="C27" s="312">
        <f>SUMIF('Recap dep rec'!$A:$A,A27,'Recap dep rec'!$I:$I)</f>
        <v>80.5</v>
      </c>
      <c r="D27" s="189">
        <f t="shared" si="3"/>
        <v>3.2388655193155663E-3</v>
      </c>
      <c r="E27" s="182"/>
      <c r="F27" s="196"/>
      <c r="G27" s="191"/>
      <c r="H27" s="198"/>
    </row>
    <row r="28" spans="1:8" ht="14.45" x14ac:dyDescent="0.35">
      <c r="A28" t="str">
        <f t="shared" si="0"/>
        <v/>
      </c>
      <c r="B28" s="188"/>
      <c r="C28" s="197"/>
      <c r="D28" s="198"/>
      <c r="E28" s="182"/>
      <c r="F28" s="190" t="s">
        <v>151</v>
      </c>
      <c r="G28" s="191"/>
      <c r="H28" s="198"/>
    </row>
    <row r="29" spans="1:8" x14ac:dyDescent="0.25">
      <c r="B29" s="190" t="s">
        <v>171</v>
      </c>
      <c r="C29" s="197"/>
      <c r="D29" s="198"/>
      <c r="E29" s="182"/>
      <c r="F29" s="190"/>
      <c r="G29" s="191"/>
      <c r="H29" s="198"/>
    </row>
    <row r="30" spans="1:8" ht="14.45" x14ac:dyDescent="0.35">
      <c r="A30" t="str">
        <f t="shared" si="0"/>
        <v>631</v>
      </c>
      <c r="B30" s="188" t="s">
        <v>172</v>
      </c>
      <c r="C30" s="312">
        <f>SUMIF('Recap dep rec'!$A:$A,A30,'Recap dep rec'!$I:$I)</f>
        <v>115.5</v>
      </c>
      <c r="D30" s="189">
        <f t="shared" ref="D30:D31" si="4">C30/$C$55</f>
        <v>4.6470679190179862E-3</v>
      </c>
      <c r="E30" s="182"/>
      <c r="F30" s="190"/>
      <c r="G30" s="191"/>
      <c r="H30" s="198"/>
    </row>
    <row r="31" spans="1:8" x14ac:dyDescent="0.25">
      <c r="A31" t="str">
        <f t="shared" si="0"/>
        <v>635</v>
      </c>
      <c r="B31" s="188" t="s">
        <v>173</v>
      </c>
      <c r="C31" s="312">
        <f>SUMIF('Recap dep rec'!$A:$A,A31,'Recap dep rec'!$I:$I)</f>
        <v>24.896666666666668</v>
      </c>
      <c r="D31" s="189">
        <f t="shared" si="4"/>
        <v>1.0017013069883215E-3</v>
      </c>
      <c r="E31" s="182"/>
      <c r="F31" s="190"/>
      <c r="G31" s="191"/>
      <c r="H31" s="198"/>
    </row>
    <row r="32" spans="1:8" ht="14.45" x14ac:dyDescent="0.35">
      <c r="B32" s="190" t="s">
        <v>152</v>
      </c>
      <c r="C32" s="206"/>
      <c r="D32" s="207"/>
      <c r="E32" s="182"/>
      <c r="F32" s="196"/>
      <c r="G32" s="191"/>
      <c r="H32" s="198"/>
    </row>
    <row r="33" spans="1:8" x14ac:dyDescent="0.25">
      <c r="A33" t="str">
        <f t="shared" si="0"/>
        <v>641</v>
      </c>
      <c r="B33" s="188" t="s">
        <v>71</v>
      </c>
      <c r="C33" s="312">
        <f>SUMIF('Recap dep rec'!$A:$A,A33,'Recap dep rec'!$I:$I)</f>
        <v>6073.1850666666678</v>
      </c>
      <c r="D33" s="189">
        <f t="shared" ref="D33:D34" si="5">C33/$C$55</f>
        <v>0.24435067956334011</v>
      </c>
      <c r="E33" s="182"/>
      <c r="F33" s="196"/>
      <c r="G33" s="191"/>
      <c r="H33" s="198"/>
    </row>
    <row r="34" spans="1:8" ht="14.45" x14ac:dyDescent="0.35">
      <c r="A34" t="str">
        <f t="shared" si="0"/>
        <v>645</v>
      </c>
      <c r="B34" s="188" t="s">
        <v>72</v>
      </c>
      <c r="C34" s="312">
        <f>SUMIF('Recap dep rec'!$A:$A,A34,'Recap dep rec'!$I:$I)</f>
        <v>16.333333333333336</v>
      </c>
      <c r="D34" s="189">
        <f t="shared" si="5"/>
        <v>6.5716111986112945E-4</v>
      </c>
      <c r="E34" s="182"/>
      <c r="F34" s="196"/>
      <c r="G34" s="191"/>
      <c r="H34" s="198"/>
    </row>
    <row r="35" spans="1:8" x14ac:dyDescent="0.25">
      <c r="A35" t="str">
        <f t="shared" si="0"/>
        <v/>
      </c>
      <c r="B35" s="188"/>
      <c r="C35" s="197"/>
      <c r="D35" s="198"/>
      <c r="E35" s="182"/>
      <c r="F35" s="190" t="s">
        <v>153</v>
      </c>
      <c r="G35" s="191"/>
      <c r="H35" s="198"/>
    </row>
    <row r="36" spans="1:8" x14ac:dyDescent="0.25">
      <c r="A36" t="str">
        <f t="shared" si="0"/>
        <v/>
      </c>
      <c r="B36" s="188"/>
      <c r="C36" s="197"/>
      <c r="D36" s="198"/>
      <c r="E36" s="182"/>
      <c r="F36" s="208"/>
      <c r="G36" s="191"/>
      <c r="H36" s="198"/>
    </row>
    <row r="37" spans="1:8" x14ac:dyDescent="0.25">
      <c r="A37" t="str">
        <f t="shared" si="0"/>
        <v xml:space="preserve">65 </v>
      </c>
      <c r="B37" s="188" t="s">
        <v>73</v>
      </c>
      <c r="C37" s="312">
        <f>SUMIF('Recap dep rec'!$A:$A,A37,'Recap dep rec'!$I:$I)</f>
        <v>0</v>
      </c>
      <c r="D37" s="189">
        <f>C37/$C$55</f>
        <v>0</v>
      </c>
      <c r="E37" s="182"/>
      <c r="F37" s="208"/>
      <c r="G37" s="191"/>
      <c r="H37" s="198"/>
    </row>
    <row r="38" spans="1:8" x14ac:dyDescent="0.25">
      <c r="A38" t="str">
        <f t="shared" si="0"/>
        <v/>
      </c>
      <c r="B38" s="190"/>
      <c r="C38" s="186"/>
      <c r="D38" s="187"/>
      <c r="E38" s="182"/>
      <c r="F38" s="208"/>
      <c r="G38" s="191"/>
      <c r="H38" s="198"/>
    </row>
    <row r="39" spans="1:8" x14ac:dyDescent="0.25">
      <c r="A39" t="str">
        <f t="shared" si="0"/>
        <v/>
      </c>
      <c r="B39" s="188"/>
      <c r="C39" s="197"/>
      <c r="D39" s="198"/>
      <c r="E39" s="182"/>
      <c r="F39" s="209" t="s">
        <v>154</v>
      </c>
      <c r="G39" s="210">
        <f>G15</f>
        <v>5854.3817333333354</v>
      </c>
      <c r="H39" s="265">
        <f>H15</f>
        <v>0.23554726873297191</v>
      </c>
    </row>
    <row r="40" spans="1:8" x14ac:dyDescent="0.25">
      <c r="B40" s="190" t="s">
        <v>155</v>
      </c>
      <c r="C40" s="197"/>
      <c r="D40" s="198"/>
      <c r="E40" s="182"/>
      <c r="F40" s="188"/>
      <c r="G40" s="191"/>
      <c r="H40" s="189"/>
    </row>
    <row r="41" spans="1:8" x14ac:dyDescent="0.25">
      <c r="A41" t="str">
        <f t="shared" si="0"/>
        <v>661</v>
      </c>
      <c r="B41" s="188" t="s">
        <v>74</v>
      </c>
      <c r="C41" s="312">
        <f>SUMIF('Recap dep rec'!$A:$A,A41,'Recap dep rec'!$I:$I)</f>
        <v>0</v>
      </c>
      <c r="D41" s="189">
        <f>C41/$C$55</f>
        <v>0</v>
      </c>
      <c r="E41" s="182"/>
      <c r="F41" s="190" t="s">
        <v>156</v>
      </c>
      <c r="G41" s="186">
        <f>G42</f>
        <v>19000</v>
      </c>
      <c r="H41" s="264">
        <f>G41/G55</f>
        <v>0.76445273126702806</v>
      </c>
    </row>
    <row r="42" spans="1:8" x14ac:dyDescent="0.25">
      <c r="A42" t="str">
        <f t="shared" si="0"/>
        <v/>
      </c>
      <c r="B42" s="188"/>
      <c r="C42" s="197"/>
      <c r="D42" s="198"/>
      <c r="E42" s="182"/>
      <c r="F42" s="188" t="s">
        <v>88</v>
      </c>
      <c r="G42" s="191">
        <f>'Recap dep rec'!I35</f>
        <v>19000</v>
      </c>
      <c r="H42" s="198"/>
    </row>
    <row r="43" spans="1:8" x14ac:dyDescent="0.25">
      <c r="A43" t="str">
        <f t="shared" si="0"/>
        <v/>
      </c>
      <c r="B43" s="188"/>
      <c r="C43" s="197"/>
      <c r="D43" s="198"/>
      <c r="E43" s="182"/>
      <c r="F43" s="188" t="s">
        <v>157</v>
      </c>
      <c r="G43" s="212"/>
      <c r="H43" s="198"/>
    </row>
    <row r="44" spans="1:8" x14ac:dyDescent="0.25">
      <c r="A44" t="str">
        <f t="shared" si="0"/>
        <v xml:space="preserve">68 </v>
      </c>
      <c r="B44" s="190" t="s">
        <v>158</v>
      </c>
      <c r="C44" s="197"/>
      <c r="D44" s="198"/>
      <c r="E44" s="182"/>
      <c r="F44" s="188" t="s">
        <v>87</v>
      </c>
      <c r="G44" s="191"/>
      <c r="H44" s="198"/>
    </row>
    <row r="45" spans="1:8" x14ac:dyDescent="0.25">
      <c r="A45" t="str">
        <f t="shared" si="0"/>
        <v>aux</v>
      </c>
      <c r="B45" s="190" t="s">
        <v>159</v>
      </c>
      <c r="C45" s="194"/>
      <c r="D45" s="189"/>
      <c r="E45" s="182"/>
      <c r="F45" s="188" t="s">
        <v>160</v>
      </c>
      <c r="G45" s="191"/>
      <c r="H45" s="198"/>
    </row>
    <row r="46" spans="1:8" x14ac:dyDescent="0.25">
      <c r="A46" t="str">
        <f t="shared" si="0"/>
        <v>681</v>
      </c>
      <c r="B46" s="213" t="s">
        <v>75</v>
      </c>
      <c r="C46" s="312">
        <f>SUMIF('Recap dep rec'!$A:$A,A46,'Recap dep rec'!$I:$I)</f>
        <v>0</v>
      </c>
      <c r="D46" s="189">
        <f>C46/$C$55</f>
        <v>0</v>
      </c>
      <c r="E46" s="182"/>
      <c r="F46" s="188"/>
      <c r="G46" s="191"/>
      <c r="H46" s="198"/>
    </row>
    <row r="47" spans="1:8" x14ac:dyDescent="0.25">
      <c r="B47" s="188" t="s">
        <v>161</v>
      </c>
      <c r="C47" s="194"/>
      <c r="D47" s="189"/>
      <c r="E47" s="182"/>
      <c r="F47" s="188"/>
      <c r="G47" s="191"/>
      <c r="H47" s="189"/>
    </row>
    <row r="48" spans="1:8" x14ac:dyDescent="0.25">
      <c r="B48" s="213"/>
      <c r="C48" s="194"/>
      <c r="D48" s="189"/>
      <c r="E48" s="182"/>
      <c r="F48" s="190"/>
      <c r="G48" s="191"/>
      <c r="H48" s="189"/>
    </row>
    <row r="49" spans="1:8" x14ac:dyDescent="0.25">
      <c r="B49" s="213"/>
      <c r="C49" s="194"/>
      <c r="D49" s="189"/>
      <c r="E49" s="182"/>
      <c r="F49" s="190" t="s">
        <v>162</v>
      </c>
      <c r="G49" s="214"/>
      <c r="H49" s="187"/>
    </row>
    <row r="50" spans="1:8" x14ac:dyDescent="0.25">
      <c r="B50" s="190" t="s">
        <v>163</v>
      </c>
      <c r="C50" s="186"/>
      <c r="D50" s="187"/>
      <c r="E50" s="182"/>
      <c r="F50" s="188" t="s">
        <v>164</v>
      </c>
      <c r="G50" s="215"/>
      <c r="H50" s="189"/>
    </row>
    <row r="51" spans="1:8" ht="15.75" x14ac:dyDescent="0.25">
      <c r="A51" t="s">
        <v>325</v>
      </c>
      <c r="B51" s="213" t="s">
        <v>29</v>
      </c>
      <c r="C51" s="312">
        <f>SUMIF('Recap dep rec'!$A:$A,A51,'Recap dep rec'!$I:$I)</f>
        <v>0</v>
      </c>
      <c r="D51" s="189">
        <f t="shared" ref="D51:D53" si="6">C51/$C$55</f>
        <v>0</v>
      </c>
      <c r="E51" s="217"/>
      <c r="F51" s="188" t="s">
        <v>165</v>
      </c>
      <c r="G51" s="215"/>
      <c r="H51" s="189"/>
    </row>
    <row r="52" spans="1:8" ht="15.75" x14ac:dyDescent="0.25">
      <c r="B52" s="188" t="s">
        <v>166</v>
      </c>
      <c r="C52" s="312">
        <f>SUMIF('Recap dep rec'!$A:$A,A52,'Recap dep rec'!$I:$I)</f>
        <v>0</v>
      </c>
      <c r="D52" s="189">
        <f t="shared" si="6"/>
        <v>0</v>
      </c>
      <c r="E52" s="217"/>
      <c r="F52" s="188" t="s">
        <v>167</v>
      </c>
      <c r="G52" s="215"/>
      <c r="H52" s="189"/>
    </row>
    <row r="53" spans="1:8" x14ac:dyDescent="0.25">
      <c r="B53" s="188" t="s">
        <v>167</v>
      </c>
      <c r="C53" s="312">
        <f>SUMIF('Recap dep rec'!$A:$A,A53,'Recap dep rec'!$I:$I)</f>
        <v>0</v>
      </c>
      <c r="D53" s="189">
        <f t="shared" si="6"/>
        <v>0</v>
      </c>
      <c r="F53" s="188"/>
      <c r="G53" s="215"/>
      <c r="H53" s="189"/>
    </row>
    <row r="54" spans="1:8" x14ac:dyDescent="0.25">
      <c r="B54" s="218"/>
      <c r="C54" s="313"/>
      <c r="D54" s="220"/>
      <c r="F54" s="188"/>
      <c r="G54" s="215"/>
      <c r="H54" s="189"/>
    </row>
    <row r="55" spans="1:8" x14ac:dyDescent="0.25">
      <c r="B55" s="221" t="s">
        <v>168</v>
      </c>
      <c r="C55" s="222">
        <f>SUM(C5:C54)</f>
        <v>24854.381733333335</v>
      </c>
      <c r="D55" s="223"/>
      <c r="F55" s="221" t="s">
        <v>169</v>
      </c>
      <c r="G55" s="224">
        <f>G39+G41+G49</f>
        <v>24854.381733333335</v>
      </c>
      <c r="H55" s="223"/>
    </row>
    <row r="56" spans="1:8" x14ac:dyDescent="0.25">
      <c r="B56" s="182"/>
      <c r="C56" s="314">
        <f>C55-'Recap dep rec'!I43</f>
        <v>0</v>
      </c>
      <c r="D56" s="226"/>
      <c r="F56" s="182"/>
      <c r="G56" s="225"/>
      <c r="H56" s="227"/>
    </row>
    <row r="57" spans="1:8" ht="15.75" x14ac:dyDescent="0.25">
      <c r="B57" s="182"/>
      <c r="C57" s="315"/>
      <c r="D57" s="229"/>
      <c r="F57" s="217"/>
      <c r="G57" s="228"/>
      <c r="H57" s="230"/>
    </row>
    <row r="58" spans="1:8" ht="15.75" x14ac:dyDescent="0.25">
      <c r="B58" s="217"/>
      <c r="C58" s="315"/>
      <c r="D58" s="229"/>
      <c r="F58" s="217"/>
      <c r="G58" s="228"/>
      <c r="H58" s="226"/>
    </row>
    <row r="59" spans="1:8" ht="15.75" x14ac:dyDescent="0.25">
      <c r="D59" s="232"/>
      <c r="G59" s="231"/>
      <c r="H59" s="229"/>
    </row>
  </sheetData>
  <mergeCells count="1">
    <mergeCell ref="B1:H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499984740745262"/>
  </sheetPr>
  <dimension ref="A1:H59"/>
  <sheetViews>
    <sheetView topLeftCell="A25" workbookViewId="0">
      <selection activeCell="B62" sqref="B62"/>
    </sheetView>
  </sheetViews>
  <sheetFormatPr baseColWidth="10" defaultRowHeight="15" x14ac:dyDescent="0.25"/>
  <cols>
    <col min="1" max="1" width="7.5703125" bestFit="1" customWidth="1"/>
    <col min="2" max="2" width="50.85546875" bestFit="1" customWidth="1"/>
    <col min="3" max="3" width="11.42578125" style="289"/>
    <col min="5" max="5" width="5.42578125" customWidth="1"/>
    <col min="6" max="6" width="33" bestFit="1" customWidth="1"/>
  </cols>
  <sheetData>
    <row r="1" spans="1:8" ht="32.25" customHeight="1" x14ac:dyDescent="0.25">
      <c r="B1" s="366" t="s">
        <v>330</v>
      </c>
      <c r="C1" s="367"/>
      <c r="D1" s="367"/>
      <c r="E1" s="367"/>
      <c r="F1" s="367"/>
      <c r="G1" s="367"/>
      <c r="H1" s="368"/>
    </row>
    <row r="2" spans="1:8" x14ac:dyDescent="0.35">
      <c r="B2" s="176"/>
      <c r="C2" s="309"/>
      <c r="D2" s="178"/>
      <c r="E2" s="177"/>
      <c r="F2" s="177"/>
      <c r="G2" s="177"/>
      <c r="H2" s="178"/>
    </row>
    <row r="3" spans="1:8" x14ac:dyDescent="0.25">
      <c r="B3" s="179" t="s">
        <v>129</v>
      </c>
      <c r="C3" s="310" t="s">
        <v>130</v>
      </c>
      <c r="D3" s="181" t="s">
        <v>131</v>
      </c>
      <c r="E3" s="182"/>
      <c r="F3" s="179" t="s">
        <v>132</v>
      </c>
      <c r="G3" s="179" t="s">
        <v>130</v>
      </c>
      <c r="H3" s="181" t="s">
        <v>131</v>
      </c>
    </row>
    <row r="4" spans="1:8" ht="14.45" x14ac:dyDescent="0.35">
      <c r="B4" s="183" t="s">
        <v>133</v>
      </c>
      <c r="C4" s="311"/>
      <c r="D4" s="185"/>
      <c r="E4" s="182"/>
      <c r="F4" s="183" t="s">
        <v>134</v>
      </c>
      <c r="G4" s="186"/>
      <c r="H4" s="187"/>
    </row>
    <row r="5" spans="1:8" ht="14.45" x14ac:dyDescent="0.35">
      <c r="A5" t="str">
        <f>LEFT(B5,3)</f>
        <v>604</v>
      </c>
      <c r="B5" s="188" t="s">
        <v>135</v>
      </c>
      <c r="C5" s="312">
        <f>SUMIF('Recap dep rec'!$A:$A,A5,'Recap dep rec'!$J:$J)</f>
        <v>0</v>
      </c>
      <c r="D5" s="189">
        <f>C5/$C$55</f>
        <v>0</v>
      </c>
      <c r="E5" s="182"/>
      <c r="F5" s="190"/>
      <c r="G5" s="191"/>
      <c r="H5" s="189"/>
    </row>
    <row r="6" spans="1:8" x14ac:dyDescent="0.25">
      <c r="A6" t="str">
        <f t="shared" ref="A6:A46" si="0">LEFT(B6,3)</f>
        <v>605</v>
      </c>
      <c r="B6" s="192" t="s">
        <v>136</v>
      </c>
      <c r="C6" s="312">
        <f>SUMIF('Recap dep rec'!$A:$A,A6,'Recap dep rec'!$J:$J)</f>
        <v>67.166666666666671</v>
      </c>
      <c r="D6" s="189">
        <f t="shared" ref="D6:D7" si="1">C6/$C$55</f>
        <v>4.2853966194864637E-4</v>
      </c>
      <c r="E6" s="182"/>
      <c r="F6" s="190" t="s">
        <v>137</v>
      </c>
      <c r="G6" s="191"/>
      <c r="H6" s="193"/>
    </row>
    <row r="7" spans="1:8" ht="14.45" x14ac:dyDescent="0.35">
      <c r="A7" t="str">
        <f t="shared" si="0"/>
        <v>606</v>
      </c>
      <c r="B7" s="192" t="s">
        <v>138</v>
      </c>
      <c r="C7" s="312">
        <f>SUMIF('Recap dep rec'!$A:$A,A7,'Recap dep rec'!$J:$J)</f>
        <v>302.25</v>
      </c>
      <c r="D7" s="189">
        <f t="shared" si="1"/>
        <v>1.9284284787689085E-3</v>
      </c>
      <c r="E7" s="182"/>
      <c r="F7" s="196"/>
      <c r="G7" s="191"/>
      <c r="H7" s="189"/>
    </row>
    <row r="8" spans="1:8" ht="14.45" x14ac:dyDescent="0.35">
      <c r="A8" t="str">
        <f t="shared" si="0"/>
        <v>607</v>
      </c>
      <c r="B8" s="188" t="s">
        <v>139</v>
      </c>
      <c r="C8" s="194"/>
      <c r="D8" s="189"/>
      <c r="E8" s="182"/>
      <c r="F8" s="196"/>
      <c r="G8" s="191"/>
      <c r="H8" s="189"/>
    </row>
    <row r="9" spans="1:8" ht="14.45" x14ac:dyDescent="0.35">
      <c r="A9" t="str">
        <f t="shared" si="0"/>
        <v/>
      </c>
      <c r="B9" s="188"/>
      <c r="C9" s="194"/>
      <c r="D9" s="189"/>
      <c r="E9" s="182"/>
      <c r="F9" s="196"/>
      <c r="G9" s="191"/>
      <c r="H9" s="189"/>
    </row>
    <row r="10" spans="1:8" x14ac:dyDescent="0.25">
      <c r="A10" t="str">
        <f t="shared" si="0"/>
        <v/>
      </c>
      <c r="B10" s="196"/>
      <c r="C10" s="197"/>
      <c r="D10" s="198"/>
      <c r="E10" s="182"/>
      <c r="F10" s="199" t="s">
        <v>140</v>
      </c>
      <c r="G10" s="191"/>
      <c r="H10" s="198"/>
    </row>
    <row r="11" spans="1:8" x14ac:dyDescent="0.25">
      <c r="B11" s="190" t="s">
        <v>141</v>
      </c>
      <c r="C11" s="186"/>
      <c r="D11" s="187"/>
      <c r="E11" s="182"/>
      <c r="F11" s="200"/>
      <c r="G11" s="191"/>
      <c r="H11" s="198"/>
    </row>
    <row r="12" spans="1:8" x14ac:dyDescent="0.25">
      <c r="A12" t="str">
        <f t="shared" si="0"/>
        <v>611</v>
      </c>
      <c r="B12" s="188" t="s">
        <v>142</v>
      </c>
      <c r="C12" s="312">
        <f>SUMIF('Recap dep rec'!$A:$A,A12,'Recap dep rec'!$J:$J)</f>
        <v>136114.20000000001</v>
      </c>
      <c r="D12" s="189">
        <f t="shared" ref="D12:D17" si="2">C12/$C$55</f>
        <v>0.86844168616988249</v>
      </c>
      <c r="E12" s="182"/>
      <c r="F12" s="201"/>
      <c r="G12" s="191"/>
      <c r="H12" s="198"/>
    </row>
    <row r="13" spans="1:8" ht="14.45" x14ac:dyDescent="0.35">
      <c r="A13" t="str">
        <f t="shared" si="0"/>
        <v>613</v>
      </c>
      <c r="B13" s="188" t="s">
        <v>170</v>
      </c>
      <c r="C13" s="312">
        <f>SUMIF('Recap dep rec'!$A:$A,A13,'Recap dep rec'!$J:$J)</f>
        <v>1059.1666666666665</v>
      </c>
      <c r="D13" s="189">
        <f t="shared" si="2"/>
        <v>6.7577408230363447E-3</v>
      </c>
      <c r="E13" s="182"/>
      <c r="F13" s="202"/>
      <c r="G13" s="191"/>
      <c r="H13" s="198"/>
    </row>
    <row r="14" spans="1:8" ht="14.45" x14ac:dyDescent="0.35">
      <c r="A14" t="str">
        <f t="shared" si="0"/>
        <v>615</v>
      </c>
      <c r="B14" s="188" t="s">
        <v>65</v>
      </c>
      <c r="C14" s="312">
        <f>SUMIF('Recap dep rec'!$A:$A,A14,'Recap dep rec'!$J:$J)</f>
        <v>325.5</v>
      </c>
      <c r="D14" s="189">
        <f t="shared" si="2"/>
        <v>2.0767691309819016E-3</v>
      </c>
      <c r="E14" s="182"/>
      <c r="F14" s="202"/>
      <c r="G14" s="191"/>
      <c r="H14" s="198"/>
    </row>
    <row r="15" spans="1:8" x14ac:dyDescent="0.25">
      <c r="A15" t="str">
        <f t="shared" si="0"/>
        <v>616</v>
      </c>
      <c r="B15" s="188" t="s">
        <v>66</v>
      </c>
      <c r="C15" s="312">
        <f>SUMIF('Recap dep rec'!$A:$A,A15,'Recap dep rec'!$J:$J)</f>
        <v>207.7</v>
      </c>
      <c r="D15" s="189">
        <f t="shared" si="2"/>
        <v>1.325176493102737E-3</v>
      </c>
      <c r="E15" s="182"/>
      <c r="F15" s="190" t="s">
        <v>143</v>
      </c>
      <c r="G15" s="191">
        <f>'Recap dep rec'!J38</f>
        <v>48077.589666666667</v>
      </c>
      <c r="H15" s="263">
        <f>G15/G55</f>
        <v>0.30674671002073051</v>
      </c>
    </row>
    <row r="16" spans="1:8" ht="14.45" x14ac:dyDescent="0.35">
      <c r="A16" t="str">
        <f t="shared" si="0"/>
        <v>617</v>
      </c>
      <c r="B16" s="188" t="s">
        <v>67</v>
      </c>
      <c r="C16" s="312">
        <f>SUMIF('Recap dep rec'!$A:$A,A16,'Recap dep rec'!$J:$J)</f>
        <v>0</v>
      </c>
      <c r="D16" s="189">
        <f t="shared" si="2"/>
        <v>0</v>
      </c>
      <c r="E16" s="182"/>
      <c r="F16" s="203"/>
      <c r="G16" s="191"/>
      <c r="H16" s="198"/>
    </row>
    <row r="17" spans="1:8" ht="14.45" x14ac:dyDescent="0.35">
      <c r="A17" t="str">
        <f t="shared" si="0"/>
        <v>618</v>
      </c>
      <c r="B17" s="188" t="s">
        <v>144</v>
      </c>
      <c r="C17" s="312">
        <f>SUMIF('Recap dep rec'!$A:$A,A17,'Recap dep rec'!$J:$J)</f>
        <v>82.666666666666671</v>
      </c>
      <c r="D17" s="189">
        <f t="shared" si="2"/>
        <v>5.2743343009064171E-4</v>
      </c>
      <c r="E17" s="182"/>
      <c r="F17" s="203"/>
      <c r="G17" s="191"/>
      <c r="H17" s="198"/>
    </row>
    <row r="18" spans="1:8" ht="14.45" x14ac:dyDescent="0.35">
      <c r="A18" t="str">
        <f t="shared" si="0"/>
        <v/>
      </c>
      <c r="B18" s="188"/>
      <c r="C18" s="197"/>
      <c r="D18" s="198"/>
      <c r="E18" s="182"/>
      <c r="F18" s="202"/>
      <c r="G18" s="191"/>
      <c r="H18" s="198"/>
    </row>
    <row r="19" spans="1:8" x14ac:dyDescent="0.25">
      <c r="A19" t="str">
        <f t="shared" si="0"/>
        <v/>
      </c>
      <c r="B19" s="188"/>
      <c r="C19" s="197"/>
      <c r="D19" s="198"/>
      <c r="E19" s="204"/>
      <c r="F19" s="205" t="s">
        <v>145</v>
      </c>
      <c r="G19" s="191"/>
      <c r="H19" s="198"/>
    </row>
    <row r="20" spans="1:8" x14ac:dyDescent="0.25">
      <c r="B20" s="190" t="s">
        <v>146</v>
      </c>
      <c r="C20" s="186"/>
      <c r="D20" s="187"/>
      <c r="E20" s="182"/>
      <c r="F20" s="196"/>
      <c r="G20" s="191"/>
      <c r="H20" s="198"/>
    </row>
    <row r="21" spans="1:8" ht="14.45" x14ac:dyDescent="0.35">
      <c r="A21" t="str">
        <f t="shared" si="0"/>
        <v/>
      </c>
      <c r="B21" s="190"/>
      <c r="C21" s="186"/>
      <c r="D21" s="187"/>
      <c r="E21" s="182"/>
      <c r="F21" s="196"/>
      <c r="G21" s="191"/>
      <c r="H21" s="198"/>
    </row>
    <row r="22" spans="1:8" x14ac:dyDescent="0.25">
      <c r="A22" t="str">
        <f t="shared" si="0"/>
        <v>622</v>
      </c>
      <c r="B22" s="188" t="s">
        <v>147</v>
      </c>
      <c r="C22" s="312">
        <f>SUMIF('Recap dep rec'!$A:$A,A22,'Recap dep rec'!$J:$J)</f>
        <v>1048.8333333333335</v>
      </c>
      <c r="D22" s="189">
        <f t="shared" ref="D22:D27" si="3">C22/$C$55</f>
        <v>6.6918116442750168E-3</v>
      </c>
      <c r="E22" s="182"/>
      <c r="F22" s="203"/>
      <c r="G22" s="191"/>
      <c r="H22" s="198"/>
    </row>
    <row r="23" spans="1:8" ht="14.45" x14ac:dyDescent="0.35">
      <c r="A23" t="str">
        <f t="shared" si="0"/>
        <v xml:space="preserve">et </v>
      </c>
      <c r="B23" s="188" t="s">
        <v>148</v>
      </c>
      <c r="C23" s="312"/>
      <c r="D23" s="189"/>
      <c r="E23" s="182"/>
      <c r="F23" s="190"/>
      <c r="G23" s="191"/>
      <c r="H23" s="198"/>
    </row>
    <row r="24" spans="1:8" x14ac:dyDescent="0.25">
      <c r="A24" t="str">
        <f t="shared" si="0"/>
        <v>623</v>
      </c>
      <c r="B24" s="188" t="s">
        <v>149</v>
      </c>
      <c r="C24" s="312">
        <f>SUMIF('Recap dep rec'!$A:$A,A24,'Recap dep rec'!$J:$J)</f>
        <v>403</v>
      </c>
      <c r="D24" s="189">
        <f t="shared" si="3"/>
        <v>2.5712379716918781E-3</v>
      </c>
      <c r="E24" s="182"/>
      <c r="F24" s="190" t="s">
        <v>150</v>
      </c>
      <c r="G24" s="191"/>
      <c r="H24" s="198"/>
    </row>
    <row r="25" spans="1:8" x14ac:dyDescent="0.25">
      <c r="A25" t="str">
        <f t="shared" si="0"/>
        <v>625</v>
      </c>
      <c r="B25" s="188" t="s">
        <v>68</v>
      </c>
      <c r="C25" s="312">
        <f>SUMIF('Recap dep rec'!$A:$A,A25,'Recap dep rec'!$J:$J)</f>
        <v>2693.166666666667</v>
      </c>
      <c r="D25" s="189">
        <f t="shared" si="3"/>
        <v>1.7183058058134432E-2</v>
      </c>
      <c r="E25" s="182"/>
      <c r="F25" s="196"/>
      <c r="G25" s="191"/>
      <c r="H25" s="198"/>
    </row>
    <row r="26" spans="1:8" x14ac:dyDescent="0.25">
      <c r="A26" t="str">
        <f t="shared" si="0"/>
        <v>626</v>
      </c>
      <c r="B26" s="188" t="s">
        <v>69</v>
      </c>
      <c r="C26" s="312">
        <f>SUMIF('Recap dep rec'!$A:$A,A26,'Recap dep rec'!$J:$J)</f>
        <v>304.83333333333331</v>
      </c>
      <c r="D26" s="189">
        <f t="shared" si="3"/>
        <v>1.9449107734592409E-3</v>
      </c>
      <c r="E26" s="182"/>
      <c r="F26" s="196"/>
      <c r="G26" s="191"/>
      <c r="H26" s="198"/>
    </row>
    <row r="27" spans="1:8" x14ac:dyDescent="0.25">
      <c r="A27" t="str">
        <f t="shared" si="0"/>
        <v>628</v>
      </c>
      <c r="B27" s="188" t="s">
        <v>70</v>
      </c>
      <c r="C27" s="312">
        <f>SUMIF('Recap dep rec'!$A:$A,A27,'Recap dep rec'!$J:$J)</f>
        <v>178.25</v>
      </c>
      <c r="D27" s="189">
        <f t="shared" si="3"/>
        <v>1.137278333632946E-3</v>
      </c>
      <c r="E27" s="182"/>
      <c r="F27" s="196"/>
      <c r="G27" s="191"/>
      <c r="H27" s="198"/>
    </row>
    <row r="28" spans="1:8" ht="14.45" x14ac:dyDescent="0.35">
      <c r="A28" t="str">
        <f t="shared" si="0"/>
        <v/>
      </c>
      <c r="B28" s="188"/>
      <c r="C28" s="197"/>
      <c r="D28" s="198"/>
      <c r="E28" s="182"/>
      <c r="F28" s="190" t="s">
        <v>151</v>
      </c>
      <c r="G28" s="191"/>
      <c r="H28" s="198"/>
    </row>
    <row r="29" spans="1:8" x14ac:dyDescent="0.25">
      <c r="B29" s="190" t="s">
        <v>171</v>
      </c>
      <c r="C29" s="197"/>
      <c r="D29" s="198"/>
      <c r="E29" s="182"/>
      <c r="F29" s="190"/>
      <c r="G29" s="191"/>
      <c r="H29" s="198"/>
    </row>
    <row r="30" spans="1:8" ht="14.45" x14ac:dyDescent="0.35">
      <c r="A30" t="str">
        <f t="shared" si="0"/>
        <v>631</v>
      </c>
      <c r="B30" s="188" t="s">
        <v>172</v>
      </c>
      <c r="C30" s="312">
        <f>SUMIF('Recap dep rec'!$A:$A,A30,'Recap dep rec'!$J:$J)</f>
        <v>255.75</v>
      </c>
      <c r="D30" s="189">
        <f t="shared" ref="D30:D31" si="4">C30/$C$55</f>
        <v>1.6317471743429225E-3</v>
      </c>
      <c r="E30" s="182"/>
      <c r="F30" s="190"/>
      <c r="G30" s="191"/>
      <c r="H30" s="198"/>
    </row>
    <row r="31" spans="1:8" x14ac:dyDescent="0.25">
      <c r="A31" t="str">
        <f t="shared" si="0"/>
        <v>635</v>
      </c>
      <c r="B31" s="188" t="s">
        <v>173</v>
      </c>
      <c r="C31" s="312">
        <f>SUMIF('Recap dep rec'!$A:$A,A31,'Recap dep rec'!$J:$J)</f>
        <v>55.128333333333337</v>
      </c>
      <c r="D31" s="189">
        <f t="shared" si="4"/>
        <v>3.5173216869169668E-4</v>
      </c>
      <c r="E31" s="182"/>
      <c r="F31" s="190"/>
      <c r="G31" s="191"/>
      <c r="H31" s="198"/>
    </row>
    <row r="32" spans="1:8" ht="14.45" x14ac:dyDescent="0.35">
      <c r="B32" s="190" t="s">
        <v>152</v>
      </c>
      <c r="C32" s="206"/>
      <c r="D32" s="207"/>
      <c r="E32" s="182"/>
      <c r="F32" s="196"/>
      <c r="G32" s="191"/>
      <c r="H32" s="198"/>
    </row>
    <row r="33" spans="1:8" x14ac:dyDescent="0.25">
      <c r="A33" t="str">
        <f t="shared" si="0"/>
        <v>641</v>
      </c>
      <c r="B33" s="188" t="s">
        <v>71</v>
      </c>
      <c r="C33" s="312">
        <f>SUMIF('Recap dep rec'!$A:$A,A33,'Recap dep rec'!$J:$J)</f>
        <v>13600.061333333333</v>
      </c>
      <c r="D33" s="189">
        <f t="shared" ref="D33:D34" si="5">C33/$C$55</f>
        <v>8.6771697562295622E-2</v>
      </c>
      <c r="E33" s="182"/>
      <c r="F33" s="196"/>
      <c r="G33" s="191"/>
      <c r="H33" s="198"/>
    </row>
    <row r="34" spans="1:8" x14ac:dyDescent="0.25">
      <c r="A34" t="str">
        <f t="shared" si="0"/>
        <v>645</v>
      </c>
      <c r="B34" s="188" t="s">
        <v>72</v>
      </c>
      <c r="C34" s="312">
        <f>SUMIF('Recap dep rec'!$A:$A,A34,'Recap dep rec'!$J:$J)</f>
        <v>36.166666666666671</v>
      </c>
      <c r="D34" s="189">
        <f t="shared" si="5"/>
        <v>2.3075212566465574E-4</v>
      </c>
      <c r="E34" s="182"/>
      <c r="F34" s="196"/>
      <c r="G34" s="191"/>
      <c r="H34" s="198"/>
    </row>
    <row r="35" spans="1:8" x14ac:dyDescent="0.25">
      <c r="A35" t="str">
        <f t="shared" si="0"/>
        <v/>
      </c>
      <c r="B35" s="188"/>
      <c r="C35" s="197"/>
      <c r="D35" s="198"/>
      <c r="E35" s="182"/>
      <c r="F35" s="190" t="s">
        <v>153</v>
      </c>
      <c r="G35" s="191"/>
      <c r="H35" s="198"/>
    </row>
    <row r="36" spans="1:8" x14ac:dyDescent="0.25">
      <c r="A36" t="str">
        <f t="shared" si="0"/>
        <v/>
      </c>
      <c r="B36" s="188"/>
      <c r="C36" s="197"/>
      <c r="D36" s="198"/>
      <c r="E36" s="182"/>
      <c r="F36" s="208"/>
      <c r="G36" s="191"/>
      <c r="H36" s="198"/>
    </row>
    <row r="37" spans="1:8" x14ac:dyDescent="0.25">
      <c r="A37" t="str">
        <f t="shared" si="0"/>
        <v xml:space="preserve">65 </v>
      </c>
      <c r="B37" s="188" t="s">
        <v>73</v>
      </c>
      <c r="C37" s="312">
        <f>SUMIF('Recap dep rec'!$A:$A,A37,'Recap dep rec'!$J:$J)</f>
        <v>0</v>
      </c>
      <c r="D37" s="189">
        <f t="shared" ref="D37" si="6">C37/$C$55</f>
        <v>0</v>
      </c>
      <c r="E37" s="182"/>
      <c r="F37" s="208"/>
      <c r="G37" s="191"/>
      <c r="H37" s="198"/>
    </row>
    <row r="38" spans="1:8" x14ac:dyDescent="0.25">
      <c r="A38" t="str">
        <f t="shared" si="0"/>
        <v/>
      </c>
      <c r="B38" s="190"/>
      <c r="C38" s="186"/>
      <c r="D38" s="187"/>
      <c r="E38" s="182"/>
      <c r="F38" s="208"/>
      <c r="G38" s="191"/>
      <c r="H38" s="198"/>
    </row>
    <row r="39" spans="1:8" x14ac:dyDescent="0.25">
      <c r="A39" t="str">
        <f t="shared" si="0"/>
        <v/>
      </c>
      <c r="B39" s="188"/>
      <c r="C39" s="197"/>
      <c r="D39" s="198"/>
      <c r="E39" s="182"/>
      <c r="F39" s="209" t="s">
        <v>154</v>
      </c>
      <c r="G39" s="210">
        <f>G15</f>
        <v>48077.589666666667</v>
      </c>
      <c r="H39" s="265">
        <f>H15</f>
        <v>0.30674671002073051</v>
      </c>
    </row>
    <row r="40" spans="1:8" x14ac:dyDescent="0.25">
      <c r="B40" s="190" t="s">
        <v>155</v>
      </c>
      <c r="C40" s="197"/>
      <c r="D40" s="198"/>
      <c r="E40" s="182"/>
      <c r="F40" s="188"/>
      <c r="G40" s="191"/>
      <c r="H40" s="189"/>
    </row>
    <row r="41" spans="1:8" x14ac:dyDescent="0.25">
      <c r="A41" t="str">
        <f t="shared" si="0"/>
        <v>661</v>
      </c>
      <c r="B41" s="188" t="s">
        <v>74</v>
      </c>
      <c r="C41" s="312">
        <f>SUMIF('Recap dep rec'!$A:$A,A41,'Recap dep rec'!$J:$J)</f>
        <v>0</v>
      </c>
      <c r="D41" s="189">
        <f t="shared" ref="D41" si="7">C41/$C$55</f>
        <v>0</v>
      </c>
      <c r="E41" s="182"/>
      <c r="F41" s="190" t="s">
        <v>156</v>
      </c>
      <c r="G41" s="186">
        <f>G42</f>
        <v>108656.25</v>
      </c>
      <c r="H41" s="264">
        <f>G41/G55</f>
        <v>0.69325328997926949</v>
      </c>
    </row>
    <row r="42" spans="1:8" x14ac:dyDescent="0.25">
      <c r="A42" t="str">
        <f t="shared" si="0"/>
        <v/>
      </c>
      <c r="B42" s="188"/>
      <c r="C42" s="197"/>
      <c r="D42" s="198"/>
      <c r="E42" s="182"/>
      <c r="F42" s="188" t="s">
        <v>88</v>
      </c>
      <c r="G42" s="191">
        <f>'Recap dep rec'!J35</f>
        <v>108656.25</v>
      </c>
      <c r="H42" s="198"/>
    </row>
    <row r="43" spans="1:8" x14ac:dyDescent="0.25">
      <c r="A43" t="str">
        <f t="shared" si="0"/>
        <v/>
      </c>
      <c r="B43" s="188"/>
      <c r="C43" s="197"/>
      <c r="D43" s="198"/>
      <c r="E43" s="182"/>
      <c r="F43" s="188" t="s">
        <v>157</v>
      </c>
      <c r="G43" s="212"/>
      <c r="H43" s="198"/>
    </row>
    <row r="44" spans="1:8" x14ac:dyDescent="0.25">
      <c r="A44" t="str">
        <f t="shared" si="0"/>
        <v xml:space="preserve">68 </v>
      </c>
      <c r="B44" s="190" t="s">
        <v>158</v>
      </c>
      <c r="C44" s="197"/>
      <c r="D44" s="198"/>
      <c r="E44" s="182"/>
      <c r="F44" s="188" t="s">
        <v>87</v>
      </c>
      <c r="G44" s="191"/>
      <c r="H44" s="198"/>
    </row>
    <row r="45" spans="1:8" x14ac:dyDescent="0.25">
      <c r="A45" t="str">
        <f t="shared" si="0"/>
        <v>aux</v>
      </c>
      <c r="B45" s="190" t="s">
        <v>159</v>
      </c>
      <c r="C45" s="194"/>
      <c r="D45" s="189"/>
      <c r="E45" s="182"/>
      <c r="F45" s="188" t="s">
        <v>160</v>
      </c>
      <c r="G45" s="191"/>
      <c r="H45" s="198"/>
    </row>
    <row r="46" spans="1:8" x14ac:dyDescent="0.25">
      <c r="A46" t="str">
        <f t="shared" si="0"/>
        <v>681</v>
      </c>
      <c r="B46" s="213" t="s">
        <v>75</v>
      </c>
      <c r="C46" s="312">
        <f>SUMIF('Recap dep rec'!$A:$A,A46,'Recap dep rec'!$J:$J)</f>
        <v>0</v>
      </c>
      <c r="D46" s="189">
        <f t="shared" ref="D46" si="8">C46/$C$55</f>
        <v>0</v>
      </c>
      <c r="E46" s="182"/>
      <c r="F46" s="188"/>
      <c r="G46" s="191"/>
      <c r="H46" s="198"/>
    </row>
    <row r="47" spans="1:8" x14ac:dyDescent="0.25">
      <c r="B47" s="188" t="s">
        <v>161</v>
      </c>
      <c r="C47" s="194"/>
      <c r="D47" s="189"/>
      <c r="E47" s="182"/>
      <c r="F47" s="188"/>
      <c r="G47" s="191"/>
      <c r="H47" s="189"/>
    </row>
    <row r="48" spans="1:8" x14ac:dyDescent="0.25">
      <c r="B48" s="213"/>
      <c r="C48" s="194"/>
      <c r="D48" s="189"/>
      <c r="E48" s="182"/>
      <c r="F48" s="190"/>
      <c r="G48" s="191"/>
      <c r="H48" s="189"/>
    </row>
    <row r="49" spans="1:8" x14ac:dyDescent="0.25">
      <c r="B49" s="213"/>
      <c r="C49" s="194"/>
      <c r="D49" s="189"/>
      <c r="E49" s="182"/>
      <c r="F49" s="190" t="s">
        <v>162</v>
      </c>
      <c r="G49" s="214"/>
      <c r="H49" s="187"/>
    </row>
    <row r="50" spans="1:8" x14ac:dyDescent="0.25">
      <c r="B50" s="190" t="s">
        <v>163</v>
      </c>
      <c r="C50" s="186"/>
      <c r="D50" s="187"/>
      <c r="E50" s="182"/>
      <c r="F50" s="188" t="s">
        <v>164</v>
      </c>
      <c r="G50" s="215"/>
      <c r="H50" s="189"/>
    </row>
    <row r="51" spans="1:8" ht="15.75" x14ac:dyDescent="0.25">
      <c r="A51" t="s">
        <v>325</v>
      </c>
      <c r="B51" s="213" t="s">
        <v>29</v>
      </c>
      <c r="C51" s="312">
        <f>SUMIF('Recap dep rec'!$A:$A,A51,'Recap dep rec'!$J:$J)</f>
        <v>0</v>
      </c>
      <c r="D51" s="189">
        <f t="shared" ref="D51:D53" si="9">C51/$C$55</f>
        <v>0</v>
      </c>
      <c r="E51" s="217"/>
      <c r="F51" s="188" t="s">
        <v>165</v>
      </c>
      <c r="G51" s="215"/>
      <c r="H51" s="189"/>
    </row>
    <row r="52" spans="1:8" ht="15.75" x14ac:dyDescent="0.25">
      <c r="B52" s="188" t="s">
        <v>166</v>
      </c>
      <c r="C52" s="312">
        <f>SUMIF('Recap dep rec'!$A:$A,A52,'Recap dep rec'!$J:$J)</f>
        <v>0</v>
      </c>
      <c r="D52" s="189">
        <f t="shared" si="9"/>
        <v>0</v>
      </c>
      <c r="E52" s="217"/>
      <c r="F52" s="188" t="s">
        <v>167</v>
      </c>
      <c r="G52" s="215"/>
      <c r="H52" s="189"/>
    </row>
    <row r="53" spans="1:8" x14ac:dyDescent="0.25">
      <c r="B53" s="188" t="s">
        <v>167</v>
      </c>
      <c r="C53" s="312">
        <f>SUMIF('Recap dep rec'!$A:$A,A53,'Recap dep rec'!$J:$J)</f>
        <v>0</v>
      </c>
      <c r="D53" s="189">
        <f t="shared" si="9"/>
        <v>0</v>
      </c>
      <c r="F53" s="188"/>
      <c r="G53" s="215"/>
      <c r="H53" s="189"/>
    </row>
    <row r="54" spans="1:8" x14ac:dyDescent="0.25">
      <c r="B54" s="218"/>
      <c r="C54" s="313"/>
      <c r="D54" s="220"/>
      <c r="F54" s="188"/>
      <c r="G54" s="215"/>
      <c r="H54" s="189"/>
    </row>
    <row r="55" spans="1:8" x14ac:dyDescent="0.25">
      <c r="B55" s="221" t="s">
        <v>168</v>
      </c>
      <c r="C55" s="222">
        <f>SUM(C5:C54)</f>
        <v>156733.83966666667</v>
      </c>
      <c r="D55" s="223"/>
      <c r="F55" s="221" t="s">
        <v>169</v>
      </c>
      <c r="G55" s="224">
        <f>G39+G41+G49</f>
        <v>156733.83966666667</v>
      </c>
      <c r="H55" s="223"/>
    </row>
    <row r="56" spans="1:8" x14ac:dyDescent="0.25">
      <c r="B56" s="182"/>
      <c r="C56" s="314">
        <f>C55-'Recap dep rec'!J43</f>
        <v>0</v>
      </c>
      <c r="D56" s="226"/>
      <c r="F56" s="182"/>
      <c r="G56" s="225"/>
      <c r="H56" s="227"/>
    </row>
    <row r="57" spans="1:8" ht="15.75" x14ac:dyDescent="0.25">
      <c r="B57" s="182"/>
      <c r="C57" s="315"/>
      <c r="D57" s="229"/>
      <c r="F57" s="217"/>
      <c r="G57" s="228"/>
      <c r="H57" s="230"/>
    </row>
    <row r="58" spans="1:8" ht="15.75" x14ac:dyDescent="0.25">
      <c r="B58" s="217"/>
      <c r="C58" s="315"/>
      <c r="D58" s="229"/>
      <c r="F58" s="217"/>
      <c r="G58" s="228"/>
      <c r="H58" s="226"/>
    </row>
    <row r="59" spans="1:8" ht="15.75" x14ac:dyDescent="0.25">
      <c r="D59" s="232"/>
      <c r="G59" s="231"/>
      <c r="H59" s="229"/>
    </row>
  </sheetData>
  <mergeCells count="1">
    <mergeCell ref="B1:H1"/>
  </mergeCells>
  <pageMargins left="0.7" right="0.7" top="0.75" bottom="0.75" header="0.3" footer="0.3"/>
  <pageSetup paperSize="9" orientation="portrait" horizontalDpi="0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499984740745262"/>
  </sheetPr>
  <dimension ref="A1:H59"/>
  <sheetViews>
    <sheetView topLeftCell="A22" workbookViewId="0">
      <selection activeCell="B62" sqref="B62"/>
    </sheetView>
  </sheetViews>
  <sheetFormatPr baseColWidth="10" defaultRowHeight="15" x14ac:dyDescent="0.25"/>
  <cols>
    <col min="1" max="1" width="7.5703125" bestFit="1" customWidth="1"/>
    <col min="2" max="2" width="50.85546875" bestFit="1" customWidth="1"/>
    <col min="5" max="5" width="5.42578125" customWidth="1"/>
    <col min="6" max="6" width="33" bestFit="1" customWidth="1"/>
  </cols>
  <sheetData>
    <row r="1" spans="1:8" ht="49.5" customHeight="1" x14ac:dyDescent="0.25">
      <c r="B1" s="366" t="s">
        <v>329</v>
      </c>
      <c r="C1" s="367"/>
      <c r="D1" s="367"/>
      <c r="E1" s="367"/>
      <c r="F1" s="367"/>
      <c r="G1" s="367"/>
      <c r="H1" s="368"/>
    </row>
    <row r="2" spans="1:8" x14ac:dyDescent="0.35">
      <c r="B2" s="176"/>
      <c r="C2" s="177"/>
      <c r="D2" s="178"/>
      <c r="E2" s="177"/>
      <c r="F2" s="177"/>
      <c r="G2" s="177"/>
      <c r="H2" s="178"/>
    </row>
    <row r="3" spans="1:8" x14ac:dyDescent="0.25">
      <c r="B3" s="179" t="s">
        <v>129</v>
      </c>
      <c r="C3" s="180" t="s">
        <v>130</v>
      </c>
      <c r="D3" s="181" t="s">
        <v>131</v>
      </c>
      <c r="E3" s="182"/>
      <c r="F3" s="179" t="s">
        <v>132</v>
      </c>
      <c r="G3" s="179" t="s">
        <v>130</v>
      </c>
      <c r="H3" s="181" t="s">
        <v>131</v>
      </c>
    </row>
    <row r="4" spans="1:8" ht="14.45" x14ac:dyDescent="0.35">
      <c r="B4" s="183" t="s">
        <v>133</v>
      </c>
      <c r="C4" s="311"/>
      <c r="D4" s="185"/>
      <c r="E4" s="182"/>
      <c r="F4" s="183" t="s">
        <v>134</v>
      </c>
      <c r="G4" s="186"/>
      <c r="H4" s="187"/>
    </row>
    <row r="5" spans="1:8" ht="14.45" x14ac:dyDescent="0.35">
      <c r="A5" t="str">
        <f>LEFT(B5,3)</f>
        <v>604</v>
      </c>
      <c r="B5" s="188" t="s">
        <v>135</v>
      </c>
      <c r="C5" s="312">
        <f>SUMIF('Recap dep rec'!$A:$A,A5,'Recap dep rec'!$K:$K)</f>
        <v>0</v>
      </c>
      <c r="D5" s="189">
        <f>C5/$C$55</f>
        <v>0</v>
      </c>
      <c r="E5" s="182"/>
      <c r="F5" s="190"/>
      <c r="G5" s="191"/>
      <c r="H5" s="189"/>
    </row>
    <row r="6" spans="1:8" x14ac:dyDescent="0.25">
      <c r="A6" t="str">
        <f t="shared" ref="A6:A46" si="0">LEFT(B6,3)</f>
        <v>605</v>
      </c>
      <c r="B6" s="192" t="s">
        <v>136</v>
      </c>
      <c r="C6" s="312">
        <f>SUMIF('Recap dep rec'!$A:$A,A6,'Recap dep rec'!$K:$K)</f>
        <v>78.000000000000014</v>
      </c>
      <c r="D6" s="189">
        <f t="shared" ref="D6:D7" si="1">C6/$C$55</f>
        <v>8.6937571480795765E-4</v>
      </c>
      <c r="E6" s="182"/>
      <c r="F6" s="190" t="s">
        <v>137</v>
      </c>
      <c r="G6" s="191"/>
      <c r="H6" s="193"/>
    </row>
    <row r="7" spans="1:8" ht="14.45" x14ac:dyDescent="0.35">
      <c r="A7" t="str">
        <f t="shared" si="0"/>
        <v>606</v>
      </c>
      <c r="B7" s="192" t="s">
        <v>138</v>
      </c>
      <c r="C7" s="312">
        <f>SUMIF('Recap dep rec'!$A:$A,A7,'Recap dep rec'!$K:$K)</f>
        <v>351.00000000000006</v>
      </c>
      <c r="D7" s="189">
        <f t="shared" si="1"/>
        <v>3.9121907166358091E-3</v>
      </c>
      <c r="E7" s="182"/>
      <c r="F7" s="196"/>
      <c r="G7" s="191"/>
      <c r="H7" s="189"/>
    </row>
    <row r="8" spans="1:8" ht="14.45" x14ac:dyDescent="0.35">
      <c r="A8" t="str">
        <f t="shared" si="0"/>
        <v>607</v>
      </c>
      <c r="B8" s="188" t="s">
        <v>139</v>
      </c>
      <c r="C8" s="194"/>
      <c r="D8" s="189"/>
      <c r="E8" s="182"/>
      <c r="F8" s="196"/>
      <c r="G8" s="191"/>
      <c r="H8" s="189"/>
    </row>
    <row r="9" spans="1:8" ht="14.45" x14ac:dyDescent="0.35">
      <c r="A9" t="str">
        <f t="shared" si="0"/>
        <v/>
      </c>
      <c r="B9" s="188"/>
      <c r="C9" s="194"/>
      <c r="D9" s="189"/>
      <c r="E9" s="182"/>
      <c r="F9" s="196"/>
      <c r="G9" s="191"/>
      <c r="H9" s="189"/>
    </row>
    <row r="10" spans="1:8" x14ac:dyDescent="0.25">
      <c r="A10" t="str">
        <f t="shared" si="0"/>
        <v/>
      </c>
      <c r="B10" s="196"/>
      <c r="C10" s="197"/>
      <c r="D10" s="198"/>
      <c r="E10" s="182"/>
      <c r="F10" s="199" t="s">
        <v>140</v>
      </c>
      <c r="G10" s="191"/>
      <c r="H10" s="198"/>
    </row>
    <row r="11" spans="1:8" x14ac:dyDescent="0.25">
      <c r="B11" s="190" t="s">
        <v>141</v>
      </c>
      <c r="C11" s="186"/>
      <c r="D11" s="187"/>
      <c r="E11" s="182"/>
      <c r="F11" s="200"/>
      <c r="G11" s="191"/>
      <c r="H11" s="198"/>
    </row>
    <row r="12" spans="1:8" x14ac:dyDescent="0.25">
      <c r="A12" t="str">
        <f t="shared" si="0"/>
        <v>611</v>
      </c>
      <c r="B12" s="188" t="s">
        <v>142</v>
      </c>
      <c r="C12" s="312">
        <f>SUMIF('Recap dep rec'!$A:$A,A12,'Recap dep rec'!$K:$K)</f>
        <v>67750</v>
      </c>
      <c r="D12" s="189">
        <f t="shared" ref="D12:D17" si="2">C12/$C$55</f>
        <v>0.75513082920819385</v>
      </c>
      <c r="E12" s="182"/>
      <c r="F12" s="201"/>
      <c r="G12" s="191"/>
      <c r="H12" s="198"/>
    </row>
    <row r="13" spans="1:8" ht="14.45" x14ac:dyDescent="0.35">
      <c r="A13" t="str">
        <f t="shared" si="0"/>
        <v>613</v>
      </c>
      <c r="B13" s="188" t="s">
        <v>170</v>
      </c>
      <c r="C13" s="312">
        <f>SUMIF('Recap dep rec'!$A:$A,A13,'Recap dep rec'!$K:$K)</f>
        <v>1230</v>
      </c>
      <c r="D13" s="189">
        <f t="shared" si="2"/>
        <v>1.3709386271971638E-2</v>
      </c>
      <c r="E13" s="182"/>
      <c r="F13" s="202"/>
      <c r="G13" s="191"/>
      <c r="H13" s="198"/>
    </row>
    <row r="14" spans="1:8" ht="14.45" x14ac:dyDescent="0.35">
      <c r="A14" t="str">
        <f t="shared" si="0"/>
        <v>615</v>
      </c>
      <c r="B14" s="188" t="s">
        <v>65</v>
      </c>
      <c r="C14" s="312">
        <f>SUMIF('Recap dep rec'!$A:$A,A14,'Recap dep rec'!$K:$K)</f>
        <v>378.00000000000006</v>
      </c>
      <c r="D14" s="189">
        <f t="shared" si="2"/>
        <v>4.2131284640693333E-3</v>
      </c>
      <c r="E14" s="182"/>
      <c r="F14" s="202"/>
      <c r="G14" s="191"/>
      <c r="H14" s="198"/>
    </row>
    <row r="15" spans="1:8" x14ac:dyDescent="0.25">
      <c r="A15" t="str">
        <f t="shared" si="0"/>
        <v>616</v>
      </c>
      <c r="B15" s="188" t="s">
        <v>66</v>
      </c>
      <c r="C15" s="312">
        <f>SUMIF('Recap dep rec'!$A:$A,A15,'Recap dep rec'!$K:$K)</f>
        <v>241.20000000000005</v>
      </c>
      <c r="D15" s="189">
        <f t="shared" si="2"/>
        <v>2.6883772104061461E-3</v>
      </c>
      <c r="E15" s="182"/>
      <c r="F15" s="190" t="s">
        <v>143</v>
      </c>
      <c r="G15" s="191">
        <f>'Recap dep rec'!K38</f>
        <v>23644.5524</v>
      </c>
      <c r="H15" s="263">
        <f>G15/C55</f>
        <v>0.26353845697518213</v>
      </c>
    </row>
    <row r="16" spans="1:8" ht="14.45" x14ac:dyDescent="0.35">
      <c r="A16" t="str">
        <f t="shared" si="0"/>
        <v>617</v>
      </c>
      <c r="B16" s="188" t="s">
        <v>67</v>
      </c>
      <c r="C16" s="312">
        <f>SUMIF('Recap dep rec'!$A:$A,A16,'Recap dep rec'!$K:$K)</f>
        <v>0</v>
      </c>
      <c r="D16" s="189">
        <f t="shared" si="2"/>
        <v>0</v>
      </c>
      <c r="E16" s="182"/>
      <c r="F16" s="203"/>
      <c r="G16" s="191"/>
      <c r="H16" s="198"/>
    </row>
    <row r="17" spans="1:8" ht="14.45" x14ac:dyDescent="0.35">
      <c r="A17" t="str">
        <f t="shared" si="0"/>
        <v>618</v>
      </c>
      <c r="B17" s="188" t="s">
        <v>144</v>
      </c>
      <c r="C17" s="312">
        <f>SUMIF('Recap dep rec'!$A:$A,A17,'Recap dep rec'!$K:$K)</f>
        <v>96.000000000000028</v>
      </c>
      <c r="D17" s="189">
        <f t="shared" si="2"/>
        <v>1.0700008797636404E-3</v>
      </c>
      <c r="E17" s="182"/>
      <c r="F17" s="203"/>
      <c r="G17" s="191"/>
      <c r="H17" s="198"/>
    </row>
    <row r="18" spans="1:8" ht="14.45" x14ac:dyDescent="0.35">
      <c r="A18" t="str">
        <f t="shared" si="0"/>
        <v/>
      </c>
      <c r="B18" s="188"/>
      <c r="C18" s="197"/>
      <c r="D18" s="198"/>
      <c r="E18" s="182"/>
      <c r="F18" s="202"/>
      <c r="G18" s="191"/>
      <c r="H18" s="198"/>
    </row>
    <row r="19" spans="1:8" x14ac:dyDescent="0.25">
      <c r="A19" t="str">
        <f t="shared" si="0"/>
        <v/>
      </c>
      <c r="B19" s="188"/>
      <c r="C19" s="197"/>
      <c r="D19" s="198"/>
      <c r="E19" s="204"/>
      <c r="F19" s="205" t="s">
        <v>145</v>
      </c>
      <c r="G19" s="191"/>
      <c r="H19" s="198"/>
    </row>
    <row r="20" spans="1:8" x14ac:dyDescent="0.25">
      <c r="B20" s="190" t="s">
        <v>146</v>
      </c>
      <c r="C20" s="186"/>
      <c r="D20" s="187"/>
      <c r="E20" s="182"/>
      <c r="F20" s="196"/>
      <c r="G20" s="191"/>
      <c r="H20" s="198"/>
    </row>
    <row r="21" spans="1:8" ht="14.45" x14ac:dyDescent="0.35">
      <c r="A21" t="str">
        <f t="shared" si="0"/>
        <v/>
      </c>
      <c r="B21" s="190"/>
      <c r="C21" s="186"/>
      <c r="D21" s="187"/>
      <c r="E21" s="182"/>
      <c r="F21" s="196"/>
      <c r="G21" s="191"/>
      <c r="H21" s="198"/>
    </row>
    <row r="22" spans="1:8" x14ac:dyDescent="0.25">
      <c r="A22" t="str">
        <f t="shared" si="0"/>
        <v>622</v>
      </c>
      <c r="B22" s="188" t="s">
        <v>147</v>
      </c>
      <c r="C22" s="312">
        <f>SUMIF('Recap dep rec'!$A:$A,A22,'Recap dep rec'!$K:$K)</f>
        <v>1218</v>
      </c>
      <c r="D22" s="189">
        <f>C22/$C$55</f>
        <v>1.3575636162001182E-2</v>
      </c>
      <c r="E22" s="182"/>
      <c r="F22" s="203"/>
      <c r="G22" s="191"/>
      <c r="H22" s="198"/>
    </row>
    <row r="23" spans="1:8" ht="14.45" x14ac:dyDescent="0.35">
      <c r="A23" t="str">
        <f t="shared" si="0"/>
        <v xml:space="preserve">et </v>
      </c>
      <c r="B23" s="188" t="s">
        <v>148</v>
      </c>
      <c r="C23" s="312"/>
      <c r="D23" s="189"/>
      <c r="E23" s="182"/>
      <c r="F23" s="190"/>
      <c r="G23" s="191"/>
      <c r="H23" s="198"/>
    </row>
    <row r="24" spans="1:8" x14ac:dyDescent="0.25">
      <c r="A24" t="str">
        <f t="shared" si="0"/>
        <v>623</v>
      </c>
      <c r="B24" s="188" t="s">
        <v>149</v>
      </c>
      <c r="C24" s="312">
        <f>SUMIF('Recap dep rec'!$A:$A,A24,'Recap dep rec'!$K:$K)</f>
        <v>468.00000000000006</v>
      </c>
      <c r="D24" s="189">
        <f t="shared" ref="D24:D27" si="3">C24/$C$55</f>
        <v>5.2162542888477461E-3</v>
      </c>
      <c r="E24" s="182"/>
      <c r="F24" s="190" t="s">
        <v>150</v>
      </c>
      <c r="G24" s="191"/>
      <c r="H24" s="198"/>
    </row>
    <row r="25" spans="1:8" x14ac:dyDescent="0.25">
      <c r="A25" t="str">
        <f t="shared" si="0"/>
        <v>625</v>
      </c>
      <c r="B25" s="188" t="s">
        <v>68</v>
      </c>
      <c r="C25" s="312">
        <f>SUMIF('Recap dep rec'!$A:$A,A25,'Recap dep rec'!$K:$K)</f>
        <v>2584</v>
      </c>
      <c r="D25" s="189">
        <f t="shared" si="3"/>
        <v>2.8800857013637975E-2</v>
      </c>
      <c r="E25" s="182"/>
      <c r="F25" s="196"/>
      <c r="G25" s="191"/>
      <c r="H25" s="198"/>
    </row>
    <row r="26" spans="1:8" x14ac:dyDescent="0.25">
      <c r="A26" t="str">
        <f t="shared" si="0"/>
        <v>626</v>
      </c>
      <c r="B26" s="188" t="s">
        <v>69</v>
      </c>
      <c r="C26" s="312">
        <f>SUMIF('Recap dep rec'!$A:$A,A26,'Recap dep rec'!$K:$K)</f>
        <v>354</v>
      </c>
      <c r="D26" s="189">
        <f t="shared" si="3"/>
        <v>3.9456282441284228E-3</v>
      </c>
      <c r="E26" s="182"/>
      <c r="F26" s="196"/>
      <c r="G26" s="191"/>
      <c r="H26" s="198"/>
    </row>
    <row r="27" spans="1:8" x14ac:dyDescent="0.25">
      <c r="A27" t="str">
        <f t="shared" si="0"/>
        <v>628</v>
      </c>
      <c r="B27" s="188" t="s">
        <v>70</v>
      </c>
      <c r="C27" s="312">
        <f>SUMIF('Recap dep rec'!$A:$A,A27,'Recap dep rec'!$K:$K)</f>
        <v>207.00000000000003</v>
      </c>
      <c r="D27" s="189">
        <f t="shared" si="3"/>
        <v>2.3071893969903493E-3</v>
      </c>
      <c r="E27" s="182"/>
      <c r="F27" s="196"/>
      <c r="G27" s="191"/>
      <c r="H27" s="198"/>
    </row>
    <row r="28" spans="1:8" ht="14.45" x14ac:dyDescent="0.35">
      <c r="A28" t="str">
        <f t="shared" si="0"/>
        <v/>
      </c>
      <c r="B28" s="188"/>
      <c r="C28" s="197"/>
      <c r="D28" s="198"/>
      <c r="E28" s="182"/>
      <c r="F28" s="190" t="s">
        <v>151</v>
      </c>
      <c r="G28" s="191"/>
      <c r="H28" s="198"/>
    </row>
    <row r="29" spans="1:8" x14ac:dyDescent="0.25">
      <c r="B29" s="190" t="s">
        <v>171</v>
      </c>
      <c r="C29" s="197"/>
      <c r="D29" s="198"/>
      <c r="E29" s="182"/>
      <c r="F29" s="190"/>
      <c r="G29" s="191"/>
      <c r="H29" s="198"/>
    </row>
    <row r="30" spans="1:8" ht="14.45" x14ac:dyDescent="0.35">
      <c r="A30" t="str">
        <f t="shared" si="0"/>
        <v>631</v>
      </c>
      <c r="B30" s="188" t="s">
        <v>172</v>
      </c>
      <c r="C30" s="312">
        <f>SUMIF('Recap dep rec'!$A:$A,A30,'Recap dep rec'!$K:$K)</f>
        <v>297.00000000000006</v>
      </c>
      <c r="D30" s="189">
        <f t="shared" ref="D30:D31" si="4">C30/$C$55</f>
        <v>3.3103152217687621E-3</v>
      </c>
      <c r="E30" s="182"/>
      <c r="F30" s="190"/>
      <c r="G30" s="191"/>
      <c r="H30" s="198"/>
    </row>
    <row r="31" spans="1:8" x14ac:dyDescent="0.25">
      <c r="A31" t="str">
        <f t="shared" si="0"/>
        <v>635</v>
      </c>
      <c r="B31" s="188" t="s">
        <v>173</v>
      </c>
      <c r="C31" s="312">
        <f>SUMIF('Recap dep rec'!$A:$A,A31,'Recap dep rec'!$K:$K)</f>
        <v>64.02000000000001</v>
      </c>
      <c r="D31" s="189">
        <f t="shared" si="4"/>
        <v>7.1355683669237756E-4</v>
      </c>
      <c r="E31" s="182"/>
      <c r="F31" s="190"/>
      <c r="G31" s="191"/>
      <c r="H31" s="198"/>
    </row>
    <row r="32" spans="1:8" ht="14.45" x14ac:dyDescent="0.35">
      <c r="B32" s="190" t="s">
        <v>152</v>
      </c>
      <c r="C32" s="206"/>
      <c r="D32" s="207"/>
      <c r="E32" s="182"/>
      <c r="F32" s="196"/>
      <c r="G32" s="191"/>
      <c r="H32" s="198"/>
    </row>
    <row r="33" spans="1:8" x14ac:dyDescent="0.25">
      <c r="A33" t="str">
        <f t="shared" si="0"/>
        <v>641</v>
      </c>
      <c r="B33" s="188" t="s">
        <v>71</v>
      </c>
      <c r="C33" s="312">
        <f>SUMIF('Recap dep rec'!$A:$A,A33,'Recap dep rec'!$K:$K)</f>
        <v>14361.332399999999</v>
      </c>
      <c r="D33" s="189">
        <f t="shared" ref="D33:D34" si="5">C33/$C$55</f>
        <v>0.1600691489851882</v>
      </c>
      <c r="E33" s="182"/>
      <c r="F33" s="196"/>
      <c r="G33" s="191"/>
      <c r="H33" s="198"/>
    </row>
    <row r="34" spans="1:8" ht="14.45" x14ac:dyDescent="0.35">
      <c r="A34" t="str">
        <f t="shared" si="0"/>
        <v>645</v>
      </c>
      <c r="B34" s="188" t="s">
        <v>72</v>
      </c>
      <c r="C34" s="312">
        <f>SUMIF('Recap dep rec'!$A:$A,A34,'Recap dep rec'!$K:$K)</f>
        <v>42.000000000000007</v>
      </c>
      <c r="D34" s="189">
        <f t="shared" si="5"/>
        <v>4.6812538489659258E-4</v>
      </c>
      <c r="E34" s="182"/>
      <c r="F34" s="196"/>
      <c r="G34" s="191"/>
      <c r="H34" s="198"/>
    </row>
    <row r="35" spans="1:8" x14ac:dyDescent="0.25">
      <c r="A35" t="str">
        <f t="shared" si="0"/>
        <v/>
      </c>
      <c r="B35" s="188"/>
      <c r="C35" s="197"/>
      <c r="D35" s="198"/>
      <c r="E35" s="182"/>
      <c r="F35" s="190" t="s">
        <v>153</v>
      </c>
      <c r="G35" s="191"/>
      <c r="H35" s="198"/>
    </row>
    <row r="36" spans="1:8" x14ac:dyDescent="0.25">
      <c r="A36" t="str">
        <f t="shared" si="0"/>
        <v/>
      </c>
      <c r="B36" s="188"/>
      <c r="C36" s="197"/>
      <c r="D36" s="198"/>
      <c r="E36" s="182"/>
      <c r="F36" s="208"/>
      <c r="G36" s="191"/>
      <c r="H36" s="198"/>
    </row>
    <row r="37" spans="1:8" x14ac:dyDescent="0.25">
      <c r="A37" t="str">
        <f t="shared" si="0"/>
        <v xml:space="preserve">65 </v>
      </c>
      <c r="B37" s="188" t="s">
        <v>73</v>
      </c>
      <c r="C37" s="312">
        <f>SUMIF('Recap dep rec'!$A:$A,A37,'Recap dep rec'!$K:$K)</f>
        <v>0</v>
      </c>
      <c r="D37" s="189">
        <f>C37/$C$55</f>
        <v>0</v>
      </c>
      <c r="E37" s="182"/>
      <c r="F37" s="208"/>
      <c r="G37" s="191"/>
      <c r="H37" s="198"/>
    </row>
    <row r="38" spans="1:8" x14ac:dyDescent="0.25">
      <c r="A38" t="str">
        <f t="shared" si="0"/>
        <v/>
      </c>
      <c r="B38" s="190"/>
      <c r="C38" s="186"/>
      <c r="D38" s="187"/>
      <c r="E38" s="182"/>
      <c r="F38" s="208"/>
      <c r="G38" s="191"/>
      <c r="H38" s="198"/>
    </row>
    <row r="39" spans="1:8" x14ac:dyDescent="0.25">
      <c r="A39" t="str">
        <f t="shared" si="0"/>
        <v/>
      </c>
      <c r="B39" s="188"/>
      <c r="C39" s="197"/>
      <c r="D39" s="198"/>
      <c r="E39" s="182"/>
      <c r="F39" s="209" t="s">
        <v>154</v>
      </c>
      <c r="G39" s="210">
        <f>G15</f>
        <v>23644.5524</v>
      </c>
      <c r="H39" s="265">
        <f>G39/C55</f>
        <v>0.26353845697518213</v>
      </c>
    </row>
    <row r="40" spans="1:8" x14ac:dyDescent="0.25">
      <c r="B40" s="190" t="s">
        <v>155</v>
      </c>
      <c r="C40" s="197"/>
      <c r="D40" s="198"/>
      <c r="E40" s="182"/>
      <c r="F40" s="188"/>
      <c r="G40" s="191"/>
      <c r="H40" s="189"/>
    </row>
    <row r="41" spans="1:8" x14ac:dyDescent="0.25">
      <c r="A41" t="str">
        <f t="shared" si="0"/>
        <v>661</v>
      </c>
      <c r="B41" s="188" t="s">
        <v>74</v>
      </c>
      <c r="C41" s="312">
        <f>SUMIF('Recap dep rec'!$A:$A,A41,'Recap dep rec'!$K:$K)</f>
        <v>0</v>
      </c>
      <c r="D41" s="189">
        <f>C41/$C$55</f>
        <v>0</v>
      </c>
      <c r="E41" s="182"/>
      <c r="F41" s="190" t="s">
        <v>156</v>
      </c>
      <c r="G41" s="186">
        <f>G42+G44</f>
        <v>66075</v>
      </c>
      <c r="H41" s="264">
        <f>G41/C55</f>
        <v>0.73646154302481781</v>
      </c>
    </row>
    <row r="42" spans="1:8" x14ac:dyDescent="0.25">
      <c r="A42" t="str">
        <f t="shared" si="0"/>
        <v/>
      </c>
      <c r="B42" s="188"/>
      <c r="C42" s="197"/>
      <c r="D42" s="198"/>
      <c r="E42" s="182"/>
      <c r="F42" s="188" t="s">
        <v>88</v>
      </c>
      <c r="G42" s="191">
        <f>'Recap dep rec'!K35</f>
        <v>65075</v>
      </c>
      <c r="H42" s="198"/>
    </row>
    <row r="43" spans="1:8" x14ac:dyDescent="0.25">
      <c r="A43" t="str">
        <f t="shared" si="0"/>
        <v/>
      </c>
      <c r="B43" s="188"/>
      <c r="C43" s="197"/>
      <c r="D43" s="198"/>
      <c r="E43" s="182"/>
      <c r="F43" s="188" t="s">
        <v>157</v>
      </c>
      <c r="G43" s="212"/>
      <c r="H43" s="198"/>
    </row>
    <row r="44" spans="1:8" x14ac:dyDescent="0.25">
      <c r="A44" t="str">
        <f t="shared" si="0"/>
        <v xml:space="preserve">68 </v>
      </c>
      <c r="B44" s="190" t="s">
        <v>158</v>
      </c>
      <c r="C44" s="197"/>
      <c r="D44" s="198"/>
      <c r="E44" s="182"/>
      <c r="F44" s="188" t="s">
        <v>87</v>
      </c>
      <c r="G44" s="191">
        <f>'Recap dep rec'!K33</f>
        <v>1000</v>
      </c>
      <c r="H44" s="198"/>
    </row>
    <row r="45" spans="1:8" x14ac:dyDescent="0.25">
      <c r="A45" t="str">
        <f t="shared" si="0"/>
        <v>aux</v>
      </c>
      <c r="B45" s="190" t="s">
        <v>159</v>
      </c>
      <c r="C45" s="194"/>
      <c r="D45" s="189"/>
      <c r="E45" s="182"/>
      <c r="F45" s="188" t="s">
        <v>160</v>
      </c>
      <c r="G45" s="191"/>
      <c r="H45" s="198"/>
    </row>
    <row r="46" spans="1:8" x14ac:dyDescent="0.25">
      <c r="A46" t="str">
        <f t="shared" si="0"/>
        <v>681</v>
      </c>
      <c r="B46" s="213" t="s">
        <v>75</v>
      </c>
      <c r="C46" s="312">
        <f>SUMIF('Recap dep rec'!$A:$A,A46,'Recap dep rec'!$K:$K)</f>
        <v>0</v>
      </c>
      <c r="D46" s="189">
        <f>C46/$C$55</f>
        <v>0</v>
      </c>
      <c r="E46" s="182"/>
      <c r="F46" s="188"/>
      <c r="G46" s="191"/>
      <c r="H46" s="198"/>
    </row>
    <row r="47" spans="1:8" x14ac:dyDescent="0.25">
      <c r="B47" s="188" t="s">
        <v>161</v>
      </c>
      <c r="C47" s="194"/>
      <c r="D47" s="189"/>
      <c r="E47" s="182"/>
      <c r="F47" s="188"/>
      <c r="G47" s="191"/>
      <c r="H47" s="189"/>
    </row>
    <row r="48" spans="1:8" x14ac:dyDescent="0.25">
      <c r="B48" s="213"/>
      <c r="C48" s="194"/>
      <c r="D48" s="189"/>
      <c r="E48" s="182"/>
      <c r="F48" s="190"/>
      <c r="G48" s="191"/>
      <c r="H48" s="189"/>
    </row>
    <row r="49" spans="1:8" x14ac:dyDescent="0.25">
      <c r="B49" s="213"/>
      <c r="C49" s="194"/>
      <c r="D49" s="189"/>
      <c r="E49" s="182"/>
      <c r="F49" s="190" t="s">
        <v>162</v>
      </c>
      <c r="G49" s="214"/>
      <c r="H49" s="187"/>
    </row>
    <row r="50" spans="1:8" x14ac:dyDescent="0.25">
      <c r="B50" s="190" t="s">
        <v>163</v>
      </c>
      <c r="C50" s="186"/>
      <c r="D50" s="187"/>
      <c r="E50" s="182"/>
      <c r="F50" s="188" t="s">
        <v>164</v>
      </c>
      <c r="G50" s="215"/>
      <c r="H50" s="189"/>
    </row>
    <row r="51" spans="1:8" ht="15.75" x14ac:dyDescent="0.25">
      <c r="A51" t="s">
        <v>325</v>
      </c>
      <c r="B51" s="213" t="s">
        <v>29</v>
      </c>
      <c r="C51" s="312">
        <f>SUMIF('Recap dep rec'!$A:$A,A51,'Recap dep rec'!$K:$K)</f>
        <v>0</v>
      </c>
      <c r="D51" s="189">
        <f t="shared" ref="D51:D53" si="6">C51/$C$55</f>
        <v>0</v>
      </c>
      <c r="E51" s="217"/>
      <c r="F51" s="188" t="s">
        <v>165</v>
      </c>
      <c r="G51" s="215"/>
      <c r="H51" s="189"/>
    </row>
    <row r="52" spans="1:8" ht="15.75" x14ac:dyDescent="0.25">
      <c r="B52" s="188" t="s">
        <v>166</v>
      </c>
      <c r="C52" s="312">
        <f>SUMIF('Recap dep rec'!$A:$A,A52,'Recap dep rec'!$K:$K)</f>
        <v>0</v>
      </c>
      <c r="D52" s="189">
        <f t="shared" si="6"/>
        <v>0</v>
      </c>
      <c r="E52" s="217"/>
      <c r="F52" s="188" t="s">
        <v>167</v>
      </c>
      <c r="G52" s="215"/>
      <c r="H52" s="189"/>
    </row>
    <row r="53" spans="1:8" x14ac:dyDescent="0.25">
      <c r="B53" s="188" t="s">
        <v>167</v>
      </c>
      <c r="C53" s="312">
        <f>SUMIF('Recap dep rec'!$A:$A,A53,'Recap dep rec'!$K:$K)</f>
        <v>0</v>
      </c>
      <c r="D53" s="189">
        <f t="shared" si="6"/>
        <v>0</v>
      </c>
      <c r="F53" s="188"/>
      <c r="G53" s="215"/>
      <c r="H53" s="189"/>
    </row>
    <row r="54" spans="1:8" x14ac:dyDescent="0.25">
      <c r="B54" s="218"/>
      <c r="C54" s="313"/>
      <c r="D54" s="220"/>
      <c r="F54" s="188"/>
      <c r="G54" s="215"/>
      <c r="H54" s="189"/>
    </row>
    <row r="55" spans="1:8" x14ac:dyDescent="0.25">
      <c r="B55" s="221" t="s">
        <v>168</v>
      </c>
      <c r="C55" s="222">
        <f>SUM(C4:C54)</f>
        <v>89719.5524</v>
      </c>
      <c r="D55" s="223"/>
      <c r="F55" s="221" t="s">
        <v>169</v>
      </c>
      <c r="G55" s="224">
        <f>G41+G39</f>
        <v>89719.5524</v>
      </c>
      <c r="H55" s="223"/>
    </row>
    <row r="56" spans="1:8" x14ac:dyDescent="0.25">
      <c r="B56" s="182"/>
      <c r="C56" s="225">
        <f>C55-'Recap dep rec'!K29</f>
        <v>0</v>
      </c>
      <c r="D56" s="226"/>
      <c r="F56" s="182"/>
      <c r="G56" s="225"/>
      <c r="H56" s="227"/>
    </row>
    <row r="57" spans="1:8" ht="15.75" x14ac:dyDescent="0.25">
      <c r="B57" s="182"/>
      <c r="C57" s="228"/>
      <c r="D57" s="229"/>
      <c r="F57" s="217"/>
      <c r="G57" s="228"/>
      <c r="H57" s="230"/>
    </row>
    <row r="58" spans="1:8" ht="15.75" x14ac:dyDescent="0.25">
      <c r="B58" s="217"/>
      <c r="C58" s="228"/>
      <c r="D58" s="229"/>
      <c r="F58" s="217"/>
      <c r="G58" s="228"/>
      <c r="H58" s="226"/>
    </row>
    <row r="59" spans="1:8" ht="15.75" x14ac:dyDescent="0.25">
      <c r="C59" s="231"/>
      <c r="D59" s="232"/>
      <c r="G59" s="231"/>
      <c r="H59" s="229"/>
    </row>
  </sheetData>
  <mergeCells count="1">
    <mergeCell ref="B1:H1"/>
  </mergeCells>
  <pageMargins left="0.7" right="0.7" top="0.75" bottom="0.75" header="0.3" footer="0.3"/>
  <pageSetup paperSize="9" orientation="portrait" horizontalDpi="0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499984740745262"/>
  </sheetPr>
  <dimension ref="A1:H59"/>
  <sheetViews>
    <sheetView topLeftCell="A22" workbookViewId="0">
      <selection activeCell="B62" sqref="B62"/>
    </sheetView>
  </sheetViews>
  <sheetFormatPr baseColWidth="10" defaultRowHeight="15" x14ac:dyDescent="0.25"/>
  <cols>
    <col min="1" max="1" width="7.5703125" bestFit="1" customWidth="1"/>
    <col min="2" max="2" width="50.85546875" bestFit="1" customWidth="1"/>
    <col min="5" max="5" width="5.42578125" customWidth="1"/>
    <col min="6" max="6" width="33" bestFit="1" customWidth="1"/>
  </cols>
  <sheetData>
    <row r="1" spans="1:8" ht="31.5" customHeight="1" x14ac:dyDescent="0.25">
      <c r="B1" s="366" t="s">
        <v>328</v>
      </c>
      <c r="C1" s="367"/>
      <c r="D1" s="367"/>
      <c r="E1" s="367"/>
      <c r="F1" s="367"/>
      <c r="G1" s="367"/>
      <c r="H1" s="368"/>
    </row>
    <row r="2" spans="1:8" x14ac:dyDescent="0.35">
      <c r="B2" s="176"/>
      <c r="C2" s="177"/>
      <c r="D2" s="178"/>
      <c r="E2" s="177"/>
      <c r="F2" s="177"/>
      <c r="G2" s="177"/>
      <c r="H2" s="178"/>
    </row>
    <row r="3" spans="1:8" x14ac:dyDescent="0.25">
      <c r="B3" s="179" t="s">
        <v>129</v>
      </c>
      <c r="C3" s="180" t="s">
        <v>130</v>
      </c>
      <c r="D3" s="181" t="s">
        <v>131</v>
      </c>
      <c r="E3" s="182"/>
      <c r="F3" s="179" t="s">
        <v>132</v>
      </c>
      <c r="G3" s="179" t="s">
        <v>130</v>
      </c>
      <c r="H3" s="181" t="s">
        <v>131</v>
      </c>
    </row>
    <row r="4" spans="1:8" ht="14.45" x14ac:dyDescent="0.35">
      <c r="B4" s="183" t="s">
        <v>133</v>
      </c>
      <c r="C4" s="184"/>
      <c r="D4" s="185"/>
      <c r="E4" s="182"/>
      <c r="F4" s="183" t="s">
        <v>134</v>
      </c>
      <c r="G4" s="186"/>
      <c r="H4" s="187"/>
    </row>
    <row r="5" spans="1:8" ht="14.45" x14ac:dyDescent="0.35">
      <c r="A5" t="str">
        <f>LEFT(B5,3)</f>
        <v>604</v>
      </c>
      <c r="B5" s="188" t="s">
        <v>135</v>
      </c>
      <c r="C5" s="312">
        <f ca="1">SUMIF('Recap dep rec'!$A:$A,A5,'Recap dep rec'!$L:$L)</f>
        <v>0</v>
      </c>
      <c r="D5" s="189">
        <f ca="1">C5/$C$55</f>
        <v>0</v>
      </c>
      <c r="E5" s="182"/>
      <c r="F5" s="190"/>
      <c r="G5" s="191"/>
      <c r="H5" s="189"/>
    </row>
    <row r="6" spans="1:8" x14ac:dyDescent="0.25">
      <c r="A6" t="str">
        <f t="shared" ref="A6:A46" si="0">LEFT(B6,3)</f>
        <v>605</v>
      </c>
      <c r="B6" s="192" t="s">
        <v>136</v>
      </c>
      <c r="C6" s="312">
        <f ca="1">SUMIF('Recap dep rec'!$A:$A,A6,'Recap dep rec'!$L:$L)</f>
        <v>30.333333333333336</v>
      </c>
      <c r="D6" s="189">
        <f ca="1">C6/$C$55</f>
        <v>8.9309287310866583E-4</v>
      </c>
      <c r="E6" s="182"/>
      <c r="F6" s="190" t="s">
        <v>137</v>
      </c>
      <c r="G6" s="191"/>
      <c r="H6" s="193"/>
    </row>
    <row r="7" spans="1:8" ht="14.45" x14ac:dyDescent="0.35">
      <c r="A7" t="str">
        <f t="shared" si="0"/>
        <v>606</v>
      </c>
      <c r="B7" s="192" t="s">
        <v>138</v>
      </c>
      <c r="C7" s="312">
        <f ca="1">SUMIF('Recap dep rec'!$A:$A,A7,'Recap dep rec'!$L:$L)</f>
        <v>136.50000000000003</v>
      </c>
      <c r="D7" s="189">
        <f ca="1">C7/$C$55</f>
        <v>4.0189179289889963E-3</v>
      </c>
      <c r="E7" s="182"/>
      <c r="F7" s="196"/>
      <c r="G7" s="191"/>
      <c r="H7" s="189"/>
    </row>
    <row r="8" spans="1:8" ht="14.45" x14ac:dyDescent="0.35">
      <c r="A8" t="str">
        <f t="shared" si="0"/>
        <v>607</v>
      </c>
      <c r="B8" s="188" t="s">
        <v>139</v>
      </c>
      <c r="C8" s="194"/>
      <c r="D8" s="189"/>
      <c r="E8" s="182"/>
      <c r="F8" s="196"/>
      <c r="G8" s="191"/>
      <c r="H8" s="189"/>
    </row>
    <row r="9" spans="1:8" ht="14.45" x14ac:dyDescent="0.35">
      <c r="A9" t="str">
        <f t="shared" si="0"/>
        <v/>
      </c>
      <c r="B9" s="188"/>
      <c r="C9" s="194"/>
      <c r="D9" s="189"/>
      <c r="E9" s="182"/>
      <c r="F9" s="196"/>
      <c r="G9" s="191"/>
      <c r="H9" s="189"/>
    </row>
    <row r="10" spans="1:8" x14ac:dyDescent="0.25">
      <c r="A10" t="str">
        <f t="shared" si="0"/>
        <v/>
      </c>
      <c r="B10" s="196"/>
      <c r="C10" s="197"/>
      <c r="D10" s="198"/>
      <c r="E10" s="182"/>
      <c r="F10" s="199" t="s">
        <v>140</v>
      </c>
      <c r="G10" s="191"/>
      <c r="H10" s="198"/>
    </row>
    <row r="11" spans="1:8" x14ac:dyDescent="0.25">
      <c r="B11" s="190" t="s">
        <v>141</v>
      </c>
      <c r="C11" s="186"/>
      <c r="D11" s="187"/>
      <c r="E11" s="182"/>
      <c r="F11" s="200"/>
      <c r="G11" s="191"/>
      <c r="H11" s="198"/>
    </row>
    <row r="12" spans="1:8" x14ac:dyDescent="0.25">
      <c r="A12" t="str">
        <f t="shared" si="0"/>
        <v>611</v>
      </c>
      <c r="B12" s="188" t="s">
        <v>142</v>
      </c>
      <c r="C12" s="312">
        <f ca="1">SUMIF('Recap dep rec'!$A:$A,A12,'Recap dep rec'!$L:$L)</f>
        <v>18040</v>
      </c>
      <c r="D12" s="189">
        <f t="shared" ref="D12:D17" ca="1" si="1">C12/$C$55</f>
        <v>0.53114490431473615</v>
      </c>
      <c r="E12" s="182"/>
      <c r="F12" s="201"/>
      <c r="G12" s="191"/>
      <c r="H12" s="198"/>
    </row>
    <row r="13" spans="1:8" ht="14.45" x14ac:dyDescent="0.35">
      <c r="A13" t="str">
        <f t="shared" si="0"/>
        <v>613</v>
      </c>
      <c r="B13" s="188" t="s">
        <v>170</v>
      </c>
      <c r="C13" s="312">
        <f ca="1">SUMIF('Recap dep rec'!$A:$A,A13,'Recap dep rec'!$L:$L)</f>
        <v>478.33333333333337</v>
      </c>
      <c r="D13" s="189">
        <f t="shared" ca="1" si="1"/>
        <v>1.4083387614405883E-2</v>
      </c>
      <c r="E13" s="182"/>
      <c r="F13" s="202"/>
      <c r="G13" s="191"/>
      <c r="H13" s="198"/>
    </row>
    <row r="14" spans="1:8" ht="14.45" x14ac:dyDescent="0.35">
      <c r="A14" t="str">
        <f t="shared" si="0"/>
        <v>615</v>
      </c>
      <c r="B14" s="188" t="s">
        <v>65</v>
      </c>
      <c r="C14" s="312">
        <f ca="1">SUMIF('Recap dep rec'!$A:$A,A14,'Recap dep rec'!$L:$L)</f>
        <v>147</v>
      </c>
      <c r="D14" s="189">
        <f t="shared" ca="1" si="1"/>
        <v>4.328065461988149E-3</v>
      </c>
      <c r="E14" s="182"/>
      <c r="F14" s="202"/>
      <c r="G14" s="191"/>
      <c r="H14" s="198"/>
    </row>
    <row r="15" spans="1:8" x14ac:dyDescent="0.25">
      <c r="A15" t="str">
        <f t="shared" si="0"/>
        <v>616</v>
      </c>
      <c r="B15" s="188" t="s">
        <v>66</v>
      </c>
      <c r="C15" s="312">
        <f ca="1">SUMIF('Recap dep rec'!$A:$A,A15,'Recap dep rec'!$L:$L)</f>
        <v>93.800000000000011</v>
      </c>
      <c r="D15" s="189">
        <f t="shared" ca="1" si="1"/>
        <v>2.7617179614591049E-3</v>
      </c>
      <c r="E15" s="182"/>
      <c r="F15" s="190" t="s">
        <v>143</v>
      </c>
      <c r="G15" s="191">
        <f ca="1">'Recap dep rec'!L38</f>
        <v>9658.3661333333366</v>
      </c>
      <c r="H15" s="263">
        <f ca="1">G15/C55</f>
        <v>0.28436762504024521</v>
      </c>
    </row>
    <row r="16" spans="1:8" ht="14.45" x14ac:dyDescent="0.35">
      <c r="A16" t="str">
        <f t="shared" si="0"/>
        <v>617</v>
      </c>
      <c r="B16" s="188" t="s">
        <v>67</v>
      </c>
      <c r="C16" s="312">
        <f ca="1">SUMIF('Recap dep rec'!$A:$A,A16,'Recap dep rec'!$L:$L)</f>
        <v>0</v>
      </c>
      <c r="D16" s="189">
        <f t="shared" ca="1" si="1"/>
        <v>0</v>
      </c>
      <c r="E16" s="182"/>
      <c r="F16" s="203"/>
      <c r="G16" s="191"/>
      <c r="H16" s="198"/>
    </row>
    <row r="17" spans="1:8" ht="14.45" x14ac:dyDescent="0.35">
      <c r="A17" t="str">
        <f t="shared" si="0"/>
        <v>618</v>
      </c>
      <c r="B17" s="188" t="s">
        <v>144</v>
      </c>
      <c r="C17" s="312">
        <f ca="1">SUMIF('Recap dep rec'!$A:$A,A17,'Recap dep rec'!$L:$L)</f>
        <v>37.333333333333343</v>
      </c>
      <c r="D17" s="189">
        <f t="shared" ca="1" si="1"/>
        <v>1.0991912284414351E-3</v>
      </c>
      <c r="E17" s="182"/>
      <c r="F17" s="203"/>
      <c r="G17" s="191"/>
      <c r="H17" s="198"/>
    </row>
    <row r="18" spans="1:8" ht="14.45" x14ac:dyDescent="0.35">
      <c r="A18" t="str">
        <f t="shared" si="0"/>
        <v/>
      </c>
      <c r="B18" s="188"/>
      <c r="C18" s="197"/>
      <c r="D18" s="198"/>
      <c r="E18" s="182"/>
      <c r="F18" s="202"/>
      <c r="G18" s="191"/>
      <c r="H18" s="198"/>
    </row>
    <row r="19" spans="1:8" x14ac:dyDescent="0.25">
      <c r="A19" t="str">
        <f t="shared" si="0"/>
        <v/>
      </c>
      <c r="B19" s="188"/>
      <c r="C19" s="197"/>
      <c r="D19" s="198"/>
      <c r="E19" s="204"/>
      <c r="F19" s="205" t="s">
        <v>145</v>
      </c>
      <c r="G19" s="191"/>
      <c r="H19" s="198"/>
    </row>
    <row r="20" spans="1:8" x14ac:dyDescent="0.25">
      <c r="B20" s="190" t="s">
        <v>146</v>
      </c>
      <c r="C20" s="186"/>
      <c r="D20" s="187"/>
      <c r="E20" s="182"/>
      <c r="F20" s="196"/>
      <c r="G20" s="191"/>
      <c r="H20" s="198"/>
    </row>
    <row r="21" spans="1:8" ht="14.45" x14ac:dyDescent="0.35">
      <c r="A21" t="str">
        <f t="shared" si="0"/>
        <v/>
      </c>
      <c r="B21" s="190"/>
      <c r="C21" s="186"/>
      <c r="D21" s="187"/>
      <c r="E21" s="182"/>
      <c r="F21" s="196"/>
      <c r="G21" s="191"/>
      <c r="H21" s="198"/>
    </row>
    <row r="22" spans="1:8" x14ac:dyDescent="0.25">
      <c r="A22" t="str">
        <f t="shared" si="0"/>
        <v>622</v>
      </c>
      <c r="B22" s="188" t="s">
        <v>147</v>
      </c>
      <c r="C22" s="312">
        <f ca="1">SUMIF('Recap dep rec'!$A:$A,A22,'Recap dep rec'!$L:$L)</f>
        <v>473.66666666666669</v>
      </c>
      <c r="D22" s="189">
        <f ca="1">C22/$C$55</f>
        <v>1.3945988710850704E-2</v>
      </c>
      <c r="E22" s="182"/>
      <c r="F22" s="203"/>
      <c r="G22" s="191"/>
      <c r="H22" s="198"/>
    </row>
    <row r="23" spans="1:8" ht="14.45" x14ac:dyDescent="0.35">
      <c r="A23" t="str">
        <f t="shared" si="0"/>
        <v xml:space="preserve">et </v>
      </c>
      <c r="B23" s="188" t="s">
        <v>148</v>
      </c>
      <c r="C23" s="312"/>
      <c r="D23" s="189"/>
      <c r="E23" s="182"/>
      <c r="F23" s="190"/>
      <c r="G23" s="191"/>
      <c r="H23" s="198"/>
    </row>
    <row r="24" spans="1:8" x14ac:dyDescent="0.25">
      <c r="A24" t="str">
        <f t="shared" si="0"/>
        <v>623</v>
      </c>
      <c r="B24" s="188" t="s">
        <v>149</v>
      </c>
      <c r="C24" s="312">
        <f ca="1">SUMIF('Recap dep rec'!$A:$A,A24,'Recap dep rec'!$L:$L)</f>
        <v>182.00000000000006</v>
      </c>
      <c r="D24" s="189">
        <f t="shared" ref="D24:D27" ca="1" si="2">C24/$C$55</f>
        <v>5.3585572386519956E-3</v>
      </c>
      <c r="E24" s="182"/>
      <c r="F24" s="190" t="s">
        <v>150</v>
      </c>
      <c r="G24" s="191"/>
      <c r="H24" s="198"/>
    </row>
    <row r="25" spans="1:8" x14ac:dyDescent="0.25">
      <c r="A25" t="str">
        <f t="shared" si="0"/>
        <v>625</v>
      </c>
      <c r="B25" s="188" t="s">
        <v>68</v>
      </c>
      <c r="C25" s="312">
        <f ca="1">SUMIF('Recap dep rec'!$A:$A,A25,'Recap dep rec'!$L:$L)</f>
        <v>8614.3333333333321</v>
      </c>
      <c r="D25" s="189">
        <f t="shared" ca="1" si="2"/>
        <v>0.25362856175546422</v>
      </c>
      <c r="E25" s="182"/>
      <c r="F25" s="196"/>
      <c r="G25" s="191"/>
      <c r="H25" s="198"/>
    </row>
    <row r="26" spans="1:8" x14ac:dyDescent="0.25">
      <c r="A26" t="str">
        <f t="shared" si="0"/>
        <v>626</v>
      </c>
      <c r="B26" s="188" t="s">
        <v>69</v>
      </c>
      <c r="C26" s="312">
        <f ca="1">SUMIF('Recap dep rec'!$A:$A,A26,'Recap dep rec'!$L:$L)</f>
        <v>137.66666666666669</v>
      </c>
      <c r="D26" s="189">
        <f t="shared" ca="1" si="2"/>
        <v>4.053267654877791E-3</v>
      </c>
      <c r="E26" s="182"/>
      <c r="F26" s="196"/>
      <c r="G26" s="191"/>
      <c r="H26" s="198"/>
    </row>
    <row r="27" spans="1:8" x14ac:dyDescent="0.25">
      <c r="A27" t="str">
        <f t="shared" si="0"/>
        <v>628</v>
      </c>
      <c r="B27" s="188" t="s">
        <v>70</v>
      </c>
      <c r="C27" s="312">
        <f ca="1">SUMIF('Recap dep rec'!$A:$A,A27,'Recap dep rec'!$L:$L)</f>
        <v>80.500000000000014</v>
      </c>
      <c r="D27" s="189">
        <f t="shared" ca="1" si="2"/>
        <v>2.3701310863268443E-3</v>
      </c>
      <c r="E27" s="182"/>
      <c r="F27" s="196"/>
      <c r="G27" s="191"/>
      <c r="H27" s="198"/>
    </row>
    <row r="28" spans="1:8" x14ac:dyDescent="0.25">
      <c r="A28" t="str">
        <f t="shared" si="0"/>
        <v/>
      </c>
      <c r="B28" s="188"/>
      <c r="C28" s="197"/>
      <c r="D28" s="198"/>
      <c r="E28" s="182"/>
      <c r="F28" s="190" t="s">
        <v>151</v>
      </c>
      <c r="G28" s="191"/>
      <c r="H28" s="198"/>
    </row>
    <row r="29" spans="1:8" x14ac:dyDescent="0.25">
      <c r="B29" s="190" t="s">
        <v>171</v>
      </c>
      <c r="C29" s="197"/>
      <c r="D29" s="198"/>
      <c r="E29" s="182"/>
      <c r="F29" s="190"/>
      <c r="G29" s="191"/>
      <c r="H29" s="198"/>
    </row>
    <row r="30" spans="1:8" x14ac:dyDescent="0.25">
      <c r="A30" t="str">
        <f t="shared" si="0"/>
        <v>631</v>
      </c>
      <c r="B30" s="188" t="s">
        <v>172</v>
      </c>
      <c r="C30" s="312">
        <f ca="1">SUMIF('Recap dep rec'!$A:$A,A30,'Recap dep rec'!$L:$L)</f>
        <v>115.5</v>
      </c>
      <c r="D30" s="189">
        <f t="shared" ref="D30:D31" ca="1" si="3">C30/$C$55</f>
        <v>3.4006228629906887E-3</v>
      </c>
      <c r="E30" s="182"/>
      <c r="F30" s="190"/>
      <c r="G30" s="191"/>
      <c r="H30" s="198"/>
    </row>
    <row r="31" spans="1:8" x14ac:dyDescent="0.25">
      <c r="A31" t="str">
        <f t="shared" si="0"/>
        <v>635</v>
      </c>
      <c r="B31" s="188" t="s">
        <v>173</v>
      </c>
      <c r="C31" s="312">
        <f ca="1">SUMIF('Recap dep rec'!$A:$A,A31,'Recap dep rec'!$L:$L)</f>
        <v>24.896666666666672</v>
      </c>
      <c r="D31" s="189">
        <f t="shared" ca="1" si="3"/>
        <v>7.3302315046688197E-4</v>
      </c>
      <c r="E31" s="182"/>
      <c r="F31" s="190"/>
      <c r="G31" s="191"/>
      <c r="H31" s="198"/>
    </row>
    <row r="32" spans="1:8" x14ac:dyDescent="0.25">
      <c r="B32" s="190" t="s">
        <v>152</v>
      </c>
      <c r="C32" s="206"/>
      <c r="D32" s="207"/>
      <c r="E32" s="182"/>
      <c r="F32" s="196"/>
      <c r="G32" s="191"/>
      <c r="H32" s="198"/>
    </row>
    <row r="33" spans="1:8" x14ac:dyDescent="0.25">
      <c r="A33" t="str">
        <f t="shared" si="0"/>
        <v>641</v>
      </c>
      <c r="B33" s="188" t="s">
        <v>71</v>
      </c>
      <c r="C33" s="312">
        <f ca="1">SUMIF('Recap dep rec'!$A:$A,A33,'Recap dep rec'!$L:$L)</f>
        <v>5356.1694666666672</v>
      </c>
      <c r="D33" s="189">
        <f t="shared" ref="D33:D34" ca="1" si="4">C33/$C$55</f>
        <v>0.15769967399479923</v>
      </c>
      <c r="E33" s="182"/>
      <c r="F33" s="196"/>
      <c r="G33" s="191"/>
      <c r="H33" s="198"/>
    </row>
    <row r="34" spans="1:8" x14ac:dyDescent="0.25">
      <c r="A34" t="str">
        <f t="shared" si="0"/>
        <v>645</v>
      </c>
      <c r="B34" s="188" t="s">
        <v>72</v>
      </c>
      <c r="C34" s="312">
        <f ca="1">SUMIF('Recap dep rec'!$A:$A,A34,'Recap dep rec'!$L:$L)</f>
        <v>16.333333333333336</v>
      </c>
      <c r="D34" s="189">
        <f t="shared" ca="1" si="4"/>
        <v>4.8089616244312777E-4</v>
      </c>
      <c r="E34" s="182"/>
      <c r="F34" s="196"/>
      <c r="G34" s="191"/>
      <c r="H34" s="198"/>
    </row>
    <row r="35" spans="1:8" x14ac:dyDescent="0.25">
      <c r="A35" t="str">
        <f t="shared" si="0"/>
        <v/>
      </c>
      <c r="B35" s="188"/>
      <c r="C35" s="197"/>
      <c r="D35" s="198"/>
      <c r="E35" s="182"/>
      <c r="F35" s="190" t="s">
        <v>153</v>
      </c>
      <c r="G35" s="191"/>
      <c r="H35" s="198"/>
    </row>
    <row r="36" spans="1:8" x14ac:dyDescent="0.25">
      <c r="A36" t="str">
        <f t="shared" si="0"/>
        <v/>
      </c>
      <c r="B36" s="188"/>
      <c r="C36" s="197"/>
      <c r="D36" s="198"/>
      <c r="E36" s="182"/>
      <c r="F36" s="208"/>
      <c r="G36" s="191"/>
      <c r="H36" s="198"/>
    </row>
    <row r="37" spans="1:8" x14ac:dyDescent="0.25">
      <c r="A37" t="str">
        <f t="shared" si="0"/>
        <v xml:space="preserve">65 </v>
      </c>
      <c r="B37" s="188" t="s">
        <v>73</v>
      </c>
      <c r="C37" s="312">
        <f ca="1">SUMIF('Recap dep rec'!$A:$A,A37,'Recap dep rec'!$L:$L)</f>
        <v>0</v>
      </c>
      <c r="D37" s="189">
        <f ca="1">C37/$C$55</f>
        <v>0</v>
      </c>
      <c r="E37" s="182"/>
      <c r="F37" s="208"/>
      <c r="G37" s="191"/>
      <c r="H37" s="198"/>
    </row>
    <row r="38" spans="1:8" x14ac:dyDescent="0.25">
      <c r="A38" t="str">
        <f t="shared" si="0"/>
        <v/>
      </c>
      <c r="B38" s="190"/>
      <c r="C38" s="186"/>
      <c r="D38" s="187"/>
      <c r="E38" s="182"/>
      <c r="F38" s="208"/>
      <c r="G38" s="191"/>
      <c r="H38" s="198"/>
    </row>
    <row r="39" spans="1:8" x14ac:dyDescent="0.25">
      <c r="A39" t="str">
        <f t="shared" si="0"/>
        <v/>
      </c>
      <c r="B39" s="188"/>
      <c r="C39" s="197"/>
      <c r="D39" s="198"/>
      <c r="E39" s="182"/>
      <c r="F39" s="209" t="s">
        <v>154</v>
      </c>
      <c r="G39" s="210">
        <f ca="1">G15</f>
        <v>9658.3661333333366</v>
      </c>
      <c r="H39" s="265">
        <f ca="1">H15</f>
        <v>0.28436762504024521</v>
      </c>
    </row>
    <row r="40" spans="1:8" x14ac:dyDescent="0.25">
      <c r="B40" s="190" t="s">
        <v>155</v>
      </c>
      <c r="C40" s="197"/>
      <c r="D40" s="198"/>
      <c r="E40" s="182"/>
      <c r="F40" s="188"/>
      <c r="G40" s="191"/>
      <c r="H40" s="189"/>
    </row>
    <row r="41" spans="1:8" x14ac:dyDescent="0.25">
      <c r="A41" t="str">
        <f t="shared" si="0"/>
        <v>661</v>
      </c>
      <c r="B41" s="188" t="s">
        <v>74</v>
      </c>
      <c r="C41" s="312">
        <f ca="1">SUMIF('Recap dep rec'!$A:$A,A41,'Recap dep rec'!$L:$L)</f>
        <v>0</v>
      </c>
      <c r="D41" s="189">
        <f ca="1">C41/$C$55</f>
        <v>0</v>
      </c>
      <c r="E41" s="182"/>
      <c r="F41" s="190" t="s">
        <v>156</v>
      </c>
      <c r="G41" s="186">
        <f>G42+G44</f>
        <v>24306</v>
      </c>
      <c r="H41" s="264">
        <f ca="1">G41/C55</f>
        <v>0.71563237495975485</v>
      </c>
    </row>
    <row r="42" spans="1:8" x14ac:dyDescent="0.25">
      <c r="A42" t="str">
        <f t="shared" si="0"/>
        <v/>
      </c>
      <c r="B42" s="188"/>
      <c r="C42" s="197"/>
      <c r="D42" s="198"/>
      <c r="E42" s="182"/>
      <c r="F42" s="188" t="s">
        <v>88</v>
      </c>
      <c r="G42" s="191">
        <f>'Recap dep rec'!L35</f>
        <v>21250</v>
      </c>
      <c r="H42" s="198"/>
    </row>
    <row r="43" spans="1:8" x14ac:dyDescent="0.25">
      <c r="A43" t="str">
        <f t="shared" si="0"/>
        <v/>
      </c>
      <c r="B43" s="188"/>
      <c r="C43" s="197"/>
      <c r="D43" s="198"/>
      <c r="E43" s="182"/>
      <c r="F43" s="188" t="s">
        <v>157</v>
      </c>
      <c r="G43" s="212"/>
      <c r="H43" s="198"/>
    </row>
    <row r="44" spans="1:8" x14ac:dyDescent="0.25">
      <c r="A44" t="str">
        <f t="shared" si="0"/>
        <v xml:space="preserve">68 </v>
      </c>
      <c r="B44" s="190" t="s">
        <v>158</v>
      </c>
      <c r="C44" s="197"/>
      <c r="D44" s="198"/>
      <c r="E44" s="182"/>
      <c r="F44" s="188" t="s">
        <v>87</v>
      </c>
      <c r="G44" s="191">
        <f>'Recap dep rec'!L33</f>
        <v>3056</v>
      </c>
      <c r="H44" s="198"/>
    </row>
    <row r="45" spans="1:8" x14ac:dyDescent="0.25">
      <c r="A45" t="str">
        <f t="shared" si="0"/>
        <v>aux</v>
      </c>
      <c r="B45" s="190" t="s">
        <v>159</v>
      </c>
      <c r="C45" s="194"/>
      <c r="D45" s="189"/>
      <c r="E45" s="182"/>
      <c r="F45" s="188" t="s">
        <v>160</v>
      </c>
      <c r="G45" s="191"/>
      <c r="H45" s="198"/>
    </row>
    <row r="46" spans="1:8" x14ac:dyDescent="0.25">
      <c r="A46" t="str">
        <f t="shared" si="0"/>
        <v>681</v>
      </c>
      <c r="B46" s="213" t="s">
        <v>75</v>
      </c>
      <c r="C46" s="312">
        <f ca="1">SUMIF('Recap dep rec'!$A:$A,A46,'Recap dep rec'!$L:$L)</f>
        <v>0</v>
      </c>
      <c r="D46" s="189">
        <f ca="1">C46/$C$55</f>
        <v>0</v>
      </c>
      <c r="E46" s="182"/>
      <c r="F46" s="188"/>
      <c r="G46" s="191"/>
      <c r="H46" s="198"/>
    </row>
    <row r="47" spans="1:8" x14ac:dyDescent="0.25">
      <c r="B47" s="188" t="s">
        <v>161</v>
      </c>
      <c r="C47" s="194"/>
      <c r="D47" s="189"/>
      <c r="E47" s="182"/>
      <c r="F47" s="188"/>
      <c r="G47" s="191"/>
      <c r="H47" s="189"/>
    </row>
    <row r="48" spans="1:8" x14ac:dyDescent="0.25">
      <c r="B48" s="213"/>
      <c r="C48" s="194"/>
      <c r="D48" s="189"/>
      <c r="E48" s="182"/>
      <c r="F48" s="190"/>
      <c r="G48" s="191"/>
      <c r="H48" s="189"/>
    </row>
    <row r="49" spans="1:8" x14ac:dyDescent="0.25">
      <c r="B49" s="213"/>
      <c r="C49" s="194"/>
      <c r="D49" s="189"/>
      <c r="E49" s="182"/>
      <c r="F49" s="190" t="s">
        <v>162</v>
      </c>
      <c r="G49" s="214"/>
      <c r="H49" s="187"/>
    </row>
    <row r="50" spans="1:8" x14ac:dyDescent="0.25">
      <c r="B50" s="190" t="s">
        <v>163</v>
      </c>
      <c r="C50" s="186"/>
      <c r="D50" s="187"/>
      <c r="E50" s="182"/>
      <c r="F50" s="188" t="s">
        <v>164</v>
      </c>
      <c r="G50" s="215"/>
      <c r="H50" s="189"/>
    </row>
    <row r="51" spans="1:8" ht="15.75" x14ac:dyDescent="0.25">
      <c r="A51" t="s">
        <v>325</v>
      </c>
      <c r="B51" s="213" t="s">
        <v>29</v>
      </c>
      <c r="C51" s="312">
        <f ca="1">SUMIF('Recap dep rec'!$A:$A,A51,'Recap dep rec'!$L:$L)</f>
        <v>0</v>
      </c>
      <c r="D51" s="189">
        <f t="shared" ref="D51:D53" ca="1" si="5">C51/$C$55</f>
        <v>0</v>
      </c>
      <c r="E51" s="217"/>
      <c r="F51" s="188" t="s">
        <v>165</v>
      </c>
      <c r="G51" s="215"/>
      <c r="H51" s="189"/>
    </row>
    <row r="52" spans="1:8" ht="15.75" x14ac:dyDescent="0.25">
      <c r="B52" s="188" t="s">
        <v>166</v>
      </c>
      <c r="C52" s="312">
        <f>SUMIF('Recap dep rec'!$A:$A,A52,'Recap dep rec'!$L:$L)</f>
        <v>0</v>
      </c>
      <c r="D52" s="189">
        <f t="shared" ca="1" si="5"/>
        <v>0</v>
      </c>
      <c r="E52" s="217"/>
      <c r="F52" s="188" t="s">
        <v>167</v>
      </c>
      <c r="G52" s="215"/>
      <c r="H52" s="189"/>
    </row>
    <row r="53" spans="1:8" x14ac:dyDescent="0.25">
      <c r="B53" s="188" t="s">
        <v>167</v>
      </c>
      <c r="C53" s="312">
        <f>SUMIF('Recap dep rec'!$A:$A,A53,'Recap dep rec'!$L:$L)</f>
        <v>0</v>
      </c>
      <c r="D53" s="189">
        <f t="shared" ca="1" si="5"/>
        <v>0</v>
      </c>
      <c r="F53" s="188"/>
      <c r="G53" s="215"/>
      <c r="H53" s="189"/>
    </row>
    <row r="54" spans="1:8" x14ac:dyDescent="0.25">
      <c r="B54" s="218"/>
      <c r="C54" s="219"/>
      <c r="D54" s="220"/>
      <c r="F54" s="188"/>
      <c r="G54" s="215"/>
      <c r="H54" s="189"/>
    </row>
    <row r="55" spans="1:8" x14ac:dyDescent="0.25">
      <c r="B55" s="221" t="s">
        <v>168</v>
      </c>
      <c r="C55" s="222">
        <f ca="1">SUM(C5:C54)</f>
        <v>33964.366133333337</v>
      </c>
      <c r="D55" s="223"/>
      <c r="F55" s="221" t="s">
        <v>169</v>
      </c>
      <c r="G55" s="224">
        <f ca="1">G41+G39</f>
        <v>33964.366133333337</v>
      </c>
      <c r="H55" s="223"/>
    </row>
    <row r="56" spans="1:8" x14ac:dyDescent="0.25">
      <c r="B56" s="182"/>
      <c r="C56" s="225">
        <f ca="1">C55-'Recap dep rec'!L29</f>
        <v>0</v>
      </c>
      <c r="D56" s="226"/>
      <c r="F56" s="182"/>
      <c r="G56" s="225"/>
      <c r="H56" s="227"/>
    </row>
    <row r="57" spans="1:8" ht="15.75" x14ac:dyDescent="0.25">
      <c r="B57" s="182"/>
      <c r="C57" s="228"/>
      <c r="D57" s="229"/>
      <c r="F57" s="217"/>
      <c r="G57" s="228"/>
      <c r="H57" s="230"/>
    </row>
    <row r="58" spans="1:8" ht="15.75" x14ac:dyDescent="0.25">
      <c r="B58" s="217"/>
      <c r="C58" s="228"/>
      <c r="D58" s="229"/>
      <c r="F58" s="217"/>
      <c r="G58" s="228"/>
      <c r="H58" s="226"/>
    </row>
    <row r="59" spans="1:8" ht="15.75" x14ac:dyDescent="0.25">
      <c r="C59" s="231"/>
      <c r="D59" s="232"/>
      <c r="G59" s="231"/>
      <c r="H59" s="229"/>
    </row>
  </sheetData>
  <mergeCells count="1">
    <mergeCell ref="B1:H1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-0.249977111117893"/>
  </sheetPr>
  <dimension ref="A1:G59"/>
  <sheetViews>
    <sheetView topLeftCell="A22" workbookViewId="0">
      <selection activeCell="B62" sqref="B62"/>
    </sheetView>
  </sheetViews>
  <sheetFormatPr baseColWidth="10" defaultRowHeight="15" x14ac:dyDescent="0.25"/>
  <cols>
    <col min="1" max="1" width="50.85546875" bestFit="1" customWidth="1"/>
    <col min="2" max="2" width="11.42578125" style="289"/>
    <col min="4" max="4" width="5.42578125" customWidth="1"/>
    <col min="5" max="5" width="33" bestFit="1" customWidth="1"/>
  </cols>
  <sheetData>
    <row r="1" spans="1:7" ht="37.5" customHeight="1" x14ac:dyDescent="0.25">
      <c r="A1" s="366" t="s">
        <v>332</v>
      </c>
      <c r="B1" s="367"/>
      <c r="C1" s="367"/>
      <c r="D1" s="367"/>
      <c r="E1" s="367"/>
      <c r="F1" s="367"/>
      <c r="G1" s="368"/>
    </row>
    <row r="2" spans="1:7" x14ac:dyDescent="0.35">
      <c r="A2" s="176"/>
      <c r="B2" s="309"/>
      <c r="C2" s="178"/>
      <c r="D2" s="177"/>
      <c r="E2" s="177"/>
      <c r="F2" s="177"/>
      <c r="G2" s="178"/>
    </row>
    <row r="3" spans="1:7" x14ac:dyDescent="0.25">
      <c r="A3" s="179" t="s">
        <v>129</v>
      </c>
      <c r="B3" s="310" t="s">
        <v>130</v>
      </c>
      <c r="C3" s="181" t="s">
        <v>131</v>
      </c>
      <c r="D3" s="182"/>
      <c r="E3" s="179" t="s">
        <v>132</v>
      </c>
      <c r="F3" s="179" t="s">
        <v>130</v>
      </c>
      <c r="G3" s="181" t="s">
        <v>131</v>
      </c>
    </row>
    <row r="4" spans="1:7" ht="14.45" x14ac:dyDescent="0.35">
      <c r="A4" s="183" t="s">
        <v>133</v>
      </c>
      <c r="B4" s="311"/>
      <c r="C4" s="185"/>
      <c r="D4" s="182"/>
      <c r="E4" s="183" t="s">
        <v>134</v>
      </c>
      <c r="F4" s="186"/>
      <c r="G4" s="187"/>
    </row>
    <row r="5" spans="1:7" ht="14.45" x14ac:dyDescent="0.35">
      <c r="A5" s="188" t="s">
        <v>135</v>
      </c>
      <c r="B5" s="312">
        <f ca="1">'Mice Place '!C5+'SBE LYON'!C5+'Heavent '!C5+'Imex '!C5+'Workshop Allemagne'!C5</f>
        <v>0</v>
      </c>
      <c r="C5" s="195">
        <f ca="1">B5/$B$55</f>
        <v>0</v>
      </c>
      <c r="D5" s="182"/>
      <c r="E5" s="190"/>
      <c r="F5" s="191"/>
      <c r="G5" s="189"/>
    </row>
    <row r="6" spans="1:7" x14ac:dyDescent="0.25">
      <c r="A6" s="192" t="s">
        <v>136</v>
      </c>
      <c r="B6" s="312">
        <f ca="1">'Mice Place '!C6+'SBE LYON'!C6+'Heavent '!C6+'Imex '!C6+'Workshop Allemagne'!C6</f>
        <v>216.66666666666671</v>
      </c>
      <c r="C6" s="195">
        <f ca="1">B6/$B$55</f>
        <v>6.2984467073055894E-4</v>
      </c>
      <c r="D6" s="182"/>
      <c r="E6" s="190" t="s">
        <v>137</v>
      </c>
      <c r="F6" s="191"/>
      <c r="G6" s="193"/>
    </row>
    <row r="7" spans="1:7" ht="14.45" x14ac:dyDescent="0.35">
      <c r="A7" s="192" t="s">
        <v>138</v>
      </c>
      <c r="B7" s="312">
        <f ca="1">'Mice Place '!C7+'SBE LYON'!C7+'Heavent '!C7+'Imex '!C7+'Workshop Allemagne'!C7</f>
        <v>975</v>
      </c>
      <c r="C7" s="195">
        <f ca="1">B7/$B$55</f>
        <v>2.8343010182875143E-3</v>
      </c>
      <c r="D7" s="182"/>
      <c r="E7" s="196"/>
      <c r="F7" s="191"/>
      <c r="G7" s="189"/>
    </row>
    <row r="8" spans="1:7" ht="14.45" x14ac:dyDescent="0.35">
      <c r="A8" s="188" t="s">
        <v>139</v>
      </c>
      <c r="B8" s="312">
        <f>'Mice Place '!C8+'SBE LYON'!C8+'Heavent '!C8+'Imex '!C8+'Workshop Allemagne'!C8</f>
        <v>0</v>
      </c>
      <c r="C8" s="195">
        <f ca="1">B8/$B$55</f>
        <v>0</v>
      </c>
      <c r="D8" s="182"/>
      <c r="E8" s="196"/>
      <c r="F8" s="191"/>
      <c r="G8" s="189"/>
    </row>
    <row r="9" spans="1:7" ht="14.45" x14ac:dyDescent="0.35">
      <c r="A9" s="188"/>
      <c r="B9" s="194"/>
      <c r="C9" s="189"/>
      <c r="D9" s="182"/>
      <c r="E9" s="196"/>
      <c r="F9" s="191"/>
      <c r="G9" s="189"/>
    </row>
    <row r="10" spans="1:7" x14ac:dyDescent="0.25">
      <c r="A10" s="196"/>
      <c r="B10" s="197"/>
      <c r="C10" s="198"/>
      <c r="D10" s="182"/>
      <c r="E10" s="199" t="s">
        <v>140</v>
      </c>
      <c r="F10" s="191"/>
      <c r="G10" s="198"/>
    </row>
    <row r="11" spans="1:7" x14ac:dyDescent="0.25">
      <c r="A11" s="190" t="s">
        <v>141</v>
      </c>
      <c r="B11" s="186"/>
      <c r="C11" s="187"/>
      <c r="D11" s="182"/>
      <c r="E11" s="200"/>
      <c r="F11" s="191"/>
      <c r="G11" s="198"/>
    </row>
    <row r="12" spans="1:7" x14ac:dyDescent="0.25">
      <c r="A12" s="188" t="s">
        <v>142</v>
      </c>
      <c r="B12" s="197">
        <f ca="1">'Mice Place '!C12+'SBE LYON'!C12+'Heavent '!C12+'Imex '!C12+'Workshop Allemagne'!C12</f>
        <v>272737.2</v>
      </c>
      <c r="C12" s="195">
        <f t="shared" ref="C12:C17" ca="1" si="0">B12/$B$55</f>
        <v>0.79284033198449799</v>
      </c>
      <c r="D12" s="182"/>
      <c r="E12" s="201"/>
      <c r="F12" s="191"/>
      <c r="G12" s="198"/>
    </row>
    <row r="13" spans="1:7" ht="14.45" x14ac:dyDescent="0.35">
      <c r="A13" s="188" t="s">
        <v>170</v>
      </c>
      <c r="B13" s="197">
        <f ca="1">'Mice Place '!C13+'SBE LYON'!C13+'Heavent '!C13+'Imex '!C13+'Workshop Allemagne'!C13</f>
        <v>3416.6666666666665</v>
      </c>
      <c r="C13" s="195">
        <f t="shared" ca="1" si="0"/>
        <v>9.9321659615203492E-3</v>
      </c>
      <c r="D13" s="182"/>
      <c r="E13" s="202"/>
      <c r="F13" s="191"/>
      <c r="G13" s="198"/>
    </row>
    <row r="14" spans="1:7" ht="14.45" x14ac:dyDescent="0.35">
      <c r="A14" s="188" t="s">
        <v>65</v>
      </c>
      <c r="B14" s="197">
        <f ca="1">'Mice Place '!C14+'SBE LYON'!C14+'Heavent '!C14+'Imex '!C14+'Workshop Allemagne'!C14</f>
        <v>1050</v>
      </c>
      <c r="C14" s="195">
        <f t="shared" ca="1" si="0"/>
        <v>3.0523241735404003E-3</v>
      </c>
      <c r="D14" s="182"/>
      <c r="E14" s="202"/>
      <c r="F14" s="191"/>
      <c r="G14" s="198"/>
    </row>
    <row r="15" spans="1:7" x14ac:dyDescent="0.25">
      <c r="A15" s="188" t="s">
        <v>66</v>
      </c>
      <c r="B15" s="197">
        <f ca="1">'Mice Place '!C15+'SBE LYON'!C15+'Heavent '!C15+'Imex '!C15+'Workshop Allemagne'!C15</f>
        <v>670</v>
      </c>
      <c r="C15" s="195">
        <f t="shared" ca="1" si="0"/>
        <v>1.9476735202591125E-3</v>
      </c>
      <c r="D15" s="182"/>
      <c r="E15" s="190" t="s">
        <v>143</v>
      </c>
      <c r="F15" s="191">
        <f ca="1">'Mice Place '!G15+'SBE LYON'!G15+'Heavent '!G15+'Imex '!G15+'Workshop Allemagne'!G15</f>
        <v>101569.30866666668</v>
      </c>
      <c r="G15" s="263">
        <f ca="1">F15/B55</f>
        <v>0.29525948203147923</v>
      </c>
    </row>
    <row r="16" spans="1:7" ht="14.45" x14ac:dyDescent="0.35">
      <c r="A16" s="188" t="s">
        <v>67</v>
      </c>
      <c r="B16" s="197"/>
      <c r="C16" s="195">
        <f t="shared" ca="1" si="0"/>
        <v>0</v>
      </c>
      <c r="D16" s="182"/>
      <c r="E16" s="203"/>
      <c r="F16" s="191"/>
      <c r="G16" s="198"/>
    </row>
    <row r="17" spans="1:7" ht="14.45" x14ac:dyDescent="0.35">
      <c r="A17" s="188" t="s">
        <v>144</v>
      </c>
      <c r="B17" s="197">
        <f ca="1">'Mice Place '!C17+'SBE LYON'!C17+'Heavent '!C17+'Imex '!C17+'Workshop Allemagne'!C17</f>
        <v>266.66666666666674</v>
      </c>
      <c r="C17" s="195">
        <f t="shared" ca="1" si="0"/>
        <v>7.7519344089914941E-4</v>
      </c>
      <c r="D17" s="182"/>
      <c r="E17" s="203"/>
      <c r="F17" s="191"/>
      <c r="G17" s="198"/>
    </row>
    <row r="18" spans="1:7" ht="14.45" x14ac:dyDescent="0.35">
      <c r="A18" s="188"/>
      <c r="B18" s="197"/>
      <c r="C18" s="198"/>
      <c r="D18" s="182"/>
      <c r="E18" s="202"/>
      <c r="F18" s="191"/>
      <c r="G18" s="198"/>
    </row>
    <row r="19" spans="1:7" x14ac:dyDescent="0.25">
      <c r="A19" s="188"/>
      <c r="B19" s="197"/>
      <c r="C19" s="198"/>
      <c r="D19" s="204"/>
      <c r="E19" s="205" t="s">
        <v>145</v>
      </c>
      <c r="F19" s="191"/>
      <c r="G19" s="198"/>
    </row>
    <row r="20" spans="1:7" x14ac:dyDescent="0.25">
      <c r="A20" s="190" t="s">
        <v>146</v>
      </c>
      <c r="B20" s="186"/>
      <c r="C20" s="187"/>
      <c r="D20" s="182"/>
      <c r="E20" s="196"/>
      <c r="F20" s="191"/>
      <c r="G20" s="198"/>
    </row>
    <row r="21" spans="1:7" ht="14.45" x14ac:dyDescent="0.35">
      <c r="A21" s="190"/>
      <c r="B21" s="186"/>
      <c r="C21" s="187"/>
      <c r="D21" s="182"/>
      <c r="E21" s="196"/>
      <c r="F21" s="191"/>
      <c r="G21" s="198"/>
    </row>
    <row r="22" spans="1:7" x14ac:dyDescent="0.25">
      <c r="A22" s="188" t="s">
        <v>147</v>
      </c>
      <c r="B22" s="197">
        <f ca="1">'Mice Place '!C22+'SBE LYON'!C22+'Heavent '!C22+'Imex '!C22+'Workshop Allemagne'!C22</f>
        <v>3383.3333333333335</v>
      </c>
      <c r="C22" s="195">
        <f t="shared" ref="C22" ca="1" si="1">B22/$B$55</f>
        <v>9.8352667814079562E-3</v>
      </c>
      <c r="D22" s="182"/>
      <c r="E22" s="203"/>
      <c r="F22" s="191"/>
      <c r="G22" s="198"/>
    </row>
    <row r="23" spans="1:7" x14ac:dyDescent="0.25">
      <c r="A23" s="188" t="s">
        <v>148</v>
      </c>
      <c r="B23" s="197"/>
      <c r="C23" s="198"/>
      <c r="D23" s="182"/>
      <c r="E23" s="190"/>
      <c r="F23" s="191"/>
      <c r="G23" s="198"/>
    </row>
    <row r="24" spans="1:7" x14ac:dyDescent="0.25">
      <c r="A24" s="188" t="s">
        <v>149</v>
      </c>
      <c r="B24" s="197">
        <f ca="1">'Mice Place '!C24+'SBE LYON'!C24+'Heavent '!C24+'Imex '!C24+'Workshop Allemagne'!C24</f>
        <v>1300</v>
      </c>
      <c r="C24" s="198"/>
      <c r="D24" s="182"/>
      <c r="E24" s="190" t="s">
        <v>150</v>
      </c>
      <c r="F24" s="191"/>
      <c r="G24" s="198"/>
    </row>
    <row r="25" spans="1:7" x14ac:dyDescent="0.25">
      <c r="A25" s="188" t="s">
        <v>68</v>
      </c>
      <c r="B25" s="197">
        <f ca="1">'Mice Place '!C25+'SBE LYON'!C25+'Heavent '!C25+'Imex '!C25+'Workshop Allemagne'!C25</f>
        <v>15256.666666666666</v>
      </c>
      <c r="C25" s="195">
        <f t="shared" ref="C25:C27" ca="1" si="2">B25/$B$55</f>
        <v>4.4350754737442571E-2</v>
      </c>
      <c r="D25" s="182"/>
      <c r="E25" s="196"/>
      <c r="F25" s="191"/>
      <c r="G25" s="198"/>
    </row>
    <row r="26" spans="1:7" x14ac:dyDescent="0.25">
      <c r="A26" s="188" t="s">
        <v>69</v>
      </c>
      <c r="B26" s="197">
        <f ca="1">'Mice Place '!C26+'SBE LYON'!C26+'Heavent '!C26+'Imex '!C26+'Workshop Allemagne'!C26</f>
        <v>983.33333333333326</v>
      </c>
      <c r="C26" s="195">
        <f t="shared" ca="1" si="2"/>
        <v>2.8585258133156126E-3</v>
      </c>
      <c r="D26" s="182"/>
      <c r="E26" s="196"/>
      <c r="F26" s="191"/>
      <c r="G26" s="198"/>
    </row>
    <row r="27" spans="1:7" x14ac:dyDescent="0.25">
      <c r="A27" s="188" t="s">
        <v>70</v>
      </c>
      <c r="B27" s="197">
        <f ca="1">'Mice Place '!C27+'SBE LYON'!C27+'Heavent '!C27+'Imex '!C27+'Workshop Allemagne'!C27</f>
        <v>575</v>
      </c>
      <c r="C27" s="195">
        <f t="shared" ca="1" si="2"/>
        <v>1.6715108569387905E-3</v>
      </c>
      <c r="D27" s="182"/>
      <c r="E27" s="196"/>
      <c r="F27" s="191"/>
      <c r="G27" s="198"/>
    </row>
    <row r="28" spans="1:7" x14ac:dyDescent="0.25">
      <c r="A28" s="188"/>
      <c r="B28" s="197"/>
      <c r="C28" s="198"/>
      <c r="D28" s="182"/>
      <c r="E28" s="190" t="s">
        <v>151</v>
      </c>
      <c r="F28" s="191"/>
      <c r="G28" s="198"/>
    </row>
    <row r="29" spans="1:7" x14ac:dyDescent="0.25">
      <c r="A29" s="190" t="s">
        <v>171</v>
      </c>
      <c r="B29" s="197"/>
      <c r="C29" s="198"/>
      <c r="D29" s="182"/>
      <c r="E29" s="190"/>
      <c r="F29" s="191"/>
      <c r="G29" s="198"/>
    </row>
    <row r="30" spans="1:7" x14ac:dyDescent="0.25">
      <c r="A30" s="188" t="s">
        <v>172</v>
      </c>
      <c r="B30" s="197">
        <f ca="1">'Mice Place '!C30+'SBE LYON'!C30+'Heavent '!C30+'Imex '!C30+'Workshop Allemagne'!C30</f>
        <v>825</v>
      </c>
      <c r="C30" s="195">
        <f t="shared" ref="C30:C31" ca="1" si="3">B30/$B$55</f>
        <v>2.3982547077817428E-3</v>
      </c>
      <c r="D30" s="182"/>
      <c r="E30" s="190"/>
      <c r="F30" s="191"/>
      <c r="G30" s="198"/>
    </row>
    <row r="31" spans="1:7" x14ac:dyDescent="0.25">
      <c r="A31" s="188" t="s">
        <v>173</v>
      </c>
      <c r="B31" s="197">
        <f ca="1">'Mice Place '!C31+'SBE LYON'!C31+'Heavent '!C31+'Imex '!C31+'Workshop Allemagne'!C31</f>
        <v>177.83333333333334</v>
      </c>
      <c r="C31" s="195">
        <f t="shared" ca="1" si="3"/>
        <v>5.1695712589962023E-4</v>
      </c>
      <c r="D31" s="182"/>
      <c r="E31" s="190"/>
      <c r="F31" s="191"/>
      <c r="G31" s="198"/>
    </row>
    <row r="32" spans="1:7" x14ac:dyDescent="0.25">
      <c r="A32" s="190" t="s">
        <v>152</v>
      </c>
      <c r="B32" s="206"/>
      <c r="C32" s="207"/>
      <c r="D32" s="182"/>
      <c r="E32" s="196"/>
      <c r="F32" s="191"/>
      <c r="G32" s="198"/>
    </row>
    <row r="33" spans="1:7" x14ac:dyDescent="0.25">
      <c r="A33" s="188" t="s">
        <v>71</v>
      </c>
      <c r="B33" s="186">
        <f ca="1">'Mice Place '!C33+'SBE LYON'!C33+'Heavent '!C33+'Imex '!C33+'Workshop Allemagne'!C33</f>
        <v>42050.125333333337</v>
      </c>
      <c r="C33" s="195">
        <f t="shared" ref="C33:C34" ca="1" si="4">B33/$B$55</f>
        <v>0.12223868005270183</v>
      </c>
      <c r="D33" s="182"/>
      <c r="E33" s="196"/>
      <c r="F33" s="191"/>
      <c r="G33" s="198"/>
    </row>
    <row r="34" spans="1:7" x14ac:dyDescent="0.25">
      <c r="A34" s="188" t="s">
        <v>72</v>
      </c>
      <c r="B34" s="197">
        <f ca="1">'Mice Place '!C34+'SBE LYON'!C34+'Heavent '!C34+'Imex '!C34+'Workshop Allemagne'!C34</f>
        <v>116.66666666666669</v>
      </c>
      <c r="C34" s="195">
        <f t="shared" ca="1" si="4"/>
        <v>3.3914713039337783E-4</v>
      </c>
      <c r="D34" s="182"/>
      <c r="E34" s="196"/>
      <c r="F34" s="191"/>
      <c r="G34" s="198"/>
    </row>
    <row r="35" spans="1:7" x14ac:dyDescent="0.25">
      <c r="A35" s="188"/>
      <c r="B35" s="197"/>
      <c r="C35" s="198"/>
      <c r="D35" s="182"/>
      <c r="E35" s="190" t="s">
        <v>153</v>
      </c>
      <c r="F35" s="191"/>
      <c r="G35" s="198"/>
    </row>
    <row r="36" spans="1:7" x14ac:dyDescent="0.25">
      <c r="A36" s="188"/>
      <c r="B36" s="197"/>
      <c r="C36" s="198"/>
      <c r="D36" s="182"/>
      <c r="E36" s="208"/>
      <c r="F36" s="191"/>
      <c r="G36" s="198"/>
    </row>
    <row r="37" spans="1:7" x14ac:dyDescent="0.25">
      <c r="A37" s="188" t="s">
        <v>73</v>
      </c>
      <c r="B37" s="197">
        <f ca="1">'Mice Place '!C37+'SBE LYON'!C37+'Heavent '!C37+'Imex '!C37+'Workshop Allemagne'!C37</f>
        <v>0</v>
      </c>
      <c r="C37" s="195">
        <f t="shared" ref="C37" ca="1" si="5">B37/$B$55</f>
        <v>0</v>
      </c>
      <c r="D37" s="182"/>
      <c r="E37" s="208"/>
      <c r="F37" s="191"/>
      <c r="G37" s="198"/>
    </row>
    <row r="38" spans="1:7" x14ac:dyDescent="0.25">
      <c r="A38" s="190"/>
      <c r="B38" s="186"/>
      <c r="C38" s="187"/>
      <c r="D38" s="182"/>
      <c r="E38" s="208"/>
      <c r="F38" s="191"/>
      <c r="G38" s="198"/>
    </row>
    <row r="39" spans="1:7" x14ac:dyDescent="0.25">
      <c r="A39" s="188"/>
      <c r="B39" s="197"/>
      <c r="C39" s="198"/>
      <c r="D39" s="182"/>
      <c r="E39" s="209" t="s">
        <v>154</v>
      </c>
      <c r="F39" s="210">
        <f ca="1">F15</f>
        <v>101569.30866666668</v>
      </c>
      <c r="G39" s="265">
        <f ca="1">G15</f>
        <v>0.29525948203147923</v>
      </c>
    </row>
    <row r="40" spans="1:7" x14ac:dyDescent="0.25">
      <c r="A40" s="190" t="s">
        <v>155</v>
      </c>
      <c r="B40" s="197"/>
      <c r="C40" s="198"/>
      <c r="D40" s="182"/>
      <c r="E40" s="188"/>
      <c r="F40" s="191"/>
      <c r="G40" s="189"/>
    </row>
    <row r="41" spans="1:7" x14ac:dyDescent="0.25">
      <c r="A41" s="188" t="s">
        <v>74</v>
      </c>
      <c r="B41" s="197">
        <f ca="1">'Mice Place '!C41+'SBE LYON'!C41+'Heavent '!C41+'Imex '!C41+'Workshop Allemagne'!C41</f>
        <v>0</v>
      </c>
      <c r="C41" s="195">
        <f t="shared" ref="C41" ca="1" si="6">B41/$B$55</f>
        <v>0</v>
      </c>
      <c r="D41" s="182"/>
      <c r="E41" s="190" t="s">
        <v>156</v>
      </c>
      <c r="F41" s="186">
        <f>F42+F44</f>
        <v>242430.85</v>
      </c>
      <c r="G41" s="264">
        <f ca="1">F41/B55</f>
        <v>0.70474051796852066</v>
      </c>
    </row>
    <row r="42" spans="1:7" x14ac:dyDescent="0.25">
      <c r="A42" s="188"/>
      <c r="B42" s="197"/>
      <c r="C42" s="198"/>
      <c r="D42" s="182"/>
      <c r="E42" s="188" t="s">
        <v>88</v>
      </c>
      <c r="F42" s="191">
        <f>'Mice Place '!G42+'SBE LYON'!G42+'Heavent '!G42+'Imex '!G42+'Workshop Allemagne'!G42</f>
        <v>238374.85</v>
      </c>
      <c r="G42" s="198"/>
    </row>
    <row r="43" spans="1:7" x14ac:dyDescent="0.25">
      <c r="A43" s="188"/>
      <c r="B43" s="197"/>
      <c r="C43" s="198"/>
      <c r="D43" s="182"/>
      <c r="E43" s="188" t="s">
        <v>157</v>
      </c>
      <c r="F43" s="212"/>
      <c r="G43" s="198"/>
    </row>
    <row r="44" spans="1:7" x14ac:dyDescent="0.25">
      <c r="A44" s="190" t="s">
        <v>158</v>
      </c>
      <c r="B44" s="197"/>
      <c r="C44" s="198"/>
      <c r="D44" s="182"/>
      <c r="E44" s="188" t="s">
        <v>87</v>
      </c>
      <c r="F44" s="191">
        <f>'Workshop Allemagne'!G44+'Imex '!G44+'Heavent '!G44+'SBE LYON'!G44+'Mice Place '!G44</f>
        <v>4056</v>
      </c>
      <c r="G44" s="198"/>
    </row>
    <row r="45" spans="1:7" x14ac:dyDescent="0.25">
      <c r="A45" s="190" t="s">
        <v>159</v>
      </c>
      <c r="B45" s="194"/>
      <c r="C45" s="189"/>
      <c r="D45" s="182"/>
      <c r="E45" s="188" t="s">
        <v>160</v>
      </c>
      <c r="F45" s="191"/>
      <c r="G45" s="198"/>
    </row>
    <row r="46" spans="1:7" x14ac:dyDescent="0.25">
      <c r="A46" s="213" t="s">
        <v>75</v>
      </c>
      <c r="B46" s="197">
        <f ca="1">'Mice Place '!C46+'SBE LYON'!C46+'Heavent '!C46+'Imex '!C46+'Workshop Allemagne'!C46</f>
        <v>0</v>
      </c>
      <c r="C46" s="195">
        <f t="shared" ref="C46" ca="1" si="7">B46/$B$55</f>
        <v>0</v>
      </c>
      <c r="D46" s="182"/>
      <c r="E46" s="188"/>
      <c r="F46" s="191"/>
      <c r="G46" s="198"/>
    </row>
    <row r="47" spans="1:7" x14ac:dyDescent="0.25">
      <c r="A47" s="188" t="s">
        <v>161</v>
      </c>
      <c r="B47" s="194"/>
      <c r="C47" s="189"/>
      <c r="D47" s="182"/>
      <c r="E47" s="188"/>
      <c r="F47" s="191"/>
      <c r="G47" s="189"/>
    </row>
    <row r="48" spans="1:7" x14ac:dyDescent="0.25">
      <c r="A48" s="213"/>
      <c r="B48" s="194"/>
      <c r="C48" s="189"/>
      <c r="D48" s="182"/>
      <c r="E48" s="190"/>
      <c r="F48" s="191"/>
      <c r="G48" s="189"/>
    </row>
    <row r="49" spans="1:7" x14ac:dyDescent="0.25">
      <c r="A49" s="213"/>
      <c r="B49" s="194"/>
      <c r="C49" s="189"/>
      <c r="D49" s="182"/>
      <c r="E49" s="190" t="s">
        <v>162</v>
      </c>
      <c r="F49" s="214"/>
      <c r="G49" s="187"/>
    </row>
    <row r="50" spans="1:7" x14ac:dyDescent="0.25">
      <c r="A50" s="190" t="s">
        <v>163</v>
      </c>
      <c r="B50" s="186"/>
      <c r="C50" s="187"/>
      <c r="D50" s="182"/>
      <c r="E50" s="188" t="s">
        <v>164</v>
      </c>
      <c r="F50" s="215"/>
      <c r="G50" s="189"/>
    </row>
    <row r="51" spans="1:7" ht="15.75" x14ac:dyDescent="0.25">
      <c r="A51" s="213" t="s">
        <v>29</v>
      </c>
      <c r="B51" s="194">
        <f>'[2]C5 Imex'!C60</f>
        <v>0</v>
      </c>
      <c r="C51" s="195">
        <f t="shared" ref="C51:C53" ca="1" si="8">B51/$B$55</f>
        <v>0</v>
      </c>
      <c r="D51" s="217"/>
      <c r="E51" s="188" t="s">
        <v>165</v>
      </c>
      <c r="F51" s="215"/>
      <c r="G51" s="189"/>
    </row>
    <row r="52" spans="1:7" ht="15.75" x14ac:dyDescent="0.25">
      <c r="A52" s="188" t="s">
        <v>166</v>
      </c>
      <c r="B52" s="197">
        <f>'Mice Place '!C52+'SBE LYON'!C52+'Heavent '!C52+'Imex '!C52+'Workshop Allemagne'!C52</f>
        <v>0</v>
      </c>
      <c r="C52" s="195">
        <f t="shared" ca="1" si="8"/>
        <v>0</v>
      </c>
      <c r="D52" s="217"/>
      <c r="E52" s="188" t="s">
        <v>167</v>
      </c>
      <c r="F52" s="215"/>
      <c r="G52" s="189"/>
    </row>
    <row r="53" spans="1:7" x14ac:dyDescent="0.25">
      <c r="A53" s="188" t="s">
        <v>167</v>
      </c>
      <c r="B53" s="197">
        <f>'Mice Place '!C53+'SBE LYON'!C53+'Heavent '!C53+'Imex '!C53+'Workshop Allemagne'!C53</f>
        <v>0</v>
      </c>
      <c r="C53" s="195">
        <f t="shared" ca="1" si="8"/>
        <v>0</v>
      </c>
      <c r="E53" s="188"/>
      <c r="F53" s="215"/>
      <c r="G53" s="189"/>
    </row>
    <row r="54" spans="1:7" x14ac:dyDescent="0.25">
      <c r="A54" s="218"/>
      <c r="B54" s="313"/>
      <c r="C54" s="220"/>
      <c r="E54" s="188"/>
      <c r="F54" s="215"/>
      <c r="G54" s="189"/>
    </row>
    <row r="55" spans="1:7" x14ac:dyDescent="0.25">
      <c r="A55" s="221" t="s">
        <v>168</v>
      </c>
      <c r="B55" s="222">
        <f ca="1">SUM(B5:B54)</f>
        <v>344000.15866666671</v>
      </c>
      <c r="C55" s="223"/>
      <c r="E55" s="221" t="s">
        <v>169</v>
      </c>
      <c r="F55" s="224">
        <f ca="1">F39+F41+F49</f>
        <v>344000.15866666671</v>
      </c>
      <c r="G55" s="223"/>
    </row>
    <row r="56" spans="1:7" x14ac:dyDescent="0.25">
      <c r="A56" s="182"/>
      <c r="B56" s="314"/>
      <c r="C56" s="226"/>
      <c r="E56" s="182"/>
      <c r="F56" s="225"/>
      <c r="G56" s="227"/>
    </row>
    <row r="57" spans="1:7" ht="15.75" x14ac:dyDescent="0.25">
      <c r="A57" s="182"/>
      <c r="B57" s="315"/>
      <c r="C57" s="229"/>
      <c r="E57" s="217"/>
      <c r="F57" s="228"/>
      <c r="G57" s="230"/>
    </row>
    <row r="58" spans="1:7" ht="15.75" x14ac:dyDescent="0.25">
      <c r="A58" s="182" t="s">
        <v>419</v>
      </c>
      <c r="B58" s="315"/>
      <c r="C58" s="229"/>
      <c r="E58" s="217"/>
      <c r="F58" s="228"/>
      <c r="G58" s="226"/>
    </row>
    <row r="59" spans="1:7" ht="15.75" x14ac:dyDescent="0.25">
      <c r="A59" s="217" t="s">
        <v>420</v>
      </c>
      <c r="C59" s="232"/>
      <c r="F59" s="231"/>
      <c r="G59" s="229"/>
    </row>
  </sheetData>
  <mergeCells count="1">
    <mergeCell ref="A1:G1"/>
  </mergeCells>
  <pageMargins left="0.7" right="0.7" top="0.75" bottom="0.75" header="0.3" footer="0.3"/>
  <drawing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A1:H59"/>
  <sheetViews>
    <sheetView topLeftCell="A19" workbookViewId="0">
      <selection activeCell="B62" sqref="B62"/>
    </sheetView>
  </sheetViews>
  <sheetFormatPr baseColWidth="10" defaultRowHeight="15" x14ac:dyDescent="0.25"/>
  <cols>
    <col min="1" max="1" width="7.5703125" bestFit="1" customWidth="1"/>
    <col min="2" max="2" width="50.85546875" bestFit="1" customWidth="1"/>
    <col min="5" max="5" width="5.42578125" customWidth="1"/>
    <col min="6" max="6" width="33" bestFit="1" customWidth="1"/>
  </cols>
  <sheetData>
    <row r="1" spans="1:8" ht="34.5" customHeight="1" x14ac:dyDescent="0.25">
      <c r="B1" s="366" t="s">
        <v>342</v>
      </c>
      <c r="C1" s="367"/>
      <c r="D1" s="367"/>
      <c r="E1" s="367"/>
      <c r="F1" s="367"/>
      <c r="G1" s="367"/>
      <c r="H1" s="368"/>
    </row>
    <row r="2" spans="1:8" x14ac:dyDescent="0.35">
      <c r="B2" s="176"/>
      <c r="C2" s="177"/>
      <c r="D2" s="178"/>
      <c r="E2" s="177"/>
      <c r="F2" s="177"/>
      <c r="G2" s="177"/>
      <c r="H2" s="178"/>
    </row>
    <row r="3" spans="1:8" x14ac:dyDescent="0.25">
      <c r="B3" s="179" t="s">
        <v>129</v>
      </c>
      <c r="C3" s="180" t="s">
        <v>130</v>
      </c>
      <c r="D3" s="181" t="s">
        <v>131</v>
      </c>
      <c r="E3" s="182"/>
      <c r="F3" s="179" t="s">
        <v>132</v>
      </c>
      <c r="G3" s="179" t="s">
        <v>130</v>
      </c>
      <c r="H3" s="181" t="s">
        <v>131</v>
      </c>
    </row>
    <row r="4" spans="1:8" ht="14.45" x14ac:dyDescent="0.35">
      <c r="B4" s="183" t="s">
        <v>133</v>
      </c>
      <c r="C4" s="184"/>
      <c r="D4" s="185"/>
      <c r="E4" s="182"/>
      <c r="F4" s="183" t="s">
        <v>134</v>
      </c>
      <c r="G4" s="186"/>
      <c r="H4" s="187"/>
    </row>
    <row r="5" spans="1:8" ht="14.45" x14ac:dyDescent="0.35">
      <c r="A5" t="str">
        <f>LEFT(B5,3)</f>
        <v>604</v>
      </c>
      <c r="B5" s="188" t="s">
        <v>135</v>
      </c>
      <c r="C5" s="312">
        <f ca="1">SUMIF('Recap dep rec'!$A:$A,A5,'Recap dep rec'!$M:$M)</f>
        <v>0</v>
      </c>
      <c r="D5" s="189">
        <f ca="1">C5/$C$55</f>
        <v>0</v>
      </c>
      <c r="E5" s="182"/>
      <c r="F5" s="190"/>
      <c r="G5" s="191"/>
      <c r="H5" s="189"/>
    </row>
    <row r="6" spans="1:8" x14ac:dyDescent="0.25">
      <c r="A6" t="str">
        <f t="shared" ref="A6:A46" si="0">LEFT(B6,3)</f>
        <v>605</v>
      </c>
      <c r="B6" s="192" t="s">
        <v>136</v>
      </c>
      <c r="C6" s="312">
        <f ca="1">SUMIF('Recap dep rec'!$A:$A,A6,'Recap dep rec'!$M:$M)</f>
        <v>69.333333333333343</v>
      </c>
      <c r="D6" s="189">
        <f t="shared" ref="D6:D7" ca="1" si="1">C6/$C$55</f>
        <v>2.3171417867124729E-3</v>
      </c>
      <c r="E6" s="182"/>
      <c r="F6" s="190" t="s">
        <v>137</v>
      </c>
      <c r="G6" s="191"/>
      <c r="H6" s="193"/>
    </row>
    <row r="7" spans="1:8" ht="14.45" x14ac:dyDescent="0.35">
      <c r="A7" t="str">
        <f t="shared" si="0"/>
        <v>606</v>
      </c>
      <c r="B7" s="192" t="s">
        <v>138</v>
      </c>
      <c r="C7" s="312">
        <f ca="1">SUMIF('Recap dep rec'!$A:$A,A7,'Recap dep rec'!$M:$M)</f>
        <v>312</v>
      </c>
      <c r="D7" s="189">
        <f t="shared" ca="1" si="1"/>
        <v>1.0427138040206126E-2</v>
      </c>
      <c r="E7" s="182"/>
      <c r="F7" s="196"/>
      <c r="G7" s="191"/>
      <c r="H7" s="189"/>
    </row>
    <row r="8" spans="1:8" ht="14.45" x14ac:dyDescent="0.35">
      <c r="A8" t="str">
        <f t="shared" si="0"/>
        <v>607</v>
      </c>
      <c r="B8" s="188" t="s">
        <v>139</v>
      </c>
      <c r="C8" s="194"/>
      <c r="D8" s="189"/>
      <c r="E8" s="182"/>
      <c r="F8" s="196"/>
      <c r="G8" s="191"/>
      <c r="H8" s="189"/>
    </row>
    <row r="9" spans="1:8" ht="14.45" x14ac:dyDescent="0.35">
      <c r="A9" t="str">
        <f t="shared" si="0"/>
        <v/>
      </c>
      <c r="B9" s="188"/>
      <c r="C9" s="194"/>
      <c r="D9" s="189"/>
      <c r="E9" s="182"/>
      <c r="F9" s="196"/>
      <c r="G9" s="191"/>
      <c r="H9" s="189"/>
    </row>
    <row r="10" spans="1:8" x14ac:dyDescent="0.25">
      <c r="A10" t="str">
        <f t="shared" si="0"/>
        <v/>
      </c>
      <c r="B10" s="196"/>
      <c r="C10" s="197"/>
      <c r="D10" s="198"/>
      <c r="E10" s="182"/>
      <c r="F10" s="199" t="s">
        <v>140</v>
      </c>
      <c r="G10" s="191"/>
      <c r="H10" s="198"/>
    </row>
    <row r="11" spans="1:8" x14ac:dyDescent="0.25">
      <c r="B11" s="190" t="s">
        <v>141</v>
      </c>
      <c r="C11" s="186"/>
      <c r="D11" s="187"/>
      <c r="E11" s="182"/>
      <c r="F11" s="200"/>
      <c r="G11" s="191"/>
      <c r="H11" s="198"/>
    </row>
    <row r="12" spans="1:8" x14ac:dyDescent="0.25">
      <c r="A12" t="str">
        <f t="shared" si="0"/>
        <v>611</v>
      </c>
      <c r="B12" s="188" t="s">
        <v>142</v>
      </c>
      <c r="C12" s="312">
        <f ca="1">SUMIF('Recap dep rec'!$A:$A,A12,'Recap dep rec'!$M:$M)</f>
        <v>1000</v>
      </c>
      <c r="D12" s="189">
        <f t="shared" ref="D12:D17" ca="1" si="2">C12/$C$55</f>
        <v>3.3420314231429889E-2</v>
      </c>
      <c r="E12" s="182"/>
      <c r="F12" s="201"/>
      <c r="G12" s="191"/>
      <c r="H12" s="198"/>
    </row>
    <row r="13" spans="1:8" ht="14.45" x14ac:dyDescent="0.35">
      <c r="A13" t="str">
        <f t="shared" si="0"/>
        <v>613</v>
      </c>
      <c r="B13" s="188" t="s">
        <v>170</v>
      </c>
      <c r="C13" s="312">
        <f ca="1">SUMIF('Recap dep rec'!$A:$A,A13,'Recap dep rec'!$M:$M)</f>
        <v>1093.3333333333335</v>
      </c>
      <c r="D13" s="189">
        <f t="shared" ca="1" si="2"/>
        <v>3.6539543559696686E-2</v>
      </c>
      <c r="E13" s="182"/>
      <c r="F13" s="202"/>
      <c r="G13" s="191"/>
      <c r="H13" s="198"/>
    </row>
    <row r="14" spans="1:8" ht="14.45" x14ac:dyDescent="0.35">
      <c r="A14" t="str">
        <f t="shared" si="0"/>
        <v>615</v>
      </c>
      <c r="B14" s="188" t="s">
        <v>65</v>
      </c>
      <c r="C14" s="312">
        <f ca="1">SUMIF('Recap dep rec'!$A:$A,A14,'Recap dep rec'!$M:$M)</f>
        <v>336</v>
      </c>
      <c r="D14" s="189">
        <f t="shared" ca="1" si="2"/>
        <v>1.1229225581760443E-2</v>
      </c>
      <c r="E14" s="182"/>
      <c r="F14" s="202"/>
      <c r="G14" s="191"/>
      <c r="H14" s="198"/>
    </row>
    <row r="15" spans="1:8" x14ac:dyDescent="0.25">
      <c r="A15" t="str">
        <f t="shared" si="0"/>
        <v>616</v>
      </c>
      <c r="B15" s="188" t="s">
        <v>66</v>
      </c>
      <c r="C15" s="312">
        <f ca="1">SUMIF('Recap dep rec'!$A:$A,A15,'Recap dep rec'!$M:$M)</f>
        <v>214.4</v>
      </c>
      <c r="D15" s="189">
        <f t="shared" ca="1" si="2"/>
        <v>7.1653153712185691E-3</v>
      </c>
      <c r="E15" s="182"/>
      <c r="F15" s="190" t="s">
        <v>143</v>
      </c>
      <c r="G15" s="191">
        <f ca="1">'Recap dep rec'!M38</f>
        <v>12061.920933333335</v>
      </c>
      <c r="H15" s="263">
        <f ca="1">G15/G55</f>
        <v>0.40311318782666217</v>
      </c>
    </row>
    <row r="16" spans="1:8" ht="14.45" x14ac:dyDescent="0.35">
      <c r="A16" t="str">
        <f t="shared" si="0"/>
        <v>617</v>
      </c>
      <c r="B16" s="188" t="s">
        <v>67</v>
      </c>
      <c r="C16" s="312">
        <f ca="1">SUMIF('Recap dep rec'!$A:$A,A16,'Recap dep rec'!$M:$M)</f>
        <v>0</v>
      </c>
      <c r="D16" s="189">
        <f t="shared" ca="1" si="2"/>
        <v>0</v>
      </c>
      <c r="E16" s="182"/>
      <c r="F16" s="203"/>
      <c r="G16" s="191"/>
      <c r="H16" s="198"/>
    </row>
    <row r="17" spans="1:8" ht="14.45" x14ac:dyDescent="0.35">
      <c r="A17" t="str">
        <f t="shared" si="0"/>
        <v>618</v>
      </c>
      <c r="B17" s="188" t="s">
        <v>144</v>
      </c>
      <c r="C17" s="312">
        <f ca="1">SUMIF('Recap dep rec'!$A:$A,A17,'Recap dep rec'!$M:$M)</f>
        <v>85.333333333333343</v>
      </c>
      <c r="D17" s="189">
        <f t="shared" ca="1" si="2"/>
        <v>2.8518668144153509E-3</v>
      </c>
      <c r="E17" s="182"/>
      <c r="F17" s="203"/>
      <c r="G17" s="191"/>
      <c r="H17" s="198"/>
    </row>
    <row r="18" spans="1:8" ht="14.45" x14ac:dyDescent="0.35">
      <c r="A18" t="str">
        <f t="shared" si="0"/>
        <v/>
      </c>
      <c r="B18" s="188"/>
      <c r="C18" s="197"/>
      <c r="D18" s="198"/>
      <c r="E18" s="182"/>
      <c r="F18" s="202"/>
      <c r="G18" s="191"/>
      <c r="H18" s="198"/>
    </row>
    <row r="19" spans="1:8" x14ac:dyDescent="0.25">
      <c r="A19" t="str">
        <f t="shared" si="0"/>
        <v/>
      </c>
      <c r="B19" s="188"/>
      <c r="C19" s="197"/>
      <c r="D19" s="198"/>
      <c r="E19" s="204"/>
      <c r="F19" s="205" t="s">
        <v>145</v>
      </c>
      <c r="G19" s="191"/>
      <c r="H19" s="198"/>
    </row>
    <row r="20" spans="1:8" x14ac:dyDescent="0.25">
      <c r="B20" s="190" t="s">
        <v>146</v>
      </c>
      <c r="C20" s="186"/>
      <c r="D20" s="187"/>
      <c r="E20" s="182"/>
      <c r="F20" s="196"/>
      <c r="G20" s="191"/>
      <c r="H20" s="198"/>
    </row>
    <row r="21" spans="1:8" ht="14.45" x14ac:dyDescent="0.35">
      <c r="A21" t="str">
        <f t="shared" si="0"/>
        <v/>
      </c>
      <c r="B21" s="190"/>
      <c r="C21" s="186"/>
      <c r="D21" s="187"/>
      <c r="E21" s="182"/>
      <c r="F21" s="196"/>
      <c r="G21" s="191"/>
      <c r="H21" s="198"/>
    </row>
    <row r="22" spans="1:8" x14ac:dyDescent="0.25">
      <c r="A22" t="str">
        <f t="shared" si="0"/>
        <v>622</v>
      </c>
      <c r="B22" s="188" t="s">
        <v>147</v>
      </c>
      <c r="C22" s="312">
        <f ca="1">SUMIF('Recap dep rec'!$A:$A,A22,'Recap dep rec'!$M:$M)</f>
        <v>1082.6666666666667</v>
      </c>
      <c r="D22" s="189">
        <f ca="1">C22/$C$55</f>
        <v>3.6183060207894767E-2</v>
      </c>
      <c r="E22" s="182"/>
      <c r="F22" s="203"/>
      <c r="G22" s="191"/>
      <c r="H22" s="198"/>
    </row>
    <row r="23" spans="1:8" ht="14.45" x14ac:dyDescent="0.35">
      <c r="A23" t="str">
        <f t="shared" si="0"/>
        <v xml:space="preserve">et </v>
      </c>
      <c r="B23" s="188" t="s">
        <v>148</v>
      </c>
      <c r="C23" s="312"/>
      <c r="D23" s="189"/>
      <c r="E23" s="182"/>
      <c r="F23" s="190"/>
      <c r="G23" s="191"/>
      <c r="H23" s="198"/>
    </row>
    <row r="24" spans="1:8" x14ac:dyDescent="0.25">
      <c r="A24" t="str">
        <f t="shared" si="0"/>
        <v>623</v>
      </c>
      <c r="B24" s="188" t="s">
        <v>149</v>
      </c>
      <c r="C24" s="312">
        <f ca="1">SUMIF('Recap dep rec'!$A:$A,A24,'Recap dep rec'!$M:$M)</f>
        <v>1216</v>
      </c>
      <c r="D24" s="189">
        <f t="shared" ref="D24:D27" ca="1" si="3">C24/$C$55</f>
        <v>4.0639102105418747E-2</v>
      </c>
      <c r="E24" s="182"/>
      <c r="F24" s="190" t="s">
        <v>150</v>
      </c>
      <c r="G24" s="191"/>
      <c r="H24" s="198"/>
    </row>
    <row r="25" spans="1:8" x14ac:dyDescent="0.25">
      <c r="A25" t="str">
        <f t="shared" si="0"/>
        <v>625</v>
      </c>
      <c r="B25" s="188" t="s">
        <v>68</v>
      </c>
      <c r="C25" s="312">
        <f ca="1">SUMIF('Recap dep rec'!$A:$A,A25,'Recap dep rec'!$M:$M)</f>
        <v>12541.333333333334</v>
      </c>
      <c r="D25" s="189">
        <f t="shared" ca="1" si="3"/>
        <v>0.41913530088110607</v>
      </c>
      <c r="E25" s="182"/>
      <c r="F25" s="196"/>
      <c r="G25" s="191"/>
      <c r="H25" s="198"/>
    </row>
    <row r="26" spans="1:8" x14ac:dyDescent="0.25">
      <c r="A26" t="str">
        <f t="shared" si="0"/>
        <v>626</v>
      </c>
      <c r="B26" s="188" t="s">
        <v>69</v>
      </c>
      <c r="C26" s="312">
        <f ca="1">SUMIF('Recap dep rec'!$A:$A,A26,'Recap dep rec'!$M:$M)</f>
        <v>314.66666666666669</v>
      </c>
      <c r="D26" s="189">
        <f t="shared" ca="1" si="3"/>
        <v>1.0516258878156607E-2</v>
      </c>
      <c r="E26" s="182"/>
      <c r="F26" s="196"/>
      <c r="G26" s="191"/>
      <c r="H26" s="198"/>
    </row>
    <row r="27" spans="1:8" x14ac:dyDescent="0.25">
      <c r="A27" t="str">
        <f t="shared" si="0"/>
        <v>628</v>
      </c>
      <c r="B27" s="188" t="s">
        <v>70</v>
      </c>
      <c r="C27" s="312">
        <f ca="1">SUMIF('Recap dep rec'!$A:$A,A27,'Recap dep rec'!$M:$M)</f>
        <v>184</v>
      </c>
      <c r="D27" s="189">
        <f t="shared" ca="1" si="3"/>
        <v>6.1493378185831001E-3</v>
      </c>
      <c r="E27" s="182"/>
      <c r="F27" s="196"/>
      <c r="G27" s="191"/>
      <c r="H27" s="198"/>
    </row>
    <row r="28" spans="1:8" x14ac:dyDescent="0.25">
      <c r="A28" t="str">
        <f t="shared" si="0"/>
        <v/>
      </c>
      <c r="B28" s="188"/>
      <c r="C28" s="197"/>
      <c r="D28" s="198"/>
      <c r="E28" s="182"/>
      <c r="F28" s="190" t="s">
        <v>151</v>
      </c>
      <c r="G28" s="191"/>
      <c r="H28" s="198"/>
    </row>
    <row r="29" spans="1:8" x14ac:dyDescent="0.25">
      <c r="B29" s="190" t="s">
        <v>171</v>
      </c>
      <c r="C29" s="197"/>
      <c r="D29" s="198"/>
      <c r="E29" s="182"/>
      <c r="F29" s="190"/>
      <c r="G29" s="191"/>
      <c r="H29" s="198"/>
    </row>
    <row r="30" spans="1:8" x14ac:dyDescent="0.25">
      <c r="A30" t="str">
        <f t="shared" si="0"/>
        <v>631</v>
      </c>
      <c r="B30" s="188" t="s">
        <v>172</v>
      </c>
      <c r="C30" s="312">
        <f ca="1">SUMIF('Recap dep rec'!$A:$A,A30,'Recap dep rec'!$M:$M)</f>
        <v>264</v>
      </c>
      <c r="D30" s="189">
        <f t="shared" ref="D30:D31" ca="1" si="4">C30/$C$55</f>
        <v>8.8229629570974917E-3</v>
      </c>
      <c r="E30" s="182"/>
      <c r="F30" s="190"/>
      <c r="G30" s="191"/>
      <c r="H30" s="198"/>
    </row>
    <row r="31" spans="1:8" x14ac:dyDescent="0.25">
      <c r="A31" t="str">
        <f t="shared" si="0"/>
        <v>635</v>
      </c>
      <c r="B31" s="188" t="s">
        <v>173</v>
      </c>
      <c r="C31" s="312">
        <f ca="1">SUMIF('Recap dep rec'!$A:$A,A31,'Recap dep rec'!$M:$M)</f>
        <v>56.906666666666673</v>
      </c>
      <c r="D31" s="189">
        <f t="shared" ca="1" si="4"/>
        <v>1.9018386818632372E-3</v>
      </c>
      <c r="E31" s="182"/>
      <c r="F31" s="190"/>
      <c r="G31" s="191"/>
      <c r="H31" s="198"/>
    </row>
    <row r="32" spans="1:8" x14ac:dyDescent="0.25">
      <c r="B32" s="190" t="s">
        <v>152</v>
      </c>
      <c r="C32" s="206"/>
      <c r="D32" s="207"/>
      <c r="E32" s="182"/>
      <c r="F32" s="196"/>
      <c r="G32" s="191"/>
      <c r="H32" s="198"/>
    </row>
    <row r="33" spans="1:8" x14ac:dyDescent="0.25">
      <c r="A33" t="str">
        <f t="shared" si="0"/>
        <v>641</v>
      </c>
      <c r="B33" s="188" t="s">
        <v>71</v>
      </c>
      <c r="C33" s="312">
        <f ca="1">SUMIF('Recap dep rec'!$A:$A,A33,'Recap dep rec'!$M:$M)</f>
        <v>11114.614266666667</v>
      </c>
      <c r="D33" s="189">
        <f t="shared" ref="D33:D34" ca="1" si="5">C33/$C$55</f>
        <v>0.37145390135313372</v>
      </c>
      <c r="E33" s="182"/>
      <c r="F33" s="196"/>
      <c r="G33" s="191"/>
      <c r="H33" s="198"/>
    </row>
    <row r="34" spans="1:8" x14ac:dyDescent="0.25">
      <c r="A34" t="str">
        <f t="shared" si="0"/>
        <v>645</v>
      </c>
      <c r="B34" s="188" t="s">
        <v>72</v>
      </c>
      <c r="C34" s="312">
        <f ca="1">SUMIF('Recap dep rec'!$A:$A,A34,'Recap dep rec'!$M:$M)</f>
        <v>37.333333333333336</v>
      </c>
      <c r="D34" s="189">
        <f t="shared" ca="1" si="5"/>
        <v>1.2476917313067159E-3</v>
      </c>
      <c r="E34" s="182"/>
      <c r="F34" s="196"/>
      <c r="G34" s="191"/>
      <c r="H34" s="198"/>
    </row>
    <row r="35" spans="1:8" x14ac:dyDescent="0.25">
      <c r="A35" t="str">
        <f t="shared" si="0"/>
        <v/>
      </c>
      <c r="B35" s="188"/>
      <c r="C35" s="197"/>
      <c r="D35" s="198"/>
      <c r="E35" s="182"/>
      <c r="F35" s="190" t="s">
        <v>153</v>
      </c>
      <c r="G35" s="191"/>
      <c r="H35" s="198"/>
    </row>
    <row r="36" spans="1:8" x14ac:dyDescent="0.25">
      <c r="A36" t="str">
        <f t="shared" si="0"/>
        <v/>
      </c>
      <c r="B36" s="188"/>
      <c r="C36" s="197"/>
      <c r="D36" s="198"/>
      <c r="E36" s="182"/>
      <c r="F36" s="208"/>
      <c r="G36" s="191"/>
      <c r="H36" s="198"/>
    </row>
    <row r="37" spans="1:8" x14ac:dyDescent="0.25">
      <c r="A37" t="str">
        <f t="shared" si="0"/>
        <v xml:space="preserve">65 </v>
      </c>
      <c r="B37" s="188" t="s">
        <v>73</v>
      </c>
      <c r="C37" s="312">
        <f ca="1">SUMIF('Recap dep rec'!$A:$A,A37,'Recap dep rec'!$M:$M)</f>
        <v>0</v>
      </c>
      <c r="D37" s="189">
        <f ca="1">C37/$C$55</f>
        <v>0</v>
      </c>
      <c r="E37" s="182"/>
      <c r="F37" s="208"/>
      <c r="G37" s="191"/>
      <c r="H37" s="198"/>
    </row>
    <row r="38" spans="1:8" x14ac:dyDescent="0.25">
      <c r="A38" t="str">
        <f t="shared" si="0"/>
        <v/>
      </c>
      <c r="B38" s="190"/>
      <c r="C38" s="186"/>
      <c r="D38" s="187"/>
      <c r="E38" s="182"/>
      <c r="F38" s="208"/>
      <c r="G38" s="191"/>
      <c r="H38" s="198"/>
    </row>
    <row r="39" spans="1:8" x14ac:dyDescent="0.25">
      <c r="A39" t="str">
        <f t="shared" si="0"/>
        <v/>
      </c>
      <c r="B39" s="188"/>
      <c r="C39" s="197"/>
      <c r="D39" s="198"/>
      <c r="E39" s="182"/>
      <c r="F39" s="209" t="s">
        <v>154</v>
      </c>
      <c r="G39" s="210">
        <f ca="1">G15</f>
        <v>12061.920933333335</v>
      </c>
      <c r="H39" s="265">
        <f ca="1">H15</f>
        <v>0.40311318782666217</v>
      </c>
    </row>
    <row r="40" spans="1:8" x14ac:dyDescent="0.25">
      <c r="B40" s="190" t="s">
        <v>155</v>
      </c>
      <c r="C40" s="197"/>
      <c r="D40" s="198"/>
      <c r="E40" s="182"/>
      <c r="F40" s="188"/>
      <c r="G40" s="191"/>
      <c r="H40" s="189"/>
    </row>
    <row r="41" spans="1:8" x14ac:dyDescent="0.25">
      <c r="A41" t="str">
        <f t="shared" si="0"/>
        <v>661</v>
      </c>
      <c r="B41" s="188" t="s">
        <v>74</v>
      </c>
      <c r="C41" s="312">
        <f ca="1">SUMIF('Recap dep rec'!$A:$A,A41,'Recap dep rec'!$M:$M)</f>
        <v>0</v>
      </c>
      <c r="D41" s="189">
        <f ca="1">C41/$C$55</f>
        <v>0</v>
      </c>
      <c r="E41" s="182"/>
      <c r="F41" s="190" t="s">
        <v>156</v>
      </c>
      <c r="G41" s="186">
        <f>G42</f>
        <v>17860</v>
      </c>
      <c r="H41" s="264">
        <f ca="1">G41/C55</f>
        <v>0.59688681217333783</v>
      </c>
    </row>
    <row r="42" spans="1:8" x14ac:dyDescent="0.25">
      <c r="A42" t="str">
        <f t="shared" si="0"/>
        <v/>
      </c>
      <c r="B42" s="188"/>
      <c r="C42" s="197"/>
      <c r="D42" s="198"/>
      <c r="E42" s="182"/>
      <c r="F42" s="188" t="s">
        <v>88</v>
      </c>
      <c r="G42" s="191">
        <f>'Recap dep rec'!M34</f>
        <v>17860</v>
      </c>
      <c r="H42" s="198"/>
    </row>
    <row r="43" spans="1:8" x14ac:dyDescent="0.25">
      <c r="A43" t="str">
        <f t="shared" si="0"/>
        <v/>
      </c>
      <c r="B43" s="188"/>
      <c r="C43" s="197"/>
      <c r="D43" s="198"/>
      <c r="E43" s="182"/>
      <c r="F43" s="188" t="s">
        <v>157</v>
      </c>
      <c r="G43" s="212"/>
      <c r="H43" s="198"/>
    </row>
    <row r="44" spans="1:8" x14ac:dyDescent="0.25">
      <c r="A44" t="str">
        <f t="shared" si="0"/>
        <v xml:space="preserve">68 </v>
      </c>
      <c r="B44" s="190" t="s">
        <v>158</v>
      </c>
      <c r="C44" s="197"/>
      <c r="D44" s="198"/>
      <c r="E44" s="182"/>
      <c r="F44" s="188" t="s">
        <v>87</v>
      </c>
      <c r="G44" s="191"/>
      <c r="H44" s="198"/>
    </row>
    <row r="45" spans="1:8" x14ac:dyDescent="0.25">
      <c r="A45" t="str">
        <f t="shared" si="0"/>
        <v>aux</v>
      </c>
      <c r="B45" s="190" t="s">
        <v>159</v>
      </c>
      <c r="C45" s="194"/>
      <c r="D45" s="189"/>
      <c r="E45" s="182"/>
      <c r="F45" s="188" t="s">
        <v>160</v>
      </c>
      <c r="G45" s="191"/>
      <c r="H45" s="198"/>
    </row>
    <row r="46" spans="1:8" x14ac:dyDescent="0.25">
      <c r="A46" t="str">
        <f t="shared" si="0"/>
        <v>681</v>
      </c>
      <c r="B46" s="213" t="s">
        <v>75</v>
      </c>
      <c r="C46" s="312">
        <f ca="1">SUMIF('Recap dep rec'!$A:$A,A46,'Recap dep rec'!$M:$M)</f>
        <v>0</v>
      </c>
      <c r="D46" s="189">
        <f ca="1">C46/$C$55</f>
        <v>0</v>
      </c>
      <c r="E46" s="182"/>
      <c r="F46" s="188"/>
      <c r="G46" s="191"/>
      <c r="H46" s="198"/>
    </row>
    <row r="47" spans="1:8" x14ac:dyDescent="0.25">
      <c r="B47" s="188" t="s">
        <v>161</v>
      </c>
      <c r="C47" s="194"/>
      <c r="D47" s="189"/>
      <c r="E47" s="182"/>
      <c r="F47" s="188"/>
      <c r="G47" s="191"/>
      <c r="H47" s="189"/>
    </row>
    <row r="48" spans="1:8" x14ac:dyDescent="0.25">
      <c r="B48" s="213"/>
      <c r="C48" s="194"/>
      <c r="D48" s="189"/>
      <c r="E48" s="182"/>
      <c r="F48" s="190"/>
      <c r="G48" s="191"/>
      <c r="H48" s="189"/>
    </row>
    <row r="49" spans="1:8" x14ac:dyDescent="0.25">
      <c r="B49" s="213"/>
      <c r="C49" s="194"/>
      <c r="D49" s="189"/>
      <c r="E49" s="182"/>
      <c r="F49" s="190" t="s">
        <v>162</v>
      </c>
      <c r="G49" s="214"/>
      <c r="H49" s="187"/>
    </row>
    <row r="50" spans="1:8" x14ac:dyDescent="0.25">
      <c r="B50" s="190" t="s">
        <v>163</v>
      </c>
      <c r="C50" s="186"/>
      <c r="D50" s="187"/>
      <c r="E50" s="182"/>
      <c r="F50" s="188" t="s">
        <v>164</v>
      </c>
      <c r="G50" s="215"/>
      <c r="H50" s="189"/>
    </row>
    <row r="51" spans="1:8" ht="15.75" x14ac:dyDescent="0.25">
      <c r="A51" t="s">
        <v>325</v>
      </c>
      <c r="B51" s="213" t="s">
        <v>29</v>
      </c>
      <c r="C51" s="312">
        <f ca="1">SUMIF('Recap dep rec'!$A:$A,A51,'Recap dep rec'!$M:$M)</f>
        <v>0</v>
      </c>
      <c r="D51" s="189">
        <f t="shared" ref="D51:D53" ca="1" si="6">C51/$C$55</f>
        <v>0</v>
      </c>
      <c r="E51" s="217"/>
      <c r="F51" s="188" t="s">
        <v>165</v>
      </c>
      <c r="G51" s="215"/>
      <c r="H51" s="189"/>
    </row>
    <row r="52" spans="1:8" ht="15.75" x14ac:dyDescent="0.25">
      <c r="B52" s="188" t="s">
        <v>166</v>
      </c>
      <c r="C52" s="312">
        <f>SUMIF('Recap dep rec'!$A:$A,A52,'Recap dep rec'!$M:$M)</f>
        <v>0</v>
      </c>
      <c r="D52" s="189">
        <f t="shared" ca="1" si="6"/>
        <v>0</v>
      </c>
      <c r="E52" s="217"/>
      <c r="F52" s="188" t="s">
        <v>167</v>
      </c>
      <c r="G52" s="215"/>
      <c r="H52" s="189"/>
    </row>
    <row r="53" spans="1:8" x14ac:dyDescent="0.25">
      <c r="B53" s="188" t="s">
        <v>167</v>
      </c>
      <c r="C53" s="312">
        <f>SUMIF('Recap dep rec'!$A:$A,A53,'Recap dep rec'!$M:$M)</f>
        <v>0</v>
      </c>
      <c r="D53" s="189">
        <f t="shared" ca="1" si="6"/>
        <v>0</v>
      </c>
      <c r="F53" s="188"/>
      <c r="G53" s="215"/>
      <c r="H53" s="189"/>
    </row>
    <row r="54" spans="1:8" x14ac:dyDescent="0.25">
      <c r="B54" s="218"/>
      <c r="C54" s="219"/>
      <c r="D54" s="220"/>
      <c r="F54" s="188"/>
      <c r="G54" s="215"/>
      <c r="H54" s="189"/>
    </row>
    <row r="55" spans="1:8" x14ac:dyDescent="0.25">
      <c r="B55" s="221" t="s">
        <v>168</v>
      </c>
      <c r="C55" s="222">
        <f ca="1">SUM(C5:C54)</f>
        <v>29921.920933333335</v>
      </c>
      <c r="D55" s="223"/>
      <c r="F55" s="221" t="s">
        <v>169</v>
      </c>
      <c r="G55" s="224">
        <f ca="1">G39+G41+G49</f>
        <v>29921.920933333335</v>
      </c>
      <c r="H55" s="223"/>
    </row>
    <row r="56" spans="1:8" x14ac:dyDescent="0.25">
      <c r="B56" s="182"/>
      <c r="C56" s="225">
        <f ca="1">C55-'Recap dep rec'!M29</f>
        <v>0</v>
      </c>
      <c r="D56" s="226"/>
      <c r="F56" s="182"/>
      <c r="G56" s="225"/>
      <c r="H56" s="227"/>
    </row>
    <row r="57" spans="1:8" ht="15.75" x14ac:dyDescent="0.25">
      <c r="B57" s="182"/>
      <c r="C57" s="228"/>
      <c r="D57" s="229"/>
      <c r="F57" s="217"/>
      <c r="G57" s="228"/>
      <c r="H57" s="230"/>
    </row>
    <row r="58" spans="1:8" ht="15.75" x14ac:dyDescent="0.25">
      <c r="B58" s="217"/>
      <c r="C58" s="228"/>
      <c r="D58" s="229"/>
      <c r="F58" s="217"/>
      <c r="G58" s="228"/>
      <c r="H58" s="226"/>
    </row>
    <row r="59" spans="1:8" ht="15.75" x14ac:dyDescent="0.25">
      <c r="C59" s="231"/>
      <c r="D59" s="232"/>
      <c r="G59" s="231"/>
      <c r="H59" s="229"/>
    </row>
  </sheetData>
  <mergeCells count="1">
    <mergeCell ref="B1:H1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A1:H59"/>
  <sheetViews>
    <sheetView topLeftCell="A19" workbookViewId="0">
      <selection activeCell="B62" sqref="B62"/>
    </sheetView>
  </sheetViews>
  <sheetFormatPr baseColWidth="10" defaultRowHeight="15" x14ac:dyDescent="0.25"/>
  <cols>
    <col min="1" max="1" width="7.5703125" bestFit="1" customWidth="1"/>
    <col min="2" max="2" width="50.85546875" bestFit="1" customWidth="1"/>
    <col min="5" max="5" width="5.42578125" customWidth="1"/>
    <col min="6" max="6" width="33" bestFit="1" customWidth="1"/>
  </cols>
  <sheetData>
    <row r="1" spans="1:8" ht="33.75" customHeight="1" x14ac:dyDescent="0.25">
      <c r="B1" s="366" t="s">
        <v>343</v>
      </c>
      <c r="C1" s="367"/>
      <c r="D1" s="367"/>
      <c r="E1" s="367"/>
      <c r="F1" s="367"/>
      <c r="G1" s="367"/>
      <c r="H1" s="368"/>
    </row>
    <row r="2" spans="1:8" x14ac:dyDescent="0.35">
      <c r="B2" s="176"/>
      <c r="C2" s="177"/>
      <c r="D2" s="178"/>
      <c r="E2" s="177"/>
      <c r="F2" s="177"/>
      <c r="G2" s="177"/>
      <c r="H2" s="178"/>
    </row>
    <row r="3" spans="1:8" x14ac:dyDescent="0.25">
      <c r="B3" s="179" t="s">
        <v>129</v>
      </c>
      <c r="C3" s="180" t="s">
        <v>130</v>
      </c>
      <c r="D3" s="181" t="s">
        <v>131</v>
      </c>
      <c r="E3" s="182"/>
      <c r="F3" s="179" t="s">
        <v>132</v>
      </c>
      <c r="G3" s="179" t="s">
        <v>130</v>
      </c>
      <c r="H3" s="181" t="s">
        <v>131</v>
      </c>
    </row>
    <row r="4" spans="1:8" ht="14.45" x14ac:dyDescent="0.35">
      <c r="B4" s="183" t="s">
        <v>133</v>
      </c>
      <c r="C4" s="184"/>
      <c r="D4" s="185"/>
      <c r="E4" s="182"/>
      <c r="F4" s="183" t="s">
        <v>134</v>
      </c>
      <c r="G4" s="186"/>
      <c r="H4" s="187"/>
    </row>
    <row r="5" spans="1:8" ht="14.45" x14ac:dyDescent="0.35">
      <c r="A5" t="str">
        <f>LEFT(B5,3)</f>
        <v>604</v>
      </c>
      <c r="B5" s="188" t="s">
        <v>135</v>
      </c>
      <c r="C5" s="312">
        <f>SUMIF('Recap dep rec'!$A:$A,A5,'Recap dep rec'!$N:$N)</f>
        <v>0</v>
      </c>
      <c r="D5" s="189">
        <f>C5/$C$55</f>
        <v>0</v>
      </c>
      <c r="E5" s="182"/>
      <c r="F5" s="190"/>
      <c r="G5" s="191"/>
      <c r="H5" s="189"/>
    </row>
    <row r="6" spans="1:8" x14ac:dyDescent="0.25">
      <c r="A6" t="str">
        <f t="shared" ref="A6:A46" si="0">LEFT(B6,3)</f>
        <v>605</v>
      </c>
      <c r="B6" s="192" t="s">
        <v>136</v>
      </c>
      <c r="C6" s="312">
        <f>SUMIF('Recap dep rec'!$A:$A,A6,'Recap dep rec'!$N:$N)</f>
        <v>60.666666666666671</v>
      </c>
      <c r="D6" s="189">
        <f t="shared" ref="D6:D7" si="1">C6/$C$55</f>
        <v>1.865558911178965E-3</v>
      </c>
      <c r="E6" s="182"/>
      <c r="F6" s="190" t="s">
        <v>137</v>
      </c>
      <c r="G6" s="191"/>
      <c r="H6" s="193"/>
    </row>
    <row r="7" spans="1:8" ht="14.45" x14ac:dyDescent="0.35">
      <c r="A7" t="str">
        <f t="shared" si="0"/>
        <v>606</v>
      </c>
      <c r="B7" s="192" t="s">
        <v>138</v>
      </c>
      <c r="C7" s="312">
        <f>SUMIF('Recap dep rec'!$A:$A,A7,'Recap dep rec'!$N:$N)</f>
        <v>273.00000000000006</v>
      </c>
      <c r="D7" s="189">
        <f t="shared" si="1"/>
        <v>8.3950151003053426E-3</v>
      </c>
      <c r="E7" s="182"/>
      <c r="F7" s="196"/>
      <c r="G7" s="191"/>
      <c r="H7" s="189"/>
    </row>
    <row r="8" spans="1:8" ht="14.45" x14ac:dyDescent="0.35">
      <c r="A8" t="str">
        <f t="shared" si="0"/>
        <v>607</v>
      </c>
      <c r="B8" s="188" t="s">
        <v>139</v>
      </c>
      <c r="C8" s="194"/>
      <c r="D8" s="189"/>
      <c r="E8" s="182"/>
      <c r="F8" s="196"/>
      <c r="G8" s="191"/>
      <c r="H8" s="189"/>
    </row>
    <row r="9" spans="1:8" ht="14.45" x14ac:dyDescent="0.35">
      <c r="A9" t="str">
        <f t="shared" si="0"/>
        <v/>
      </c>
      <c r="B9" s="188"/>
      <c r="C9" s="194"/>
      <c r="D9" s="189"/>
      <c r="E9" s="182"/>
      <c r="F9" s="196"/>
      <c r="G9" s="191"/>
      <c r="H9" s="189"/>
    </row>
    <row r="10" spans="1:8" x14ac:dyDescent="0.25">
      <c r="A10" t="str">
        <f t="shared" si="0"/>
        <v/>
      </c>
      <c r="B10" s="196"/>
      <c r="C10" s="197"/>
      <c r="D10" s="198"/>
      <c r="E10" s="182"/>
      <c r="F10" s="199" t="s">
        <v>140</v>
      </c>
      <c r="G10" s="191"/>
      <c r="H10" s="198"/>
    </row>
    <row r="11" spans="1:8" x14ac:dyDescent="0.25">
      <c r="B11" s="190" t="s">
        <v>141</v>
      </c>
      <c r="C11" s="186"/>
      <c r="D11" s="187"/>
      <c r="E11" s="182"/>
      <c r="F11" s="200"/>
      <c r="G11" s="191"/>
      <c r="H11" s="198"/>
    </row>
    <row r="12" spans="1:8" x14ac:dyDescent="0.25">
      <c r="A12" t="str">
        <f t="shared" si="0"/>
        <v>611</v>
      </c>
      <c r="B12" s="188" t="s">
        <v>142</v>
      </c>
      <c r="C12" s="312">
        <f>SUMIF('Recap dep rec'!$A:$A,A12,'Recap dep rec'!$N:$N)</f>
        <v>15500</v>
      </c>
      <c r="D12" s="189">
        <f t="shared" ref="D12:D17" si="2">C12/$C$55</f>
        <v>0.47664005148253769</v>
      </c>
      <c r="E12" s="182"/>
      <c r="F12" s="201"/>
      <c r="G12" s="191"/>
      <c r="H12" s="198"/>
    </row>
    <row r="13" spans="1:8" ht="14.45" x14ac:dyDescent="0.35">
      <c r="A13" t="str">
        <f t="shared" si="0"/>
        <v>613</v>
      </c>
      <c r="B13" s="188" t="s">
        <v>170</v>
      </c>
      <c r="C13" s="312">
        <f>SUMIF('Recap dep rec'!$A:$A,A13,'Recap dep rec'!$N:$N)</f>
        <v>956.66666666666674</v>
      </c>
      <c r="D13" s="189">
        <f t="shared" si="2"/>
        <v>2.9418428983975984E-2</v>
      </c>
      <c r="E13" s="182"/>
      <c r="F13" s="202"/>
      <c r="G13" s="191"/>
      <c r="H13" s="198"/>
    </row>
    <row r="14" spans="1:8" ht="14.45" x14ac:dyDescent="0.35">
      <c r="A14" t="str">
        <f t="shared" si="0"/>
        <v>615</v>
      </c>
      <c r="B14" s="188" t="s">
        <v>65</v>
      </c>
      <c r="C14" s="312">
        <f>SUMIF('Recap dep rec'!$A:$A,A14,'Recap dep rec'!$N:$N)</f>
        <v>294</v>
      </c>
      <c r="D14" s="189">
        <f t="shared" si="2"/>
        <v>9.040785492636521E-3</v>
      </c>
      <c r="E14" s="182"/>
      <c r="F14" s="202"/>
      <c r="G14" s="191"/>
      <c r="H14" s="198"/>
    </row>
    <row r="15" spans="1:8" x14ac:dyDescent="0.25">
      <c r="A15" t="str">
        <f t="shared" si="0"/>
        <v>616</v>
      </c>
      <c r="B15" s="188" t="s">
        <v>66</v>
      </c>
      <c r="C15" s="312">
        <f>SUMIF('Recap dep rec'!$A:$A,A15,'Recap dep rec'!$N:$N)</f>
        <v>187.60000000000002</v>
      </c>
      <c r="D15" s="189">
        <f t="shared" si="2"/>
        <v>5.7688821714918766E-3</v>
      </c>
      <c r="E15" s="182"/>
      <c r="F15" s="190" t="s">
        <v>143</v>
      </c>
      <c r="G15" s="191">
        <f>'Recap dep rec'!N38</f>
        <v>14969.298266666668</v>
      </c>
      <c r="H15" s="263">
        <f>G15/G55</f>
        <v>0.46032045783751374</v>
      </c>
    </row>
    <row r="16" spans="1:8" ht="14.45" x14ac:dyDescent="0.35">
      <c r="A16" t="str">
        <f t="shared" si="0"/>
        <v>617</v>
      </c>
      <c r="B16" s="188" t="s">
        <v>67</v>
      </c>
      <c r="C16" s="312">
        <f>SUMIF('Recap dep rec'!$A:$A,A16,'Recap dep rec'!$N:$N)</f>
        <v>0</v>
      </c>
      <c r="D16" s="189">
        <f t="shared" si="2"/>
        <v>0</v>
      </c>
      <c r="E16" s="182"/>
      <c r="F16" s="203"/>
      <c r="G16" s="191"/>
      <c r="H16" s="198"/>
    </row>
    <row r="17" spans="1:8" ht="14.45" x14ac:dyDescent="0.35">
      <c r="A17" t="str">
        <f t="shared" si="0"/>
        <v>618</v>
      </c>
      <c r="B17" s="188" t="s">
        <v>144</v>
      </c>
      <c r="C17" s="312">
        <f>SUMIF('Recap dep rec'!$A:$A,A17,'Recap dep rec'!$N:$N)</f>
        <v>74.666666666666686</v>
      </c>
      <c r="D17" s="189">
        <f t="shared" si="2"/>
        <v>2.2960725060664189E-3</v>
      </c>
      <c r="E17" s="182"/>
      <c r="F17" s="203"/>
      <c r="G17" s="191"/>
      <c r="H17" s="198"/>
    </row>
    <row r="18" spans="1:8" ht="14.45" x14ac:dyDescent="0.35">
      <c r="A18" t="str">
        <f t="shared" si="0"/>
        <v/>
      </c>
      <c r="B18" s="188"/>
      <c r="C18" s="197"/>
      <c r="D18" s="198"/>
      <c r="E18" s="182"/>
      <c r="F18" s="202"/>
      <c r="G18" s="191"/>
      <c r="H18" s="198"/>
    </row>
    <row r="19" spans="1:8" x14ac:dyDescent="0.25">
      <c r="A19" t="str">
        <f t="shared" si="0"/>
        <v/>
      </c>
      <c r="B19" s="188"/>
      <c r="C19" s="197"/>
      <c r="D19" s="198"/>
      <c r="E19" s="204"/>
      <c r="F19" s="205" t="s">
        <v>145</v>
      </c>
      <c r="G19" s="191"/>
      <c r="H19" s="198"/>
    </row>
    <row r="20" spans="1:8" x14ac:dyDescent="0.25">
      <c r="B20" s="190" t="s">
        <v>146</v>
      </c>
      <c r="C20" s="186"/>
      <c r="D20" s="187"/>
      <c r="E20" s="182"/>
      <c r="F20" s="196"/>
      <c r="G20" s="191"/>
      <c r="H20" s="198"/>
    </row>
    <row r="21" spans="1:8" ht="14.45" x14ac:dyDescent="0.35">
      <c r="A21" t="str">
        <f t="shared" si="0"/>
        <v/>
      </c>
      <c r="B21" s="190"/>
      <c r="C21" s="186"/>
      <c r="D21" s="187"/>
      <c r="E21" s="182"/>
      <c r="F21" s="196"/>
      <c r="G21" s="191"/>
      <c r="H21" s="198"/>
    </row>
    <row r="22" spans="1:8" x14ac:dyDescent="0.25">
      <c r="A22" t="str">
        <f t="shared" si="0"/>
        <v>622</v>
      </c>
      <c r="B22" s="188" t="s">
        <v>147</v>
      </c>
      <c r="C22" s="312">
        <f>SUMIF('Recap dep rec'!$A:$A,A22,'Recap dep rec'!$N:$N)</f>
        <v>947.33333333333337</v>
      </c>
      <c r="D22" s="189">
        <f>C22/$C$55</f>
        <v>2.9131419920717681E-2</v>
      </c>
      <c r="E22" s="182"/>
      <c r="F22" s="203"/>
      <c r="G22" s="191"/>
      <c r="H22" s="198"/>
    </row>
    <row r="23" spans="1:8" ht="14.45" x14ac:dyDescent="0.35">
      <c r="A23" t="str">
        <f t="shared" si="0"/>
        <v xml:space="preserve">et </v>
      </c>
      <c r="B23" s="188" t="s">
        <v>148</v>
      </c>
      <c r="C23" s="312"/>
      <c r="D23" s="189"/>
      <c r="E23" s="182"/>
      <c r="F23" s="190"/>
      <c r="G23" s="191"/>
      <c r="H23" s="198"/>
    </row>
    <row r="24" spans="1:8" x14ac:dyDescent="0.25">
      <c r="A24" t="str">
        <f t="shared" si="0"/>
        <v>623</v>
      </c>
      <c r="B24" s="188" t="s">
        <v>149</v>
      </c>
      <c r="C24" s="312">
        <f>SUMIF('Recap dep rec'!$A:$A,A24,'Recap dep rec'!$N:$N)</f>
        <v>364.00000000000011</v>
      </c>
      <c r="D24" s="189">
        <f t="shared" ref="D24:D27" si="3">C24/$C$55</f>
        <v>1.1193353467073792E-2</v>
      </c>
      <c r="E24" s="182"/>
      <c r="F24" s="190" t="s">
        <v>150</v>
      </c>
      <c r="G24" s="191"/>
      <c r="H24" s="198"/>
    </row>
    <row r="25" spans="1:8" x14ac:dyDescent="0.25">
      <c r="A25" t="str">
        <f t="shared" si="0"/>
        <v>625</v>
      </c>
      <c r="B25" s="188" t="s">
        <v>68</v>
      </c>
      <c r="C25" s="312">
        <f>SUMIF('Recap dep rec'!$A:$A,A25,'Recap dep rec'!$N:$N)</f>
        <v>2148.6666666666665</v>
      </c>
      <c r="D25" s="189">
        <f t="shared" si="3"/>
        <v>6.6073586491536301E-2</v>
      </c>
      <c r="E25" s="182"/>
      <c r="F25" s="196"/>
      <c r="G25" s="191"/>
      <c r="H25" s="198"/>
    </row>
    <row r="26" spans="1:8" x14ac:dyDescent="0.25">
      <c r="A26" t="str">
        <f t="shared" si="0"/>
        <v>626</v>
      </c>
      <c r="B26" s="188" t="s">
        <v>69</v>
      </c>
      <c r="C26" s="312">
        <f>SUMIF('Recap dep rec'!$A:$A,A26,'Recap dep rec'!$N:$N)</f>
        <v>275.33333333333337</v>
      </c>
      <c r="D26" s="189">
        <f t="shared" si="3"/>
        <v>8.4667673661199174E-3</v>
      </c>
      <c r="E26" s="182"/>
      <c r="F26" s="196"/>
      <c r="G26" s="191"/>
      <c r="H26" s="198"/>
    </row>
    <row r="27" spans="1:8" x14ac:dyDescent="0.25">
      <c r="A27" t="str">
        <f t="shared" si="0"/>
        <v>628</v>
      </c>
      <c r="B27" s="188" t="s">
        <v>70</v>
      </c>
      <c r="C27" s="312">
        <f>SUMIF('Recap dep rec'!$A:$A,A27,'Recap dep rec'!$N:$N)</f>
        <v>161.00000000000003</v>
      </c>
      <c r="D27" s="189">
        <f t="shared" si="3"/>
        <v>4.9509063412057153E-3</v>
      </c>
      <c r="E27" s="182"/>
      <c r="F27" s="196"/>
      <c r="G27" s="191"/>
      <c r="H27" s="198"/>
    </row>
    <row r="28" spans="1:8" x14ac:dyDescent="0.25">
      <c r="A28" t="str">
        <f t="shared" si="0"/>
        <v/>
      </c>
      <c r="B28" s="188"/>
      <c r="C28" s="197"/>
      <c r="D28" s="198"/>
      <c r="E28" s="182"/>
      <c r="F28" s="190" t="s">
        <v>151</v>
      </c>
      <c r="G28" s="191"/>
      <c r="H28" s="198"/>
    </row>
    <row r="29" spans="1:8" x14ac:dyDescent="0.25">
      <c r="B29" s="190" t="s">
        <v>171</v>
      </c>
      <c r="C29" s="197"/>
      <c r="D29" s="198"/>
      <c r="E29" s="182"/>
      <c r="F29" s="190"/>
      <c r="G29" s="191"/>
      <c r="H29" s="198"/>
    </row>
    <row r="30" spans="1:8" x14ac:dyDescent="0.25">
      <c r="A30" t="str">
        <f t="shared" si="0"/>
        <v>631</v>
      </c>
      <c r="B30" s="188" t="s">
        <v>172</v>
      </c>
      <c r="C30" s="312">
        <f>SUMIF('Recap dep rec'!$A:$A,A30,'Recap dep rec'!$N:$N)</f>
        <v>231</v>
      </c>
      <c r="D30" s="189">
        <f t="shared" ref="D30:D31" si="4">C30/$C$55</f>
        <v>7.1034743156429816E-3</v>
      </c>
      <c r="E30" s="182"/>
      <c r="F30" s="190"/>
      <c r="G30" s="191"/>
      <c r="H30" s="198"/>
    </row>
    <row r="31" spans="1:8" x14ac:dyDescent="0.25">
      <c r="A31" t="str">
        <f t="shared" si="0"/>
        <v>635</v>
      </c>
      <c r="B31" s="188" t="s">
        <v>173</v>
      </c>
      <c r="C31" s="312">
        <f>SUMIF('Recap dep rec'!$A:$A,A31,'Recap dep rec'!$N:$N)</f>
        <v>49.793333333333344</v>
      </c>
      <c r="D31" s="189">
        <f t="shared" si="4"/>
        <v>1.5311933524830429E-3</v>
      </c>
      <c r="E31" s="182"/>
      <c r="F31" s="190"/>
      <c r="G31" s="191"/>
      <c r="H31" s="198"/>
    </row>
    <row r="32" spans="1:8" x14ac:dyDescent="0.25">
      <c r="B32" s="190" t="s">
        <v>152</v>
      </c>
      <c r="C32" s="206"/>
      <c r="D32" s="207"/>
      <c r="E32" s="182"/>
      <c r="F32" s="196"/>
      <c r="G32" s="191"/>
      <c r="H32" s="198"/>
    </row>
    <row r="33" spans="1:8" x14ac:dyDescent="0.25">
      <c r="A33" t="str">
        <f t="shared" si="0"/>
        <v>641</v>
      </c>
      <c r="B33" s="188" t="s">
        <v>71</v>
      </c>
      <c r="C33" s="312">
        <f>SUMIF('Recap dep rec'!$A:$A,A33,'Recap dep rec'!$N:$N)</f>
        <v>10962.904933333335</v>
      </c>
      <c r="D33" s="189">
        <f t="shared" ref="D33:D34" si="5">C33/$C$55</f>
        <v>0.33711997237562369</v>
      </c>
      <c r="E33" s="182"/>
      <c r="F33" s="196"/>
      <c r="G33" s="191"/>
      <c r="H33" s="198"/>
    </row>
    <row r="34" spans="1:8" x14ac:dyDescent="0.25">
      <c r="A34" t="str">
        <f t="shared" si="0"/>
        <v>645</v>
      </c>
      <c r="B34" s="188" t="s">
        <v>72</v>
      </c>
      <c r="C34" s="312">
        <f>SUMIF('Recap dep rec'!$A:$A,A34,'Recap dep rec'!$N:$N)</f>
        <v>32.666666666666671</v>
      </c>
      <c r="D34" s="189">
        <f t="shared" si="5"/>
        <v>1.0045317214040581E-3</v>
      </c>
      <c r="E34" s="182"/>
      <c r="F34" s="196"/>
      <c r="G34" s="191"/>
      <c r="H34" s="198"/>
    </row>
    <row r="35" spans="1:8" x14ac:dyDescent="0.25">
      <c r="A35" t="str">
        <f t="shared" si="0"/>
        <v/>
      </c>
      <c r="B35" s="188"/>
      <c r="C35" s="197"/>
      <c r="D35" s="198"/>
      <c r="E35" s="182"/>
      <c r="F35" s="190" t="s">
        <v>153</v>
      </c>
      <c r="G35" s="191"/>
      <c r="H35" s="198"/>
    </row>
    <row r="36" spans="1:8" x14ac:dyDescent="0.25">
      <c r="A36" t="str">
        <f t="shared" si="0"/>
        <v/>
      </c>
      <c r="B36" s="188"/>
      <c r="C36" s="197"/>
      <c r="D36" s="198"/>
      <c r="E36" s="182"/>
      <c r="F36" s="208"/>
      <c r="G36" s="191"/>
      <c r="H36" s="198"/>
    </row>
    <row r="37" spans="1:8" x14ac:dyDescent="0.25">
      <c r="A37" t="str">
        <f t="shared" si="0"/>
        <v xml:space="preserve">65 </v>
      </c>
      <c r="B37" s="188" t="s">
        <v>73</v>
      </c>
      <c r="C37" s="312">
        <f>SUMIF('Recap dep rec'!$A:$A,A37,'Recap dep rec'!$N:$N)</f>
        <v>0</v>
      </c>
      <c r="D37" s="189">
        <f>C37/$C$55</f>
        <v>0</v>
      </c>
      <c r="E37" s="182"/>
      <c r="F37" s="208"/>
      <c r="G37" s="191"/>
      <c r="H37" s="198"/>
    </row>
    <row r="38" spans="1:8" x14ac:dyDescent="0.25">
      <c r="A38" t="str">
        <f t="shared" si="0"/>
        <v/>
      </c>
      <c r="B38" s="190"/>
      <c r="C38" s="186"/>
      <c r="D38" s="187"/>
      <c r="E38" s="182"/>
      <c r="F38" s="208"/>
      <c r="G38" s="191"/>
      <c r="H38" s="198"/>
    </row>
    <row r="39" spans="1:8" x14ac:dyDescent="0.25">
      <c r="A39" t="str">
        <f t="shared" si="0"/>
        <v/>
      </c>
      <c r="B39" s="188"/>
      <c r="C39" s="197"/>
      <c r="D39" s="198"/>
      <c r="E39" s="182"/>
      <c r="F39" s="209" t="s">
        <v>154</v>
      </c>
      <c r="G39" s="210">
        <f>G15</f>
        <v>14969.298266666668</v>
      </c>
      <c r="H39" s="265">
        <f>H15</f>
        <v>0.46032045783751374</v>
      </c>
    </row>
    <row r="40" spans="1:8" x14ac:dyDescent="0.25">
      <c r="B40" s="190" t="s">
        <v>155</v>
      </c>
      <c r="C40" s="197"/>
      <c r="D40" s="198"/>
      <c r="E40" s="182"/>
      <c r="F40" s="188"/>
      <c r="G40" s="191"/>
      <c r="H40" s="189"/>
    </row>
    <row r="41" spans="1:8" x14ac:dyDescent="0.25">
      <c r="A41" t="str">
        <f t="shared" si="0"/>
        <v>661</v>
      </c>
      <c r="B41" s="188" t="s">
        <v>74</v>
      </c>
      <c r="C41" s="312">
        <f>SUMIF('Recap dep rec'!$A:$A,A41,'Recap dep rec'!$N:$N)</f>
        <v>0</v>
      </c>
      <c r="D41" s="189">
        <f>C41/$C$55</f>
        <v>0</v>
      </c>
      <c r="E41" s="182"/>
      <c r="F41" s="190" t="s">
        <v>156</v>
      </c>
      <c r="G41" s="186">
        <f>G42</f>
        <v>17550</v>
      </c>
      <c r="H41" s="264">
        <f>G41/C55</f>
        <v>0.53967954216248626</v>
      </c>
    </row>
    <row r="42" spans="1:8" x14ac:dyDescent="0.25">
      <c r="A42" t="str">
        <f t="shared" si="0"/>
        <v/>
      </c>
      <c r="B42" s="188"/>
      <c r="C42" s="197"/>
      <c r="D42" s="198"/>
      <c r="E42" s="182"/>
      <c r="F42" s="188" t="s">
        <v>88</v>
      </c>
      <c r="G42" s="191">
        <f>'Recap dep rec'!N35</f>
        <v>17550</v>
      </c>
      <c r="H42" s="198"/>
    </row>
    <row r="43" spans="1:8" x14ac:dyDescent="0.25">
      <c r="A43" t="str">
        <f t="shared" si="0"/>
        <v/>
      </c>
      <c r="B43" s="188"/>
      <c r="C43" s="197"/>
      <c r="D43" s="198"/>
      <c r="E43" s="182"/>
      <c r="F43" s="188" t="s">
        <v>157</v>
      </c>
      <c r="G43" s="212"/>
      <c r="H43" s="198"/>
    </row>
    <row r="44" spans="1:8" x14ac:dyDescent="0.25">
      <c r="A44" t="str">
        <f t="shared" si="0"/>
        <v xml:space="preserve">68 </v>
      </c>
      <c r="B44" s="190" t="s">
        <v>158</v>
      </c>
      <c r="C44" s="197"/>
      <c r="D44" s="198"/>
      <c r="E44" s="182"/>
      <c r="F44" s="188" t="s">
        <v>87</v>
      </c>
      <c r="G44" s="191">
        <f>'Recap dep rec'!N33</f>
        <v>0</v>
      </c>
      <c r="H44" s="198"/>
    </row>
    <row r="45" spans="1:8" x14ac:dyDescent="0.25">
      <c r="A45" t="str">
        <f t="shared" si="0"/>
        <v>aux</v>
      </c>
      <c r="B45" s="190" t="s">
        <v>159</v>
      </c>
      <c r="C45" s="194"/>
      <c r="D45" s="189"/>
      <c r="E45" s="182"/>
      <c r="F45" s="188" t="s">
        <v>160</v>
      </c>
      <c r="G45" s="191"/>
      <c r="H45" s="198"/>
    </row>
    <row r="46" spans="1:8" x14ac:dyDescent="0.25">
      <c r="A46" t="str">
        <f t="shared" si="0"/>
        <v>681</v>
      </c>
      <c r="B46" s="213" t="s">
        <v>75</v>
      </c>
      <c r="C46" s="312">
        <f>SUMIF('Recap dep rec'!$A:$A,A46,'Recap dep rec'!$N:$N)</f>
        <v>0</v>
      </c>
      <c r="D46" s="189">
        <f>C46/$C$55</f>
        <v>0</v>
      </c>
      <c r="E46" s="182"/>
      <c r="F46" s="188"/>
      <c r="G46" s="191"/>
      <c r="H46" s="198"/>
    </row>
    <row r="47" spans="1:8" x14ac:dyDescent="0.25">
      <c r="B47" s="188" t="s">
        <v>161</v>
      </c>
      <c r="C47" s="194"/>
      <c r="D47" s="189"/>
      <c r="E47" s="182"/>
      <c r="F47" s="188"/>
      <c r="G47" s="191"/>
      <c r="H47" s="189"/>
    </row>
    <row r="48" spans="1:8" x14ac:dyDescent="0.25">
      <c r="B48" s="213"/>
      <c r="C48" s="194"/>
      <c r="D48" s="189"/>
      <c r="E48" s="182"/>
      <c r="F48" s="190"/>
      <c r="G48" s="191"/>
      <c r="H48" s="189"/>
    </row>
    <row r="49" spans="1:8" x14ac:dyDescent="0.25">
      <c r="B49" s="213"/>
      <c r="C49" s="194"/>
      <c r="D49" s="189"/>
      <c r="E49" s="182"/>
      <c r="F49" s="190" t="s">
        <v>162</v>
      </c>
      <c r="G49" s="214"/>
      <c r="H49" s="187"/>
    </row>
    <row r="50" spans="1:8" x14ac:dyDescent="0.25">
      <c r="B50" s="190" t="s">
        <v>163</v>
      </c>
      <c r="C50" s="186"/>
      <c r="D50" s="187"/>
      <c r="E50" s="182"/>
      <c r="F50" s="188" t="s">
        <v>164</v>
      </c>
      <c r="G50" s="215"/>
      <c r="H50" s="189"/>
    </row>
    <row r="51" spans="1:8" ht="15.75" x14ac:dyDescent="0.25">
      <c r="A51" t="s">
        <v>325</v>
      </c>
      <c r="B51" s="213" t="s">
        <v>29</v>
      </c>
      <c r="C51" s="312">
        <f>SUMIF('Recap dep rec'!$A:$A,A51,'Recap dep rec'!$N:$N)</f>
        <v>0</v>
      </c>
      <c r="D51" s="189">
        <f t="shared" ref="D51:D53" si="6">C51/$C$55</f>
        <v>0</v>
      </c>
      <c r="E51" s="217"/>
      <c r="F51" s="188" t="s">
        <v>165</v>
      </c>
      <c r="G51" s="215"/>
      <c r="H51" s="189"/>
    </row>
    <row r="52" spans="1:8" ht="15.75" x14ac:dyDescent="0.25">
      <c r="B52" s="188" t="s">
        <v>166</v>
      </c>
      <c r="C52" s="312">
        <f>SUMIF('Recap dep rec'!$A:$A,A52,'Recap dep rec'!$N:$N)</f>
        <v>0</v>
      </c>
      <c r="D52" s="189">
        <f t="shared" si="6"/>
        <v>0</v>
      </c>
      <c r="E52" s="217"/>
      <c r="F52" s="188" t="s">
        <v>167</v>
      </c>
      <c r="G52" s="215"/>
      <c r="H52" s="189"/>
    </row>
    <row r="53" spans="1:8" x14ac:dyDescent="0.25">
      <c r="B53" s="188" t="s">
        <v>167</v>
      </c>
      <c r="C53" s="312">
        <f>SUMIF('Recap dep rec'!$A:$A,A53,'Recap dep rec'!$N:$N)</f>
        <v>0</v>
      </c>
      <c r="D53" s="189">
        <f t="shared" si="6"/>
        <v>0</v>
      </c>
      <c r="F53" s="188"/>
      <c r="G53" s="215"/>
      <c r="H53" s="189"/>
    </row>
    <row r="54" spans="1:8" x14ac:dyDescent="0.25">
      <c r="B54" s="218"/>
      <c r="C54" s="219"/>
      <c r="D54" s="220"/>
      <c r="F54" s="188"/>
      <c r="G54" s="215"/>
      <c r="H54" s="189"/>
    </row>
    <row r="55" spans="1:8" x14ac:dyDescent="0.25">
      <c r="B55" s="221" t="s">
        <v>168</v>
      </c>
      <c r="C55" s="222">
        <f>SUM(C5:C54)</f>
        <v>32519.298266666668</v>
      </c>
      <c r="D55" s="223"/>
      <c r="F55" s="221" t="s">
        <v>169</v>
      </c>
      <c r="G55" s="224">
        <f>G39+G41+G49</f>
        <v>32519.298266666668</v>
      </c>
      <c r="H55" s="223"/>
    </row>
    <row r="56" spans="1:8" x14ac:dyDescent="0.25">
      <c r="B56" s="182"/>
      <c r="C56" s="225">
        <f>C55-'Recap dep rec'!N29</f>
        <v>0</v>
      </c>
      <c r="D56" s="226"/>
      <c r="F56" s="182"/>
      <c r="G56" s="225"/>
      <c r="H56" s="227"/>
    </row>
    <row r="57" spans="1:8" ht="15.75" x14ac:dyDescent="0.25">
      <c r="B57" s="182"/>
      <c r="C57" s="228"/>
      <c r="D57" s="229"/>
      <c r="F57" s="217"/>
      <c r="G57" s="228"/>
      <c r="H57" s="230"/>
    </row>
    <row r="58" spans="1:8" ht="15.75" x14ac:dyDescent="0.25">
      <c r="B58" s="217"/>
      <c r="C58" s="228"/>
      <c r="D58" s="229"/>
      <c r="F58" s="217"/>
      <c r="G58" s="228"/>
      <c r="H58" s="226"/>
    </row>
    <row r="59" spans="1:8" ht="15.75" x14ac:dyDescent="0.25">
      <c r="C59" s="231"/>
      <c r="D59" s="232"/>
      <c r="G59" s="231"/>
      <c r="H59" s="229"/>
    </row>
  </sheetData>
  <mergeCells count="1">
    <mergeCell ref="B1:H1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A1:H59"/>
  <sheetViews>
    <sheetView topLeftCell="A19" workbookViewId="0">
      <selection activeCell="B62" sqref="B62"/>
    </sheetView>
  </sheetViews>
  <sheetFormatPr baseColWidth="10" defaultRowHeight="15" x14ac:dyDescent="0.25"/>
  <cols>
    <col min="1" max="1" width="7.5703125" bestFit="1" customWidth="1"/>
    <col min="2" max="2" width="50.85546875" bestFit="1" customWidth="1"/>
    <col min="5" max="5" width="5.42578125" customWidth="1"/>
    <col min="6" max="6" width="33" bestFit="1" customWidth="1"/>
  </cols>
  <sheetData>
    <row r="1" spans="1:8" ht="33.75" customHeight="1" x14ac:dyDescent="0.25">
      <c r="B1" s="366" t="s">
        <v>333</v>
      </c>
      <c r="C1" s="367"/>
      <c r="D1" s="367"/>
      <c r="E1" s="367"/>
      <c r="F1" s="367"/>
      <c r="G1" s="367"/>
      <c r="H1" s="368"/>
    </row>
    <row r="2" spans="1:8" x14ac:dyDescent="0.35">
      <c r="B2" s="176"/>
      <c r="C2" s="177"/>
      <c r="D2" s="178"/>
      <c r="E2" s="177"/>
      <c r="F2" s="177"/>
      <c r="G2" s="177"/>
      <c r="H2" s="178"/>
    </row>
    <row r="3" spans="1:8" x14ac:dyDescent="0.25">
      <c r="B3" s="179" t="s">
        <v>129</v>
      </c>
      <c r="C3" s="180" t="s">
        <v>130</v>
      </c>
      <c r="D3" s="181" t="s">
        <v>131</v>
      </c>
      <c r="E3" s="182"/>
      <c r="F3" s="179" t="s">
        <v>132</v>
      </c>
      <c r="G3" s="179" t="s">
        <v>130</v>
      </c>
      <c r="H3" s="181" t="s">
        <v>131</v>
      </c>
    </row>
    <row r="4" spans="1:8" ht="14.45" x14ac:dyDescent="0.35">
      <c r="B4" s="183" t="s">
        <v>133</v>
      </c>
      <c r="C4" s="184"/>
      <c r="D4" s="185"/>
      <c r="E4" s="182"/>
      <c r="F4" s="183" t="s">
        <v>134</v>
      </c>
      <c r="G4" s="186"/>
      <c r="H4" s="187"/>
    </row>
    <row r="5" spans="1:8" ht="14.45" x14ac:dyDescent="0.35">
      <c r="A5" t="str">
        <f>LEFT(B5,3)</f>
        <v>604</v>
      </c>
      <c r="B5" s="188" t="s">
        <v>135</v>
      </c>
      <c r="C5" s="312">
        <f ca="1">SUMIF('Recap dep rec'!$A:$A,A5,'Recap dep rec'!$O:$O)</f>
        <v>0</v>
      </c>
      <c r="D5" s="189">
        <f ca="1">C5/$C$55</f>
        <v>0</v>
      </c>
      <c r="E5" s="182"/>
      <c r="F5" s="190"/>
      <c r="G5" s="191"/>
      <c r="H5" s="189"/>
    </row>
    <row r="6" spans="1:8" x14ac:dyDescent="0.25">
      <c r="A6" t="str">
        <f t="shared" ref="A6:A46" si="0">LEFT(B6,3)</f>
        <v>605</v>
      </c>
      <c r="B6" s="192" t="s">
        <v>136</v>
      </c>
      <c r="C6" s="312">
        <f ca="1">SUMIF('Recap dep rec'!$A:$A,A6,'Recap dep rec'!$O:$O)</f>
        <v>71.5</v>
      </c>
      <c r="D6" s="189">
        <f t="shared" ref="D6:D7" ca="1" si="1">C6/$C$55</f>
        <v>1.8031591661306324E-3</v>
      </c>
      <c r="E6" s="182"/>
      <c r="F6" s="190" t="s">
        <v>137</v>
      </c>
      <c r="G6" s="191"/>
      <c r="H6" s="193"/>
    </row>
    <row r="7" spans="1:8" ht="14.45" x14ac:dyDescent="0.35">
      <c r="A7" t="str">
        <f t="shared" si="0"/>
        <v>606</v>
      </c>
      <c r="B7" s="192" t="s">
        <v>138</v>
      </c>
      <c r="C7" s="312">
        <f ca="1">SUMIF('Recap dep rec'!$A:$A,A7,'Recap dep rec'!$O:$O)</f>
        <v>321.75</v>
      </c>
      <c r="D7" s="189">
        <f t="shared" ca="1" si="1"/>
        <v>8.1142162475878465E-3</v>
      </c>
      <c r="E7" s="182"/>
      <c r="F7" s="196"/>
      <c r="G7" s="191"/>
      <c r="H7" s="189"/>
    </row>
    <row r="8" spans="1:8" ht="14.45" x14ac:dyDescent="0.35">
      <c r="A8" t="str">
        <f t="shared" si="0"/>
        <v>607</v>
      </c>
      <c r="B8" s="188" t="s">
        <v>139</v>
      </c>
      <c r="C8" s="194"/>
      <c r="D8" s="189"/>
      <c r="E8" s="182"/>
      <c r="F8" s="196"/>
      <c r="G8" s="191"/>
      <c r="H8" s="189"/>
    </row>
    <row r="9" spans="1:8" ht="14.45" x14ac:dyDescent="0.35">
      <c r="A9" t="str">
        <f t="shared" si="0"/>
        <v/>
      </c>
      <c r="B9" s="188"/>
      <c r="C9" s="194"/>
      <c r="D9" s="189"/>
      <c r="E9" s="182"/>
      <c r="F9" s="196"/>
      <c r="G9" s="191"/>
      <c r="H9" s="189"/>
    </row>
    <row r="10" spans="1:8" x14ac:dyDescent="0.25">
      <c r="A10" t="str">
        <f t="shared" si="0"/>
        <v/>
      </c>
      <c r="B10" s="196"/>
      <c r="C10" s="197"/>
      <c r="D10" s="198"/>
      <c r="E10" s="182"/>
      <c r="F10" s="199" t="s">
        <v>140</v>
      </c>
      <c r="G10" s="191"/>
      <c r="H10" s="198"/>
    </row>
    <row r="11" spans="1:8" x14ac:dyDescent="0.25">
      <c r="B11" s="190" t="s">
        <v>141</v>
      </c>
      <c r="C11" s="186"/>
      <c r="D11" s="187"/>
      <c r="E11" s="182"/>
      <c r="F11" s="200"/>
      <c r="G11" s="191"/>
      <c r="H11" s="198"/>
    </row>
    <row r="12" spans="1:8" x14ac:dyDescent="0.25">
      <c r="A12" t="str">
        <f t="shared" si="0"/>
        <v>611</v>
      </c>
      <c r="B12" s="188" t="s">
        <v>142</v>
      </c>
      <c r="C12" s="312">
        <f ca="1">SUMIF('Recap dep rec'!$A:$A,A12,'Recap dep rec'!$O:$O)</f>
        <v>18550</v>
      </c>
      <c r="D12" s="189">
        <f t="shared" ref="D12:D17" ca="1" si="2">C12/$C$55</f>
        <v>0.46781262282130393</v>
      </c>
      <c r="E12" s="182"/>
      <c r="F12" s="201"/>
      <c r="G12" s="191"/>
      <c r="H12" s="198"/>
    </row>
    <row r="13" spans="1:8" ht="14.45" x14ac:dyDescent="0.35">
      <c r="A13" t="str">
        <f t="shared" si="0"/>
        <v>613</v>
      </c>
      <c r="B13" s="188" t="s">
        <v>170</v>
      </c>
      <c r="C13" s="312">
        <f ca="1">SUMIF('Recap dep rec'!$A:$A,A13,'Recap dep rec'!$O:$O)</f>
        <v>1127.5</v>
      </c>
      <c r="D13" s="189">
        <f t="shared" ca="1" si="2"/>
        <v>2.8434433004367664E-2</v>
      </c>
      <c r="E13" s="182"/>
      <c r="F13" s="202"/>
      <c r="G13" s="191"/>
      <c r="H13" s="198"/>
    </row>
    <row r="14" spans="1:8" ht="14.45" x14ac:dyDescent="0.35">
      <c r="A14" t="str">
        <f t="shared" si="0"/>
        <v>615</v>
      </c>
      <c r="B14" s="188" t="s">
        <v>65</v>
      </c>
      <c r="C14" s="312">
        <f ca="1">SUMIF('Recap dep rec'!$A:$A,A14,'Recap dep rec'!$O:$O)</f>
        <v>346.5</v>
      </c>
      <c r="D14" s="189">
        <f t="shared" ca="1" si="2"/>
        <v>8.7383867281715273E-3</v>
      </c>
      <c r="E14" s="182"/>
      <c r="F14" s="202"/>
      <c r="G14" s="191"/>
      <c r="H14" s="198"/>
    </row>
    <row r="15" spans="1:8" x14ac:dyDescent="0.25">
      <c r="A15" t="str">
        <f t="shared" si="0"/>
        <v>616</v>
      </c>
      <c r="B15" s="188" t="s">
        <v>66</v>
      </c>
      <c r="C15" s="312">
        <f ca="1">SUMIF('Recap dep rec'!$A:$A,A15,'Recap dep rec'!$O:$O)</f>
        <v>221.10000000000002</v>
      </c>
      <c r="D15" s="189">
        <f t="shared" ca="1" si="2"/>
        <v>5.5759229598808793E-3</v>
      </c>
      <c r="E15" s="182"/>
      <c r="F15" s="190" t="s">
        <v>143</v>
      </c>
      <c r="G15" s="191">
        <f ca="1">'Recap dep rec'!O38</f>
        <v>12652.628199999999</v>
      </c>
      <c r="H15" s="263">
        <f ca="1">G15/G55</f>
        <v>0.31908674845416679</v>
      </c>
    </row>
    <row r="16" spans="1:8" ht="14.45" x14ac:dyDescent="0.35">
      <c r="A16" t="str">
        <f t="shared" si="0"/>
        <v>617</v>
      </c>
      <c r="B16" s="188" t="s">
        <v>67</v>
      </c>
      <c r="C16" s="312">
        <f ca="1">SUMIF('Recap dep rec'!$A:$A,A16,'Recap dep rec'!$O:$O)</f>
        <v>0</v>
      </c>
      <c r="D16" s="189">
        <f t="shared" ca="1" si="2"/>
        <v>0</v>
      </c>
      <c r="E16" s="182"/>
      <c r="F16" s="203"/>
      <c r="G16" s="191"/>
      <c r="H16" s="198"/>
    </row>
    <row r="17" spans="1:8" ht="14.45" x14ac:dyDescent="0.35">
      <c r="A17" t="str">
        <f t="shared" si="0"/>
        <v>618</v>
      </c>
      <c r="B17" s="188" t="s">
        <v>144</v>
      </c>
      <c r="C17" s="312">
        <f ca="1">SUMIF('Recap dep rec'!$A:$A,A17,'Recap dep rec'!$O:$O)</f>
        <v>88.000000000000014</v>
      </c>
      <c r="D17" s="189">
        <f t="shared" ca="1" si="2"/>
        <v>2.2192728198530865E-3</v>
      </c>
      <c r="E17" s="182"/>
      <c r="F17" s="203"/>
      <c r="G17" s="191"/>
      <c r="H17" s="198"/>
    </row>
    <row r="18" spans="1:8" ht="14.45" x14ac:dyDescent="0.35">
      <c r="A18" t="str">
        <f t="shared" si="0"/>
        <v/>
      </c>
      <c r="B18" s="188"/>
      <c r="C18" s="197"/>
      <c r="D18" s="198"/>
      <c r="E18" s="182"/>
      <c r="F18" s="202"/>
      <c r="G18" s="191"/>
      <c r="H18" s="198"/>
    </row>
    <row r="19" spans="1:8" x14ac:dyDescent="0.25">
      <c r="A19" t="str">
        <f t="shared" si="0"/>
        <v/>
      </c>
      <c r="B19" s="188"/>
      <c r="C19" s="197"/>
      <c r="D19" s="198"/>
      <c r="E19" s="204"/>
      <c r="F19" s="205" t="s">
        <v>145</v>
      </c>
      <c r="G19" s="191"/>
      <c r="H19" s="198"/>
    </row>
    <row r="20" spans="1:8" x14ac:dyDescent="0.25">
      <c r="B20" s="190" t="s">
        <v>146</v>
      </c>
      <c r="C20" s="186"/>
      <c r="D20" s="187"/>
      <c r="E20" s="182"/>
      <c r="F20" s="196"/>
      <c r="G20" s="191"/>
      <c r="H20" s="198"/>
    </row>
    <row r="21" spans="1:8" ht="14.45" x14ac:dyDescent="0.35">
      <c r="A21" t="str">
        <f t="shared" si="0"/>
        <v/>
      </c>
      <c r="B21" s="190"/>
      <c r="C21" s="186"/>
      <c r="D21" s="187"/>
      <c r="E21" s="182"/>
      <c r="F21" s="196"/>
      <c r="G21" s="191"/>
      <c r="H21" s="198"/>
    </row>
    <row r="22" spans="1:8" x14ac:dyDescent="0.25">
      <c r="A22" t="str">
        <f t="shared" si="0"/>
        <v>622</v>
      </c>
      <c r="B22" s="188" t="s">
        <v>147</v>
      </c>
      <c r="C22" s="312">
        <f ca="1">SUMIF('Recap dep rec'!$A:$A,A22,'Recap dep rec'!$O:$O)</f>
        <v>1116.5</v>
      </c>
      <c r="D22" s="189">
        <f ca="1">C22/$C$55</f>
        <v>2.8157023901886031E-2</v>
      </c>
      <c r="E22" s="182"/>
      <c r="F22" s="203"/>
      <c r="G22" s="191"/>
      <c r="H22" s="198"/>
    </row>
    <row r="23" spans="1:8" ht="14.45" x14ac:dyDescent="0.35">
      <c r="A23" t="str">
        <f t="shared" si="0"/>
        <v xml:space="preserve">et </v>
      </c>
      <c r="B23" s="188" t="s">
        <v>148</v>
      </c>
      <c r="C23" s="312"/>
      <c r="D23" s="189"/>
      <c r="E23" s="182"/>
      <c r="F23" s="190"/>
      <c r="G23" s="191"/>
      <c r="H23" s="198"/>
    </row>
    <row r="24" spans="1:8" x14ac:dyDescent="0.25">
      <c r="A24" t="str">
        <f t="shared" si="0"/>
        <v>623</v>
      </c>
      <c r="B24" s="188" t="s">
        <v>149</v>
      </c>
      <c r="C24" s="312">
        <f ca="1">SUMIF('Recap dep rec'!$A:$A,A24,'Recap dep rec'!$O:$O)</f>
        <v>429.00000000000006</v>
      </c>
      <c r="D24" s="189">
        <f t="shared" ref="D24:D27" ca="1" si="3">C24/$C$55</f>
        <v>1.0818954996783797E-2</v>
      </c>
      <c r="E24" s="182"/>
      <c r="F24" s="190" t="s">
        <v>150</v>
      </c>
      <c r="G24" s="191"/>
      <c r="H24" s="198"/>
    </row>
    <row r="25" spans="1:8" x14ac:dyDescent="0.25">
      <c r="A25" t="str">
        <f t="shared" si="0"/>
        <v>625</v>
      </c>
      <c r="B25" s="188" t="s">
        <v>68</v>
      </c>
      <c r="C25" s="312">
        <f ca="1">SUMIF('Recap dep rec'!$A:$A,A25,'Recap dep rec'!$O:$O)</f>
        <v>3889.5</v>
      </c>
      <c r="D25" s="189">
        <f t="shared" ca="1" si="3"/>
        <v>9.8089336736574759E-2</v>
      </c>
      <c r="E25" s="182"/>
      <c r="F25" s="196"/>
      <c r="G25" s="191"/>
      <c r="H25" s="198"/>
    </row>
    <row r="26" spans="1:8" x14ac:dyDescent="0.25">
      <c r="A26" t="str">
        <f t="shared" si="0"/>
        <v>626</v>
      </c>
      <c r="B26" s="188" t="s">
        <v>69</v>
      </c>
      <c r="C26" s="312">
        <f ca="1">SUMIF('Recap dep rec'!$A:$A,A26,'Recap dep rec'!$O:$O)</f>
        <v>324.5</v>
      </c>
      <c r="D26" s="189">
        <f t="shared" ca="1" si="3"/>
        <v>8.1835685232082549E-3</v>
      </c>
      <c r="E26" s="182"/>
      <c r="F26" s="196"/>
      <c r="G26" s="191"/>
      <c r="H26" s="198"/>
    </row>
    <row r="27" spans="1:8" x14ac:dyDescent="0.25">
      <c r="A27" t="str">
        <f t="shared" si="0"/>
        <v>628</v>
      </c>
      <c r="B27" s="188" t="s">
        <v>70</v>
      </c>
      <c r="C27" s="312">
        <f ca="1">SUMIF('Recap dep rec'!$A:$A,A27,'Recap dep rec'!$O:$O)</f>
        <v>189.75</v>
      </c>
      <c r="D27" s="189">
        <f t="shared" ca="1" si="3"/>
        <v>4.7853070178082166E-3</v>
      </c>
      <c r="E27" s="182"/>
      <c r="F27" s="196"/>
      <c r="G27" s="191"/>
      <c r="H27" s="198"/>
    </row>
    <row r="28" spans="1:8" x14ac:dyDescent="0.25">
      <c r="A28" t="str">
        <f t="shared" si="0"/>
        <v/>
      </c>
      <c r="B28" s="188"/>
      <c r="C28" s="197"/>
      <c r="D28" s="198"/>
      <c r="E28" s="182"/>
      <c r="F28" s="190" t="s">
        <v>151</v>
      </c>
      <c r="G28" s="191"/>
      <c r="H28" s="198"/>
    </row>
    <row r="29" spans="1:8" x14ac:dyDescent="0.25">
      <c r="B29" s="190" t="s">
        <v>171</v>
      </c>
      <c r="C29" s="197"/>
      <c r="D29" s="198"/>
      <c r="E29" s="182"/>
      <c r="F29" s="190"/>
      <c r="G29" s="191"/>
      <c r="H29" s="198"/>
    </row>
    <row r="30" spans="1:8" x14ac:dyDescent="0.25">
      <c r="A30" t="str">
        <f t="shared" si="0"/>
        <v>631</v>
      </c>
      <c r="B30" s="188" t="s">
        <v>172</v>
      </c>
      <c r="C30" s="312">
        <f ca="1">SUMIF('Recap dep rec'!$A:$A,A30,'Recap dep rec'!$O:$O)</f>
        <v>272.25</v>
      </c>
      <c r="D30" s="189">
        <f t="shared" ref="D30:D31" ca="1" si="4">C30/$C$55</f>
        <v>6.865875286420485E-3</v>
      </c>
      <c r="E30" s="182"/>
      <c r="F30" s="190"/>
      <c r="G30" s="191"/>
      <c r="H30" s="198"/>
    </row>
    <row r="31" spans="1:8" x14ac:dyDescent="0.25">
      <c r="A31" t="str">
        <f t="shared" si="0"/>
        <v>635</v>
      </c>
      <c r="B31" s="188" t="s">
        <v>173</v>
      </c>
      <c r="C31" s="312">
        <f ca="1">SUMIF('Recap dep rec'!$A:$A,A31,'Recap dep rec'!$O:$O)</f>
        <v>58.685000000000009</v>
      </c>
      <c r="D31" s="189">
        <f t="shared" ca="1" si="4"/>
        <v>1.479977561739527E-3</v>
      </c>
      <c r="E31" s="182"/>
      <c r="F31" s="190"/>
      <c r="G31" s="191"/>
      <c r="H31" s="198"/>
    </row>
    <row r="32" spans="1:8" x14ac:dyDescent="0.25">
      <c r="B32" s="190" t="s">
        <v>152</v>
      </c>
      <c r="C32" s="206"/>
      <c r="D32" s="207"/>
      <c r="E32" s="182"/>
      <c r="F32" s="196"/>
      <c r="G32" s="191"/>
      <c r="H32" s="198"/>
    </row>
    <row r="33" spans="1:8" x14ac:dyDescent="0.25">
      <c r="A33" t="str">
        <f t="shared" si="0"/>
        <v>641</v>
      </c>
      <c r="B33" s="188" t="s">
        <v>71</v>
      </c>
      <c r="C33" s="312">
        <f ca="1">SUMIF('Recap dep rec'!$A:$A,A33,'Recap dep rec'!$O:$O)</f>
        <v>12607.593200000001</v>
      </c>
      <c r="D33" s="189">
        <f t="shared" ref="D33:D34" ca="1" si="5">C33/$C$55</f>
        <v>0.31795101036959766</v>
      </c>
      <c r="E33" s="182"/>
      <c r="F33" s="196"/>
      <c r="G33" s="191"/>
      <c r="H33" s="198"/>
    </row>
    <row r="34" spans="1:8" x14ac:dyDescent="0.25">
      <c r="A34" t="str">
        <f t="shared" si="0"/>
        <v>645</v>
      </c>
      <c r="B34" s="188" t="s">
        <v>72</v>
      </c>
      <c r="C34" s="312">
        <f ca="1">SUMIF('Recap dep rec'!$A:$A,A34,'Recap dep rec'!$O:$O)</f>
        <v>38.500000000000007</v>
      </c>
      <c r="D34" s="189">
        <f t="shared" ca="1" si="5"/>
        <v>9.7093185868572535E-4</v>
      </c>
      <c r="E34" s="182"/>
      <c r="F34" s="196"/>
      <c r="G34" s="191"/>
      <c r="H34" s="198"/>
    </row>
    <row r="35" spans="1:8" x14ac:dyDescent="0.25">
      <c r="A35" t="str">
        <f t="shared" si="0"/>
        <v/>
      </c>
      <c r="B35" s="188"/>
      <c r="C35" s="197"/>
      <c r="D35" s="198"/>
      <c r="E35" s="182"/>
      <c r="F35" s="190" t="s">
        <v>153</v>
      </c>
      <c r="G35" s="191"/>
      <c r="H35" s="198"/>
    </row>
    <row r="36" spans="1:8" x14ac:dyDescent="0.25">
      <c r="A36" t="str">
        <f t="shared" si="0"/>
        <v/>
      </c>
      <c r="B36" s="188"/>
      <c r="C36" s="197"/>
      <c r="D36" s="198"/>
      <c r="E36" s="182"/>
      <c r="F36" s="208"/>
      <c r="G36" s="191"/>
      <c r="H36" s="198"/>
    </row>
    <row r="37" spans="1:8" x14ac:dyDescent="0.25">
      <c r="A37" t="str">
        <f t="shared" si="0"/>
        <v xml:space="preserve">65 </v>
      </c>
      <c r="B37" s="188" t="s">
        <v>73</v>
      </c>
      <c r="C37" s="312">
        <f ca="1">SUMIF('Recap dep rec'!$A:$A,A37,'Recap dep rec'!$O:$O)</f>
        <v>0</v>
      </c>
      <c r="D37" s="189">
        <f ca="1">C37/$C$55</f>
        <v>0</v>
      </c>
      <c r="E37" s="182"/>
      <c r="F37" s="208"/>
      <c r="G37" s="191"/>
      <c r="H37" s="198"/>
    </row>
    <row r="38" spans="1:8" x14ac:dyDescent="0.25">
      <c r="A38" t="str">
        <f t="shared" si="0"/>
        <v/>
      </c>
      <c r="B38" s="190"/>
      <c r="C38" s="186"/>
      <c r="D38" s="187"/>
      <c r="E38" s="182"/>
      <c r="F38" s="208"/>
      <c r="G38" s="191"/>
      <c r="H38" s="198"/>
    </row>
    <row r="39" spans="1:8" x14ac:dyDescent="0.25">
      <c r="A39" t="str">
        <f t="shared" si="0"/>
        <v/>
      </c>
      <c r="B39" s="188"/>
      <c r="C39" s="197"/>
      <c r="D39" s="198"/>
      <c r="E39" s="182"/>
      <c r="F39" s="209" t="s">
        <v>154</v>
      </c>
      <c r="G39" s="210">
        <f ca="1">G15</f>
        <v>12652.628199999999</v>
      </c>
      <c r="H39" s="265">
        <f ca="1">H15</f>
        <v>0.31908674845416679</v>
      </c>
    </row>
    <row r="40" spans="1:8" x14ac:dyDescent="0.25">
      <c r="B40" s="190" t="s">
        <v>155</v>
      </c>
      <c r="C40" s="197"/>
      <c r="D40" s="198"/>
      <c r="E40" s="182"/>
      <c r="F40" s="188"/>
      <c r="G40" s="191"/>
      <c r="H40" s="189"/>
    </row>
    <row r="41" spans="1:8" x14ac:dyDescent="0.25">
      <c r="A41" t="str">
        <f t="shared" si="0"/>
        <v>661</v>
      </c>
      <c r="B41" s="188" t="s">
        <v>74</v>
      </c>
      <c r="C41" s="312">
        <f ca="1">SUMIF('Recap dep rec'!$A:$A,A41,'Recap dep rec'!$O:$O)</f>
        <v>0</v>
      </c>
      <c r="D41" s="189">
        <f ca="1">C41/$C$55</f>
        <v>0</v>
      </c>
      <c r="E41" s="182"/>
      <c r="F41" s="190" t="s">
        <v>156</v>
      </c>
      <c r="G41" s="186">
        <f>G42</f>
        <v>27000</v>
      </c>
      <c r="H41" s="264">
        <f ca="1">G41/C55</f>
        <v>0.68091325154583326</v>
      </c>
    </row>
    <row r="42" spans="1:8" x14ac:dyDescent="0.25">
      <c r="A42" t="str">
        <f t="shared" si="0"/>
        <v/>
      </c>
      <c r="B42" s="188"/>
      <c r="C42" s="197"/>
      <c r="D42" s="198"/>
      <c r="E42" s="182"/>
      <c r="F42" s="188" t="s">
        <v>88</v>
      </c>
      <c r="G42" s="191">
        <f>'Recap dep rec'!O35</f>
        <v>27000</v>
      </c>
      <c r="H42" s="198"/>
    </row>
    <row r="43" spans="1:8" x14ac:dyDescent="0.25">
      <c r="A43" t="str">
        <f t="shared" si="0"/>
        <v/>
      </c>
      <c r="B43" s="188"/>
      <c r="C43" s="197"/>
      <c r="D43" s="198"/>
      <c r="E43" s="182"/>
      <c r="F43" s="188" t="s">
        <v>157</v>
      </c>
      <c r="G43" s="212"/>
      <c r="H43" s="198"/>
    </row>
    <row r="44" spans="1:8" x14ac:dyDescent="0.25">
      <c r="A44" t="str">
        <f t="shared" si="0"/>
        <v xml:space="preserve">68 </v>
      </c>
      <c r="B44" s="190" t="s">
        <v>158</v>
      </c>
      <c r="C44" s="197"/>
      <c r="D44" s="198"/>
      <c r="E44" s="182"/>
      <c r="F44" s="188" t="s">
        <v>87</v>
      </c>
      <c r="G44" s="191"/>
      <c r="H44" s="198"/>
    </row>
    <row r="45" spans="1:8" x14ac:dyDescent="0.25">
      <c r="A45" t="str">
        <f t="shared" si="0"/>
        <v>aux</v>
      </c>
      <c r="B45" s="190" t="s">
        <v>159</v>
      </c>
      <c r="C45" s="194"/>
      <c r="D45" s="189"/>
      <c r="E45" s="182"/>
      <c r="F45" s="188" t="s">
        <v>160</v>
      </c>
      <c r="G45" s="191"/>
      <c r="H45" s="198"/>
    </row>
    <row r="46" spans="1:8" x14ac:dyDescent="0.25">
      <c r="A46" t="str">
        <f t="shared" si="0"/>
        <v>681</v>
      </c>
      <c r="B46" s="213" t="s">
        <v>75</v>
      </c>
      <c r="C46" s="312">
        <f ca="1">SUMIF('Recap dep rec'!$A:$A,A46,'Recap dep rec'!$O:$O)</f>
        <v>0</v>
      </c>
      <c r="D46" s="189">
        <f ca="1">C46/$C$55</f>
        <v>0</v>
      </c>
      <c r="E46" s="182"/>
      <c r="F46" s="188"/>
      <c r="G46" s="191"/>
      <c r="H46" s="198"/>
    </row>
    <row r="47" spans="1:8" x14ac:dyDescent="0.25">
      <c r="B47" s="188" t="s">
        <v>161</v>
      </c>
      <c r="C47" s="194"/>
      <c r="D47" s="189"/>
      <c r="E47" s="182"/>
      <c r="F47" s="188"/>
      <c r="G47" s="191"/>
      <c r="H47" s="189"/>
    </row>
    <row r="48" spans="1:8" x14ac:dyDescent="0.25">
      <c r="B48" s="213"/>
      <c r="C48" s="194"/>
      <c r="D48" s="189"/>
      <c r="E48" s="182"/>
      <c r="F48" s="190"/>
      <c r="G48" s="191"/>
      <c r="H48" s="189"/>
    </row>
    <row r="49" spans="1:8" x14ac:dyDescent="0.25">
      <c r="B49" s="213"/>
      <c r="C49" s="194"/>
      <c r="D49" s="189"/>
      <c r="E49" s="182"/>
      <c r="F49" s="190" t="s">
        <v>162</v>
      </c>
      <c r="G49" s="214"/>
      <c r="H49" s="187"/>
    </row>
    <row r="50" spans="1:8" x14ac:dyDescent="0.25">
      <c r="B50" s="190" t="s">
        <v>163</v>
      </c>
      <c r="C50" s="186"/>
      <c r="D50" s="187"/>
      <c r="E50" s="182"/>
      <c r="F50" s="188" t="s">
        <v>164</v>
      </c>
      <c r="G50" s="215"/>
      <c r="H50" s="189"/>
    </row>
    <row r="51" spans="1:8" ht="15.75" x14ac:dyDescent="0.25">
      <c r="A51" t="s">
        <v>325</v>
      </c>
      <c r="B51" s="213" t="s">
        <v>29</v>
      </c>
      <c r="C51" s="312">
        <f ca="1">SUMIF('Recap dep rec'!$A:$A,A51,'Recap dep rec'!$O:$O)</f>
        <v>0</v>
      </c>
      <c r="D51" s="189">
        <f t="shared" ref="D51:D53" ca="1" si="6">C51/$C$55</f>
        <v>0</v>
      </c>
      <c r="E51" s="217"/>
      <c r="F51" s="188" t="s">
        <v>165</v>
      </c>
      <c r="G51" s="215"/>
      <c r="H51" s="189"/>
    </row>
    <row r="52" spans="1:8" ht="15.75" x14ac:dyDescent="0.25">
      <c r="B52" s="188" t="s">
        <v>166</v>
      </c>
      <c r="C52" s="312">
        <f>SUMIF('Recap dep rec'!$A:$A,A52,'Recap dep rec'!$O:$O)</f>
        <v>0</v>
      </c>
      <c r="D52" s="189">
        <f t="shared" ca="1" si="6"/>
        <v>0</v>
      </c>
      <c r="E52" s="217"/>
      <c r="F52" s="188" t="s">
        <v>167</v>
      </c>
      <c r="G52" s="215"/>
      <c r="H52" s="189"/>
    </row>
    <row r="53" spans="1:8" x14ac:dyDescent="0.25">
      <c r="B53" s="188" t="s">
        <v>167</v>
      </c>
      <c r="C53" s="312">
        <f>SUMIF('Recap dep rec'!$A:$A,A53,'Recap dep rec'!$O:$O)</f>
        <v>0</v>
      </c>
      <c r="D53" s="189">
        <f t="shared" ca="1" si="6"/>
        <v>0</v>
      </c>
      <c r="F53" s="188"/>
      <c r="G53" s="215"/>
      <c r="H53" s="189"/>
    </row>
    <row r="54" spans="1:8" x14ac:dyDescent="0.25">
      <c r="B54" s="218"/>
      <c r="C54" s="219"/>
      <c r="D54" s="220"/>
      <c r="F54" s="188"/>
      <c r="G54" s="215"/>
      <c r="H54" s="189"/>
    </row>
    <row r="55" spans="1:8" x14ac:dyDescent="0.25">
      <c r="B55" s="221" t="s">
        <v>168</v>
      </c>
      <c r="C55" s="222">
        <f ca="1">SUM(C5:C54)</f>
        <v>39652.628199999999</v>
      </c>
      <c r="D55" s="223"/>
      <c r="F55" s="221" t="s">
        <v>169</v>
      </c>
      <c r="G55" s="224">
        <f ca="1">G39+G41+G49</f>
        <v>39652.628199999999</v>
      </c>
      <c r="H55" s="223"/>
    </row>
    <row r="56" spans="1:8" x14ac:dyDescent="0.25">
      <c r="B56" s="182"/>
      <c r="C56" s="225">
        <f ca="1">C55-'Recap dep rec'!O29</f>
        <v>0</v>
      </c>
      <c r="D56" s="226"/>
      <c r="F56" s="182"/>
      <c r="G56" s="225"/>
      <c r="H56" s="227"/>
    </row>
    <row r="57" spans="1:8" ht="15.75" x14ac:dyDescent="0.25">
      <c r="B57" s="182"/>
      <c r="C57" s="228"/>
      <c r="D57" s="229"/>
      <c r="F57" s="217"/>
      <c r="G57" s="228"/>
      <c r="H57" s="230"/>
    </row>
    <row r="58" spans="1:8" ht="15.75" x14ac:dyDescent="0.25">
      <c r="B58" s="217"/>
      <c r="C58" s="228"/>
      <c r="D58" s="229"/>
      <c r="F58" s="217"/>
      <c r="G58" s="228"/>
      <c r="H58" s="226"/>
    </row>
    <row r="59" spans="1:8" ht="15.75" x14ac:dyDescent="0.25">
      <c r="C59" s="231"/>
      <c r="D59" s="232"/>
      <c r="G59" s="231"/>
      <c r="H59" s="229"/>
    </row>
  </sheetData>
  <mergeCells count="1">
    <mergeCell ref="B1:H1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A1:H59"/>
  <sheetViews>
    <sheetView topLeftCell="A25" workbookViewId="0">
      <selection activeCell="B62" sqref="B62"/>
    </sheetView>
  </sheetViews>
  <sheetFormatPr baseColWidth="10" defaultRowHeight="15" x14ac:dyDescent="0.25"/>
  <cols>
    <col min="1" max="1" width="7.5703125" bestFit="1" customWidth="1"/>
    <col min="2" max="2" width="50.85546875" bestFit="1" customWidth="1"/>
    <col min="5" max="5" width="5.42578125" customWidth="1"/>
    <col min="6" max="6" width="33" bestFit="1" customWidth="1"/>
  </cols>
  <sheetData>
    <row r="1" spans="1:8" ht="35.25" customHeight="1" x14ac:dyDescent="0.25">
      <c r="B1" s="366" t="s">
        <v>334</v>
      </c>
      <c r="C1" s="367"/>
      <c r="D1" s="367"/>
      <c r="E1" s="367"/>
      <c r="F1" s="367"/>
      <c r="G1" s="367"/>
      <c r="H1" s="368"/>
    </row>
    <row r="2" spans="1:8" x14ac:dyDescent="0.35">
      <c r="B2" s="176"/>
      <c r="C2" s="177"/>
      <c r="D2" s="178"/>
      <c r="E2" s="177"/>
      <c r="F2" s="177"/>
      <c r="G2" s="177"/>
      <c r="H2" s="178"/>
    </row>
    <row r="3" spans="1:8" x14ac:dyDescent="0.25">
      <c r="B3" s="179" t="s">
        <v>129</v>
      </c>
      <c r="C3" s="180" t="s">
        <v>130</v>
      </c>
      <c r="D3" s="181" t="s">
        <v>131</v>
      </c>
      <c r="E3" s="182"/>
      <c r="F3" s="179" t="s">
        <v>132</v>
      </c>
      <c r="G3" s="179" t="s">
        <v>130</v>
      </c>
      <c r="H3" s="181" t="s">
        <v>131</v>
      </c>
    </row>
    <row r="4" spans="1:8" ht="14.45" x14ac:dyDescent="0.35">
      <c r="B4" s="183" t="s">
        <v>133</v>
      </c>
      <c r="C4" s="184"/>
      <c r="D4" s="185"/>
      <c r="E4" s="182"/>
      <c r="F4" s="183" t="s">
        <v>134</v>
      </c>
      <c r="G4" s="186"/>
      <c r="H4" s="187"/>
    </row>
    <row r="5" spans="1:8" ht="14.45" x14ac:dyDescent="0.35">
      <c r="A5" t="str">
        <f>LEFT(B5,3)</f>
        <v>604</v>
      </c>
      <c r="B5" s="188" t="s">
        <v>135</v>
      </c>
      <c r="C5" s="312">
        <f>SUMIF('Recap dep rec'!$A:$A,A5,'Recap dep rec'!$P:$P)</f>
        <v>0</v>
      </c>
      <c r="D5" s="189">
        <f>C5/$C$55</f>
        <v>0</v>
      </c>
      <c r="E5" s="182"/>
      <c r="F5" s="190"/>
      <c r="G5" s="191"/>
      <c r="H5" s="189"/>
    </row>
    <row r="6" spans="1:8" x14ac:dyDescent="0.25">
      <c r="A6" t="str">
        <f t="shared" ref="A6:A46" si="0">LEFT(B6,3)</f>
        <v>605</v>
      </c>
      <c r="B6" s="192" t="s">
        <v>136</v>
      </c>
      <c r="C6" s="312">
        <f>SUMIF('Recap dep rec'!$A:$A,A6,'Recap dep rec'!$P:$P)</f>
        <v>30.333333333333336</v>
      </c>
      <c r="D6" s="189">
        <f t="shared" ref="D6:D7" si="1">C6/$C$55</f>
        <v>1.1382556594759345E-3</v>
      </c>
      <c r="E6" s="182"/>
      <c r="F6" s="190" t="s">
        <v>137</v>
      </c>
      <c r="G6" s="191"/>
      <c r="H6" s="193"/>
    </row>
    <row r="7" spans="1:8" ht="14.45" x14ac:dyDescent="0.35">
      <c r="A7" t="str">
        <f t="shared" si="0"/>
        <v>606</v>
      </c>
      <c r="B7" s="192" t="s">
        <v>138</v>
      </c>
      <c r="C7" s="312">
        <f>SUMIF('Recap dep rec'!$A:$A,A7,'Recap dep rec'!$P:$P)</f>
        <v>136.50000000000003</v>
      </c>
      <c r="D7" s="189">
        <f t="shared" si="1"/>
        <v>5.1221504676417064E-3</v>
      </c>
      <c r="E7" s="182"/>
      <c r="F7" s="196"/>
      <c r="G7" s="191"/>
      <c r="H7" s="189"/>
    </row>
    <row r="8" spans="1:8" ht="14.45" x14ac:dyDescent="0.35">
      <c r="A8" t="str">
        <f t="shared" si="0"/>
        <v>607</v>
      </c>
      <c r="B8" s="188" t="s">
        <v>139</v>
      </c>
      <c r="C8" s="194"/>
      <c r="D8" s="189"/>
      <c r="E8" s="182"/>
      <c r="F8" s="196"/>
      <c r="G8" s="191"/>
      <c r="H8" s="189"/>
    </row>
    <row r="9" spans="1:8" ht="14.45" x14ac:dyDescent="0.35">
      <c r="A9" t="str">
        <f t="shared" si="0"/>
        <v/>
      </c>
      <c r="B9" s="188"/>
      <c r="C9" s="194"/>
      <c r="D9" s="189"/>
      <c r="E9" s="182"/>
      <c r="F9" s="196"/>
      <c r="G9" s="191"/>
      <c r="H9" s="189"/>
    </row>
    <row r="10" spans="1:8" x14ac:dyDescent="0.25">
      <c r="A10" t="str">
        <f t="shared" si="0"/>
        <v/>
      </c>
      <c r="B10" s="196"/>
      <c r="C10" s="197"/>
      <c r="D10" s="198"/>
      <c r="E10" s="182"/>
      <c r="F10" s="199" t="s">
        <v>140</v>
      </c>
      <c r="G10" s="191"/>
      <c r="H10" s="198"/>
    </row>
    <row r="11" spans="1:8" x14ac:dyDescent="0.25">
      <c r="B11" s="190" t="s">
        <v>141</v>
      </c>
      <c r="C11" s="186"/>
      <c r="D11" s="187"/>
      <c r="E11" s="182"/>
      <c r="F11" s="200"/>
      <c r="G11" s="191"/>
      <c r="H11" s="198"/>
    </row>
    <row r="12" spans="1:8" x14ac:dyDescent="0.25">
      <c r="A12" t="str">
        <f t="shared" si="0"/>
        <v>611</v>
      </c>
      <c r="B12" s="188" t="s">
        <v>142</v>
      </c>
      <c r="C12" s="312">
        <f>SUMIF('Recap dep rec'!$A:$A,A12,'Recap dep rec'!$P:$P)</f>
        <v>16080</v>
      </c>
      <c r="D12" s="189">
        <f t="shared" ref="D12:D17" si="2">C12/$C$55</f>
        <v>0.60340058256174811</v>
      </c>
      <c r="E12" s="182"/>
      <c r="F12" s="201"/>
      <c r="G12" s="191"/>
      <c r="H12" s="198"/>
    </row>
    <row r="13" spans="1:8" ht="14.45" x14ac:dyDescent="0.35">
      <c r="A13" t="str">
        <f t="shared" si="0"/>
        <v>613</v>
      </c>
      <c r="B13" s="188" t="s">
        <v>170</v>
      </c>
      <c r="C13" s="312">
        <f>SUMIF('Recap dep rec'!$A:$A,A13,'Recap dep rec'!$P:$P)</f>
        <v>478.33333333333337</v>
      </c>
      <c r="D13" s="189">
        <f t="shared" si="2"/>
        <v>1.7949416168658968E-2</v>
      </c>
      <c r="E13" s="182"/>
      <c r="F13" s="202"/>
      <c r="G13" s="191"/>
      <c r="H13" s="198"/>
    </row>
    <row r="14" spans="1:8" ht="14.45" x14ac:dyDescent="0.35">
      <c r="A14" t="str">
        <f t="shared" si="0"/>
        <v>615</v>
      </c>
      <c r="B14" s="188" t="s">
        <v>65</v>
      </c>
      <c r="C14" s="312">
        <f>SUMIF('Recap dep rec'!$A:$A,A14,'Recap dep rec'!$P:$P)</f>
        <v>147</v>
      </c>
      <c r="D14" s="189">
        <f t="shared" si="2"/>
        <v>5.5161620420756821E-3</v>
      </c>
      <c r="E14" s="182"/>
      <c r="F14" s="202"/>
      <c r="G14" s="191"/>
      <c r="H14" s="198"/>
    </row>
    <row r="15" spans="1:8" x14ac:dyDescent="0.25">
      <c r="A15" t="str">
        <f t="shared" si="0"/>
        <v>616</v>
      </c>
      <c r="B15" s="188" t="s">
        <v>66</v>
      </c>
      <c r="C15" s="312">
        <f>SUMIF('Recap dep rec'!$A:$A,A15,'Recap dep rec'!$P:$P)</f>
        <v>93.800000000000011</v>
      </c>
      <c r="D15" s="189">
        <f t="shared" si="2"/>
        <v>3.5198367316101975E-3</v>
      </c>
      <c r="E15" s="182"/>
      <c r="F15" s="190" t="s">
        <v>143</v>
      </c>
      <c r="G15" s="191">
        <f>'Recap dep rec'!P38</f>
        <v>9748.9633333333368</v>
      </c>
      <c r="H15" s="263">
        <f>G15/G55</f>
        <v>0.36582898972055083</v>
      </c>
    </row>
    <row r="16" spans="1:8" ht="14.45" x14ac:dyDescent="0.35">
      <c r="A16" t="str">
        <f t="shared" si="0"/>
        <v>617</v>
      </c>
      <c r="B16" s="188" t="s">
        <v>67</v>
      </c>
      <c r="C16" s="312">
        <f>SUMIF('Recap dep rec'!$A:$A,A16,'Recap dep rec'!$P:$P)</f>
        <v>0</v>
      </c>
      <c r="D16" s="189">
        <f t="shared" si="2"/>
        <v>0</v>
      </c>
      <c r="E16" s="182"/>
      <c r="F16" s="203"/>
      <c r="G16" s="191"/>
      <c r="H16" s="198"/>
    </row>
    <row r="17" spans="1:8" ht="14.45" x14ac:dyDescent="0.35">
      <c r="A17" t="str">
        <f t="shared" si="0"/>
        <v>618</v>
      </c>
      <c r="B17" s="188" t="s">
        <v>144</v>
      </c>
      <c r="C17" s="312">
        <f>SUMIF('Recap dep rec'!$A:$A,A17,'Recap dep rec'!$P:$P)</f>
        <v>37.333333333333343</v>
      </c>
      <c r="D17" s="189">
        <f t="shared" si="2"/>
        <v>1.4009300424319196E-3</v>
      </c>
      <c r="E17" s="182"/>
      <c r="F17" s="203"/>
      <c r="G17" s="191"/>
      <c r="H17" s="198"/>
    </row>
    <row r="18" spans="1:8" ht="14.45" x14ac:dyDescent="0.35">
      <c r="A18" t="str">
        <f t="shared" si="0"/>
        <v/>
      </c>
      <c r="B18" s="188"/>
      <c r="C18" s="197"/>
      <c r="D18" s="198"/>
      <c r="E18" s="182"/>
      <c r="F18" s="202"/>
      <c r="G18" s="191"/>
      <c r="H18" s="198"/>
    </row>
    <row r="19" spans="1:8" x14ac:dyDescent="0.25">
      <c r="A19" t="str">
        <f t="shared" si="0"/>
        <v/>
      </c>
      <c r="B19" s="188"/>
      <c r="C19" s="197"/>
      <c r="D19" s="198"/>
      <c r="E19" s="204"/>
      <c r="F19" s="205" t="s">
        <v>145</v>
      </c>
      <c r="G19" s="191"/>
      <c r="H19" s="198"/>
    </row>
    <row r="20" spans="1:8" x14ac:dyDescent="0.25">
      <c r="B20" s="190" t="s">
        <v>146</v>
      </c>
      <c r="C20" s="186"/>
      <c r="D20" s="187"/>
      <c r="E20" s="182"/>
      <c r="F20" s="196"/>
      <c r="G20" s="191"/>
      <c r="H20" s="198"/>
    </row>
    <row r="21" spans="1:8" ht="14.45" x14ac:dyDescent="0.35">
      <c r="A21" t="str">
        <f t="shared" si="0"/>
        <v/>
      </c>
      <c r="B21" s="190"/>
      <c r="C21" s="186"/>
      <c r="D21" s="187"/>
      <c r="E21" s="182"/>
      <c r="F21" s="196"/>
      <c r="G21" s="191"/>
      <c r="H21" s="198"/>
    </row>
    <row r="22" spans="1:8" x14ac:dyDescent="0.25">
      <c r="A22" t="str">
        <f t="shared" si="0"/>
        <v>622</v>
      </c>
      <c r="B22" s="188" t="s">
        <v>147</v>
      </c>
      <c r="C22" s="312">
        <f>SUMIF('Recap dep rec'!$A:$A,A22,'Recap dep rec'!$P:$P)</f>
        <v>473.66666666666669</v>
      </c>
      <c r="D22" s="189">
        <f>C22/$C$55</f>
        <v>1.7774299913354975E-2</v>
      </c>
      <c r="E22" s="182"/>
      <c r="F22" s="203"/>
      <c r="G22" s="191"/>
      <c r="H22" s="198"/>
    </row>
    <row r="23" spans="1:8" x14ac:dyDescent="0.25">
      <c r="A23" t="str">
        <f t="shared" si="0"/>
        <v xml:space="preserve">et </v>
      </c>
      <c r="B23" s="188" t="s">
        <v>148</v>
      </c>
      <c r="C23" s="312"/>
      <c r="D23" s="189"/>
      <c r="E23" s="182"/>
      <c r="F23" s="190"/>
      <c r="G23" s="191"/>
      <c r="H23" s="198"/>
    </row>
    <row r="24" spans="1:8" x14ac:dyDescent="0.25">
      <c r="A24" t="str">
        <f t="shared" si="0"/>
        <v>623</v>
      </c>
      <c r="B24" s="188" t="s">
        <v>149</v>
      </c>
      <c r="C24" s="312">
        <f>SUMIF('Recap dep rec'!$A:$A,A24,'Recap dep rec'!$P:$P)</f>
        <v>182.00000000000006</v>
      </c>
      <c r="D24" s="189">
        <f t="shared" ref="D24:D27" si="3">C24/$C$55</f>
        <v>6.8295339568556091E-3</v>
      </c>
      <c r="E24" s="182"/>
      <c r="F24" s="190" t="s">
        <v>150</v>
      </c>
      <c r="G24" s="191"/>
      <c r="H24" s="198"/>
    </row>
    <row r="25" spans="1:8" x14ac:dyDescent="0.25">
      <c r="A25" t="str">
        <f t="shared" si="0"/>
        <v>625</v>
      </c>
      <c r="B25" s="188" t="s">
        <v>68</v>
      </c>
      <c r="C25" s="312">
        <f>SUMIF('Recap dep rec'!$A:$A,A25,'Recap dep rec'!$P:$P)</f>
        <v>1574.3333333333335</v>
      </c>
      <c r="D25" s="189">
        <f t="shared" si="3"/>
        <v>5.9076719557196032E-2</v>
      </c>
      <c r="E25" s="182"/>
      <c r="F25" s="196"/>
      <c r="G25" s="191"/>
      <c r="H25" s="198"/>
    </row>
    <row r="26" spans="1:8" x14ac:dyDescent="0.25">
      <c r="A26" t="str">
        <f t="shared" si="0"/>
        <v>626</v>
      </c>
      <c r="B26" s="188" t="s">
        <v>69</v>
      </c>
      <c r="C26" s="312">
        <f>SUMIF('Recap dep rec'!$A:$A,A26,'Recap dep rec'!$P:$P)</f>
        <v>137.66666666666669</v>
      </c>
      <c r="D26" s="189">
        <f t="shared" si="3"/>
        <v>5.1659295314677028E-3</v>
      </c>
      <c r="E26" s="182"/>
      <c r="F26" s="196"/>
      <c r="G26" s="191"/>
      <c r="H26" s="198"/>
    </row>
    <row r="27" spans="1:8" x14ac:dyDescent="0.25">
      <c r="A27" t="str">
        <f t="shared" si="0"/>
        <v>628</v>
      </c>
      <c r="B27" s="188" t="s">
        <v>70</v>
      </c>
      <c r="C27" s="312">
        <f>SUMIF('Recap dep rec'!$A:$A,A27,'Recap dep rec'!$P:$P)</f>
        <v>80.500000000000014</v>
      </c>
      <c r="D27" s="189">
        <f t="shared" si="3"/>
        <v>3.0207554039938266E-3</v>
      </c>
      <c r="E27" s="182"/>
      <c r="F27" s="196"/>
      <c r="G27" s="191"/>
      <c r="H27" s="198"/>
    </row>
    <row r="28" spans="1:8" x14ac:dyDescent="0.25">
      <c r="A28" t="str">
        <f t="shared" si="0"/>
        <v/>
      </c>
      <c r="B28" s="188"/>
      <c r="C28" s="197"/>
      <c r="D28" s="198"/>
      <c r="E28" s="182"/>
      <c r="F28" s="190" t="s">
        <v>151</v>
      </c>
      <c r="G28" s="191"/>
      <c r="H28" s="198"/>
    </row>
    <row r="29" spans="1:8" x14ac:dyDescent="0.25">
      <c r="B29" s="190" t="s">
        <v>171</v>
      </c>
      <c r="C29" s="197"/>
      <c r="D29" s="198"/>
      <c r="E29" s="182"/>
      <c r="F29" s="190"/>
      <c r="G29" s="191"/>
      <c r="H29" s="198"/>
    </row>
    <row r="30" spans="1:8" x14ac:dyDescent="0.25">
      <c r="A30" t="str">
        <f t="shared" si="0"/>
        <v>631</v>
      </c>
      <c r="B30" s="188" t="s">
        <v>172</v>
      </c>
      <c r="C30" s="312">
        <f>SUMIF('Recap dep rec'!$A:$A,A30,'Recap dep rec'!$P:$P)</f>
        <v>115.5</v>
      </c>
      <c r="D30" s="189">
        <f t="shared" ref="D30:D31" si="4">C30/$C$55</f>
        <v>4.3341273187737506E-3</v>
      </c>
      <c r="E30" s="182"/>
      <c r="F30" s="190"/>
      <c r="G30" s="191"/>
      <c r="H30" s="198"/>
    </row>
    <row r="31" spans="1:8" x14ac:dyDescent="0.25">
      <c r="A31" t="str">
        <f t="shared" si="0"/>
        <v>635</v>
      </c>
      <c r="B31" s="188" t="s">
        <v>173</v>
      </c>
      <c r="C31" s="312">
        <f>SUMIF('Recap dep rec'!$A:$A,A31,'Recap dep rec'!$P:$P)</f>
        <v>24.896666666666672</v>
      </c>
      <c r="D31" s="189">
        <f t="shared" si="4"/>
        <v>9.3424522204678634E-4</v>
      </c>
      <c r="E31" s="182"/>
      <c r="F31" s="190"/>
      <c r="G31" s="191"/>
      <c r="H31" s="198"/>
    </row>
    <row r="32" spans="1:8" x14ac:dyDescent="0.25">
      <c r="B32" s="190" t="s">
        <v>152</v>
      </c>
      <c r="C32" s="206"/>
      <c r="D32" s="207"/>
      <c r="E32" s="182"/>
      <c r="F32" s="196"/>
      <c r="G32" s="191"/>
      <c r="H32" s="198"/>
    </row>
    <row r="33" spans="1:8" x14ac:dyDescent="0.25">
      <c r="A33" t="str">
        <f t="shared" si="0"/>
        <v>641</v>
      </c>
      <c r="B33" s="188" t="s">
        <v>71</v>
      </c>
      <c r="C33" s="312">
        <f>SUMIF('Recap dep rec'!$A:$A,A33,'Recap dep rec'!$P:$P)</f>
        <v>7040.7666666666682</v>
      </c>
      <c r="D33" s="189">
        <f t="shared" ref="D33:D34" si="5">C33/$C$55</f>
        <v>0.26420414852910479</v>
      </c>
      <c r="E33" s="182"/>
      <c r="F33" s="196"/>
      <c r="G33" s="191"/>
      <c r="H33" s="198"/>
    </row>
    <row r="34" spans="1:8" x14ac:dyDescent="0.25">
      <c r="A34" t="str">
        <f t="shared" si="0"/>
        <v>645</v>
      </c>
      <c r="B34" s="188" t="s">
        <v>72</v>
      </c>
      <c r="C34" s="312">
        <f>SUMIF('Recap dep rec'!$A:$A,A34,'Recap dep rec'!$P:$P)</f>
        <v>16.333333333333336</v>
      </c>
      <c r="D34" s="189">
        <f t="shared" si="5"/>
        <v>6.1290689356396477E-4</v>
      </c>
      <c r="E34" s="182"/>
      <c r="F34" s="196"/>
      <c r="G34" s="191"/>
      <c r="H34" s="198"/>
    </row>
    <row r="35" spans="1:8" x14ac:dyDescent="0.25">
      <c r="A35" t="str">
        <f t="shared" si="0"/>
        <v/>
      </c>
      <c r="B35" s="188"/>
      <c r="C35" s="197"/>
      <c r="D35" s="198"/>
      <c r="E35" s="182"/>
      <c r="F35" s="190" t="s">
        <v>153</v>
      </c>
      <c r="G35" s="191"/>
      <c r="H35" s="198"/>
    </row>
    <row r="36" spans="1:8" x14ac:dyDescent="0.25">
      <c r="A36" t="str">
        <f t="shared" si="0"/>
        <v/>
      </c>
      <c r="B36" s="188"/>
      <c r="C36" s="197"/>
      <c r="D36" s="198"/>
      <c r="E36" s="182"/>
      <c r="F36" s="208"/>
      <c r="G36" s="191"/>
      <c r="H36" s="198"/>
    </row>
    <row r="37" spans="1:8" x14ac:dyDescent="0.25">
      <c r="A37" t="str">
        <f t="shared" si="0"/>
        <v xml:space="preserve">65 </v>
      </c>
      <c r="B37" s="188" t="s">
        <v>73</v>
      </c>
      <c r="C37" s="312">
        <f>SUMIF('Recap dep rec'!$A:$A,A37,'Recap dep rec'!$P:$P)</f>
        <v>0</v>
      </c>
      <c r="D37" s="189">
        <f>C37/$C$55</f>
        <v>0</v>
      </c>
      <c r="E37" s="182"/>
      <c r="F37" s="208"/>
      <c r="G37" s="191"/>
      <c r="H37" s="198"/>
    </row>
    <row r="38" spans="1:8" x14ac:dyDescent="0.25">
      <c r="A38" t="str">
        <f t="shared" si="0"/>
        <v/>
      </c>
      <c r="B38" s="190"/>
      <c r="C38" s="186"/>
      <c r="D38" s="187"/>
      <c r="E38" s="182"/>
      <c r="F38" s="208"/>
      <c r="G38" s="191"/>
      <c r="H38" s="198"/>
    </row>
    <row r="39" spans="1:8" x14ac:dyDescent="0.25">
      <c r="A39" t="str">
        <f t="shared" si="0"/>
        <v/>
      </c>
      <c r="B39" s="188"/>
      <c r="C39" s="197"/>
      <c r="D39" s="198"/>
      <c r="E39" s="182"/>
      <c r="F39" s="209" t="s">
        <v>154</v>
      </c>
      <c r="G39" s="210">
        <f>G15</f>
        <v>9748.9633333333368</v>
      </c>
      <c r="H39" s="265">
        <f>H15</f>
        <v>0.36582898972055083</v>
      </c>
    </row>
    <row r="40" spans="1:8" x14ac:dyDescent="0.25">
      <c r="B40" s="190" t="s">
        <v>155</v>
      </c>
      <c r="C40" s="197"/>
      <c r="D40" s="198"/>
      <c r="E40" s="182"/>
      <c r="F40" s="188"/>
      <c r="G40" s="191"/>
      <c r="H40" s="189"/>
    </row>
    <row r="41" spans="1:8" x14ac:dyDescent="0.25">
      <c r="A41" t="str">
        <f t="shared" si="0"/>
        <v>661</v>
      </c>
      <c r="B41" s="188" t="s">
        <v>74</v>
      </c>
      <c r="C41" s="312">
        <f>SUMIF('Recap dep rec'!$A:$A,A41,'Recap dep rec'!$P:$P)</f>
        <v>0</v>
      </c>
      <c r="D41" s="189">
        <f>C41/$C$55</f>
        <v>0</v>
      </c>
      <c r="E41" s="182"/>
      <c r="F41" s="190" t="s">
        <v>156</v>
      </c>
      <c r="G41" s="186">
        <f>G42</f>
        <v>16900</v>
      </c>
      <c r="H41" s="264">
        <f>G41/C55</f>
        <v>0.63417101027944922</v>
      </c>
    </row>
    <row r="42" spans="1:8" x14ac:dyDescent="0.25">
      <c r="A42" t="str">
        <f t="shared" si="0"/>
        <v/>
      </c>
      <c r="B42" s="188"/>
      <c r="C42" s="197"/>
      <c r="D42" s="198"/>
      <c r="E42" s="182"/>
      <c r="F42" s="188" t="s">
        <v>88</v>
      </c>
      <c r="G42" s="191">
        <f>'Recap dep rec'!P35</f>
        <v>16900</v>
      </c>
      <c r="H42" s="198"/>
    </row>
    <row r="43" spans="1:8" x14ac:dyDescent="0.25">
      <c r="A43" t="str">
        <f t="shared" si="0"/>
        <v/>
      </c>
      <c r="B43" s="188"/>
      <c r="C43" s="197"/>
      <c r="D43" s="198"/>
      <c r="E43" s="182"/>
      <c r="F43" s="188" t="s">
        <v>157</v>
      </c>
      <c r="G43" s="212"/>
      <c r="H43" s="198"/>
    </row>
    <row r="44" spans="1:8" x14ac:dyDescent="0.25">
      <c r="A44" t="str">
        <f t="shared" si="0"/>
        <v xml:space="preserve">68 </v>
      </c>
      <c r="B44" s="190" t="s">
        <v>158</v>
      </c>
      <c r="C44" s="197"/>
      <c r="D44" s="198"/>
      <c r="E44" s="182"/>
      <c r="F44" s="188" t="s">
        <v>87</v>
      </c>
      <c r="G44" s="191"/>
      <c r="H44" s="198"/>
    </row>
    <row r="45" spans="1:8" x14ac:dyDescent="0.25">
      <c r="A45" t="str">
        <f t="shared" si="0"/>
        <v>aux</v>
      </c>
      <c r="B45" s="190" t="s">
        <v>159</v>
      </c>
      <c r="C45" s="194"/>
      <c r="D45" s="189"/>
      <c r="E45" s="182"/>
      <c r="F45" s="188" t="s">
        <v>160</v>
      </c>
      <c r="G45" s="191"/>
      <c r="H45" s="198"/>
    </row>
    <row r="46" spans="1:8" x14ac:dyDescent="0.25">
      <c r="A46" t="str">
        <f t="shared" si="0"/>
        <v>681</v>
      </c>
      <c r="B46" s="213" t="s">
        <v>75</v>
      </c>
      <c r="C46" s="312">
        <f>SUMIF('Recap dep rec'!$A:$A,A46,'Recap dep rec'!$P:$P)</f>
        <v>0</v>
      </c>
      <c r="D46" s="189">
        <f>C46/$C$55</f>
        <v>0</v>
      </c>
      <c r="E46" s="182"/>
      <c r="F46" s="188"/>
      <c r="G46" s="191"/>
      <c r="H46" s="198"/>
    </row>
    <row r="47" spans="1:8" x14ac:dyDescent="0.25">
      <c r="B47" s="188" t="s">
        <v>161</v>
      </c>
      <c r="C47" s="194"/>
      <c r="D47" s="189"/>
      <c r="E47" s="182"/>
      <c r="F47" s="188"/>
      <c r="G47" s="191"/>
      <c r="H47" s="189"/>
    </row>
    <row r="48" spans="1:8" x14ac:dyDescent="0.25">
      <c r="B48" s="213"/>
      <c r="C48" s="194"/>
      <c r="D48" s="189"/>
      <c r="E48" s="182"/>
      <c r="F48" s="190"/>
      <c r="G48" s="191"/>
      <c r="H48" s="189"/>
    </row>
    <row r="49" spans="1:8" x14ac:dyDescent="0.25">
      <c r="B49" s="213"/>
      <c r="C49" s="194"/>
      <c r="D49" s="189"/>
      <c r="E49" s="182"/>
      <c r="F49" s="190" t="s">
        <v>162</v>
      </c>
      <c r="G49" s="214"/>
      <c r="H49" s="187"/>
    </row>
    <row r="50" spans="1:8" x14ac:dyDescent="0.25">
      <c r="B50" s="190" t="s">
        <v>163</v>
      </c>
      <c r="C50" s="186"/>
      <c r="D50" s="187"/>
      <c r="E50" s="182"/>
      <c r="F50" s="188" t="s">
        <v>164</v>
      </c>
      <c r="G50" s="215"/>
      <c r="H50" s="189"/>
    </row>
    <row r="51" spans="1:8" ht="15.75" x14ac:dyDescent="0.25">
      <c r="A51" t="s">
        <v>325</v>
      </c>
      <c r="B51" s="213" t="s">
        <v>29</v>
      </c>
      <c r="C51" s="312">
        <f>SUMIF('Recap dep rec'!$A:$A,A51,'Recap dep rec'!$P:$P)</f>
        <v>0</v>
      </c>
      <c r="D51" s="189">
        <f t="shared" ref="D51:D53" si="6">C51/$C$55</f>
        <v>0</v>
      </c>
      <c r="E51" s="217"/>
      <c r="F51" s="188" t="s">
        <v>165</v>
      </c>
      <c r="G51" s="215"/>
      <c r="H51" s="189"/>
    </row>
    <row r="52" spans="1:8" ht="15.75" x14ac:dyDescent="0.25">
      <c r="B52" s="188" t="s">
        <v>166</v>
      </c>
      <c r="C52" s="312">
        <f>SUMIF('Recap dep rec'!$A:$A,A52,'Recap dep rec'!$P:$P)</f>
        <v>0</v>
      </c>
      <c r="D52" s="189">
        <f t="shared" si="6"/>
        <v>0</v>
      </c>
      <c r="E52" s="217"/>
      <c r="F52" s="188" t="s">
        <v>167</v>
      </c>
      <c r="G52" s="215"/>
      <c r="H52" s="189"/>
    </row>
    <row r="53" spans="1:8" x14ac:dyDescent="0.25">
      <c r="B53" s="188" t="s">
        <v>167</v>
      </c>
      <c r="C53" s="312">
        <f>SUMIF('Recap dep rec'!$A:$A,A53,'Recap dep rec'!$P:$P)</f>
        <v>0</v>
      </c>
      <c r="D53" s="189">
        <f t="shared" si="6"/>
        <v>0</v>
      </c>
      <c r="F53" s="188"/>
      <c r="G53" s="215"/>
      <c r="H53" s="189"/>
    </row>
    <row r="54" spans="1:8" x14ac:dyDescent="0.25">
      <c r="B54" s="218"/>
      <c r="C54" s="219"/>
      <c r="D54" s="220"/>
      <c r="F54" s="188"/>
      <c r="G54" s="215"/>
      <c r="H54" s="189"/>
    </row>
    <row r="55" spans="1:8" x14ac:dyDescent="0.25">
      <c r="B55" s="221" t="s">
        <v>168</v>
      </c>
      <c r="C55" s="222">
        <f>SUM(C5:C54)</f>
        <v>26648.963333333337</v>
      </c>
      <c r="D55" s="223"/>
      <c r="F55" s="221" t="s">
        <v>169</v>
      </c>
      <c r="G55" s="224">
        <f>G39+G41+G49</f>
        <v>26648.963333333337</v>
      </c>
      <c r="H55" s="223"/>
    </row>
    <row r="56" spans="1:8" x14ac:dyDescent="0.25">
      <c r="B56" s="182"/>
      <c r="C56" s="225">
        <f>C55-'Recap dep rec'!P29</f>
        <v>0</v>
      </c>
      <c r="D56" s="226"/>
      <c r="F56" s="182"/>
      <c r="G56" s="225"/>
      <c r="H56" s="227"/>
    </row>
    <row r="57" spans="1:8" ht="15.75" x14ac:dyDescent="0.25">
      <c r="B57" s="182"/>
      <c r="C57" s="228"/>
      <c r="D57" s="229"/>
      <c r="F57" s="217"/>
      <c r="G57" s="228"/>
      <c r="H57" s="230"/>
    </row>
    <row r="58" spans="1:8" ht="15.75" x14ac:dyDescent="0.25">
      <c r="B58" s="217"/>
      <c r="C58" s="228"/>
      <c r="D58" s="229"/>
      <c r="F58" s="217"/>
      <c r="G58" s="228"/>
      <c r="H58" s="226"/>
    </row>
    <row r="59" spans="1:8" ht="15.75" x14ac:dyDescent="0.25">
      <c r="C59" s="231"/>
      <c r="D59" s="232"/>
      <c r="G59" s="231"/>
      <c r="H59" s="229"/>
    </row>
  </sheetData>
  <mergeCells count="1">
    <mergeCell ref="B1:H1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A1:H59"/>
  <sheetViews>
    <sheetView topLeftCell="A19" workbookViewId="0">
      <selection activeCell="H53" sqref="H53"/>
    </sheetView>
  </sheetViews>
  <sheetFormatPr baseColWidth="10" defaultRowHeight="15" x14ac:dyDescent="0.25"/>
  <cols>
    <col min="1" max="1" width="5.28515625" customWidth="1"/>
    <col min="2" max="2" width="50.85546875" bestFit="1" customWidth="1"/>
    <col min="5" max="5" width="5.42578125" customWidth="1"/>
    <col min="6" max="6" width="33" bestFit="1" customWidth="1"/>
  </cols>
  <sheetData>
    <row r="1" spans="1:8" ht="31.5" customHeight="1" x14ac:dyDescent="0.25">
      <c r="B1" s="366" t="s">
        <v>344</v>
      </c>
      <c r="C1" s="367"/>
      <c r="D1" s="367"/>
      <c r="E1" s="367"/>
      <c r="F1" s="367"/>
      <c r="G1" s="367"/>
      <c r="H1" s="368"/>
    </row>
    <row r="2" spans="1:8" x14ac:dyDescent="0.35">
      <c r="B2" s="176"/>
      <c r="C2" s="177"/>
      <c r="D2" s="178"/>
      <c r="E2" s="177"/>
      <c r="F2" s="177"/>
      <c r="G2" s="177"/>
      <c r="H2" s="178"/>
    </row>
    <row r="3" spans="1:8" x14ac:dyDescent="0.25">
      <c r="B3" s="179" t="s">
        <v>129</v>
      </c>
      <c r="C3" s="180" t="s">
        <v>130</v>
      </c>
      <c r="D3" s="181" t="s">
        <v>131</v>
      </c>
      <c r="E3" s="182"/>
      <c r="F3" s="179" t="s">
        <v>132</v>
      </c>
      <c r="G3" s="179" t="s">
        <v>130</v>
      </c>
      <c r="H3" s="181" t="s">
        <v>131</v>
      </c>
    </row>
    <row r="4" spans="1:8" ht="14.45" x14ac:dyDescent="0.35">
      <c r="B4" s="183" t="s">
        <v>133</v>
      </c>
      <c r="C4" s="184"/>
      <c r="D4" s="185"/>
      <c r="E4" s="182"/>
      <c r="F4" s="183" t="s">
        <v>134</v>
      </c>
      <c r="G4" s="186"/>
      <c r="H4" s="187"/>
    </row>
    <row r="5" spans="1:8" ht="14.45" x14ac:dyDescent="0.35">
      <c r="A5" t="str">
        <f>LEFT(B5,3)</f>
        <v>604</v>
      </c>
      <c r="B5" s="188" t="s">
        <v>135</v>
      </c>
      <c r="C5" s="312">
        <f>SUMIF('Recap dep rec'!$A:$A,A5,'Recap dep rec'!$Q:$Q)</f>
        <v>0</v>
      </c>
      <c r="D5" s="189">
        <f>C5/$C$55</f>
        <v>0</v>
      </c>
      <c r="E5" s="182"/>
      <c r="F5" s="190"/>
      <c r="G5" s="191"/>
      <c r="H5" s="189"/>
    </row>
    <row r="6" spans="1:8" x14ac:dyDescent="0.25">
      <c r="A6" t="str">
        <f t="shared" ref="A6:A46" si="0">LEFT(B6,3)</f>
        <v>605</v>
      </c>
      <c r="B6" s="192" t="s">
        <v>136</v>
      </c>
      <c r="C6" s="312">
        <f>SUMIF('Recap dep rec'!$A:$A,A6,'Recap dep rec'!$Q:$Q)</f>
        <v>95.333333333333343</v>
      </c>
      <c r="D6" s="189">
        <f t="shared" ref="D6:D7" si="1">C6/$C$55</f>
        <v>1.2973328699635309E-3</v>
      </c>
      <c r="E6" s="182"/>
      <c r="F6" s="190" t="s">
        <v>137</v>
      </c>
      <c r="G6" s="191"/>
      <c r="H6" s="193"/>
    </row>
    <row r="7" spans="1:8" ht="14.45" x14ac:dyDescent="0.35">
      <c r="A7" t="str">
        <f t="shared" si="0"/>
        <v>606</v>
      </c>
      <c r="B7" s="192" t="s">
        <v>138</v>
      </c>
      <c r="C7" s="312">
        <f>SUMIF('Recap dep rec'!$A:$A,A7,'Recap dep rec'!$Q:$Q)</f>
        <v>429.00000000000011</v>
      </c>
      <c r="D7" s="189">
        <f t="shared" si="1"/>
        <v>5.8379979148358895E-3</v>
      </c>
      <c r="E7" s="182"/>
      <c r="F7" s="196"/>
      <c r="G7" s="191"/>
      <c r="H7" s="189"/>
    </row>
    <row r="8" spans="1:8" ht="14.45" x14ac:dyDescent="0.35">
      <c r="A8" t="str">
        <f t="shared" si="0"/>
        <v>607</v>
      </c>
      <c r="B8" s="188" t="s">
        <v>139</v>
      </c>
      <c r="C8" s="194"/>
      <c r="D8" s="189"/>
      <c r="E8" s="182"/>
      <c r="F8" s="196"/>
      <c r="G8" s="191"/>
      <c r="H8" s="189"/>
    </row>
    <row r="9" spans="1:8" ht="14.45" x14ac:dyDescent="0.35">
      <c r="A9" t="str">
        <f t="shared" si="0"/>
        <v/>
      </c>
      <c r="B9" s="188"/>
      <c r="C9" s="194"/>
      <c r="D9" s="189"/>
      <c r="E9" s="182"/>
      <c r="F9" s="196"/>
      <c r="G9" s="191"/>
      <c r="H9" s="189"/>
    </row>
    <row r="10" spans="1:8" x14ac:dyDescent="0.25">
      <c r="A10" t="str">
        <f t="shared" si="0"/>
        <v/>
      </c>
      <c r="B10" s="196"/>
      <c r="C10" s="197"/>
      <c r="D10" s="198"/>
      <c r="E10" s="182"/>
      <c r="F10" s="199" t="s">
        <v>140</v>
      </c>
      <c r="G10" s="191"/>
      <c r="H10" s="198"/>
    </row>
    <row r="11" spans="1:8" x14ac:dyDescent="0.25">
      <c r="B11" s="190" t="s">
        <v>141</v>
      </c>
      <c r="C11" s="186"/>
      <c r="D11" s="187"/>
      <c r="E11" s="182"/>
      <c r="F11" s="200"/>
      <c r="G11" s="191"/>
      <c r="H11" s="198"/>
    </row>
    <row r="12" spans="1:8" x14ac:dyDescent="0.25">
      <c r="A12" t="str">
        <f t="shared" si="0"/>
        <v>611</v>
      </c>
      <c r="B12" s="188" t="s">
        <v>142</v>
      </c>
      <c r="C12" s="312">
        <f>SUMIF('Recap dep rec'!$A:$A,A12,'Recap dep rec'!$Q:$Q)</f>
        <v>42177</v>
      </c>
      <c r="D12" s="189">
        <f t="shared" ref="D12:D17" si="2">C12/$C$55</f>
        <v>0.5739609278648794</v>
      </c>
      <c r="E12" s="182"/>
      <c r="F12" s="201"/>
      <c r="G12" s="191"/>
      <c r="H12" s="198"/>
    </row>
    <row r="13" spans="1:8" ht="14.45" x14ac:dyDescent="0.35">
      <c r="A13" t="str">
        <f t="shared" si="0"/>
        <v>613</v>
      </c>
      <c r="B13" s="188" t="s">
        <v>170</v>
      </c>
      <c r="C13" s="312">
        <f>SUMIF('Recap dep rec'!$A:$A,A13,'Recap dep rec'!$Q:$Q)</f>
        <v>1503.3333333333335</v>
      </c>
      <c r="D13" s="189">
        <f t="shared" si="2"/>
        <v>2.0457941410963371E-2</v>
      </c>
      <c r="E13" s="182"/>
      <c r="F13" s="202"/>
      <c r="G13" s="191"/>
      <c r="H13" s="198"/>
    </row>
    <row r="14" spans="1:8" ht="14.45" x14ac:dyDescent="0.35">
      <c r="A14" t="str">
        <f t="shared" si="0"/>
        <v>615</v>
      </c>
      <c r="B14" s="188" t="s">
        <v>65</v>
      </c>
      <c r="C14" s="312">
        <f>SUMIF('Recap dep rec'!$A:$A,A14,'Recap dep rec'!$Q:$Q)</f>
        <v>462.00000000000006</v>
      </c>
      <c r="D14" s="189">
        <f t="shared" si="2"/>
        <v>6.2870746775155724E-3</v>
      </c>
      <c r="E14" s="182"/>
      <c r="F14" s="202"/>
      <c r="G14" s="191"/>
      <c r="H14" s="198"/>
    </row>
    <row r="15" spans="1:8" x14ac:dyDescent="0.25">
      <c r="A15" t="str">
        <f t="shared" si="0"/>
        <v>616</v>
      </c>
      <c r="B15" s="188" t="s">
        <v>66</v>
      </c>
      <c r="C15" s="312">
        <f>SUMIF('Recap dep rec'!$A:$A,A15,'Recap dep rec'!$Q:$Q)</f>
        <v>294.80000000000007</v>
      </c>
      <c r="D15" s="189">
        <f t="shared" si="2"/>
        <v>4.0117524132718425E-3</v>
      </c>
      <c r="E15" s="182"/>
      <c r="F15" s="190" t="s">
        <v>143</v>
      </c>
      <c r="G15" s="191">
        <f>'Recap dep rec'!Q38</f>
        <v>27171.59613333334</v>
      </c>
      <c r="H15" s="263">
        <f>G15/G55</f>
        <v>0.36976158873930753</v>
      </c>
    </row>
    <row r="16" spans="1:8" ht="14.45" x14ac:dyDescent="0.35">
      <c r="A16" t="str">
        <f t="shared" si="0"/>
        <v>617</v>
      </c>
      <c r="B16" s="188" t="s">
        <v>67</v>
      </c>
      <c r="C16" s="312">
        <f>SUMIF('Recap dep rec'!$A:$A,A16,'Recap dep rec'!$Q:$Q)</f>
        <v>0</v>
      </c>
      <c r="D16" s="189">
        <f t="shared" si="2"/>
        <v>0</v>
      </c>
      <c r="E16" s="182"/>
      <c r="F16" s="203"/>
      <c r="G16" s="191"/>
      <c r="H16" s="198"/>
    </row>
    <row r="17" spans="1:8" ht="14.45" x14ac:dyDescent="0.35">
      <c r="A17" t="str">
        <f t="shared" si="0"/>
        <v>618</v>
      </c>
      <c r="B17" s="188" t="s">
        <v>144</v>
      </c>
      <c r="C17" s="312">
        <f>SUMIF('Recap dep rec'!$A:$A,A17,'Recap dep rec'!$Q:$Q)</f>
        <v>117.33333333333336</v>
      </c>
      <c r="D17" s="189">
        <f t="shared" si="2"/>
        <v>1.5967173784166536E-3</v>
      </c>
      <c r="E17" s="182"/>
      <c r="F17" s="203"/>
      <c r="G17" s="191"/>
      <c r="H17" s="198"/>
    </row>
    <row r="18" spans="1:8" ht="14.45" x14ac:dyDescent="0.35">
      <c r="A18" t="str">
        <f t="shared" si="0"/>
        <v/>
      </c>
      <c r="B18" s="188"/>
      <c r="C18" s="197"/>
      <c r="D18" s="198"/>
      <c r="E18" s="182"/>
      <c r="F18" s="202"/>
      <c r="G18" s="191"/>
      <c r="H18" s="198"/>
    </row>
    <row r="19" spans="1:8" x14ac:dyDescent="0.25">
      <c r="A19" t="str">
        <f t="shared" si="0"/>
        <v/>
      </c>
      <c r="B19" s="188"/>
      <c r="C19" s="197"/>
      <c r="D19" s="198"/>
      <c r="E19" s="204"/>
      <c r="F19" s="205" t="s">
        <v>145</v>
      </c>
      <c r="G19" s="191"/>
      <c r="H19" s="198"/>
    </row>
    <row r="20" spans="1:8" x14ac:dyDescent="0.25">
      <c r="B20" s="190" t="s">
        <v>146</v>
      </c>
      <c r="C20" s="186"/>
      <c r="D20" s="187"/>
      <c r="E20" s="182"/>
      <c r="F20" s="196"/>
      <c r="G20" s="191"/>
      <c r="H20" s="198"/>
    </row>
    <row r="21" spans="1:8" ht="14.45" x14ac:dyDescent="0.35">
      <c r="A21" t="str">
        <f t="shared" si="0"/>
        <v/>
      </c>
      <c r="B21" s="190"/>
      <c r="C21" s="186"/>
      <c r="D21" s="187"/>
      <c r="E21" s="182"/>
      <c r="F21" s="196"/>
      <c r="G21" s="191"/>
      <c r="H21" s="198"/>
    </row>
    <row r="22" spans="1:8" x14ac:dyDescent="0.25">
      <c r="A22" t="str">
        <f t="shared" si="0"/>
        <v>622</v>
      </c>
      <c r="B22" s="188" t="s">
        <v>147</v>
      </c>
      <c r="C22" s="312">
        <f>SUMIF('Recap dep rec'!$A:$A,A22,'Recap dep rec'!$Q:$Q)</f>
        <v>1488.6666666666667</v>
      </c>
      <c r="D22" s="189">
        <f>C22/$C$55</f>
        <v>2.0258351738661289E-2</v>
      </c>
      <c r="E22" s="182"/>
      <c r="F22" s="203"/>
      <c r="G22" s="191"/>
      <c r="H22" s="198"/>
    </row>
    <row r="23" spans="1:8" ht="14.45" x14ac:dyDescent="0.35">
      <c r="A23" t="str">
        <f t="shared" si="0"/>
        <v xml:space="preserve">et </v>
      </c>
      <c r="B23" s="188" t="s">
        <v>148</v>
      </c>
      <c r="C23" s="197"/>
      <c r="D23" s="198"/>
      <c r="E23" s="182"/>
      <c r="F23" s="190"/>
      <c r="G23" s="191"/>
      <c r="H23" s="198"/>
    </row>
    <row r="24" spans="1:8" x14ac:dyDescent="0.25">
      <c r="A24" t="str">
        <f t="shared" si="0"/>
        <v>623</v>
      </c>
      <c r="B24" s="188" t="s">
        <v>149</v>
      </c>
      <c r="C24" s="312">
        <f>SUMIF('Recap dep rec'!$A:$A,A24,'Recap dep rec'!$Q:$Q)</f>
        <v>572.00000000000011</v>
      </c>
      <c r="D24" s="189">
        <f>C24/$C$55</f>
        <v>7.7839972197811863E-3</v>
      </c>
      <c r="E24" s="182"/>
      <c r="F24" s="190" t="s">
        <v>150</v>
      </c>
      <c r="G24" s="191"/>
      <c r="H24" s="198"/>
    </row>
    <row r="25" spans="1:8" x14ac:dyDescent="0.25">
      <c r="A25" t="str">
        <f t="shared" si="0"/>
        <v>625</v>
      </c>
      <c r="B25" s="188" t="s">
        <v>68</v>
      </c>
      <c r="C25" s="312">
        <f>SUMIF('Recap dep rec'!$A:$A,A25,'Recap dep rec'!$Q:$Q)</f>
        <v>5319.3333333333339</v>
      </c>
      <c r="D25" s="189">
        <f t="shared" ref="D25:D27" si="3">C25/$C$55</f>
        <v>7.2387545240832255E-2</v>
      </c>
      <c r="E25" s="182"/>
      <c r="F25" s="196"/>
      <c r="G25" s="191"/>
      <c r="H25" s="198"/>
    </row>
    <row r="26" spans="1:8" x14ac:dyDescent="0.25">
      <c r="A26" t="str">
        <f t="shared" si="0"/>
        <v>626</v>
      </c>
      <c r="B26" s="188" t="s">
        <v>69</v>
      </c>
      <c r="C26" s="312">
        <f>SUMIF('Recap dep rec'!$A:$A,A26,'Recap dep rec'!$Q:$Q)</f>
        <v>432.66666666666669</v>
      </c>
      <c r="D26" s="189">
        <f t="shared" si="3"/>
        <v>5.8878953329114091E-3</v>
      </c>
      <c r="E26" s="182"/>
      <c r="F26" s="196"/>
      <c r="G26" s="191"/>
      <c r="H26" s="198"/>
    </row>
    <row r="27" spans="1:8" x14ac:dyDescent="0.25">
      <c r="A27" t="str">
        <f t="shared" si="0"/>
        <v>628</v>
      </c>
      <c r="B27" s="188" t="s">
        <v>70</v>
      </c>
      <c r="C27" s="312">
        <f>SUMIF('Recap dep rec'!$A:$A,A27,'Recap dep rec'!$Q:$Q)</f>
        <v>253.00000000000003</v>
      </c>
      <c r="D27" s="189">
        <f t="shared" si="3"/>
        <v>3.4429218472109089E-3</v>
      </c>
      <c r="E27" s="182"/>
      <c r="F27" s="196"/>
      <c r="G27" s="191"/>
      <c r="H27" s="198"/>
    </row>
    <row r="28" spans="1:8" x14ac:dyDescent="0.25">
      <c r="A28" t="str">
        <f t="shared" si="0"/>
        <v/>
      </c>
      <c r="B28" s="188"/>
      <c r="C28" s="197"/>
      <c r="D28" s="198"/>
      <c r="E28" s="182"/>
      <c r="F28" s="190" t="s">
        <v>151</v>
      </c>
      <c r="G28" s="191"/>
      <c r="H28" s="198"/>
    </row>
    <row r="29" spans="1:8" x14ac:dyDescent="0.25">
      <c r="B29" s="190" t="s">
        <v>171</v>
      </c>
      <c r="C29" s="197"/>
      <c r="D29" s="198"/>
      <c r="E29" s="182"/>
      <c r="F29" s="190"/>
      <c r="G29" s="191"/>
      <c r="H29" s="198"/>
    </row>
    <row r="30" spans="1:8" x14ac:dyDescent="0.25">
      <c r="A30" t="str">
        <f t="shared" si="0"/>
        <v>631</v>
      </c>
      <c r="B30" s="188" t="s">
        <v>172</v>
      </c>
      <c r="C30" s="312">
        <f>SUMIF('Recap dep rec'!$A:$A,A30,'Recap dep rec'!$Q:$Q)</f>
        <v>363.00000000000006</v>
      </c>
      <c r="D30" s="189">
        <f t="shared" ref="D30:D31" si="4">C30/$C$55</f>
        <v>4.9398443894765219E-3</v>
      </c>
      <c r="E30" s="182"/>
      <c r="F30" s="190"/>
      <c r="G30" s="191"/>
      <c r="H30" s="198"/>
    </row>
    <row r="31" spans="1:8" x14ac:dyDescent="0.25">
      <c r="A31" t="str">
        <f t="shared" si="0"/>
        <v>635</v>
      </c>
      <c r="B31" s="188" t="s">
        <v>173</v>
      </c>
      <c r="C31" s="312">
        <f>SUMIF('Recap dep rec'!$A:$A,A31,'Recap dep rec'!$Q:$Q)</f>
        <v>78.246666666666684</v>
      </c>
      <c r="D31" s="189">
        <f t="shared" si="4"/>
        <v>1.0648109017316059E-3</v>
      </c>
      <c r="E31" s="182"/>
      <c r="F31" s="190"/>
      <c r="G31" s="191"/>
      <c r="H31" s="198"/>
    </row>
    <row r="32" spans="1:8" x14ac:dyDescent="0.25">
      <c r="B32" s="190" t="s">
        <v>152</v>
      </c>
      <c r="C32" s="206"/>
      <c r="D32" s="207"/>
      <c r="E32" s="182"/>
      <c r="F32" s="196"/>
      <c r="G32" s="191"/>
      <c r="H32" s="198"/>
    </row>
    <row r="33" spans="1:8" x14ac:dyDescent="0.25">
      <c r="A33" t="str">
        <f t="shared" si="0"/>
        <v>641</v>
      </c>
      <c r="B33" s="188" t="s">
        <v>71</v>
      </c>
      <c r="C33" s="312">
        <f>SUMIF('Recap dep rec'!$A:$A,A33,'Recap dep rec'!$Q:$Q)</f>
        <v>19847.049466666667</v>
      </c>
      <c r="D33" s="189">
        <f t="shared" ref="D33:D34" si="5">C33/$C$55</f>
        <v>0.27008632494649121</v>
      </c>
      <c r="E33" s="182"/>
      <c r="F33" s="196"/>
      <c r="G33" s="191"/>
      <c r="H33" s="198"/>
    </row>
    <row r="34" spans="1:8" x14ac:dyDescent="0.25">
      <c r="A34" t="str">
        <f t="shared" si="0"/>
        <v>645</v>
      </c>
      <c r="B34" s="188" t="s">
        <v>72</v>
      </c>
      <c r="C34" s="312">
        <f>SUMIF('Recap dep rec'!$A:$A,A34,'Recap dep rec'!$Q:$Q)</f>
        <v>51.333333333333343</v>
      </c>
      <c r="D34" s="189">
        <f t="shared" si="5"/>
        <v>6.9856385305728586E-4</v>
      </c>
      <c r="E34" s="182"/>
      <c r="F34" s="196"/>
      <c r="G34" s="191"/>
      <c r="H34" s="198"/>
    </row>
    <row r="35" spans="1:8" x14ac:dyDescent="0.25">
      <c r="A35" t="str">
        <f t="shared" si="0"/>
        <v/>
      </c>
      <c r="B35" s="188"/>
      <c r="C35" s="197"/>
      <c r="D35" s="198"/>
      <c r="E35" s="182"/>
      <c r="F35" s="190" t="s">
        <v>153</v>
      </c>
      <c r="G35" s="191"/>
      <c r="H35" s="198"/>
    </row>
    <row r="36" spans="1:8" x14ac:dyDescent="0.25">
      <c r="A36" t="str">
        <f t="shared" si="0"/>
        <v/>
      </c>
      <c r="B36" s="188"/>
      <c r="C36" s="197"/>
      <c r="D36" s="198"/>
      <c r="E36" s="182"/>
      <c r="F36" s="208"/>
      <c r="G36" s="191"/>
      <c r="H36" s="198"/>
    </row>
    <row r="37" spans="1:8" x14ac:dyDescent="0.25">
      <c r="A37" t="str">
        <f t="shared" si="0"/>
        <v xml:space="preserve">65 </v>
      </c>
      <c r="B37" s="188" t="s">
        <v>73</v>
      </c>
      <c r="C37" s="197"/>
      <c r="D37" s="198"/>
      <c r="E37" s="182"/>
      <c r="F37" s="208"/>
      <c r="G37" s="191"/>
      <c r="H37" s="198"/>
    </row>
    <row r="38" spans="1:8" x14ac:dyDescent="0.25">
      <c r="A38" t="str">
        <f t="shared" si="0"/>
        <v/>
      </c>
      <c r="B38" s="190"/>
      <c r="C38" s="186"/>
      <c r="D38" s="187"/>
      <c r="E38" s="182"/>
      <c r="F38" s="208"/>
      <c r="G38" s="191"/>
      <c r="H38" s="198"/>
    </row>
    <row r="39" spans="1:8" x14ac:dyDescent="0.25">
      <c r="A39" t="str">
        <f t="shared" si="0"/>
        <v/>
      </c>
      <c r="B39" s="188"/>
      <c r="C39" s="197"/>
      <c r="D39" s="198"/>
      <c r="E39" s="182"/>
      <c r="F39" s="209" t="s">
        <v>154</v>
      </c>
      <c r="G39" s="210">
        <f>G15</f>
        <v>27171.59613333334</v>
      </c>
      <c r="H39" s="265">
        <f>H15</f>
        <v>0.36976158873930753</v>
      </c>
    </row>
    <row r="40" spans="1:8" x14ac:dyDescent="0.25">
      <c r="B40" s="190" t="s">
        <v>155</v>
      </c>
      <c r="C40" s="197"/>
      <c r="D40" s="198"/>
      <c r="E40" s="182"/>
      <c r="F40" s="188"/>
      <c r="G40" s="191"/>
      <c r="H40" s="189"/>
    </row>
    <row r="41" spans="1:8" x14ac:dyDescent="0.25">
      <c r="A41" t="str">
        <f t="shared" si="0"/>
        <v>661</v>
      </c>
      <c r="B41" s="188" t="s">
        <v>74</v>
      </c>
      <c r="C41" s="312">
        <f>SUMIF('Recap dep rec'!$A:$A,A41,'Recap dep rec'!$Q:$Q)</f>
        <v>0</v>
      </c>
      <c r="D41" s="189">
        <f>C41/$C$55</f>
        <v>0</v>
      </c>
      <c r="E41" s="182"/>
      <c r="F41" s="190" t="s">
        <v>156</v>
      </c>
      <c r="G41" s="186">
        <f>G42</f>
        <v>46312.5</v>
      </c>
      <c r="H41" s="264">
        <f>G41/G55</f>
        <v>0.63023841126069247</v>
      </c>
    </row>
    <row r="42" spans="1:8" x14ac:dyDescent="0.25">
      <c r="A42" t="str">
        <f t="shared" si="0"/>
        <v/>
      </c>
      <c r="B42" s="188"/>
      <c r="C42" s="197"/>
      <c r="D42" s="198"/>
      <c r="E42" s="182"/>
      <c r="F42" s="188" t="s">
        <v>88</v>
      </c>
      <c r="G42" s="191">
        <f>'Recap dep rec'!Q35</f>
        <v>46312.5</v>
      </c>
      <c r="H42" s="198"/>
    </row>
    <row r="43" spans="1:8" x14ac:dyDescent="0.25">
      <c r="A43" t="str">
        <f t="shared" si="0"/>
        <v/>
      </c>
      <c r="B43" s="188"/>
      <c r="C43" s="197"/>
      <c r="D43" s="198"/>
      <c r="E43" s="182"/>
      <c r="F43" s="188" t="s">
        <v>157</v>
      </c>
      <c r="G43" s="212"/>
      <c r="H43" s="198"/>
    </row>
    <row r="44" spans="1:8" x14ac:dyDescent="0.25">
      <c r="A44" t="str">
        <f t="shared" si="0"/>
        <v xml:space="preserve">68 </v>
      </c>
      <c r="B44" s="190" t="s">
        <v>158</v>
      </c>
      <c r="C44" s="197"/>
      <c r="D44" s="198"/>
      <c r="E44" s="182"/>
      <c r="F44" s="188" t="s">
        <v>87</v>
      </c>
      <c r="G44" s="191"/>
      <c r="H44" s="198"/>
    </row>
    <row r="45" spans="1:8" x14ac:dyDescent="0.25">
      <c r="A45" t="str">
        <f t="shared" si="0"/>
        <v>aux</v>
      </c>
      <c r="B45" s="190" t="s">
        <v>159</v>
      </c>
      <c r="C45" s="194"/>
      <c r="D45" s="189"/>
      <c r="E45" s="182"/>
      <c r="F45" s="188" t="s">
        <v>160</v>
      </c>
      <c r="G45" s="191"/>
      <c r="H45" s="198"/>
    </row>
    <row r="46" spans="1:8" x14ac:dyDescent="0.25">
      <c r="A46" t="str">
        <f t="shared" si="0"/>
        <v>681</v>
      </c>
      <c r="B46" s="213" t="s">
        <v>75</v>
      </c>
      <c r="C46" s="312">
        <f>SUMIF('Recap dep rec'!$A:$A,A46,'Recap dep rec'!$Q:$Q)</f>
        <v>0</v>
      </c>
      <c r="D46" s="189">
        <f>C46/$C$55</f>
        <v>0</v>
      </c>
      <c r="E46" s="182"/>
      <c r="F46" s="188"/>
      <c r="G46" s="191"/>
      <c r="H46" s="198"/>
    </row>
    <row r="47" spans="1:8" x14ac:dyDescent="0.25">
      <c r="B47" s="188" t="s">
        <v>161</v>
      </c>
      <c r="C47" s="194"/>
      <c r="D47" s="189"/>
      <c r="E47" s="182"/>
      <c r="F47" s="188"/>
      <c r="G47" s="191"/>
      <c r="H47" s="189"/>
    </row>
    <row r="48" spans="1:8" x14ac:dyDescent="0.25">
      <c r="B48" s="213"/>
      <c r="C48" s="194"/>
      <c r="D48" s="189"/>
      <c r="E48" s="182"/>
      <c r="F48" s="190"/>
      <c r="G48" s="191"/>
      <c r="H48" s="189"/>
    </row>
    <row r="49" spans="1:8" x14ac:dyDescent="0.25">
      <c r="B49" s="213"/>
      <c r="C49" s="194"/>
      <c r="D49" s="189"/>
      <c r="E49" s="182"/>
      <c r="F49" s="190" t="s">
        <v>162</v>
      </c>
      <c r="G49" s="214"/>
      <c r="H49" s="187"/>
    </row>
    <row r="50" spans="1:8" x14ac:dyDescent="0.25">
      <c r="B50" s="190" t="s">
        <v>163</v>
      </c>
      <c r="C50" s="186"/>
      <c r="D50" s="187"/>
      <c r="E50" s="182"/>
      <c r="F50" s="188" t="s">
        <v>164</v>
      </c>
      <c r="G50" s="215"/>
      <c r="H50" s="189"/>
    </row>
    <row r="51" spans="1:8" ht="15.75" x14ac:dyDescent="0.25">
      <c r="A51" t="s">
        <v>325</v>
      </c>
      <c r="B51" s="213" t="s">
        <v>29</v>
      </c>
      <c r="C51" s="312">
        <f>SUMIF('Recap dep rec'!$A:$A,A51,'Recap dep rec'!$Q:$Q)</f>
        <v>0</v>
      </c>
      <c r="D51" s="189">
        <f>C51/$C$55</f>
        <v>0</v>
      </c>
      <c r="E51" s="217"/>
      <c r="F51" s="188" t="s">
        <v>165</v>
      </c>
      <c r="G51" s="215"/>
      <c r="H51" s="189"/>
    </row>
    <row r="52" spans="1:8" ht="15.75" x14ac:dyDescent="0.25">
      <c r="B52" s="188" t="s">
        <v>166</v>
      </c>
      <c r="C52" s="216"/>
      <c r="D52" s="189"/>
      <c r="E52" s="217"/>
      <c r="F52" s="188" t="s">
        <v>167</v>
      </c>
      <c r="G52" s="215"/>
      <c r="H52" s="189"/>
    </row>
    <row r="53" spans="1:8" x14ac:dyDescent="0.25">
      <c r="B53" s="188" t="s">
        <v>167</v>
      </c>
      <c r="C53" s="216"/>
      <c r="D53" s="189"/>
      <c r="F53" s="188"/>
      <c r="G53" s="215"/>
      <c r="H53" s="189"/>
    </row>
    <row r="54" spans="1:8" x14ac:dyDescent="0.25">
      <c r="B54" s="218"/>
      <c r="C54" s="219"/>
      <c r="D54" s="220"/>
      <c r="F54" s="188"/>
      <c r="G54" s="215"/>
      <c r="H54" s="189"/>
    </row>
    <row r="55" spans="1:8" x14ac:dyDescent="0.25">
      <c r="B55" s="221" t="s">
        <v>168</v>
      </c>
      <c r="C55" s="222">
        <f>SUM(C5:C54)</f>
        <v>73484.09613333334</v>
      </c>
      <c r="D55" s="223"/>
      <c r="F55" s="221" t="s">
        <v>169</v>
      </c>
      <c r="G55" s="224">
        <f>G41+G39</f>
        <v>73484.09613333334</v>
      </c>
      <c r="H55" s="223"/>
    </row>
    <row r="56" spans="1:8" x14ac:dyDescent="0.25">
      <c r="B56" s="182"/>
      <c r="C56" s="225">
        <f>C55-'Recap dep rec'!Q29</f>
        <v>0</v>
      </c>
      <c r="D56" s="226"/>
      <c r="F56" s="182"/>
      <c r="G56" s="225"/>
      <c r="H56" s="227"/>
    </row>
    <row r="57" spans="1:8" ht="15.75" x14ac:dyDescent="0.25">
      <c r="B57" s="182"/>
      <c r="C57" s="228"/>
      <c r="D57" s="229"/>
      <c r="F57" s="217"/>
      <c r="G57" s="228"/>
      <c r="H57" s="230"/>
    </row>
    <row r="58" spans="1:8" ht="15.75" x14ac:dyDescent="0.25">
      <c r="B58" s="217"/>
      <c r="C58" s="228"/>
      <c r="D58" s="229"/>
      <c r="F58" s="217"/>
      <c r="G58" s="228"/>
      <c r="H58" s="226"/>
    </row>
    <row r="59" spans="1:8" ht="15.75" x14ac:dyDescent="0.25">
      <c r="C59" s="231"/>
      <c r="D59" s="232"/>
      <c r="G59" s="231"/>
      <c r="H59" s="229"/>
    </row>
  </sheetData>
  <mergeCells count="1">
    <mergeCell ref="B1:H1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A1:H59"/>
  <sheetViews>
    <sheetView topLeftCell="A31" workbookViewId="0">
      <selection activeCell="B62" sqref="B62"/>
    </sheetView>
  </sheetViews>
  <sheetFormatPr baseColWidth="10" defaultRowHeight="15" x14ac:dyDescent="0.25"/>
  <cols>
    <col min="1" max="1" width="7.5703125" bestFit="1" customWidth="1"/>
    <col min="2" max="2" width="50.85546875" bestFit="1" customWidth="1"/>
    <col min="5" max="5" width="5.42578125" customWidth="1"/>
    <col min="6" max="6" width="33" bestFit="1" customWidth="1"/>
  </cols>
  <sheetData>
    <row r="1" spans="1:8" ht="43.5" customHeight="1" x14ac:dyDescent="0.25">
      <c r="B1" s="366" t="s">
        <v>336</v>
      </c>
      <c r="C1" s="367"/>
      <c r="D1" s="367"/>
      <c r="E1" s="367"/>
      <c r="F1" s="367"/>
      <c r="G1" s="367"/>
      <c r="H1" s="368"/>
    </row>
    <row r="2" spans="1:8" x14ac:dyDescent="0.35">
      <c r="B2" s="176"/>
      <c r="C2" s="177"/>
      <c r="D2" s="178"/>
      <c r="E2" s="177"/>
      <c r="F2" s="177"/>
      <c r="G2" s="177"/>
      <c r="H2" s="178"/>
    </row>
    <row r="3" spans="1:8" x14ac:dyDescent="0.25">
      <c r="B3" s="179" t="s">
        <v>129</v>
      </c>
      <c r="C3" s="180" t="s">
        <v>130</v>
      </c>
      <c r="D3" s="181" t="s">
        <v>131</v>
      </c>
      <c r="E3" s="182"/>
      <c r="F3" s="179" t="s">
        <v>132</v>
      </c>
      <c r="G3" s="179" t="s">
        <v>130</v>
      </c>
      <c r="H3" s="181" t="s">
        <v>131</v>
      </c>
    </row>
    <row r="4" spans="1:8" ht="14.45" x14ac:dyDescent="0.35">
      <c r="B4" s="183" t="s">
        <v>133</v>
      </c>
      <c r="C4" s="184"/>
      <c r="D4" s="185"/>
      <c r="E4" s="182"/>
      <c r="F4" s="183" t="s">
        <v>134</v>
      </c>
      <c r="G4" s="186"/>
      <c r="H4" s="187"/>
    </row>
    <row r="5" spans="1:8" ht="14.45" x14ac:dyDescent="0.35">
      <c r="A5" t="str">
        <f>LEFT(B5,3)</f>
        <v>604</v>
      </c>
      <c r="B5" s="188" t="s">
        <v>135</v>
      </c>
      <c r="C5" s="312">
        <f>SUMIF('Recap dep rec'!$A:$A,A5,'Recap dep rec'!$S:$S)</f>
        <v>0</v>
      </c>
      <c r="D5" s="189">
        <f>C5/$C$55</f>
        <v>0</v>
      </c>
      <c r="E5" s="182"/>
      <c r="F5" s="190"/>
      <c r="G5" s="191"/>
      <c r="H5" s="189"/>
    </row>
    <row r="6" spans="1:8" x14ac:dyDescent="0.25">
      <c r="A6" t="str">
        <f t="shared" ref="A6:A46" si="0">LEFT(B6,3)</f>
        <v>605</v>
      </c>
      <c r="B6" s="192" t="s">
        <v>136</v>
      </c>
      <c r="C6" s="312">
        <f>SUMIF('Recap dep rec'!$A:$A,A6,'Recap dep rec'!$S:$S)</f>
        <v>10.833333333333334</v>
      </c>
      <c r="D6" s="189">
        <f t="shared" ref="D6:D8" si="1">C6/$C$55</f>
        <v>1.1597745030378568E-4</v>
      </c>
      <c r="E6" s="182"/>
      <c r="F6" s="190" t="s">
        <v>137</v>
      </c>
      <c r="G6" s="191"/>
      <c r="H6" s="193"/>
    </row>
    <row r="7" spans="1:8" ht="14.45" x14ac:dyDescent="0.35">
      <c r="A7" t="str">
        <f t="shared" si="0"/>
        <v>606</v>
      </c>
      <c r="B7" s="192" t="s">
        <v>138</v>
      </c>
      <c r="C7" s="312">
        <f>SUMIF('Recap dep rec'!$A:$A,A7,'Recap dep rec'!$S:$S)</f>
        <v>48.750000000000007</v>
      </c>
      <c r="D7" s="189">
        <f t="shared" si="1"/>
        <v>5.2189852636703559E-4</v>
      </c>
      <c r="E7" s="182"/>
      <c r="F7" s="196"/>
      <c r="G7" s="191"/>
      <c r="H7" s="189"/>
    </row>
    <row r="8" spans="1:8" ht="14.45" x14ac:dyDescent="0.35">
      <c r="A8" t="str">
        <f t="shared" si="0"/>
        <v>607</v>
      </c>
      <c r="B8" s="188" t="s">
        <v>139</v>
      </c>
      <c r="C8" s="312">
        <f>SUMIF('Recap dep rec'!$A:$A,A8,'Recap dep rec'!$S:$S)</f>
        <v>0</v>
      </c>
      <c r="D8" s="189">
        <f t="shared" si="1"/>
        <v>0</v>
      </c>
      <c r="E8" s="182"/>
      <c r="F8" s="196"/>
      <c r="G8" s="191"/>
      <c r="H8" s="189"/>
    </row>
    <row r="9" spans="1:8" ht="14.45" x14ac:dyDescent="0.35">
      <c r="A9" t="str">
        <f t="shared" si="0"/>
        <v/>
      </c>
      <c r="B9" s="188"/>
      <c r="C9" s="194"/>
      <c r="D9" s="189"/>
      <c r="E9" s="182"/>
      <c r="F9" s="196"/>
      <c r="G9" s="191"/>
      <c r="H9" s="189"/>
    </row>
    <row r="10" spans="1:8" x14ac:dyDescent="0.25">
      <c r="A10" t="str">
        <f t="shared" si="0"/>
        <v/>
      </c>
      <c r="B10" s="196"/>
      <c r="C10" s="197"/>
      <c r="D10" s="198"/>
      <c r="E10" s="182"/>
      <c r="F10" s="199" t="s">
        <v>140</v>
      </c>
      <c r="G10" s="191"/>
      <c r="H10" s="198"/>
    </row>
    <row r="11" spans="1:8" x14ac:dyDescent="0.25">
      <c r="B11" s="190" t="s">
        <v>141</v>
      </c>
      <c r="C11" s="186"/>
      <c r="D11" s="187"/>
      <c r="E11" s="182"/>
      <c r="F11" s="200"/>
      <c r="G11" s="191"/>
      <c r="H11" s="198"/>
    </row>
    <row r="12" spans="1:8" x14ac:dyDescent="0.25">
      <c r="A12" t="str">
        <f t="shared" si="0"/>
        <v>611</v>
      </c>
      <c r="B12" s="188" t="s">
        <v>142</v>
      </c>
      <c r="C12" s="312">
        <f>SUMIF('Recap dep rec'!$A:$A,A12,'Recap dep rec'!$S:$S)</f>
        <v>88850</v>
      </c>
      <c r="D12" s="189">
        <f t="shared" ref="D12:D17" si="2">C12/$C$55</f>
        <v>0.95119351933766372</v>
      </c>
      <c r="E12" s="182"/>
      <c r="F12" s="201"/>
      <c r="G12" s="191"/>
      <c r="H12" s="198"/>
    </row>
    <row r="13" spans="1:8" ht="14.45" x14ac:dyDescent="0.35">
      <c r="A13" t="str">
        <f t="shared" si="0"/>
        <v>613</v>
      </c>
      <c r="B13" s="188" t="s">
        <v>170</v>
      </c>
      <c r="C13" s="312">
        <f>SUMIF('Recap dep rec'!$A:$A,A13,'Recap dep rec'!$S:$S)</f>
        <v>170.83333333333334</v>
      </c>
      <c r="D13" s="189">
        <f t="shared" si="2"/>
        <v>1.8288751778673896E-3</v>
      </c>
      <c r="E13" s="182"/>
      <c r="F13" s="202"/>
      <c r="G13" s="191"/>
      <c r="H13" s="198"/>
    </row>
    <row r="14" spans="1:8" ht="14.45" x14ac:dyDescent="0.35">
      <c r="A14" t="str">
        <f t="shared" si="0"/>
        <v>615</v>
      </c>
      <c r="B14" s="188" t="s">
        <v>65</v>
      </c>
      <c r="C14" s="312">
        <f>SUMIF('Recap dep rec'!$A:$A,A14,'Recap dep rec'!$S:$S)</f>
        <v>52.5</v>
      </c>
      <c r="D14" s="189">
        <f t="shared" si="2"/>
        <v>5.6204456685680752E-4</v>
      </c>
      <c r="E14" s="182"/>
      <c r="F14" s="202"/>
      <c r="G14" s="191"/>
      <c r="H14" s="198"/>
    </row>
    <row r="15" spans="1:8" x14ac:dyDescent="0.25">
      <c r="A15" t="str">
        <f t="shared" si="0"/>
        <v>616</v>
      </c>
      <c r="B15" s="188" t="s">
        <v>66</v>
      </c>
      <c r="C15" s="312">
        <f>SUMIF('Recap dep rec'!$A:$A,A15,'Recap dep rec'!$S:$S)</f>
        <v>33.5</v>
      </c>
      <c r="D15" s="189">
        <f t="shared" si="2"/>
        <v>3.5863796170862954E-4</v>
      </c>
      <c r="E15" s="182"/>
      <c r="F15" s="190" t="s">
        <v>143</v>
      </c>
      <c r="G15" s="191">
        <f>'Recap dep rec'!S38</f>
        <v>27098.962733333319</v>
      </c>
      <c r="H15" s="263">
        <f>G15/G55</f>
        <v>0.29011094803285892</v>
      </c>
    </row>
    <row r="16" spans="1:8" ht="14.45" x14ac:dyDescent="0.35">
      <c r="A16" t="str">
        <f t="shared" si="0"/>
        <v>617</v>
      </c>
      <c r="B16" s="188" t="s">
        <v>67</v>
      </c>
      <c r="C16" s="312">
        <f>SUMIF('Recap dep rec'!$A:$A,A16,'Recap dep rec'!$S:$S)</f>
        <v>0</v>
      </c>
      <c r="D16" s="189">
        <f t="shared" si="2"/>
        <v>0</v>
      </c>
      <c r="E16" s="182"/>
      <c r="F16" s="203"/>
      <c r="G16" s="191"/>
      <c r="H16" s="198"/>
    </row>
    <row r="17" spans="1:8" ht="14.45" x14ac:dyDescent="0.35">
      <c r="A17" t="str">
        <f t="shared" si="0"/>
        <v>618</v>
      </c>
      <c r="B17" s="188" t="s">
        <v>144</v>
      </c>
      <c r="C17" s="312">
        <f>SUMIF('Recap dep rec'!$A:$A,A17,'Recap dep rec'!$S:$S)</f>
        <v>13.333333333333336</v>
      </c>
      <c r="D17" s="189">
        <f t="shared" si="2"/>
        <v>1.42741477296967E-4</v>
      </c>
      <c r="E17" s="182"/>
      <c r="F17" s="203"/>
      <c r="G17" s="191"/>
      <c r="H17" s="198"/>
    </row>
    <row r="18" spans="1:8" ht="14.45" x14ac:dyDescent="0.35">
      <c r="A18" t="str">
        <f t="shared" si="0"/>
        <v/>
      </c>
      <c r="B18" s="188"/>
      <c r="C18" s="197"/>
      <c r="D18" s="198"/>
      <c r="E18" s="182"/>
      <c r="F18" s="202"/>
      <c r="G18" s="191"/>
      <c r="H18" s="198"/>
    </row>
    <row r="19" spans="1:8" x14ac:dyDescent="0.25">
      <c r="A19" t="str">
        <f t="shared" si="0"/>
        <v/>
      </c>
      <c r="B19" s="188"/>
      <c r="C19" s="197"/>
      <c r="D19" s="198"/>
      <c r="E19" s="204"/>
      <c r="F19" s="205" t="s">
        <v>145</v>
      </c>
      <c r="G19" s="191"/>
      <c r="H19" s="198"/>
    </row>
    <row r="20" spans="1:8" x14ac:dyDescent="0.25">
      <c r="B20" s="190" t="s">
        <v>146</v>
      </c>
      <c r="C20" s="186"/>
      <c r="D20" s="187"/>
      <c r="E20" s="182"/>
      <c r="F20" s="196"/>
      <c r="G20" s="191"/>
      <c r="H20" s="198"/>
    </row>
    <row r="21" spans="1:8" ht="14.45" x14ac:dyDescent="0.35">
      <c r="A21" t="str">
        <f t="shared" si="0"/>
        <v/>
      </c>
      <c r="B21" s="190"/>
      <c r="C21" s="186"/>
      <c r="D21" s="187"/>
      <c r="E21" s="182"/>
      <c r="F21" s="196"/>
      <c r="G21" s="191"/>
      <c r="H21" s="198"/>
    </row>
    <row r="22" spans="1:8" x14ac:dyDescent="0.25">
      <c r="A22" t="str">
        <f t="shared" si="0"/>
        <v>622</v>
      </c>
      <c r="B22" s="188" t="s">
        <v>147</v>
      </c>
      <c r="C22" s="312">
        <f>SUMIF('Recap dep rec'!$A:$A,A22,'Recap dep rec'!$S:$S)</f>
        <v>169.16666666666669</v>
      </c>
      <c r="D22" s="189">
        <f>C22/$C$55</f>
        <v>1.8110324932052689E-3</v>
      </c>
      <c r="E22" s="182"/>
      <c r="F22" s="203"/>
      <c r="G22" s="191"/>
      <c r="H22" s="198"/>
    </row>
    <row r="23" spans="1:8" x14ac:dyDescent="0.25">
      <c r="A23" t="str">
        <f t="shared" si="0"/>
        <v xml:space="preserve">et </v>
      </c>
      <c r="B23" s="188" t="s">
        <v>148</v>
      </c>
      <c r="C23" s="197"/>
      <c r="D23" s="198"/>
      <c r="E23" s="182"/>
      <c r="F23" s="190"/>
      <c r="G23" s="191"/>
      <c r="H23" s="198"/>
    </row>
    <row r="24" spans="1:8" x14ac:dyDescent="0.25">
      <c r="A24" t="str">
        <f t="shared" si="0"/>
        <v>623</v>
      </c>
      <c r="B24" s="188" t="s">
        <v>149</v>
      </c>
      <c r="C24" s="312">
        <f>SUMIF('Recap dep rec'!$A:$A,A24,'Recap dep rec'!$S:$S)</f>
        <v>65.000000000000014</v>
      </c>
      <c r="D24" s="189">
        <f t="shared" ref="D24:D27" si="3">C24/$C$55</f>
        <v>6.9586470182271423E-4</v>
      </c>
      <c r="E24" s="182"/>
      <c r="F24" s="190" t="s">
        <v>150</v>
      </c>
      <c r="G24" s="191"/>
      <c r="H24" s="198"/>
    </row>
    <row r="25" spans="1:8" x14ac:dyDescent="0.25">
      <c r="A25" t="str">
        <f t="shared" si="0"/>
        <v>625</v>
      </c>
      <c r="B25" s="188" t="s">
        <v>68</v>
      </c>
      <c r="C25" s="312">
        <f>SUMIF('Recap dep rec'!$A:$A,A25,'Recap dep rec'!$S:$S)</f>
        <v>1040.8333333333333</v>
      </c>
      <c r="D25" s="189">
        <f t="shared" si="3"/>
        <v>1.1142756571494484E-2</v>
      </c>
      <c r="E25" s="182"/>
      <c r="F25" s="196"/>
      <c r="G25" s="191"/>
      <c r="H25" s="198"/>
    </row>
    <row r="26" spans="1:8" x14ac:dyDescent="0.25">
      <c r="A26" t="str">
        <f t="shared" si="0"/>
        <v>626</v>
      </c>
      <c r="B26" s="188" t="s">
        <v>69</v>
      </c>
      <c r="C26" s="312">
        <f>SUMIF('Recap dep rec'!$A:$A,A26,'Recap dep rec'!$S:$S)</f>
        <v>49.166666666666671</v>
      </c>
      <c r="D26" s="189">
        <f t="shared" si="3"/>
        <v>5.2635919753256583E-4</v>
      </c>
      <c r="E26" s="182"/>
      <c r="F26" s="196"/>
      <c r="G26" s="191"/>
      <c r="H26" s="198"/>
    </row>
    <row r="27" spans="1:8" x14ac:dyDescent="0.25">
      <c r="A27" t="str">
        <f t="shared" si="0"/>
        <v>628</v>
      </c>
      <c r="B27" s="188" t="s">
        <v>70</v>
      </c>
      <c r="C27" s="312">
        <f>SUMIF('Recap dep rec'!$A:$A,A27,'Recap dep rec'!$S:$S)</f>
        <v>28.750000000000004</v>
      </c>
      <c r="D27" s="189">
        <f t="shared" si="3"/>
        <v>3.0778631042158508E-4</v>
      </c>
      <c r="E27" s="182"/>
      <c r="F27" s="196"/>
      <c r="G27" s="191"/>
      <c r="H27" s="198"/>
    </row>
    <row r="28" spans="1:8" x14ac:dyDescent="0.25">
      <c r="A28" t="str">
        <f t="shared" si="0"/>
        <v/>
      </c>
      <c r="B28" s="188"/>
      <c r="C28" s="197"/>
      <c r="D28" s="198"/>
      <c r="E28" s="182"/>
      <c r="F28" s="190" t="s">
        <v>151</v>
      </c>
      <c r="G28" s="191"/>
      <c r="H28" s="198"/>
    </row>
    <row r="29" spans="1:8" x14ac:dyDescent="0.25">
      <c r="B29" s="190" t="s">
        <v>171</v>
      </c>
      <c r="C29" s="197"/>
      <c r="D29" s="198"/>
      <c r="E29" s="182"/>
      <c r="F29" s="190"/>
      <c r="G29" s="191"/>
      <c r="H29" s="198"/>
    </row>
    <row r="30" spans="1:8" x14ac:dyDescent="0.25">
      <c r="A30" t="str">
        <f t="shared" si="0"/>
        <v>631</v>
      </c>
      <c r="B30" s="188" t="s">
        <v>172</v>
      </c>
      <c r="C30" s="312">
        <f>SUMIF('Recap dep rec'!$A:$A,A30,'Recap dep rec'!$S:$S)</f>
        <v>41.25</v>
      </c>
      <c r="D30" s="189">
        <f t="shared" ref="D30:D31" si="4">C30/$C$55</f>
        <v>4.4160644538749163E-4</v>
      </c>
      <c r="E30" s="182"/>
      <c r="F30" s="190"/>
      <c r="G30" s="191"/>
      <c r="H30" s="198"/>
    </row>
    <row r="31" spans="1:8" x14ac:dyDescent="0.25">
      <c r="A31" t="str">
        <f t="shared" si="0"/>
        <v>635</v>
      </c>
      <c r="B31" s="188" t="s">
        <v>173</v>
      </c>
      <c r="C31" s="312">
        <f>SUMIF('Recap dep rec'!$A:$A,A31,'Recap dep rec'!$S:$S)</f>
        <v>8.8916666666666675</v>
      </c>
      <c r="D31" s="189">
        <f t="shared" si="4"/>
        <v>9.5190722672414872E-5</v>
      </c>
      <c r="E31" s="182"/>
      <c r="F31" s="190"/>
      <c r="G31" s="191"/>
      <c r="H31" s="198"/>
    </row>
    <row r="32" spans="1:8" x14ac:dyDescent="0.25">
      <c r="B32" s="190" t="s">
        <v>152</v>
      </c>
      <c r="C32" s="206"/>
      <c r="D32" s="207"/>
      <c r="E32" s="182"/>
      <c r="F32" s="196"/>
      <c r="G32" s="191"/>
      <c r="H32" s="198"/>
    </row>
    <row r="33" spans="1:8" x14ac:dyDescent="0.25">
      <c r="A33" t="str">
        <f t="shared" si="0"/>
        <v>641</v>
      </c>
      <c r="B33" s="188" t="s">
        <v>71</v>
      </c>
      <c r="C33" s="312">
        <f>SUMIF('Recap dep rec'!$A:$A,A33,'Recap dep rec'!$S:$S)</f>
        <v>2820.3210666666664</v>
      </c>
      <c r="D33" s="189">
        <f t="shared" ref="D33:D34" si="5">C33/$C$55</f>
        <v>3.0193259663081826E-2</v>
      </c>
      <c r="E33" s="182"/>
      <c r="F33" s="196"/>
      <c r="G33" s="191"/>
      <c r="H33" s="198"/>
    </row>
    <row r="34" spans="1:8" x14ac:dyDescent="0.25">
      <c r="A34" t="str">
        <f t="shared" si="0"/>
        <v>645</v>
      </c>
      <c r="B34" s="188" t="s">
        <v>72</v>
      </c>
      <c r="C34" s="312">
        <f>SUMIF('Recap dep rec'!$A:$A,A34,'Recap dep rec'!$S:$S)</f>
        <v>5.8333333333333339</v>
      </c>
      <c r="D34" s="189">
        <f t="shared" si="5"/>
        <v>6.2449396317423064E-5</v>
      </c>
      <c r="E34" s="182"/>
      <c r="F34" s="196"/>
      <c r="G34" s="191"/>
      <c r="H34" s="198"/>
    </row>
    <row r="35" spans="1:8" x14ac:dyDescent="0.25">
      <c r="A35" t="str">
        <f t="shared" si="0"/>
        <v/>
      </c>
      <c r="B35" s="188"/>
      <c r="C35" s="197"/>
      <c r="D35" s="198"/>
      <c r="E35" s="182"/>
      <c r="F35" s="190" t="s">
        <v>153</v>
      </c>
      <c r="G35" s="191"/>
      <c r="H35" s="198"/>
    </row>
    <row r="36" spans="1:8" x14ac:dyDescent="0.25">
      <c r="A36" t="str">
        <f t="shared" si="0"/>
        <v/>
      </c>
      <c r="B36" s="188"/>
      <c r="C36" s="197"/>
      <c r="D36" s="198"/>
      <c r="E36" s="182"/>
      <c r="F36" s="208"/>
      <c r="G36" s="191"/>
      <c r="H36" s="198"/>
    </row>
    <row r="37" spans="1:8" x14ac:dyDescent="0.25">
      <c r="A37" t="str">
        <f t="shared" si="0"/>
        <v xml:space="preserve">65 </v>
      </c>
      <c r="B37" s="188" t="s">
        <v>73</v>
      </c>
      <c r="C37" s="197"/>
      <c r="D37" s="198"/>
      <c r="E37" s="182"/>
      <c r="F37" s="208"/>
      <c r="G37" s="191"/>
      <c r="H37" s="198"/>
    </row>
    <row r="38" spans="1:8" x14ac:dyDescent="0.25">
      <c r="A38" t="str">
        <f t="shared" si="0"/>
        <v/>
      </c>
      <c r="B38" s="190"/>
      <c r="C38" s="186"/>
      <c r="D38" s="187"/>
      <c r="E38" s="182"/>
      <c r="F38" s="208"/>
      <c r="G38" s="191"/>
      <c r="H38" s="198"/>
    </row>
    <row r="39" spans="1:8" x14ac:dyDescent="0.25">
      <c r="A39" t="str">
        <f t="shared" si="0"/>
        <v/>
      </c>
      <c r="B39" s="188"/>
      <c r="C39" s="197"/>
      <c r="D39" s="198"/>
      <c r="E39" s="182"/>
      <c r="F39" s="209" t="s">
        <v>154</v>
      </c>
      <c r="G39" s="210">
        <f>G15</f>
        <v>27098.962733333319</v>
      </c>
      <c r="H39" s="265">
        <f>H15</f>
        <v>0.29011094803285892</v>
      </c>
    </row>
    <row r="40" spans="1:8" x14ac:dyDescent="0.25">
      <c r="B40" s="190" t="s">
        <v>155</v>
      </c>
      <c r="C40" s="197"/>
      <c r="D40" s="198"/>
      <c r="E40" s="182"/>
      <c r="F40" s="188"/>
      <c r="G40" s="191"/>
      <c r="H40" s="189"/>
    </row>
    <row r="41" spans="1:8" x14ac:dyDescent="0.25">
      <c r="A41" t="str">
        <f t="shared" si="0"/>
        <v>661</v>
      </c>
      <c r="B41" s="188" t="s">
        <v>74</v>
      </c>
      <c r="C41" s="312">
        <f>SUMIF('Recap dep rec'!$A:$A,A41,'Recap dep rec'!$S:$S)</f>
        <v>0</v>
      </c>
      <c r="D41" s="189">
        <f>C41/$C$55</f>
        <v>0</v>
      </c>
      <c r="E41" s="182"/>
      <c r="F41" s="190" t="s">
        <v>156</v>
      </c>
      <c r="G41" s="186">
        <f>G42+G44</f>
        <v>66310</v>
      </c>
      <c r="H41" s="264">
        <f>G41/G55</f>
        <v>0.70988905196714103</v>
      </c>
    </row>
    <row r="42" spans="1:8" x14ac:dyDescent="0.25">
      <c r="A42" t="str">
        <f t="shared" si="0"/>
        <v/>
      </c>
      <c r="B42" s="188"/>
      <c r="C42" s="197"/>
      <c r="D42" s="198"/>
      <c r="E42" s="182"/>
      <c r="F42" s="188" t="s">
        <v>88</v>
      </c>
      <c r="G42" s="191">
        <f>'Recap dep rec'!S35</f>
        <v>66310</v>
      </c>
      <c r="H42" s="198"/>
    </row>
    <row r="43" spans="1:8" x14ac:dyDescent="0.25">
      <c r="A43" t="str">
        <f t="shared" si="0"/>
        <v/>
      </c>
      <c r="B43" s="188"/>
      <c r="C43" s="197"/>
      <c r="D43" s="198"/>
      <c r="E43" s="182"/>
      <c r="F43" s="188" t="s">
        <v>157</v>
      </c>
      <c r="G43" s="212"/>
      <c r="H43" s="198"/>
    </row>
    <row r="44" spans="1:8" x14ac:dyDescent="0.25">
      <c r="A44" t="str">
        <f t="shared" si="0"/>
        <v xml:space="preserve">68 </v>
      </c>
      <c r="B44" s="190" t="s">
        <v>158</v>
      </c>
      <c r="C44" s="197"/>
      <c r="D44" s="198"/>
      <c r="E44" s="182"/>
      <c r="F44" s="188" t="s">
        <v>87</v>
      </c>
      <c r="G44" s="191">
        <f>'Recap dep rec'!S33</f>
        <v>0</v>
      </c>
      <c r="H44" s="198">
        <f>G44/G55</f>
        <v>0</v>
      </c>
    </row>
    <row r="45" spans="1:8" x14ac:dyDescent="0.25">
      <c r="A45" t="str">
        <f t="shared" si="0"/>
        <v>aux</v>
      </c>
      <c r="B45" s="190" t="s">
        <v>159</v>
      </c>
      <c r="C45" s="194"/>
      <c r="D45" s="189"/>
      <c r="E45" s="182"/>
      <c r="F45" s="188" t="s">
        <v>160</v>
      </c>
      <c r="G45" s="191"/>
      <c r="H45" s="198"/>
    </row>
    <row r="46" spans="1:8" x14ac:dyDescent="0.25">
      <c r="A46" t="str">
        <f t="shared" si="0"/>
        <v>681</v>
      </c>
      <c r="B46" s="213" t="s">
        <v>75</v>
      </c>
      <c r="C46" s="312">
        <f>SUMIF('Recap dep rec'!$A:$A,A46,'Recap dep rec'!$S:$S)</f>
        <v>0</v>
      </c>
      <c r="D46" s="189">
        <f>C46/$C$55</f>
        <v>0</v>
      </c>
      <c r="E46" s="182"/>
      <c r="F46" s="188"/>
      <c r="G46" s="191"/>
      <c r="H46" s="198"/>
    </row>
    <row r="47" spans="1:8" x14ac:dyDescent="0.25">
      <c r="B47" s="188" t="s">
        <v>161</v>
      </c>
      <c r="C47" s="194"/>
      <c r="D47" s="189"/>
      <c r="E47" s="182"/>
      <c r="F47" s="188"/>
      <c r="G47" s="191"/>
      <c r="H47" s="189"/>
    </row>
    <row r="48" spans="1:8" x14ac:dyDescent="0.25">
      <c r="B48" s="213"/>
      <c r="C48" s="194"/>
      <c r="D48" s="189"/>
      <c r="E48" s="182"/>
      <c r="F48" s="190"/>
      <c r="G48" s="191"/>
      <c r="H48" s="189"/>
    </row>
    <row r="49" spans="1:8" x14ac:dyDescent="0.25">
      <c r="B49" s="213"/>
      <c r="C49" s="194"/>
      <c r="D49" s="189"/>
      <c r="E49" s="182"/>
      <c r="F49" s="190" t="s">
        <v>162</v>
      </c>
      <c r="G49" s="214"/>
      <c r="H49" s="187"/>
    </row>
    <row r="50" spans="1:8" x14ac:dyDescent="0.25">
      <c r="B50" s="190" t="s">
        <v>163</v>
      </c>
      <c r="C50" s="186"/>
      <c r="D50" s="187"/>
      <c r="E50" s="182"/>
      <c r="F50" s="188" t="s">
        <v>164</v>
      </c>
      <c r="G50" s="215"/>
      <c r="H50" s="189"/>
    </row>
    <row r="51" spans="1:8" ht="15.75" x14ac:dyDescent="0.25">
      <c r="A51" t="s">
        <v>325</v>
      </c>
      <c r="B51" s="213" t="s">
        <v>29</v>
      </c>
      <c r="C51" s="312">
        <f>SUMIF('Recap dep rec'!$A:$A,A51,'Recap dep rec'!$S:$S)</f>
        <v>0</v>
      </c>
      <c r="D51" s="189">
        <f>C51/$C$55</f>
        <v>0</v>
      </c>
      <c r="E51" s="217"/>
      <c r="F51" s="188" t="s">
        <v>165</v>
      </c>
      <c r="G51" s="215"/>
      <c r="H51" s="189"/>
    </row>
    <row r="52" spans="1:8" ht="15.75" x14ac:dyDescent="0.25">
      <c r="B52" s="188" t="s">
        <v>166</v>
      </c>
      <c r="C52" s="216"/>
      <c r="D52" s="189"/>
      <c r="E52" s="217"/>
      <c r="F52" s="188" t="s">
        <v>167</v>
      </c>
      <c r="G52" s="215"/>
      <c r="H52" s="189"/>
    </row>
    <row r="53" spans="1:8" x14ac:dyDescent="0.25">
      <c r="B53" s="188" t="s">
        <v>167</v>
      </c>
      <c r="C53" s="216"/>
      <c r="D53" s="189"/>
      <c r="F53" s="188"/>
      <c r="G53" s="215"/>
      <c r="H53" s="189"/>
    </row>
    <row r="54" spans="1:8" x14ac:dyDescent="0.25">
      <c r="B54" s="218"/>
      <c r="C54" s="219"/>
      <c r="D54" s="220"/>
      <c r="F54" s="188"/>
      <c r="G54" s="215"/>
      <c r="H54" s="189"/>
    </row>
    <row r="55" spans="1:8" x14ac:dyDescent="0.25">
      <c r="B55" s="221" t="s">
        <v>168</v>
      </c>
      <c r="C55" s="222">
        <f>SUM(C5:C54)</f>
        <v>93408.962733333319</v>
      </c>
      <c r="D55" s="223"/>
      <c r="F55" s="221" t="s">
        <v>169</v>
      </c>
      <c r="G55" s="224">
        <f>G41+G39</f>
        <v>93408.962733333319</v>
      </c>
      <c r="H55" s="223"/>
    </row>
    <row r="56" spans="1:8" x14ac:dyDescent="0.25">
      <c r="B56" s="182"/>
      <c r="C56" s="225">
        <f>C55-'Recap dep rec'!S43</f>
        <v>0</v>
      </c>
      <c r="D56" s="226"/>
      <c r="F56" s="182"/>
      <c r="G56" s="225"/>
      <c r="H56" s="227"/>
    </row>
    <row r="57" spans="1:8" ht="15.75" x14ac:dyDescent="0.25">
      <c r="B57" s="182"/>
      <c r="C57" s="228"/>
      <c r="D57" s="229"/>
      <c r="F57" s="217"/>
      <c r="G57" s="228"/>
      <c r="H57" s="230"/>
    </row>
    <row r="58" spans="1:8" ht="15.75" x14ac:dyDescent="0.25">
      <c r="B58" s="217"/>
      <c r="C58" s="228"/>
      <c r="D58" s="229"/>
      <c r="F58" s="217"/>
      <c r="G58" s="228"/>
      <c r="H58" s="226"/>
    </row>
    <row r="59" spans="1:8" ht="15.75" x14ac:dyDescent="0.25">
      <c r="C59" s="231"/>
      <c r="D59" s="232"/>
      <c r="G59" s="231"/>
      <c r="H59" s="229"/>
    </row>
  </sheetData>
  <mergeCells count="1">
    <mergeCell ref="B1:H1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A1:H59"/>
  <sheetViews>
    <sheetView topLeftCell="A19" workbookViewId="0">
      <selection activeCell="B62" sqref="B62"/>
    </sheetView>
  </sheetViews>
  <sheetFormatPr baseColWidth="10" defaultRowHeight="15" x14ac:dyDescent="0.25"/>
  <cols>
    <col min="1" max="1" width="7.5703125" bestFit="1" customWidth="1"/>
    <col min="2" max="2" width="50.85546875" bestFit="1" customWidth="1"/>
    <col min="5" max="5" width="5.42578125" customWidth="1"/>
    <col min="6" max="6" width="33" bestFit="1" customWidth="1"/>
  </cols>
  <sheetData>
    <row r="1" spans="1:8" ht="40.5" customHeight="1" x14ac:dyDescent="0.25">
      <c r="B1" s="366" t="s">
        <v>335</v>
      </c>
      <c r="C1" s="367"/>
      <c r="D1" s="367"/>
      <c r="E1" s="367"/>
      <c r="F1" s="367"/>
      <c r="G1" s="367"/>
      <c r="H1" s="368"/>
    </row>
    <row r="2" spans="1:8" x14ac:dyDescent="0.35">
      <c r="B2" s="176"/>
      <c r="C2" s="177"/>
      <c r="D2" s="178"/>
      <c r="E2" s="177"/>
      <c r="F2" s="177"/>
      <c r="G2" s="177"/>
      <c r="H2" s="178"/>
    </row>
    <row r="3" spans="1:8" x14ac:dyDescent="0.25">
      <c r="B3" s="179" t="s">
        <v>129</v>
      </c>
      <c r="C3" s="180" t="s">
        <v>130</v>
      </c>
      <c r="D3" s="181" t="s">
        <v>131</v>
      </c>
      <c r="E3" s="182"/>
      <c r="F3" s="179" t="s">
        <v>132</v>
      </c>
      <c r="G3" s="179" t="s">
        <v>130</v>
      </c>
      <c r="H3" s="181" t="s">
        <v>131</v>
      </c>
    </row>
    <row r="4" spans="1:8" ht="14.45" x14ac:dyDescent="0.35">
      <c r="B4" s="183" t="s">
        <v>133</v>
      </c>
      <c r="C4" s="184"/>
      <c r="D4" s="185"/>
      <c r="E4" s="182"/>
      <c r="F4" s="183" t="s">
        <v>134</v>
      </c>
      <c r="G4" s="186"/>
      <c r="H4" s="187"/>
    </row>
    <row r="5" spans="1:8" ht="14.45" x14ac:dyDescent="0.35">
      <c r="A5" t="str">
        <f>LEFT(B5,3)</f>
        <v>604</v>
      </c>
      <c r="B5" s="188" t="s">
        <v>135</v>
      </c>
      <c r="C5" s="312">
        <f>SUMIF('Recap dep rec'!$A:$A,A5,'Recap dep rec'!$R:$R)</f>
        <v>0</v>
      </c>
      <c r="D5" s="189">
        <f>C5/$C$55</f>
        <v>0</v>
      </c>
      <c r="E5" s="182"/>
      <c r="F5" s="190"/>
      <c r="G5" s="191"/>
      <c r="H5" s="189"/>
    </row>
    <row r="6" spans="1:8" x14ac:dyDescent="0.25">
      <c r="A6" t="str">
        <f t="shared" ref="A6:A46" si="0">LEFT(B6,3)</f>
        <v>605</v>
      </c>
      <c r="B6" s="192" t="s">
        <v>136</v>
      </c>
      <c r="C6" s="312">
        <f>SUMIF('Recap dep rec'!$A:$A,A6,'Recap dep rec'!$R:$R)</f>
        <v>4.3333333333333339</v>
      </c>
      <c r="D6" s="195">
        <f>C6/C55</f>
        <v>5.5757433683995569E-4</v>
      </c>
      <c r="E6" s="182"/>
      <c r="F6" s="190" t="s">
        <v>137</v>
      </c>
      <c r="G6" s="191"/>
      <c r="H6" s="193"/>
    </row>
    <row r="7" spans="1:8" ht="14.45" x14ac:dyDescent="0.35">
      <c r="A7" t="str">
        <f t="shared" si="0"/>
        <v>606</v>
      </c>
      <c r="B7" s="192" t="s">
        <v>138</v>
      </c>
      <c r="C7" s="312">
        <f>SUMIF('Recap dep rec'!$A:$A,A7,'Recap dep rec'!$R:$R)</f>
        <v>19.5</v>
      </c>
      <c r="D7" s="195">
        <f>C7/C55</f>
        <v>2.5090845157798003E-3</v>
      </c>
      <c r="E7" s="182"/>
      <c r="F7" s="196"/>
      <c r="G7" s="191"/>
      <c r="H7" s="189"/>
    </row>
    <row r="8" spans="1:8" ht="14.45" x14ac:dyDescent="0.35">
      <c r="A8" t="str">
        <f t="shared" si="0"/>
        <v>607</v>
      </c>
      <c r="B8" s="188" t="s">
        <v>139</v>
      </c>
      <c r="C8" s="312">
        <f>SUMIF('Recap dep rec'!$A:$A,A8,'Recap dep rec'!$R:$R)</f>
        <v>0</v>
      </c>
      <c r="D8" s="189"/>
      <c r="E8" s="182"/>
      <c r="F8" s="196"/>
      <c r="G8" s="191"/>
      <c r="H8" s="189"/>
    </row>
    <row r="9" spans="1:8" ht="14.45" x14ac:dyDescent="0.35">
      <c r="A9" t="str">
        <f t="shared" si="0"/>
        <v/>
      </c>
      <c r="B9" s="188"/>
      <c r="C9" s="194"/>
      <c r="D9" s="189"/>
      <c r="E9" s="182"/>
      <c r="F9" s="196"/>
      <c r="G9" s="191"/>
      <c r="H9" s="189"/>
    </row>
    <row r="10" spans="1:8" x14ac:dyDescent="0.25">
      <c r="A10" t="str">
        <f t="shared" si="0"/>
        <v/>
      </c>
      <c r="B10" s="196"/>
      <c r="C10" s="197"/>
      <c r="D10" s="198"/>
      <c r="E10" s="182"/>
      <c r="F10" s="199" t="s">
        <v>140</v>
      </c>
      <c r="G10" s="191"/>
      <c r="H10" s="198"/>
    </row>
    <row r="11" spans="1:8" x14ac:dyDescent="0.25">
      <c r="B11" s="190" t="s">
        <v>141</v>
      </c>
      <c r="C11" s="186"/>
      <c r="D11" s="187"/>
      <c r="E11" s="182"/>
      <c r="F11" s="200"/>
      <c r="G11" s="191"/>
      <c r="H11" s="198"/>
    </row>
    <row r="12" spans="1:8" x14ac:dyDescent="0.25">
      <c r="A12" t="str">
        <f t="shared" si="0"/>
        <v>611</v>
      </c>
      <c r="B12" s="188" t="s">
        <v>142</v>
      </c>
      <c r="C12" s="312">
        <f>SUMIF('Recap dep rec'!$A:$A,A12,'Recap dep rec'!$R:$R)</f>
        <v>6000</v>
      </c>
      <c r="D12" s="263">
        <f>C12/C55</f>
        <v>0.77202600485532313</v>
      </c>
      <c r="E12" s="182"/>
      <c r="F12" s="201"/>
      <c r="G12" s="191"/>
      <c r="H12" s="198"/>
    </row>
    <row r="13" spans="1:8" ht="14.45" x14ac:dyDescent="0.35">
      <c r="A13" t="str">
        <f t="shared" si="0"/>
        <v>613</v>
      </c>
      <c r="B13" s="188" t="s">
        <v>170</v>
      </c>
      <c r="C13" s="312">
        <f>SUMIF('Recap dep rec'!$A:$A,A13,'Recap dep rec'!$R:$R)</f>
        <v>68.333333333333343</v>
      </c>
      <c r="D13" s="263">
        <f>C13/C55</f>
        <v>8.79251838863007E-3</v>
      </c>
      <c r="E13" s="182"/>
      <c r="F13" s="202"/>
      <c r="G13" s="191"/>
      <c r="H13" s="198"/>
    </row>
    <row r="14" spans="1:8" ht="14.45" x14ac:dyDescent="0.35">
      <c r="A14" t="str">
        <f t="shared" si="0"/>
        <v>615</v>
      </c>
      <c r="B14" s="188" t="s">
        <v>65</v>
      </c>
      <c r="C14" s="312">
        <f>SUMIF('Recap dep rec'!$A:$A,A14,'Recap dep rec'!$R:$R)</f>
        <v>21</v>
      </c>
      <c r="D14" s="263">
        <f>C14/C55</f>
        <v>2.7020910169936311E-3</v>
      </c>
      <c r="E14" s="182"/>
      <c r="F14" s="202"/>
      <c r="G14" s="191"/>
      <c r="H14" s="198"/>
    </row>
    <row r="15" spans="1:8" x14ac:dyDescent="0.25">
      <c r="A15" t="str">
        <f t="shared" si="0"/>
        <v>616</v>
      </c>
      <c r="B15" s="188" t="s">
        <v>66</v>
      </c>
      <c r="C15" s="312">
        <f>SUMIF('Recap dep rec'!$A:$A,A15,'Recap dep rec'!$R:$R)</f>
        <v>13.4</v>
      </c>
      <c r="D15" s="263">
        <f>C15/C55</f>
        <v>1.7241914108435551E-3</v>
      </c>
      <c r="E15" s="182"/>
      <c r="F15" s="190" t="s">
        <v>143</v>
      </c>
      <c r="G15" s="191">
        <f>'Recap dep rec'!R38</f>
        <v>2471.7589333333317</v>
      </c>
      <c r="H15" s="263">
        <f>G15/G55</f>
        <v>0.31804369571113117</v>
      </c>
    </row>
    <row r="16" spans="1:8" ht="14.45" x14ac:dyDescent="0.35">
      <c r="A16" t="str">
        <f t="shared" si="0"/>
        <v>617</v>
      </c>
      <c r="B16" s="188" t="s">
        <v>67</v>
      </c>
      <c r="C16" s="312">
        <f>SUMIF('Recap dep rec'!$A:$A,A16,'Recap dep rec'!$R:$R)</f>
        <v>0</v>
      </c>
      <c r="D16" s="198"/>
      <c r="E16" s="182"/>
      <c r="F16" s="203"/>
      <c r="G16" s="191"/>
      <c r="H16" s="198"/>
    </row>
    <row r="17" spans="1:8" ht="14.45" x14ac:dyDescent="0.35">
      <c r="A17" t="str">
        <f t="shared" si="0"/>
        <v>618</v>
      </c>
      <c r="B17" s="188" t="s">
        <v>144</v>
      </c>
      <c r="C17" s="312">
        <f>SUMIF('Recap dep rec'!$A:$A,A17,'Recap dep rec'!$R:$R)</f>
        <v>5.3333333333333339</v>
      </c>
      <c r="D17" s="198"/>
      <c r="E17" s="182"/>
      <c r="F17" s="203"/>
      <c r="G17" s="191"/>
      <c r="H17" s="198"/>
    </row>
    <row r="18" spans="1:8" ht="14.45" x14ac:dyDescent="0.35">
      <c r="A18" t="str">
        <f t="shared" si="0"/>
        <v/>
      </c>
      <c r="B18" s="188"/>
      <c r="C18" s="197"/>
      <c r="D18" s="198"/>
      <c r="E18" s="182"/>
      <c r="F18" s="202"/>
      <c r="G18" s="191"/>
      <c r="H18" s="198"/>
    </row>
    <row r="19" spans="1:8" x14ac:dyDescent="0.25">
      <c r="A19" t="str">
        <f t="shared" si="0"/>
        <v/>
      </c>
      <c r="B19" s="188"/>
      <c r="C19" s="197"/>
      <c r="D19" s="198"/>
      <c r="E19" s="204"/>
      <c r="F19" s="205" t="s">
        <v>145</v>
      </c>
      <c r="G19" s="191"/>
      <c r="H19" s="198"/>
    </row>
    <row r="20" spans="1:8" x14ac:dyDescent="0.25">
      <c r="B20" s="190" t="s">
        <v>146</v>
      </c>
      <c r="C20" s="186"/>
      <c r="D20" s="187"/>
      <c r="E20" s="182"/>
      <c r="F20" s="196"/>
      <c r="G20" s="191"/>
      <c r="H20" s="198"/>
    </row>
    <row r="21" spans="1:8" ht="14.45" x14ac:dyDescent="0.35">
      <c r="A21" t="str">
        <f t="shared" si="0"/>
        <v/>
      </c>
      <c r="B21" s="190"/>
      <c r="C21" s="186"/>
      <c r="D21" s="187"/>
      <c r="E21" s="182"/>
      <c r="F21" s="196"/>
      <c r="G21" s="191"/>
      <c r="H21" s="198"/>
    </row>
    <row r="22" spans="1:8" x14ac:dyDescent="0.25">
      <c r="A22" t="str">
        <f t="shared" si="0"/>
        <v>622</v>
      </c>
      <c r="B22" s="188" t="s">
        <v>147</v>
      </c>
      <c r="C22" s="312">
        <f>SUMIF('Recap dep rec'!$A:$A,A22,'Recap dep rec'!$R:$R)</f>
        <v>67.666666666666671</v>
      </c>
      <c r="D22" s="263">
        <f>C22/C55</f>
        <v>8.7067377214239232E-3</v>
      </c>
      <c r="E22" s="182"/>
      <c r="F22" s="203"/>
      <c r="G22" s="191"/>
      <c r="H22" s="198"/>
    </row>
    <row r="23" spans="1:8" ht="14.45" x14ac:dyDescent="0.35">
      <c r="A23" t="str">
        <f t="shared" si="0"/>
        <v xml:space="preserve">et </v>
      </c>
      <c r="B23" s="188" t="s">
        <v>148</v>
      </c>
      <c r="C23" s="197"/>
      <c r="D23" s="198"/>
      <c r="E23" s="182"/>
      <c r="F23" s="190"/>
      <c r="G23" s="191"/>
      <c r="H23" s="198"/>
    </row>
    <row r="24" spans="1:8" x14ac:dyDescent="0.25">
      <c r="A24" t="str">
        <f t="shared" si="0"/>
        <v>623</v>
      </c>
      <c r="B24" s="188" t="s">
        <v>149</v>
      </c>
      <c r="C24" s="312">
        <f>SUMIF('Recap dep rec'!$A:$A,A24,'Recap dep rec'!$R:$R)</f>
        <v>26.000000000000004</v>
      </c>
      <c r="D24" s="198"/>
      <c r="E24" s="182"/>
      <c r="F24" s="190" t="s">
        <v>150</v>
      </c>
      <c r="G24" s="191"/>
      <c r="H24" s="198"/>
    </row>
    <row r="25" spans="1:8" x14ac:dyDescent="0.25">
      <c r="A25" t="str">
        <f t="shared" si="0"/>
        <v>625</v>
      </c>
      <c r="B25" s="188" t="s">
        <v>68</v>
      </c>
      <c r="C25" s="312">
        <f>SUMIF('Recap dep rec'!$A:$A,A25,'Recap dep rec'!$R:$R)</f>
        <v>96.333333333333343</v>
      </c>
      <c r="D25" s="263">
        <f>C25/C55</f>
        <v>1.2395306411288245E-2</v>
      </c>
      <c r="E25" s="182"/>
      <c r="F25" s="196"/>
      <c r="G25" s="191"/>
      <c r="H25" s="198"/>
    </row>
    <row r="26" spans="1:8" x14ac:dyDescent="0.25">
      <c r="A26" t="str">
        <f t="shared" si="0"/>
        <v>626</v>
      </c>
      <c r="B26" s="188" t="s">
        <v>69</v>
      </c>
      <c r="C26" s="312">
        <f>SUMIF('Recap dep rec'!$A:$A,A26,'Recap dep rec'!$R:$R)</f>
        <v>19.666666666666668</v>
      </c>
      <c r="D26" s="263">
        <f>C26/C55</f>
        <v>2.5305296825813371E-3</v>
      </c>
      <c r="E26" s="182"/>
      <c r="F26" s="196"/>
      <c r="G26" s="191"/>
      <c r="H26" s="198"/>
    </row>
    <row r="27" spans="1:8" x14ac:dyDescent="0.25">
      <c r="A27" t="str">
        <f t="shared" si="0"/>
        <v>628</v>
      </c>
      <c r="B27" s="188" t="s">
        <v>70</v>
      </c>
      <c r="C27" s="312">
        <f>SUMIF('Recap dep rec'!$A:$A,A27,'Recap dep rec'!$R:$R)</f>
        <v>11.5</v>
      </c>
      <c r="D27" s="263">
        <f>C27/C55</f>
        <v>1.479716509306036E-3</v>
      </c>
      <c r="E27" s="182"/>
      <c r="F27" s="196"/>
      <c r="G27" s="191"/>
      <c r="H27" s="198"/>
    </row>
    <row r="28" spans="1:8" x14ac:dyDescent="0.25">
      <c r="A28" t="str">
        <f t="shared" si="0"/>
        <v/>
      </c>
      <c r="B28" s="188"/>
      <c r="C28" s="197"/>
      <c r="D28" s="198"/>
      <c r="E28" s="182"/>
      <c r="F28" s="190" t="s">
        <v>151</v>
      </c>
      <c r="G28" s="191"/>
      <c r="H28" s="198"/>
    </row>
    <row r="29" spans="1:8" x14ac:dyDescent="0.25">
      <c r="B29" s="190" t="s">
        <v>171</v>
      </c>
      <c r="C29" s="197"/>
      <c r="D29" s="198"/>
      <c r="E29" s="182"/>
      <c r="F29" s="190"/>
      <c r="G29" s="191"/>
      <c r="H29" s="198"/>
    </row>
    <row r="30" spans="1:8" x14ac:dyDescent="0.25">
      <c r="A30" t="str">
        <f t="shared" si="0"/>
        <v>631</v>
      </c>
      <c r="B30" s="188" t="s">
        <v>172</v>
      </c>
      <c r="C30" s="312">
        <f>SUMIF('Recap dep rec'!$A:$A,A30,'Recap dep rec'!$R:$R)</f>
        <v>16.5</v>
      </c>
      <c r="D30" s="263">
        <f>C30/C55</f>
        <v>2.1230715133521388E-3</v>
      </c>
      <c r="E30" s="182"/>
      <c r="F30" s="190"/>
      <c r="G30" s="191"/>
      <c r="H30" s="198"/>
    </row>
    <row r="31" spans="1:8" x14ac:dyDescent="0.25">
      <c r="A31" t="str">
        <f t="shared" si="0"/>
        <v>635</v>
      </c>
      <c r="B31" s="188" t="s">
        <v>173</v>
      </c>
      <c r="C31" s="312">
        <f>SUMIF('Recap dep rec'!$A:$A,A31,'Recap dep rec'!$R:$R)</f>
        <v>3.5566666666666671</v>
      </c>
      <c r="D31" s="263">
        <f>C31/C55</f>
        <v>4.5763985954479442E-4</v>
      </c>
      <c r="E31" s="182"/>
      <c r="F31" s="190"/>
      <c r="G31" s="191"/>
      <c r="H31" s="198"/>
    </row>
    <row r="32" spans="1:8" x14ac:dyDescent="0.25">
      <c r="B32" s="190" t="s">
        <v>152</v>
      </c>
      <c r="C32" s="206"/>
      <c r="D32" s="207"/>
      <c r="E32" s="182"/>
      <c r="F32" s="196"/>
      <c r="G32" s="191"/>
      <c r="H32" s="198"/>
    </row>
    <row r="33" spans="1:8" x14ac:dyDescent="0.25">
      <c r="A33" t="str">
        <f t="shared" si="0"/>
        <v>641</v>
      </c>
      <c r="B33" s="188" t="s">
        <v>71</v>
      </c>
      <c r="C33" s="312">
        <f>SUMIF('Recap dep rec'!$A:$A,A33,'Recap dep rec'!$R:$R)</f>
        <v>1396.3022666666668</v>
      </c>
      <c r="D33" s="264">
        <f>C33/C55</f>
        <v>0.17966361008418313</v>
      </c>
      <c r="E33" s="182"/>
      <c r="F33" s="196"/>
      <c r="G33" s="191"/>
      <c r="H33" s="198"/>
    </row>
    <row r="34" spans="1:8" x14ac:dyDescent="0.25">
      <c r="A34" t="str">
        <f t="shared" si="0"/>
        <v>645</v>
      </c>
      <c r="B34" s="188" t="s">
        <v>72</v>
      </c>
      <c r="C34" s="312">
        <f>SUMIF('Recap dep rec'!$A:$A,A34,'Recap dep rec'!$R:$R)</f>
        <v>2.3333333333333335</v>
      </c>
      <c r="D34" s="263">
        <f>C34/C55</f>
        <v>3.002323352215146E-4</v>
      </c>
      <c r="E34" s="182"/>
      <c r="F34" s="196"/>
      <c r="G34" s="191"/>
      <c r="H34" s="198"/>
    </row>
    <row r="35" spans="1:8" x14ac:dyDescent="0.25">
      <c r="A35" t="str">
        <f t="shared" si="0"/>
        <v/>
      </c>
      <c r="B35" s="188"/>
      <c r="C35" s="197"/>
      <c r="D35" s="198"/>
      <c r="E35" s="182"/>
      <c r="F35" s="190" t="s">
        <v>153</v>
      </c>
      <c r="G35" s="191"/>
      <c r="H35" s="198"/>
    </row>
    <row r="36" spans="1:8" x14ac:dyDescent="0.25">
      <c r="A36" t="str">
        <f t="shared" si="0"/>
        <v/>
      </c>
      <c r="B36" s="188"/>
      <c r="C36" s="197"/>
      <c r="D36" s="198"/>
      <c r="E36" s="182"/>
      <c r="F36" s="208"/>
      <c r="G36" s="191"/>
      <c r="H36" s="198"/>
    </row>
    <row r="37" spans="1:8" x14ac:dyDescent="0.25">
      <c r="A37" t="str">
        <f t="shared" si="0"/>
        <v xml:space="preserve">65 </v>
      </c>
      <c r="B37" s="188" t="s">
        <v>73</v>
      </c>
      <c r="C37" s="197"/>
      <c r="D37" s="198"/>
      <c r="E37" s="182"/>
      <c r="F37" s="208"/>
      <c r="G37" s="191"/>
      <c r="H37" s="198"/>
    </row>
    <row r="38" spans="1:8" x14ac:dyDescent="0.25">
      <c r="A38" t="str">
        <f t="shared" si="0"/>
        <v/>
      </c>
      <c r="B38" s="190"/>
      <c r="C38" s="186"/>
      <c r="D38" s="187"/>
      <c r="E38" s="182"/>
      <c r="F38" s="208"/>
      <c r="G38" s="191"/>
      <c r="H38" s="198"/>
    </row>
    <row r="39" spans="1:8" x14ac:dyDescent="0.25">
      <c r="A39" t="str">
        <f t="shared" si="0"/>
        <v/>
      </c>
      <c r="B39" s="188"/>
      <c r="C39" s="197"/>
      <c r="D39" s="198"/>
      <c r="E39" s="182"/>
      <c r="F39" s="209" t="s">
        <v>154</v>
      </c>
      <c r="G39" s="210">
        <f>G15</f>
        <v>2471.7589333333317</v>
      </c>
      <c r="H39" s="265">
        <f>H15</f>
        <v>0.31804369571113117</v>
      </c>
    </row>
    <row r="40" spans="1:8" x14ac:dyDescent="0.25">
      <c r="B40" s="190" t="s">
        <v>155</v>
      </c>
      <c r="C40" s="197"/>
      <c r="D40" s="198"/>
      <c r="E40" s="182"/>
      <c r="F40" s="188"/>
      <c r="G40" s="191"/>
      <c r="H40" s="189"/>
    </row>
    <row r="41" spans="1:8" x14ac:dyDescent="0.25">
      <c r="A41" t="str">
        <f t="shared" si="0"/>
        <v>661</v>
      </c>
      <c r="B41" s="188" t="s">
        <v>74</v>
      </c>
      <c r="C41" s="312">
        <f>SUMIF('Recap dep rec'!$A:$A,A41,'Recap dep rec'!$R:$R)</f>
        <v>0</v>
      </c>
      <c r="D41" s="187"/>
      <c r="E41" s="182"/>
      <c r="F41" s="190" t="s">
        <v>156</v>
      </c>
      <c r="G41" s="186">
        <f>G42+G44</f>
        <v>5300</v>
      </c>
      <c r="H41" s="264">
        <f>G41/G55</f>
        <v>0.68195630428886878</v>
      </c>
    </row>
    <row r="42" spans="1:8" x14ac:dyDescent="0.25">
      <c r="A42" t="str">
        <f t="shared" si="0"/>
        <v/>
      </c>
      <c r="B42" s="188"/>
      <c r="C42" s="197"/>
      <c r="D42" s="198"/>
      <c r="E42" s="182"/>
      <c r="F42" s="188" t="s">
        <v>88</v>
      </c>
      <c r="G42" s="191">
        <f>'Recap dep rec'!R35</f>
        <v>4500</v>
      </c>
      <c r="H42" s="263"/>
    </row>
    <row r="43" spans="1:8" x14ac:dyDescent="0.25">
      <c r="A43" t="str">
        <f t="shared" si="0"/>
        <v/>
      </c>
      <c r="B43" s="188"/>
      <c r="C43" s="197"/>
      <c r="D43" s="198"/>
      <c r="E43" s="182"/>
      <c r="F43" s="188" t="s">
        <v>157</v>
      </c>
      <c r="G43" s="212"/>
      <c r="H43" s="198"/>
    </row>
    <row r="44" spans="1:8" x14ac:dyDescent="0.25">
      <c r="A44" t="str">
        <f t="shared" si="0"/>
        <v xml:space="preserve">68 </v>
      </c>
      <c r="B44" s="190" t="s">
        <v>158</v>
      </c>
      <c r="C44" s="197"/>
      <c r="D44" s="198"/>
      <c r="E44" s="182"/>
      <c r="F44" s="188" t="s">
        <v>87</v>
      </c>
      <c r="G44" s="191">
        <f>'Recap dep rec'!R33</f>
        <v>800</v>
      </c>
      <c r="H44" s="263"/>
    </row>
    <row r="45" spans="1:8" x14ac:dyDescent="0.25">
      <c r="A45" t="str">
        <f t="shared" si="0"/>
        <v>aux</v>
      </c>
      <c r="B45" s="190" t="s">
        <v>159</v>
      </c>
      <c r="C45" s="194"/>
      <c r="D45" s="189"/>
      <c r="E45" s="182"/>
      <c r="F45" s="188" t="s">
        <v>160</v>
      </c>
      <c r="G45" s="191"/>
      <c r="H45" s="198"/>
    </row>
    <row r="46" spans="1:8" x14ac:dyDescent="0.25">
      <c r="A46" t="str">
        <f t="shared" si="0"/>
        <v>681</v>
      </c>
      <c r="B46" s="213" t="s">
        <v>75</v>
      </c>
      <c r="C46" s="312">
        <f>SUMIF('Recap dep rec'!$A:$A,A46,'Recap dep rec'!$R:$R)</f>
        <v>0</v>
      </c>
      <c r="D46" s="187"/>
      <c r="E46" s="182"/>
      <c r="F46" s="188"/>
      <c r="G46" s="191"/>
      <c r="H46" s="198"/>
    </row>
    <row r="47" spans="1:8" x14ac:dyDescent="0.25">
      <c r="B47" s="188" t="s">
        <v>161</v>
      </c>
      <c r="C47" s="194"/>
      <c r="D47" s="189"/>
      <c r="E47" s="182"/>
      <c r="F47" s="188"/>
      <c r="G47" s="191"/>
      <c r="H47" s="189"/>
    </row>
    <row r="48" spans="1:8" x14ac:dyDescent="0.25">
      <c r="B48" s="213"/>
      <c r="C48" s="194"/>
      <c r="D48" s="189"/>
      <c r="E48" s="182"/>
      <c r="F48" s="190"/>
      <c r="G48" s="191"/>
      <c r="H48" s="189"/>
    </row>
    <row r="49" spans="1:8" x14ac:dyDescent="0.25">
      <c r="B49" s="213"/>
      <c r="C49" s="194"/>
      <c r="D49" s="189"/>
      <c r="E49" s="182"/>
      <c r="F49" s="190" t="s">
        <v>162</v>
      </c>
      <c r="G49" s="214"/>
      <c r="H49" s="187"/>
    </row>
    <row r="50" spans="1:8" x14ac:dyDescent="0.25">
      <c r="B50" s="190" t="s">
        <v>163</v>
      </c>
      <c r="C50" s="186"/>
      <c r="D50" s="187"/>
      <c r="E50" s="182"/>
      <c r="F50" s="188" t="s">
        <v>164</v>
      </c>
      <c r="G50" s="215"/>
      <c r="H50" s="189"/>
    </row>
    <row r="51" spans="1:8" ht="15.75" x14ac:dyDescent="0.25">
      <c r="A51" t="s">
        <v>325</v>
      </c>
      <c r="B51" s="213" t="s">
        <v>29</v>
      </c>
      <c r="C51" s="312">
        <f>SUMIF('Recap dep rec'!$A:$A,A51,'Recap dep rec'!$R:$R)</f>
        <v>0</v>
      </c>
      <c r="D51" s="189"/>
      <c r="E51" s="217"/>
      <c r="F51" s="188" t="s">
        <v>165</v>
      </c>
      <c r="G51" s="215"/>
      <c r="H51" s="189"/>
    </row>
    <row r="52" spans="1:8" ht="15.75" x14ac:dyDescent="0.25">
      <c r="B52" s="188" t="s">
        <v>166</v>
      </c>
      <c r="C52" s="216"/>
      <c r="D52" s="189"/>
      <c r="E52" s="217"/>
      <c r="F52" s="188" t="s">
        <v>167</v>
      </c>
      <c r="G52" s="215"/>
      <c r="H52" s="189"/>
    </row>
    <row r="53" spans="1:8" x14ac:dyDescent="0.25">
      <c r="B53" s="188" t="s">
        <v>167</v>
      </c>
      <c r="C53" s="216"/>
      <c r="D53" s="189"/>
      <c r="F53" s="188"/>
      <c r="G53" s="215"/>
      <c r="H53" s="189"/>
    </row>
    <row r="54" spans="1:8" x14ac:dyDescent="0.25">
      <c r="B54" s="218"/>
      <c r="C54" s="219"/>
      <c r="D54" s="220"/>
      <c r="F54" s="188"/>
      <c r="G54" s="215"/>
      <c r="H54" s="189"/>
    </row>
    <row r="55" spans="1:8" x14ac:dyDescent="0.25">
      <c r="B55" s="221" t="s">
        <v>168</v>
      </c>
      <c r="C55" s="222">
        <f>SUM(C5:C54)</f>
        <v>7771.7589333333317</v>
      </c>
      <c r="D55" s="223"/>
      <c r="F55" s="221" t="s">
        <v>169</v>
      </c>
      <c r="G55" s="224">
        <f>G41+G39</f>
        <v>7771.7589333333317</v>
      </c>
      <c r="H55" s="223"/>
    </row>
    <row r="56" spans="1:8" x14ac:dyDescent="0.25">
      <c r="B56" s="182"/>
      <c r="C56" s="225">
        <f>C55-'Recap dep rec'!R29</f>
        <v>0</v>
      </c>
      <c r="D56" s="226"/>
      <c r="F56" s="182"/>
      <c r="G56" s="225"/>
      <c r="H56" s="227"/>
    </row>
    <row r="57" spans="1:8" ht="15.75" x14ac:dyDescent="0.25">
      <c r="B57" s="182"/>
      <c r="C57" s="228"/>
      <c r="D57" s="229"/>
      <c r="F57" s="217"/>
      <c r="G57" s="228"/>
      <c r="H57" s="230"/>
    </row>
    <row r="58" spans="1:8" ht="15.75" x14ac:dyDescent="0.25">
      <c r="B58" s="217"/>
      <c r="C58" s="228"/>
      <c r="D58" s="229"/>
      <c r="F58" s="217"/>
      <c r="G58" s="228"/>
      <c r="H58" s="226"/>
    </row>
    <row r="59" spans="1:8" ht="15.75" x14ac:dyDescent="0.25">
      <c r="C59" s="231"/>
      <c r="D59" s="232"/>
      <c r="G59" s="231"/>
      <c r="H59" s="229"/>
    </row>
  </sheetData>
  <mergeCells count="1">
    <mergeCell ref="B1:H1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A1:H59"/>
  <sheetViews>
    <sheetView topLeftCell="A19" workbookViewId="0">
      <selection activeCell="B62" sqref="B62"/>
    </sheetView>
  </sheetViews>
  <sheetFormatPr baseColWidth="10" defaultRowHeight="15" x14ac:dyDescent="0.25"/>
  <cols>
    <col min="1" max="1" width="7.5703125" bestFit="1" customWidth="1"/>
    <col min="2" max="2" width="50.85546875" bestFit="1" customWidth="1"/>
    <col min="5" max="5" width="5.42578125" customWidth="1"/>
    <col min="6" max="6" width="33" bestFit="1" customWidth="1"/>
  </cols>
  <sheetData>
    <row r="1" spans="1:8" ht="35.25" customHeight="1" x14ac:dyDescent="0.25">
      <c r="B1" s="366" t="s">
        <v>337</v>
      </c>
      <c r="C1" s="367"/>
      <c r="D1" s="367"/>
      <c r="E1" s="367"/>
      <c r="F1" s="367"/>
      <c r="G1" s="367"/>
      <c r="H1" s="368"/>
    </row>
    <row r="2" spans="1:8" x14ac:dyDescent="0.35">
      <c r="B2" s="176"/>
      <c r="C2" s="177"/>
      <c r="D2" s="178"/>
      <c r="E2" s="177"/>
      <c r="F2" s="177"/>
      <c r="G2" s="177"/>
      <c r="H2" s="178"/>
    </row>
    <row r="3" spans="1:8" x14ac:dyDescent="0.25">
      <c r="B3" s="179" t="s">
        <v>129</v>
      </c>
      <c r="C3" s="180" t="s">
        <v>130</v>
      </c>
      <c r="D3" s="181" t="s">
        <v>131</v>
      </c>
      <c r="E3" s="182"/>
      <c r="F3" s="179" t="s">
        <v>132</v>
      </c>
      <c r="G3" s="179" t="s">
        <v>130</v>
      </c>
      <c r="H3" s="181" t="s">
        <v>131</v>
      </c>
    </row>
    <row r="4" spans="1:8" ht="14.45" x14ac:dyDescent="0.35">
      <c r="B4" s="183" t="s">
        <v>133</v>
      </c>
      <c r="C4" s="184"/>
      <c r="D4" s="185"/>
      <c r="E4" s="182"/>
      <c r="F4" s="183" t="s">
        <v>134</v>
      </c>
      <c r="G4" s="186"/>
      <c r="H4" s="187"/>
    </row>
    <row r="5" spans="1:8" ht="14.45" x14ac:dyDescent="0.35">
      <c r="A5" t="str">
        <f>LEFT(B5,3)</f>
        <v>604</v>
      </c>
      <c r="B5" s="188" t="s">
        <v>135</v>
      </c>
      <c r="C5" s="312">
        <f>SUMIF('Recap dep rec'!$A:$A,A5,'Recap dep rec'!$T:$T)</f>
        <v>0</v>
      </c>
      <c r="D5" s="189">
        <f>C5/$C$55</f>
        <v>0</v>
      </c>
      <c r="E5" s="182"/>
      <c r="F5" s="190"/>
      <c r="G5" s="191"/>
      <c r="H5" s="189"/>
    </row>
    <row r="6" spans="1:8" x14ac:dyDescent="0.25">
      <c r="A6" t="str">
        <f t="shared" ref="A6:A46" si="0">LEFT(B6,3)</f>
        <v>605</v>
      </c>
      <c r="B6" s="192" t="s">
        <v>136</v>
      </c>
      <c r="C6" s="312">
        <f>SUMIF('Recap dep rec'!$A:$A,A6,'Recap dep rec'!$T:$T)</f>
        <v>47.666666666666671</v>
      </c>
      <c r="D6" s="189">
        <f t="shared" ref="D6:D7" si="1">C6/$C$55</f>
        <v>1.5825344714077234E-3</v>
      </c>
      <c r="E6" s="182"/>
      <c r="F6" s="190" t="s">
        <v>137</v>
      </c>
      <c r="G6" s="191"/>
      <c r="H6" s="193"/>
    </row>
    <row r="7" spans="1:8" ht="14.45" x14ac:dyDescent="0.35">
      <c r="A7" t="str">
        <f t="shared" si="0"/>
        <v>606</v>
      </c>
      <c r="B7" s="192" t="s">
        <v>138</v>
      </c>
      <c r="C7" s="312">
        <f>SUMIF('Recap dep rec'!$A:$A,A7,'Recap dep rec'!$T:$T)</f>
        <v>214.50000000000006</v>
      </c>
      <c r="D7" s="189">
        <f t="shared" si="1"/>
        <v>7.1214051213347564E-3</v>
      </c>
      <c r="E7" s="182"/>
      <c r="F7" s="196"/>
      <c r="G7" s="191"/>
      <c r="H7" s="189"/>
    </row>
    <row r="8" spans="1:8" ht="14.45" x14ac:dyDescent="0.35">
      <c r="A8" t="str">
        <f t="shared" si="0"/>
        <v>607</v>
      </c>
      <c r="B8" s="188" t="s">
        <v>139</v>
      </c>
      <c r="C8" s="197"/>
      <c r="D8" s="189"/>
      <c r="E8" s="182"/>
      <c r="F8" s="196"/>
      <c r="G8" s="191"/>
      <c r="H8" s="189"/>
    </row>
    <row r="9" spans="1:8" ht="14.45" x14ac:dyDescent="0.35">
      <c r="A9" t="str">
        <f t="shared" si="0"/>
        <v/>
      </c>
      <c r="B9" s="188"/>
      <c r="C9" s="197"/>
      <c r="D9" s="189"/>
      <c r="E9" s="182"/>
      <c r="F9" s="196"/>
      <c r="G9" s="191"/>
      <c r="H9" s="189"/>
    </row>
    <row r="10" spans="1:8" x14ac:dyDescent="0.25">
      <c r="A10" t="str">
        <f t="shared" si="0"/>
        <v/>
      </c>
      <c r="B10" s="196"/>
      <c r="C10" s="197"/>
      <c r="D10" s="198"/>
      <c r="E10" s="182"/>
      <c r="F10" s="199" t="s">
        <v>140</v>
      </c>
      <c r="G10" s="191"/>
      <c r="H10" s="198"/>
    </row>
    <row r="11" spans="1:8" x14ac:dyDescent="0.25">
      <c r="B11" s="190" t="s">
        <v>141</v>
      </c>
      <c r="C11" s="186"/>
      <c r="D11" s="187"/>
      <c r="E11" s="182"/>
      <c r="F11" s="200"/>
      <c r="G11" s="191"/>
      <c r="H11" s="198"/>
    </row>
    <row r="12" spans="1:8" x14ac:dyDescent="0.25">
      <c r="A12" t="str">
        <f t="shared" si="0"/>
        <v>611</v>
      </c>
      <c r="B12" s="188" t="s">
        <v>142</v>
      </c>
      <c r="C12" s="312">
        <f>SUMIF('Recap dep rec'!$A:$A,A12,'Recap dep rec'!$T:$T)</f>
        <v>4940</v>
      </c>
      <c r="D12" s="189">
        <f t="shared" ref="D12:D17" si="2">C12/$C$55</f>
        <v>0.16400811794589132</v>
      </c>
      <c r="E12" s="182"/>
      <c r="F12" s="201"/>
      <c r="G12" s="191"/>
      <c r="H12" s="198"/>
    </row>
    <row r="13" spans="1:8" ht="14.45" x14ac:dyDescent="0.35">
      <c r="A13" t="str">
        <f t="shared" si="0"/>
        <v>613</v>
      </c>
      <c r="B13" s="188" t="s">
        <v>170</v>
      </c>
      <c r="C13" s="312">
        <f>SUMIF('Recap dep rec'!$A:$A,A13,'Recap dep rec'!$T:$T)</f>
        <v>751.66666666666674</v>
      </c>
      <c r="D13" s="189">
        <f t="shared" si="2"/>
        <v>2.4955351279891024E-2</v>
      </c>
      <c r="E13" s="182"/>
      <c r="F13" s="202"/>
      <c r="G13" s="191"/>
      <c r="H13" s="198"/>
    </row>
    <row r="14" spans="1:8" ht="14.45" x14ac:dyDescent="0.35">
      <c r="A14" t="str">
        <f t="shared" si="0"/>
        <v>615</v>
      </c>
      <c r="B14" s="188" t="s">
        <v>65</v>
      </c>
      <c r="C14" s="312">
        <f>SUMIF('Recap dep rec'!$A:$A,A14,'Recap dep rec'!$T:$T)</f>
        <v>231.00000000000003</v>
      </c>
      <c r="D14" s="189">
        <f t="shared" si="2"/>
        <v>7.6692055152835824E-3</v>
      </c>
      <c r="E14" s="182"/>
      <c r="F14" s="202"/>
      <c r="G14" s="191"/>
      <c r="H14" s="198"/>
    </row>
    <row r="15" spans="1:8" x14ac:dyDescent="0.25">
      <c r="A15" t="str">
        <f t="shared" si="0"/>
        <v>616</v>
      </c>
      <c r="B15" s="188" t="s">
        <v>66</v>
      </c>
      <c r="C15" s="312">
        <f>SUMIF('Recap dep rec'!$A:$A,A15,'Recap dep rec'!$T:$T)</f>
        <v>147.40000000000003</v>
      </c>
      <c r="D15" s="189">
        <f t="shared" si="2"/>
        <v>4.8936835192761917E-3</v>
      </c>
      <c r="E15" s="182"/>
      <c r="F15" s="190" t="s">
        <v>143</v>
      </c>
      <c r="G15" s="191">
        <f>'Recap dep rec'!T38</f>
        <v>14220.460266666669</v>
      </c>
      <c r="H15" s="263">
        <f>G15/C55</f>
        <v>0.47211962037658461</v>
      </c>
    </row>
    <row r="16" spans="1:8" ht="14.45" x14ac:dyDescent="0.35">
      <c r="A16" t="str">
        <f t="shared" si="0"/>
        <v>617</v>
      </c>
      <c r="B16" s="188" t="s">
        <v>67</v>
      </c>
      <c r="C16" s="312">
        <f>SUMIF('Recap dep rec'!$A:$A,A16,'Recap dep rec'!$T:$T)</f>
        <v>0</v>
      </c>
      <c r="D16" s="189">
        <f t="shared" si="2"/>
        <v>0</v>
      </c>
      <c r="E16" s="182"/>
      <c r="F16" s="203"/>
      <c r="G16" s="191"/>
      <c r="H16" s="198"/>
    </row>
    <row r="17" spans="1:8" ht="14.45" x14ac:dyDescent="0.35">
      <c r="A17" t="str">
        <f t="shared" si="0"/>
        <v>618</v>
      </c>
      <c r="B17" s="188" t="s">
        <v>144</v>
      </c>
      <c r="C17" s="312">
        <f>SUMIF('Recap dep rec'!$A:$A,A17,'Recap dep rec'!$T:$T)</f>
        <v>58.666666666666679</v>
      </c>
      <c r="D17" s="189">
        <f t="shared" si="2"/>
        <v>1.9477347340402752E-3</v>
      </c>
      <c r="E17" s="182"/>
      <c r="F17" s="203"/>
      <c r="G17" s="191"/>
      <c r="H17" s="198"/>
    </row>
    <row r="18" spans="1:8" ht="14.45" x14ac:dyDescent="0.35">
      <c r="A18" t="str">
        <f t="shared" si="0"/>
        <v/>
      </c>
      <c r="B18" s="188"/>
      <c r="C18" s="197"/>
      <c r="D18" s="198"/>
      <c r="E18" s="182"/>
      <c r="F18" s="202"/>
      <c r="G18" s="191"/>
      <c r="H18" s="198"/>
    </row>
    <row r="19" spans="1:8" x14ac:dyDescent="0.25">
      <c r="A19" t="str">
        <f t="shared" si="0"/>
        <v/>
      </c>
      <c r="B19" s="188"/>
      <c r="C19" s="197"/>
      <c r="D19" s="198"/>
      <c r="E19" s="204"/>
      <c r="F19" s="205" t="s">
        <v>145</v>
      </c>
      <c r="G19" s="191"/>
      <c r="H19" s="198"/>
    </row>
    <row r="20" spans="1:8" x14ac:dyDescent="0.25">
      <c r="B20" s="190" t="s">
        <v>146</v>
      </c>
      <c r="C20" s="186"/>
      <c r="D20" s="187"/>
      <c r="E20" s="182"/>
      <c r="F20" s="196"/>
      <c r="G20" s="191"/>
      <c r="H20" s="198"/>
    </row>
    <row r="21" spans="1:8" ht="14.45" x14ac:dyDescent="0.35">
      <c r="A21" t="str">
        <f t="shared" si="0"/>
        <v/>
      </c>
      <c r="B21" s="190"/>
      <c r="C21" s="186"/>
      <c r="D21" s="187"/>
      <c r="E21" s="182"/>
      <c r="F21" s="196"/>
      <c r="G21" s="191"/>
      <c r="H21" s="198"/>
    </row>
    <row r="22" spans="1:8" x14ac:dyDescent="0.25">
      <c r="A22" t="str">
        <f t="shared" si="0"/>
        <v>622</v>
      </c>
      <c r="B22" s="188" t="s">
        <v>147</v>
      </c>
      <c r="C22" s="312">
        <f>SUMIF('Recap dep rec'!$A:$A,A22,'Recap dep rec'!$T:$T)</f>
        <v>744.33333333333337</v>
      </c>
      <c r="D22" s="189">
        <f>C22/$C$55</f>
        <v>2.4711884438135986E-2</v>
      </c>
      <c r="E22" s="182"/>
      <c r="F22" s="203"/>
      <c r="G22" s="191"/>
      <c r="H22" s="198"/>
    </row>
    <row r="23" spans="1:8" x14ac:dyDescent="0.25">
      <c r="A23" t="str">
        <f t="shared" si="0"/>
        <v xml:space="preserve">et </v>
      </c>
      <c r="B23" s="188" t="s">
        <v>148</v>
      </c>
      <c r="C23" s="197"/>
      <c r="D23" s="198"/>
      <c r="E23" s="182"/>
      <c r="F23" s="190"/>
      <c r="G23" s="191"/>
      <c r="H23" s="198"/>
    </row>
    <row r="24" spans="1:8" x14ac:dyDescent="0.25">
      <c r="A24" t="str">
        <f t="shared" si="0"/>
        <v>623</v>
      </c>
      <c r="B24" s="188" t="s">
        <v>149</v>
      </c>
      <c r="C24" s="312">
        <f>SUMIF('Recap dep rec'!$A:$A,A24,'Recap dep rec'!$T:$T)</f>
        <v>286.00000000000006</v>
      </c>
      <c r="D24" s="189">
        <f>C24/$C$55</f>
        <v>9.4952068284463419E-3</v>
      </c>
      <c r="E24" s="182"/>
      <c r="F24" s="190" t="s">
        <v>150</v>
      </c>
      <c r="G24" s="191"/>
      <c r="H24" s="198"/>
    </row>
    <row r="25" spans="1:8" x14ac:dyDescent="0.25">
      <c r="A25" t="str">
        <f t="shared" si="0"/>
        <v>625</v>
      </c>
      <c r="B25" s="188" t="s">
        <v>68</v>
      </c>
      <c r="C25" s="312">
        <f>SUMIF('Recap dep rec'!$A:$A,A25,'Recap dep rec'!$T:$T)</f>
        <v>11809.666666666666</v>
      </c>
      <c r="D25" s="189">
        <f t="shared" ref="D25:D27" si="3">C25/$C$55</f>
        <v>0.39208121529723233</v>
      </c>
      <c r="E25" s="182"/>
      <c r="F25" s="196"/>
      <c r="G25" s="191"/>
      <c r="H25" s="198"/>
    </row>
    <row r="26" spans="1:8" x14ac:dyDescent="0.25">
      <c r="A26" t="str">
        <f t="shared" si="0"/>
        <v>626</v>
      </c>
      <c r="B26" s="188" t="s">
        <v>69</v>
      </c>
      <c r="C26" s="312">
        <f>SUMIF('Recap dep rec'!$A:$A,A26,'Recap dep rec'!$T:$T)</f>
        <v>216.33333333333334</v>
      </c>
      <c r="D26" s="189">
        <f t="shared" si="3"/>
        <v>7.1822718317735134E-3</v>
      </c>
      <c r="E26" s="182"/>
      <c r="F26" s="196"/>
      <c r="G26" s="191"/>
      <c r="H26" s="198"/>
    </row>
    <row r="27" spans="1:8" x14ac:dyDescent="0.25">
      <c r="A27" t="str">
        <f t="shared" si="0"/>
        <v>628</v>
      </c>
      <c r="B27" s="188" t="s">
        <v>70</v>
      </c>
      <c r="C27" s="312">
        <f>SUMIF('Recap dep rec'!$A:$A,A27,'Recap dep rec'!$T:$T)</f>
        <v>126.50000000000001</v>
      </c>
      <c r="D27" s="189">
        <f t="shared" si="3"/>
        <v>4.1998030202743432E-3</v>
      </c>
      <c r="E27" s="182"/>
      <c r="F27" s="196"/>
      <c r="G27" s="191"/>
      <c r="H27" s="198"/>
    </row>
    <row r="28" spans="1:8" x14ac:dyDescent="0.25">
      <c r="A28" t="str">
        <f t="shared" si="0"/>
        <v/>
      </c>
      <c r="B28" s="188"/>
      <c r="C28" s="197"/>
      <c r="D28" s="198"/>
      <c r="E28" s="182"/>
      <c r="F28" s="190" t="s">
        <v>151</v>
      </c>
      <c r="G28" s="191"/>
      <c r="H28" s="198"/>
    </row>
    <row r="29" spans="1:8" x14ac:dyDescent="0.25">
      <c r="B29" s="190" t="s">
        <v>171</v>
      </c>
      <c r="C29" s="197"/>
      <c r="D29" s="198"/>
      <c r="E29" s="182"/>
      <c r="F29" s="190"/>
      <c r="G29" s="191"/>
      <c r="H29" s="198"/>
    </row>
    <row r="30" spans="1:8" x14ac:dyDescent="0.25">
      <c r="A30" t="str">
        <f t="shared" si="0"/>
        <v>631</v>
      </c>
      <c r="B30" s="188" t="s">
        <v>172</v>
      </c>
      <c r="C30" s="312">
        <f>SUMIF('Recap dep rec'!$A:$A,A30,'Recap dep rec'!$T:$T)</f>
        <v>181.50000000000003</v>
      </c>
      <c r="D30" s="189">
        <f t="shared" ref="D30:D31" si="4">C30/$C$55</f>
        <v>6.0258043334371009E-3</v>
      </c>
      <c r="E30" s="182"/>
      <c r="F30" s="190"/>
      <c r="G30" s="191"/>
      <c r="H30" s="198"/>
    </row>
    <row r="31" spans="1:8" x14ac:dyDescent="0.25">
      <c r="A31" t="str">
        <f t="shared" si="0"/>
        <v>635</v>
      </c>
      <c r="B31" s="188" t="s">
        <v>173</v>
      </c>
      <c r="C31" s="312">
        <f>SUMIF('Recap dep rec'!$A:$A,A31,'Recap dep rec'!$T:$T)</f>
        <v>39.123333333333342</v>
      </c>
      <c r="D31" s="189">
        <f t="shared" si="4"/>
        <v>1.2988956007631085E-3</v>
      </c>
      <c r="E31" s="182"/>
      <c r="F31" s="190"/>
      <c r="G31" s="191"/>
      <c r="H31" s="198"/>
    </row>
    <row r="32" spans="1:8" x14ac:dyDescent="0.25">
      <c r="B32" s="190" t="s">
        <v>152</v>
      </c>
      <c r="C32" s="262"/>
      <c r="D32" s="207"/>
      <c r="E32" s="182"/>
      <c r="F32" s="196"/>
      <c r="G32" s="191"/>
      <c r="H32" s="198"/>
    </row>
    <row r="33" spans="1:8" x14ac:dyDescent="0.25">
      <c r="A33" t="str">
        <f t="shared" si="0"/>
        <v>641</v>
      </c>
      <c r="B33" s="188" t="s">
        <v>71</v>
      </c>
      <c r="C33" s="312">
        <f>SUMIF('Recap dep rec'!$A:$A,A33,'Recap dep rec'!$T:$T)</f>
        <v>10300.436933333334</v>
      </c>
      <c r="D33" s="189">
        <f t="shared" ref="D33:D34" si="5">C33/$C$55</f>
        <v>0.34197475211666972</v>
      </c>
      <c r="E33" s="182"/>
      <c r="F33" s="196"/>
      <c r="G33" s="191"/>
      <c r="H33" s="198"/>
    </row>
    <row r="34" spans="1:8" x14ac:dyDescent="0.25">
      <c r="A34" t="str">
        <f t="shared" si="0"/>
        <v>645</v>
      </c>
      <c r="B34" s="188" t="s">
        <v>72</v>
      </c>
      <c r="C34" s="312">
        <f>SUMIF('Recap dep rec'!$A:$A,A34,'Recap dep rec'!$T:$T)</f>
        <v>25.666666666666671</v>
      </c>
      <c r="D34" s="189">
        <f t="shared" si="5"/>
        <v>8.5213394614262034E-4</v>
      </c>
      <c r="E34" s="182"/>
      <c r="F34" s="196"/>
      <c r="G34" s="191"/>
      <c r="H34" s="198"/>
    </row>
    <row r="35" spans="1:8" x14ac:dyDescent="0.25">
      <c r="A35" t="str">
        <f t="shared" si="0"/>
        <v/>
      </c>
      <c r="B35" s="188"/>
      <c r="C35" s="197"/>
      <c r="D35" s="198"/>
      <c r="E35" s="182"/>
      <c r="F35" s="190" t="s">
        <v>153</v>
      </c>
      <c r="G35" s="191"/>
      <c r="H35" s="198"/>
    </row>
    <row r="36" spans="1:8" x14ac:dyDescent="0.25">
      <c r="A36" t="str">
        <f t="shared" si="0"/>
        <v/>
      </c>
      <c r="B36" s="188"/>
      <c r="C36" s="197"/>
      <c r="D36" s="198"/>
      <c r="E36" s="182"/>
      <c r="F36" s="208"/>
      <c r="G36" s="191"/>
      <c r="H36" s="198"/>
    </row>
    <row r="37" spans="1:8" x14ac:dyDescent="0.25">
      <c r="A37" t="str">
        <f t="shared" si="0"/>
        <v xml:space="preserve">65 </v>
      </c>
      <c r="B37" s="188" t="s">
        <v>73</v>
      </c>
      <c r="C37" s="197"/>
      <c r="D37" s="198"/>
      <c r="E37" s="182"/>
      <c r="F37" s="208"/>
      <c r="G37" s="191"/>
      <c r="H37" s="198"/>
    </row>
    <row r="38" spans="1:8" x14ac:dyDescent="0.25">
      <c r="A38" t="str">
        <f t="shared" si="0"/>
        <v/>
      </c>
      <c r="B38" s="190"/>
      <c r="C38" s="186"/>
      <c r="D38" s="187"/>
      <c r="E38" s="182"/>
      <c r="F38" s="208"/>
      <c r="G38" s="191"/>
      <c r="H38" s="198"/>
    </row>
    <row r="39" spans="1:8" x14ac:dyDescent="0.25">
      <c r="A39" t="str">
        <f t="shared" si="0"/>
        <v/>
      </c>
      <c r="B39" s="188"/>
      <c r="C39" s="197"/>
      <c r="D39" s="198"/>
      <c r="E39" s="182"/>
      <c r="F39" s="209" t="s">
        <v>154</v>
      </c>
      <c r="G39" s="210">
        <f>G15</f>
        <v>14220.460266666669</v>
      </c>
      <c r="H39" s="265">
        <f>H15</f>
        <v>0.47211962037658461</v>
      </c>
    </row>
    <row r="40" spans="1:8" x14ac:dyDescent="0.25">
      <c r="B40" s="190" t="s">
        <v>155</v>
      </c>
      <c r="C40" s="197"/>
      <c r="D40" s="198"/>
      <c r="E40" s="182"/>
      <c r="F40" s="188"/>
      <c r="G40" s="191"/>
      <c r="H40" s="189"/>
    </row>
    <row r="41" spans="1:8" x14ac:dyDescent="0.25">
      <c r="A41" t="str">
        <f t="shared" si="0"/>
        <v>661</v>
      </c>
      <c r="B41" s="188" t="s">
        <v>74</v>
      </c>
      <c r="C41" s="312">
        <f>SUMIF('Recap dep rec'!$A:$A,A41,'Recap dep rec'!$T:$T)</f>
        <v>0</v>
      </c>
      <c r="D41" s="189">
        <f>C41/$C$55</f>
        <v>0</v>
      </c>
      <c r="E41" s="182"/>
      <c r="F41" s="190" t="s">
        <v>156</v>
      </c>
      <c r="G41" s="186">
        <f>G42+G44</f>
        <v>15900</v>
      </c>
      <c r="H41" s="264">
        <f>G41/C55</f>
        <v>0.52788037962341539</v>
      </c>
    </row>
    <row r="42" spans="1:8" x14ac:dyDescent="0.25">
      <c r="A42" t="str">
        <f t="shared" si="0"/>
        <v/>
      </c>
      <c r="B42" s="188"/>
      <c r="C42" s="197"/>
      <c r="D42" s="198"/>
      <c r="E42" s="182"/>
      <c r="F42" s="188" t="s">
        <v>88</v>
      </c>
      <c r="G42" s="191">
        <f>'Recap dep rec'!T35</f>
        <v>15900</v>
      </c>
      <c r="H42" s="198"/>
    </row>
    <row r="43" spans="1:8" x14ac:dyDescent="0.25">
      <c r="A43" t="str">
        <f t="shared" si="0"/>
        <v/>
      </c>
      <c r="B43" s="188"/>
      <c r="C43" s="197"/>
      <c r="D43" s="198"/>
      <c r="E43" s="182"/>
      <c r="F43" s="188" t="s">
        <v>157</v>
      </c>
      <c r="G43" s="212"/>
      <c r="H43" s="198"/>
    </row>
    <row r="44" spans="1:8" x14ac:dyDescent="0.25">
      <c r="A44" t="str">
        <f t="shared" si="0"/>
        <v xml:space="preserve">68 </v>
      </c>
      <c r="B44" s="190" t="s">
        <v>158</v>
      </c>
      <c r="C44" s="197"/>
      <c r="D44" s="198"/>
      <c r="E44" s="182"/>
      <c r="F44" s="188" t="s">
        <v>87</v>
      </c>
      <c r="G44" s="191">
        <f>'Recap dep rec'!T33</f>
        <v>0</v>
      </c>
      <c r="H44" s="198"/>
    </row>
    <row r="45" spans="1:8" x14ac:dyDescent="0.25">
      <c r="A45" t="str">
        <f t="shared" si="0"/>
        <v>aux</v>
      </c>
      <c r="B45" s="190" t="s">
        <v>159</v>
      </c>
      <c r="C45" s="194"/>
      <c r="D45" s="189"/>
      <c r="E45" s="182"/>
      <c r="F45" s="188" t="s">
        <v>160</v>
      </c>
      <c r="G45" s="191"/>
      <c r="H45" s="198"/>
    </row>
    <row r="46" spans="1:8" x14ac:dyDescent="0.25">
      <c r="A46" t="str">
        <f t="shared" si="0"/>
        <v>681</v>
      </c>
      <c r="B46" s="213" t="s">
        <v>75</v>
      </c>
      <c r="C46" s="312">
        <f>SUMIF('Recap dep rec'!$A:$A,A46,'Recap dep rec'!$T:$T)</f>
        <v>0</v>
      </c>
      <c r="D46" s="189">
        <f>C46/$C$55</f>
        <v>0</v>
      </c>
      <c r="E46" s="182"/>
      <c r="F46" s="188"/>
      <c r="G46" s="191"/>
      <c r="H46" s="198"/>
    </row>
    <row r="47" spans="1:8" x14ac:dyDescent="0.25">
      <c r="B47" s="188" t="s">
        <v>161</v>
      </c>
      <c r="C47" s="194"/>
      <c r="D47" s="189"/>
      <c r="E47" s="182"/>
      <c r="F47" s="188"/>
      <c r="G47" s="191"/>
      <c r="H47" s="189"/>
    </row>
    <row r="48" spans="1:8" x14ac:dyDescent="0.25">
      <c r="B48" s="213"/>
      <c r="C48" s="194"/>
      <c r="D48" s="189"/>
      <c r="E48" s="182"/>
      <c r="F48" s="190"/>
      <c r="G48" s="191"/>
      <c r="H48" s="189"/>
    </row>
    <row r="49" spans="1:8" x14ac:dyDescent="0.25">
      <c r="B49" s="213"/>
      <c r="C49" s="194"/>
      <c r="D49" s="189"/>
      <c r="E49" s="182"/>
      <c r="F49" s="190" t="s">
        <v>162</v>
      </c>
      <c r="G49" s="214"/>
      <c r="H49" s="187"/>
    </row>
    <row r="50" spans="1:8" x14ac:dyDescent="0.25">
      <c r="B50" s="190" t="s">
        <v>163</v>
      </c>
      <c r="C50" s="186"/>
      <c r="D50" s="187"/>
      <c r="E50" s="182"/>
      <c r="F50" s="188" t="s">
        <v>164</v>
      </c>
      <c r="G50" s="215"/>
      <c r="H50" s="189"/>
    </row>
    <row r="51" spans="1:8" ht="15.75" x14ac:dyDescent="0.25">
      <c r="A51" t="s">
        <v>325</v>
      </c>
      <c r="B51" s="213" t="s">
        <v>29</v>
      </c>
      <c r="C51" s="312">
        <f>SUMIF('Recap dep rec'!$A:$A,A51,'Recap dep rec'!$T:$T)</f>
        <v>0</v>
      </c>
      <c r="D51" s="189">
        <f>C51/$C$55</f>
        <v>0</v>
      </c>
      <c r="E51" s="217"/>
      <c r="F51" s="188" t="s">
        <v>165</v>
      </c>
      <c r="G51" s="215"/>
      <c r="H51" s="189"/>
    </row>
    <row r="52" spans="1:8" ht="15.75" x14ac:dyDescent="0.25">
      <c r="B52" s="188" t="s">
        <v>166</v>
      </c>
      <c r="C52" s="216"/>
      <c r="D52" s="189"/>
      <c r="E52" s="217"/>
      <c r="F52" s="188" t="s">
        <v>167</v>
      </c>
      <c r="G52" s="215"/>
      <c r="H52" s="189"/>
    </row>
    <row r="53" spans="1:8" x14ac:dyDescent="0.25">
      <c r="B53" s="188" t="s">
        <v>167</v>
      </c>
      <c r="C53" s="216"/>
      <c r="D53" s="189"/>
      <c r="F53" s="188"/>
      <c r="G53" s="215"/>
      <c r="H53" s="189"/>
    </row>
    <row r="54" spans="1:8" x14ac:dyDescent="0.25">
      <c r="B54" s="218"/>
      <c r="C54" s="219"/>
      <c r="D54" s="220"/>
      <c r="F54" s="188"/>
      <c r="G54" s="215"/>
      <c r="H54" s="189"/>
    </row>
    <row r="55" spans="1:8" x14ac:dyDescent="0.25">
      <c r="B55" s="221" t="s">
        <v>168</v>
      </c>
      <c r="C55" s="222">
        <f>SUM(C4:C54)</f>
        <v>30120.460266666669</v>
      </c>
      <c r="D55" s="223"/>
      <c r="F55" s="221" t="s">
        <v>169</v>
      </c>
      <c r="G55" s="224">
        <f>G41+G39</f>
        <v>30120.460266666669</v>
      </c>
      <c r="H55" s="223"/>
    </row>
    <row r="56" spans="1:8" x14ac:dyDescent="0.25">
      <c r="B56" s="182"/>
      <c r="C56" s="225">
        <f>C55-'Recap dep rec'!T29</f>
        <v>0</v>
      </c>
      <c r="D56" s="226"/>
      <c r="F56" s="182"/>
      <c r="G56" s="225"/>
      <c r="H56" s="227"/>
    </row>
    <row r="57" spans="1:8" ht="15.75" x14ac:dyDescent="0.25">
      <c r="B57" s="182"/>
      <c r="C57" s="228"/>
      <c r="D57" s="229"/>
      <c r="F57" s="217"/>
      <c r="G57" s="228"/>
      <c r="H57" s="230"/>
    </row>
    <row r="58" spans="1:8" ht="15.75" x14ac:dyDescent="0.25">
      <c r="B58" s="217"/>
      <c r="C58" s="228"/>
      <c r="D58" s="229"/>
      <c r="F58" s="217"/>
      <c r="G58" s="228"/>
      <c r="H58" s="226"/>
    </row>
    <row r="59" spans="1:8" ht="15.75" x14ac:dyDescent="0.25">
      <c r="C59" s="231"/>
      <c r="D59" s="232"/>
      <c r="G59" s="231"/>
      <c r="H59" s="229"/>
    </row>
  </sheetData>
  <mergeCells count="1">
    <mergeCell ref="B1:H1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A1:H59"/>
  <sheetViews>
    <sheetView topLeftCell="A19" workbookViewId="0">
      <selection activeCell="B62" sqref="B62"/>
    </sheetView>
  </sheetViews>
  <sheetFormatPr baseColWidth="10" defaultRowHeight="15" x14ac:dyDescent="0.25"/>
  <cols>
    <col min="1" max="1" width="5.28515625" customWidth="1"/>
    <col min="2" max="2" width="50.85546875" bestFit="1" customWidth="1"/>
    <col min="5" max="5" width="5.42578125" customWidth="1"/>
    <col min="6" max="6" width="33" bestFit="1" customWidth="1"/>
  </cols>
  <sheetData>
    <row r="1" spans="1:8" ht="31.5" customHeight="1" x14ac:dyDescent="0.25">
      <c r="B1" s="366" t="s">
        <v>338</v>
      </c>
      <c r="C1" s="367"/>
      <c r="D1" s="367"/>
      <c r="E1" s="367"/>
      <c r="F1" s="367"/>
      <c r="G1" s="367"/>
      <c r="H1" s="368"/>
    </row>
    <row r="2" spans="1:8" x14ac:dyDescent="0.35">
      <c r="B2" s="176"/>
      <c r="C2" s="177"/>
      <c r="D2" s="178"/>
      <c r="E2" s="177"/>
      <c r="F2" s="177"/>
      <c r="G2" s="177"/>
      <c r="H2" s="178"/>
    </row>
    <row r="3" spans="1:8" x14ac:dyDescent="0.25">
      <c r="B3" s="179" t="s">
        <v>129</v>
      </c>
      <c r="C3" s="180" t="s">
        <v>130</v>
      </c>
      <c r="D3" s="181" t="s">
        <v>131</v>
      </c>
      <c r="E3" s="182"/>
      <c r="F3" s="179" t="s">
        <v>132</v>
      </c>
      <c r="G3" s="179" t="s">
        <v>130</v>
      </c>
      <c r="H3" s="181" t="s">
        <v>131</v>
      </c>
    </row>
    <row r="4" spans="1:8" ht="14.45" x14ac:dyDescent="0.35">
      <c r="B4" s="183" t="s">
        <v>133</v>
      </c>
      <c r="C4" s="184"/>
      <c r="D4" s="185"/>
      <c r="E4" s="182"/>
      <c r="F4" s="183" t="s">
        <v>134</v>
      </c>
      <c r="G4" s="186"/>
      <c r="H4" s="187"/>
    </row>
    <row r="5" spans="1:8" ht="14.45" x14ac:dyDescent="0.35">
      <c r="A5" t="str">
        <f>LEFT(B5,3)</f>
        <v>604</v>
      </c>
      <c r="B5" s="188" t="s">
        <v>135</v>
      </c>
      <c r="C5" s="312">
        <f>SUMIF('Recap dep rec'!$A:$A,A5,'Recap dep rec'!$U:$U)</f>
        <v>0</v>
      </c>
      <c r="D5" s="189">
        <f>C5/$C$55</f>
        <v>0</v>
      </c>
      <c r="E5" s="182"/>
      <c r="F5" s="190"/>
      <c r="G5" s="191"/>
      <c r="H5" s="189"/>
    </row>
    <row r="6" spans="1:8" x14ac:dyDescent="0.25">
      <c r="A6" t="str">
        <f t="shared" ref="A6:A46" si="0">LEFT(B6,3)</f>
        <v>605</v>
      </c>
      <c r="B6" s="192" t="s">
        <v>136</v>
      </c>
      <c r="C6" s="312">
        <f>SUMIF('Recap dep rec'!$A:$A,A6,'Recap dep rec'!$U:$U)</f>
        <v>10.833333333333334</v>
      </c>
      <c r="D6" s="189">
        <f t="shared" ref="D6:D8" si="1">C6/$C$55</f>
        <v>5.920495268484095E-4</v>
      </c>
      <c r="E6" s="182"/>
      <c r="F6" s="190" t="s">
        <v>137</v>
      </c>
      <c r="G6" s="191"/>
      <c r="H6" s="193"/>
    </row>
    <row r="7" spans="1:8" ht="14.45" x14ac:dyDescent="0.35">
      <c r="A7" t="str">
        <f t="shared" si="0"/>
        <v>606</v>
      </c>
      <c r="B7" s="192" t="s">
        <v>138</v>
      </c>
      <c r="C7" s="312">
        <f>SUMIF('Recap dep rec'!$A:$A,A7,'Recap dep rec'!$U:$U)</f>
        <v>48.750000000000007</v>
      </c>
      <c r="D7" s="189">
        <f t="shared" si="1"/>
        <v>2.6642228708178431E-3</v>
      </c>
      <c r="E7" s="182"/>
      <c r="F7" s="196"/>
      <c r="G7" s="191"/>
      <c r="H7" s="189"/>
    </row>
    <row r="8" spans="1:8" ht="14.45" x14ac:dyDescent="0.35">
      <c r="A8" t="str">
        <f t="shared" si="0"/>
        <v>607</v>
      </c>
      <c r="B8" s="188" t="s">
        <v>139</v>
      </c>
      <c r="C8" s="312">
        <f>SUMIF('Recap dep rec'!$A:$A,A8,'Recap dep rec'!$U:$U)</f>
        <v>0</v>
      </c>
      <c r="D8" s="189">
        <f t="shared" si="1"/>
        <v>0</v>
      </c>
      <c r="E8" s="182"/>
      <c r="F8" s="196"/>
      <c r="G8" s="191"/>
      <c r="H8" s="189"/>
    </row>
    <row r="9" spans="1:8" ht="14.45" x14ac:dyDescent="0.35">
      <c r="A9" t="str">
        <f t="shared" si="0"/>
        <v/>
      </c>
      <c r="B9" s="188"/>
      <c r="C9" s="197"/>
      <c r="D9" s="189"/>
      <c r="E9" s="182"/>
      <c r="F9" s="196"/>
      <c r="G9" s="191"/>
      <c r="H9" s="189"/>
    </row>
    <row r="10" spans="1:8" x14ac:dyDescent="0.25">
      <c r="A10" t="str">
        <f t="shared" si="0"/>
        <v/>
      </c>
      <c r="B10" s="196"/>
      <c r="C10" s="197"/>
      <c r="D10" s="198"/>
      <c r="E10" s="182"/>
      <c r="F10" s="199" t="s">
        <v>140</v>
      </c>
      <c r="G10" s="191"/>
      <c r="H10" s="198"/>
    </row>
    <row r="11" spans="1:8" x14ac:dyDescent="0.25">
      <c r="B11" s="190" t="s">
        <v>141</v>
      </c>
      <c r="C11" s="186"/>
      <c r="D11" s="187"/>
      <c r="E11" s="182"/>
      <c r="F11" s="200"/>
      <c r="G11" s="191"/>
      <c r="H11" s="198"/>
    </row>
    <row r="12" spans="1:8" x14ac:dyDescent="0.25">
      <c r="A12" t="str">
        <f t="shared" si="0"/>
        <v>611</v>
      </c>
      <c r="B12" s="188" t="s">
        <v>142</v>
      </c>
      <c r="C12" s="312">
        <f>SUMIF('Recap dep rec'!$A:$A,A12,'Recap dep rec'!$U:$U)</f>
        <v>14500</v>
      </c>
      <c r="D12" s="189">
        <f t="shared" ref="D12:D17" si="2">C12/$C$55</f>
        <v>0.79243552055094801</v>
      </c>
      <c r="E12" s="182"/>
      <c r="F12" s="201"/>
      <c r="G12" s="191"/>
      <c r="H12" s="198"/>
    </row>
    <row r="13" spans="1:8" ht="14.45" x14ac:dyDescent="0.35">
      <c r="A13" t="str">
        <f t="shared" si="0"/>
        <v>613</v>
      </c>
      <c r="B13" s="188" t="s">
        <v>170</v>
      </c>
      <c r="C13" s="312">
        <f>SUMIF('Recap dep rec'!$A:$A,A13,'Recap dep rec'!$U:$U)</f>
        <v>170.83333333333334</v>
      </c>
      <c r="D13" s="189">
        <f t="shared" si="2"/>
        <v>9.3361656156864571E-3</v>
      </c>
      <c r="E13" s="182"/>
      <c r="F13" s="202"/>
      <c r="G13" s="191"/>
      <c r="H13" s="198"/>
    </row>
    <row r="14" spans="1:8" ht="14.45" x14ac:dyDescent="0.35">
      <c r="A14" t="str">
        <f t="shared" si="0"/>
        <v>615</v>
      </c>
      <c r="B14" s="188" t="s">
        <v>65</v>
      </c>
      <c r="C14" s="312">
        <f>SUMIF('Recap dep rec'!$A:$A,A14,'Recap dep rec'!$U:$U)</f>
        <v>52.5</v>
      </c>
      <c r="D14" s="189">
        <f t="shared" si="2"/>
        <v>2.8691630916499846E-3</v>
      </c>
      <c r="E14" s="182"/>
      <c r="F14" s="202"/>
      <c r="G14" s="191"/>
      <c r="H14" s="198"/>
    </row>
    <row r="15" spans="1:8" x14ac:dyDescent="0.25">
      <c r="A15" t="str">
        <f t="shared" si="0"/>
        <v>616</v>
      </c>
      <c r="B15" s="188" t="s">
        <v>66</v>
      </c>
      <c r="C15" s="312">
        <f>SUMIF('Recap dep rec'!$A:$A,A15,'Recap dep rec'!$U:$U)</f>
        <v>33.5</v>
      </c>
      <c r="D15" s="189">
        <f t="shared" si="2"/>
        <v>1.8307993061004663E-3</v>
      </c>
      <c r="E15" s="182"/>
      <c r="F15" s="190" t="s">
        <v>143</v>
      </c>
      <c r="G15" s="191">
        <f>'Recap dep rec'!U38</f>
        <v>2298.0187333333342</v>
      </c>
      <c r="H15" s="263">
        <f>G15/C55</f>
        <v>0.12558839111619524</v>
      </c>
    </row>
    <row r="16" spans="1:8" ht="14.45" x14ac:dyDescent="0.35">
      <c r="A16" t="str">
        <f t="shared" si="0"/>
        <v>617</v>
      </c>
      <c r="B16" s="188" t="s">
        <v>67</v>
      </c>
      <c r="C16" s="312">
        <f>SUMIF('Recap dep rec'!$A:$A,A16,'Recap dep rec'!$U:$U)</f>
        <v>0</v>
      </c>
      <c r="D16" s="189">
        <f t="shared" si="2"/>
        <v>0</v>
      </c>
      <c r="E16" s="182"/>
      <c r="F16" s="203"/>
      <c r="G16" s="191"/>
      <c r="H16" s="198"/>
    </row>
    <row r="17" spans="1:8" ht="14.45" x14ac:dyDescent="0.35">
      <c r="A17" t="str">
        <f t="shared" si="0"/>
        <v>618</v>
      </c>
      <c r="B17" s="188" t="s">
        <v>144</v>
      </c>
      <c r="C17" s="312">
        <f>SUMIF('Recap dep rec'!$A:$A,A17,'Recap dep rec'!$U:$U)</f>
        <v>13.333333333333336</v>
      </c>
      <c r="D17" s="189">
        <f t="shared" si="2"/>
        <v>7.2867634073650405E-4</v>
      </c>
      <c r="E17" s="182"/>
      <c r="F17" s="203"/>
      <c r="G17" s="191"/>
      <c r="H17" s="198"/>
    </row>
    <row r="18" spans="1:8" ht="14.45" x14ac:dyDescent="0.35">
      <c r="A18" t="str">
        <f t="shared" si="0"/>
        <v/>
      </c>
      <c r="B18" s="188"/>
      <c r="C18" s="197"/>
      <c r="D18" s="198"/>
      <c r="E18" s="182"/>
      <c r="F18" s="202"/>
      <c r="G18" s="191"/>
      <c r="H18" s="198"/>
    </row>
    <row r="19" spans="1:8" x14ac:dyDescent="0.25">
      <c r="A19" t="str">
        <f t="shared" si="0"/>
        <v/>
      </c>
      <c r="B19" s="188"/>
      <c r="C19" s="197"/>
      <c r="D19" s="198"/>
      <c r="E19" s="204"/>
      <c r="F19" s="205" t="s">
        <v>145</v>
      </c>
      <c r="G19" s="191"/>
      <c r="H19" s="198"/>
    </row>
    <row r="20" spans="1:8" x14ac:dyDescent="0.25">
      <c r="B20" s="190" t="s">
        <v>146</v>
      </c>
      <c r="C20" s="186"/>
      <c r="D20" s="187"/>
      <c r="E20" s="182"/>
      <c r="F20" s="196"/>
      <c r="G20" s="191"/>
      <c r="H20" s="198"/>
    </row>
    <row r="21" spans="1:8" ht="14.45" x14ac:dyDescent="0.35">
      <c r="A21" t="str">
        <f t="shared" si="0"/>
        <v/>
      </c>
      <c r="B21" s="190"/>
      <c r="C21" s="186"/>
      <c r="D21" s="187"/>
      <c r="E21" s="182"/>
      <c r="F21" s="196"/>
      <c r="G21" s="191"/>
      <c r="H21" s="198"/>
    </row>
    <row r="22" spans="1:8" x14ac:dyDescent="0.25">
      <c r="A22" t="str">
        <f t="shared" si="0"/>
        <v>622</v>
      </c>
      <c r="B22" s="188" t="s">
        <v>147</v>
      </c>
      <c r="C22" s="312">
        <f>SUMIF('Recap dep rec'!$A:$A,A22,'Recap dep rec'!$U:$U)</f>
        <v>169.16666666666669</v>
      </c>
      <c r="D22" s="189">
        <f>C22/$C$55</f>
        <v>9.2450810730943956E-3</v>
      </c>
      <c r="E22" s="182"/>
      <c r="F22" s="203"/>
      <c r="G22" s="191"/>
      <c r="H22" s="198"/>
    </row>
    <row r="23" spans="1:8" ht="14.45" x14ac:dyDescent="0.35">
      <c r="A23" t="str">
        <f t="shared" si="0"/>
        <v xml:space="preserve">et </v>
      </c>
      <c r="B23" s="188" t="s">
        <v>148</v>
      </c>
      <c r="C23" s="197"/>
      <c r="D23" s="198"/>
      <c r="E23" s="182"/>
      <c r="F23" s="190"/>
      <c r="G23" s="191"/>
      <c r="H23" s="198"/>
    </row>
    <row r="24" spans="1:8" x14ac:dyDescent="0.25">
      <c r="A24" t="str">
        <f t="shared" si="0"/>
        <v>623</v>
      </c>
      <c r="B24" s="188" t="s">
        <v>149</v>
      </c>
      <c r="C24" s="312">
        <f>SUMIF('Recap dep rec'!$A:$A,A24,'Recap dep rec'!$U:$U)</f>
        <v>65.000000000000014</v>
      </c>
      <c r="D24" s="189">
        <f t="shared" ref="D24:D27" si="3">C24/$C$55</f>
        <v>3.5522971610904576E-3</v>
      </c>
      <c r="E24" s="182"/>
      <c r="F24" s="190" t="s">
        <v>150</v>
      </c>
      <c r="G24" s="191"/>
      <c r="H24" s="198"/>
    </row>
    <row r="25" spans="1:8" x14ac:dyDescent="0.25">
      <c r="A25" t="str">
        <f t="shared" si="0"/>
        <v>625</v>
      </c>
      <c r="B25" s="188" t="s">
        <v>68</v>
      </c>
      <c r="C25" s="312">
        <f>SUMIF('Recap dep rec'!$A:$A,A25,'Recap dep rec'!$U:$U)</f>
        <v>440.83333333333337</v>
      </c>
      <c r="D25" s="189">
        <f t="shared" si="3"/>
        <v>2.4091861515600665E-2</v>
      </c>
      <c r="E25" s="182"/>
      <c r="F25" s="196"/>
      <c r="G25" s="191"/>
      <c r="H25" s="198"/>
    </row>
    <row r="26" spans="1:8" x14ac:dyDescent="0.25">
      <c r="A26" t="str">
        <f t="shared" si="0"/>
        <v>626</v>
      </c>
      <c r="B26" s="188" t="s">
        <v>69</v>
      </c>
      <c r="C26" s="312">
        <f>SUMIF('Recap dep rec'!$A:$A,A26,'Recap dep rec'!$U:$U)</f>
        <v>49.166666666666671</v>
      </c>
      <c r="D26" s="189">
        <f t="shared" si="3"/>
        <v>2.6869940064658585E-3</v>
      </c>
      <c r="E26" s="182"/>
      <c r="F26" s="196"/>
      <c r="G26" s="191"/>
      <c r="H26" s="198"/>
    </row>
    <row r="27" spans="1:8" x14ac:dyDescent="0.25">
      <c r="A27" t="str">
        <f t="shared" si="0"/>
        <v>628</v>
      </c>
      <c r="B27" s="188" t="s">
        <v>70</v>
      </c>
      <c r="C27" s="312">
        <f>SUMIF('Recap dep rec'!$A:$A,A27,'Recap dep rec'!$U:$U)</f>
        <v>28.750000000000004</v>
      </c>
      <c r="D27" s="189">
        <f t="shared" si="3"/>
        <v>1.5712083597130869E-3</v>
      </c>
      <c r="E27" s="182"/>
      <c r="F27" s="196"/>
      <c r="G27" s="191"/>
      <c r="H27" s="198"/>
    </row>
    <row r="28" spans="1:8" x14ac:dyDescent="0.25">
      <c r="A28" t="str">
        <f t="shared" si="0"/>
        <v/>
      </c>
      <c r="B28" s="188"/>
      <c r="C28" s="197"/>
      <c r="D28" s="198"/>
      <c r="E28" s="182"/>
      <c r="F28" s="190" t="s">
        <v>151</v>
      </c>
      <c r="G28" s="191"/>
      <c r="H28" s="198"/>
    </row>
    <row r="29" spans="1:8" x14ac:dyDescent="0.25">
      <c r="B29" s="190" t="s">
        <v>171</v>
      </c>
      <c r="C29" s="197"/>
      <c r="D29" s="198"/>
      <c r="E29" s="182"/>
      <c r="F29" s="190"/>
      <c r="G29" s="191"/>
      <c r="H29" s="198"/>
    </row>
    <row r="30" spans="1:8" x14ac:dyDescent="0.25">
      <c r="A30" t="str">
        <f t="shared" si="0"/>
        <v>631</v>
      </c>
      <c r="B30" s="188" t="s">
        <v>172</v>
      </c>
      <c r="C30" s="312">
        <f>SUMIF('Recap dep rec'!$A:$A,A30,'Recap dep rec'!$U:$U)</f>
        <v>41.25</v>
      </c>
      <c r="D30" s="189">
        <f t="shared" ref="D30:D31" si="4">C30/$C$55</f>
        <v>2.2543424291535589E-3</v>
      </c>
      <c r="E30" s="182"/>
      <c r="F30" s="190"/>
      <c r="G30" s="191"/>
      <c r="H30" s="198"/>
    </row>
    <row r="31" spans="1:8" x14ac:dyDescent="0.25">
      <c r="A31" t="str">
        <f t="shared" si="0"/>
        <v>635</v>
      </c>
      <c r="B31" s="188" t="s">
        <v>173</v>
      </c>
      <c r="C31" s="312">
        <f>SUMIF('Recap dep rec'!$A:$A,A31,'Recap dep rec'!$U:$U)</f>
        <v>8.8916666666666675</v>
      </c>
      <c r="D31" s="189">
        <f t="shared" si="4"/>
        <v>4.8593603472865611E-4</v>
      </c>
      <c r="E31" s="182"/>
      <c r="F31" s="190"/>
      <c r="G31" s="191"/>
      <c r="H31" s="198"/>
    </row>
    <row r="32" spans="1:8" x14ac:dyDescent="0.25">
      <c r="B32" s="190" t="s">
        <v>152</v>
      </c>
      <c r="C32" s="262"/>
      <c r="D32" s="207"/>
      <c r="E32" s="182"/>
      <c r="F32" s="196"/>
      <c r="G32" s="191"/>
      <c r="H32" s="198"/>
    </row>
    <row r="33" spans="1:8" x14ac:dyDescent="0.25">
      <c r="A33" t="str">
        <f t="shared" si="0"/>
        <v>641</v>
      </c>
      <c r="B33" s="188" t="s">
        <v>71</v>
      </c>
      <c r="C33" s="312">
        <f>SUMIF('Recap dep rec'!$A:$A,A33,'Recap dep rec'!$U:$U)</f>
        <v>2659.3770666666665</v>
      </c>
      <c r="D33" s="189">
        <f t="shared" ref="D33:D34" si="5">C33/$C$55</f>
        <v>0.14533688621829333</v>
      </c>
      <c r="E33" s="182"/>
      <c r="F33" s="196"/>
      <c r="G33" s="191"/>
      <c r="H33" s="198"/>
    </row>
    <row r="34" spans="1:8" x14ac:dyDescent="0.25">
      <c r="A34" t="str">
        <f t="shared" si="0"/>
        <v>645</v>
      </c>
      <c r="B34" s="188" t="s">
        <v>72</v>
      </c>
      <c r="C34" s="312">
        <f>SUMIF('Recap dep rec'!$A:$A,A34,'Recap dep rec'!$U:$U)</f>
        <v>5.8333333333333339</v>
      </c>
      <c r="D34" s="189">
        <f t="shared" si="5"/>
        <v>3.1879589907222051E-4</v>
      </c>
      <c r="E34" s="182"/>
      <c r="F34" s="196"/>
      <c r="G34" s="191"/>
      <c r="H34" s="198"/>
    </row>
    <row r="35" spans="1:8" x14ac:dyDescent="0.25">
      <c r="A35" t="str">
        <f t="shared" si="0"/>
        <v/>
      </c>
      <c r="B35" s="188"/>
      <c r="C35" s="197"/>
      <c r="D35" s="198"/>
      <c r="E35" s="182"/>
      <c r="F35" s="190" t="s">
        <v>153</v>
      </c>
      <c r="G35" s="191"/>
      <c r="H35" s="198"/>
    </row>
    <row r="36" spans="1:8" x14ac:dyDescent="0.25">
      <c r="A36" t="str">
        <f t="shared" si="0"/>
        <v/>
      </c>
      <c r="B36" s="188"/>
      <c r="C36" s="197"/>
      <c r="D36" s="198"/>
      <c r="E36" s="182"/>
      <c r="F36" s="208"/>
      <c r="G36" s="191"/>
      <c r="H36" s="198"/>
    </row>
    <row r="37" spans="1:8" x14ac:dyDescent="0.25">
      <c r="A37" t="str">
        <f t="shared" si="0"/>
        <v xml:space="preserve">65 </v>
      </c>
      <c r="B37" s="188" t="s">
        <v>73</v>
      </c>
      <c r="C37" s="197"/>
      <c r="D37" s="198"/>
      <c r="E37" s="182"/>
      <c r="F37" s="208"/>
      <c r="G37" s="191"/>
      <c r="H37" s="198"/>
    </row>
    <row r="38" spans="1:8" x14ac:dyDescent="0.25">
      <c r="A38" t="str">
        <f t="shared" si="0"/>
        <v/>
      </c>
      <c r="B38" s="190"/>
      <c r="C38" s="186"/>
      <c r="D38" s="187"/>
      <c r="E38" s="182"/>
      <c r="F38" s="208"/>
      <c r="G38" s="191"/>
      <c r="H38" s="198"/>
    </row>
    <row r="39" spans="1:8" x14ac:dyDescent="0.25">
      <c r="A39" t="str">
        <f t="shared" si="0"/>
        <v/>
      </c>
      <c r="B39" s="188"/>
      <c r="C39" s="197"/>
      <c r="D39" s="198"/>
      <c r="E39" s="182"/>
      <c r="F39" s="209" t="s">
        <v>154</v>
      </c>
      <c r="G39" s="210">
        <f>G15</f>
        <v>2298.0187333333342</v>
      </c>
      <c r="H39" s="265">
        <f>H15</f>
        <v>0.12558839111619524</v>
      </c>
    </row>
    <row r="40" spans="1:8" x14ac:dyDescent="0.25">
      <c r="B40" s="190" t="s">
        <v>155</v>
      </c>
      <c r="C40" s="197"/>
      <c r="D40" s="198"/>
      <c r="E40" s="182"/>
      <c r="F40" s="188"/>
      <c r="G40" s="191"/>
      <c r="H40" s="189"/>
    </row>
    <row r="41" spans="1:8" x14ac:dyDescent="0.25">
      <c r="A41" t="str">
        <f t="shared" si="0"/>
        <v>661</v>
      </c>
      <c r="B41" s="188" t="s">
        <v>74</v>
      </c>
      <c r="C41" s="312">
        <f>SUMIF('Recap dep rec'!$A:$A,A41,'Recap dep rec'!$U:$U)</f>
        <v>0</v>
      </c>
      <c r="D41" s="189">
        <f>C41/$C$55</f>
        <v>0</v>
      </c>
      <c r="E41" s="182"/>
      <c r="F41" s="190" t="s">
        <v>156</v>
      </c>
      <c r="G41" s="186">
        <f>G42+G44</f>
        <v>16000</v>
      </c>
      <c r="H41" s="264">
        <f>G41/C55</f>
        <v>0.87441160888380476</v>
      </c>
    </row>
    <row r="42" spans="1:8" x14ac:dyDescent="0.25">
      <c r="A42" t="str">
        <f t="shared" si="0"/>
        <v/>
      </c>
      <c r="B42" s="188"/>
      <c r="C42" s="197"/>
      <c r="D42" s="198"/>
      <c r="E42" s="182"/>
      <c r="F42" s="188" t="s">
        <v>88</v>
      </c>
      <c r="G42" s="191">
        <f>'Recap dep rec'!U35</f>
        <v>13000</v>
      </c>
      <c r="H42" s="198"/>
    </row>
    <row r="43" spans="1:8" x14ac:dyDescent="0.25">
      <c r="A43" t="str">
        <f t="shared" si="0"/>
        <v/>
      </c>
      <c r="B43" s="188"/>
      <c r="C43" s="197"/>
      <c r="D43" s="198"/>
      <c r="E43" s="182"/>
      <c r="F43" s="188" t="s">
        <v>157</v>
      </c>
      <c r="G43" s="212"/>
      <c r="H43" s="198"/>
    </row>
    <row r="44" spans="1:8" x14ac:dyDescent="0.25">
      <c r="A44" t="str">
        <f t="shared" si="0"/>
        <v xml:space="preserve">68 </v>
      </c>
      <c r="B44" s="190" t="s">
        <v>158</v>
      </c>
      <c r="C44" s="197"/>
      <c r="D44" s="198"/>
      <c r="E44" s="182"/>
      <c r="F44" s="188" t="s">
        <v>87</v>
      </c>
      <c r="G44" s="191">
        <f>'Recap dep rec'!U33</f>
        <v>3000</v>
      </c>
      <c r="H44" s="198"/>
    </row>
    <row r="45" spans="1:8" x14ac:dyDescent="0.25">
      <c r="A45" t="str">
        <f t="shared" si="0"/>
        <v>aux</v>
      </c>
      <c r="B45" s="190" t="s">
        <v>159</v>
      </c>
      <c r="C45" s="194"/>
      <c r="D45" s="189"/>
      <c r="E45" s="182"/>
      <c r="F45" s="188" t="s">
        <v>160</v>
      </c>
      <c r="G45" s="191"/>
      <c r="H45" s="198"/>
    </row>
    <row r="46" spans="1:8" x14ac:dyDescent="0.25">
      <c r="A46" t="str">
        <f t="shared" si="0"/>
        <v>681</v>
      </c>
      <c r="B46" s="213" t="s">
        <v>75</v>
      </c>
      <c r="C46" s="312">
        <f>SUMIF('Recap dep rec'!$A:$A,A46,'Recap dep rec'!$U:$U)</f>
        <v>0</v>
      </c>
      <c r="D46" s="189">
        <f>C46/$C$55</f>
        <v>0</v>
      </c>
      <c r="E46" s="182"/>
      <c r="F46" s="188"/>
      <c r="G46" s="191"/>
      <c r="H46" s="198"/>
    </row>
    <row r="47" spans="1:8" x14ac:dyDescent="0.25">
      <c r="B47" s="188" t="s">
        <v>161</v>
      </c>
      <c r="C47" s="194"/>
      <c r="D47" s="189"/>
      <c r="E47" s="182"/>
      <c r="F47" s="188"/>
      <c r="G47" s="191"/>
      <c r="H47" s="189"/>
    </row>
    <row r="48" spans="1:8" x14ac:dyDescent="0.25">
      <c r="B48" s="213"/>
      <c r="C48" s="194"/>
      <c r="D48" s="189"/>
      <c r="E48" s="182"/>
      <c r="F48" s="190"/>
      <c r="G48" s="191"/>
      <c r="H48" s="189"/>
    </row>
    <row r="49" spans="1:8" x14ac:dyDescent="0.25">
      <c r="B49" s="213"/>
      <c r="C49" s="194"/>
      <c r="D49" s="189"/>
      <c r="E49" s="182"/>
      <c r="F49" s="190" t="s">
        <v>162</v>
      </c>
      <c r="G49" s="214"/>
      <c r="H49" s="187"/>
    </row>
    <row r="50" spans="1:8" x14ac:dyDescent="0.25">
      <c r="B50" s="190" t="s">
        <v>163</v>
      </c>
      <c r="C50" s="186"/>
      <c r="D50" s="187"/>
      <c r="E50" s="182"/>
      <c r="F50" s="188" t="s">
        <v>164</v>
      </c>
      <c r="G50" s="215"/>
      <c r="H50" s="189"/>
    </row>
    <row r="51" spans="1:8" ht="15.75" x14ac:dyDescent="0.25">
      <c r="A51" t="s">
        <v>325</v>
      </c>
      <c r="B51" s="213" t="s">
        <v>29</v>
      </c>
      <c r="C51" s="312">
        <f>SUMIF('Recap dep rec'!$A:$A,A51,'Recap dep rec'!$U:$U)</f>
        <v>0</v>
      </c>
      <c r="D51" s="189">
        <f>C51/$C$55</f>
        <v>0</v>
      </c>
      <c r="E51" s="217"/>
      <c r="F51" s="188" t="s">
        <v>165</v>
      </c>
      <c r="G51" s="215"/>
      <c r="H51" s="189"/>
    </row>
    <row r="52" spans="1:8" ht="15.75" x14ac:dyDescent="0.25">
      <c r="B52" s="188" t="s">
        <v>166</v>
      </c>
      <c r="C52" s="216"/>
      <c r="D52" s="189"/>
      <c r="E52" s="217"/>
      <c r="F52" s="188" t="s">
        <v>167</v>
      </c>
      <c r="G52" s="215"/>
      <c r="H52" s="189"/>
    </row>
    <row r="53" spans="1:8" x14ac:dyDescent="0.25">
      <c r="B53" s="188" t="s">
        <v>167</v>
      </c>
      <c r="C53" s="216"/>
      <c r="D53" s="189"/>
      <c r="F53" s="188"/>
      <c r="G53" s="215"/>
      <c r="H53" s="189"/>
    </row>
    <row r="54" spans="1:8" x14ac:dyDescent="0.25">
      <c r="B54" s="218"/>
      <c r="C54" s="219"/>
      <c r="D54" s="220"/>
      <c r="F54" s="188"/>
      <c r="G54" s="215"/>
      <c r="H54" s="189"/>
    </row>
    <row r="55" spans="1:8" x14ac:dyDescent="0.25">
      <c r="B55" s="221" t="s">
        <v>168</v>
      </c>
      <c r="C55" s="222">
        <f>SUM(C4:C54)</f>
        <v>18298.018733333334</v>
      </c>
      <c r="D55" s="223"/>
      <c r="F55" s="221" t="s">
        <v>169</v>
      </c>
      <c r="G55" s="224">
        <f>G41+G39</f>
        <v>18298.018733333334</v>
      </c>
      <c r="H55" s="223"/>
    </row>
    <row r="56" spans="1:8" x14ac:dyDescent="0.25">
      <c r="B56" s="182"/>
      <c r="C56" s="225">
        <f>C55-'Recap dep rec'!U29</f>
        <v>0</v>
      </c>
      <c r="D56" s="226"/>
      <c r="F56" s="182"/>
      <c r="G56" s="225"/>
      <c r="H56" s="227"/>
    </row>
    <row r="57" spans="1:8" ht="15.75" x14ac:dyDescent="0.25">
      <c r="B57" s="182"/>
      <c r="C57" s="228"/>
      <c r="D57" s="229"/>
      <c r="F57" s="217"/>
      <c r="G57" s="228"/>
      <c r="H57" s="230"/>
    </row>
    <row r="58" spans="1:8" ht="15.75" x14ac:dyDescent="0.25">
      <c r="B58" s="217"/>
      <c r="C58" s="228"/>
      <c r="D58" s="229"/>
      <c r="F58" s="217"/>
      <c r="G58" s="228"/>
      <c r="H58" s="226"/>
    </row>
    <row r="59" spans="1:8" ht="15.75" x14ac:dyDescent="0.25">
      <c r="C59" s="231"/>
      <c r="D59" s="232"/>
      <c r="G59" s="231"/>
      <c r="H59" s="229"/>
    </row>
  </sheetData>
  <mergeCells count="1">
    <mergeCell ref="B1:H1"/>
  </mergeCells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A1:H59"/>
  <sheetViews>
    <sheetView topLeftCell="A22" workbookViewId="0">
      <selection activeCell="B62" sqref="B62"/>
    </sheetView>
  </sheetViews>
  <sheetFormatPr baseColWidth="10" defaultRowHeight="15" x14ac:dyDescent="0.25"/>
  <cols>
    <col min="1" max="1" width="5.28515625" customWidth="1"/>
    <col min="2" max="2" width="41.85546875" customWidth="1"/>
    <col min="3" max="3" width="10.7109375" customWidth="1"/>
    <col min="4" max="4" width="9.85546875" customWidth="1"/>
    <col min="5" max="5" width="2.42578125" customWidth="1"/>
    <col min="6" max="6" width="30.85546875" customWidth="1"/>
    <col min="7" max="8" width="10" customWidth="1"/>
  </cols>
  <sheetData>
    <row r="1" spans="1:8" ht="33.75" customHeight="1" x14ac:dyDescent="0.25">
      <c r="B1" s="366" t="s">
        <v>339</v>
      </c>
      <c r="C1" s="367"/>
      <c r="D1" s="367"/>
      <c r="E1" s="367"/>
      <c r="F1" s="367"/>
      <c r="G1" s="367"/>
      <c r="H1" s="368"/>
    </row>
    <row r="2" spans="1:8" x14ac:dyDescent="0.35">
      <c r="B2" s="176"/>
      <c r="C2" s="177"/>
      <c r="D2" s="178"/>
      <c r="E2" s="177"/>
      <c r="F2" s="177"/>
      <c r="G2" s="177"/>
      <c r="H2" s="178"/>
    </row>
    <row r="3" spans="1:8" x14ac:dyDescent="0.25">
      <c r="B3" s="179" t="s">
        <v>129</v>
      </c>
      <c r="C3" s="180" t="s">
        <v>130</v>
      </c>
      <c r="D3" s="181" t="s">
        <v>131</v>
      </c>
      <c r="E3" s="182"/>
      <c r="F3" s="179" t="s">
        <v>132</v>
      </c>
      <c r="G3" s="179" t="s">
        <v>130</v>
      </c>
      <c r="H3" s="181" t="s">
        <v>131</v>
      </c>
    </row>
    <row r="4" spans="1:8" ht="14.45" x14ac:dyDescent="0.35">
      <c r="B4" s="183" t="s">
        <v>133</v>
      </c>
      <c r="C4" s="184"/>
      <c r="D4" s="185"/>
      <c r="E4" s="182"/>
      <c r="F4" s="183" t="s">
        <v>134</v>
      </c>
      <c r="G4" s="186"/>
      <c r="H4" s="187"/>
    </row>
    <row r="5" spans="1:8" ht="14.45" x14ac:dyDescent="0.35">
      <c r="A5" t="str">
        <f>LEFT(B5,3)</f>
        <v>604</v>
      </c>
      <c r="B5" s="188" t="s">
        <v>135</v>
      </c>
      <c r="C5" s="312">
        <f>SUMIF('Recap dep rec'!$A:$A,A5,'Recap dep rec'!$V:$V)</f>
        <v>0</v>
      </c>
      <c r="D5" s="189">
        <f>C5/$C$55</f>
        <v>0</v>
      </c>
      <c r="E5" s="182"/>
      <c r="F5" s="190"/>
      <c r="G5" s="191"/>
      <c r="H5" s="189"/>
    </row>
    <row r="6" spans="1:8" x14ac:dyDescent="0.25">
      <c r="A6" t="str">
        <f t="shared" ref="A6:A46" si="0">LEFT(B6,3)</f>
        <v>605</v>
      </c>
      <c r="B6" s="192" t="s">
        <v>136</v>
      </c>
      <c r="C6" s="312">
        <f>SUMIF('Recap dep rec'!$A:$A,A6,'Recap dep rec'!$V:$V)</f>
        <v>26</v>
      </c>
      <c r="D6" s="189">
        <f t="shared" ref="D6:D8" si="1">C6/$C$55</f>
        <v>1.5023463414029826E-3</v>
      </c>
      <c r="E6" s="182"/>
      <c r="F6" s="190" t="s">
        <v>137</v>
      </c>
      <c r="G6" s="191"/>
      <c r="H6" s="193"/>
    </row>
    <row r="7" spans="1:8" ht="14.45" x14ac:dyDescent="0.35">
      <c r="A7" t="str">
        <f t="shared" si="0"/>
        <v>606</v>
      </c>
      <c r="B7" s="192" t="s">
        <v>138</v>
      </c>
      <c r="C7" s="312">
        <f>SUMIF('Recap dep rec'!$A:$A,A7,'Recap dep rec'!$V:$V)</f>
        <v>117</v>
      </c>
      <c r="D7" s="189">
        <f t="shared" si="1"/>
        <v>6.7605585363134215E-3</v>
      </c>
      <c r="E7" s="182"/>
      <c r="F7" s="196"/>
      <c r="G7" s="191"/>
      <c r="H7" s="189"/>
    </row>
    <row r="8" spans="1:8" ht="14.45" x14ac:dyDescent="0.35">
      <c r="A8" t="str">
        <f t="shared" si="0"/>
        <v>607</v>
      </c>
      <c r="B8" s="188" t="s">
        <v>139</v>
      </c>
      <c r="C8" s="312">
        <f>SUMIF('Recap dep rec'!$A:$A,A8,'Recap dep rec'!$V:$V)</f>
        <v>0</v>
      </c>
      <c r="D8" s="189">
        <f t="shared" si="1"/>
        <v>0</v>
      </c>
      <c r="E8" s="182"/>
      <c r="F8" s="196"/>
      <c r="G8" s="191"/>
      <c r="H8" s="189"/>
    </row>
    <row r="9" spans="1:8" ht="14.45" x14ac:dyDescent="0.35">
      <c r="A9" t="str">
        <f t="shared" si="0"/>
        <v/>
      </c>
      <c r="B9" s="188"/>
      <c r="C9" s="194"/>
      <c r="D9" s="189"/>
      <c r="E9" s="182"/>
      <c r="F9" s="196"/>
      <c r="G9" s="191"/>
      <c r="H9" s="189"/>
    </row>
    <row r="10" spans="1:8" x14ac:dyDescent="0.25">
      <c r="A10" t="str">
        <f t="shared" si="0"/>
        <v/>
      </c>
      <c r="B10" s="196"/>
      <c r="C10" s="197"/>
      <c r="D10" s="198"/>
      <c r="E10" s="182"/>
      <c r="F10" s="199" t="s">
        <v>140</v>
      </c>
      <c r="G10" s="191"/>
      <c r="H10" s="198"/>
    </row>
    <row r="11" spans="1:8" x14ac:dyDescent="0.25">
      <c r="B11" s="190" t="s">
        <v>141</v>
      </c>
      <c r="C11" s="186"/>
      <c r="D11" s="187"/>
      <c r="E11" s="182"/>
      <c r="F11" s="200"/>
      <c r="G11" s="191"/>
      <c r="H11" s="198"/>
    </row>
    <row r="12" spans="1:8" x14ac:dyDescent="0.25">
      <c r="A12" t="str">
        <f t="shared" si="0"/>
        <v>611</v>
      </c>
      <c r="B12" s="188" t="s">
        <v>142</v>
      </c>
      <c r="C12" s="312">
        <f>SUMIF('Recap dep rec'!$A:$A,A12,'Recap dep rec'!$V:$V)</f>
        <v>8900</v>
      </c>
      <c r="D12" s="189">
        <f t="shared" ref="D12:D17" si="2">C12/$C$55</f>
        <v>0.5142647091725594</v>
      </c>
      <c r="E12" s="182"/>
      <c r="F12" s="201"/>
      <c r="G12" s="191"/>
      <c r="H12" s="198"/>
    </row>
    <row r="13" spans="1:8" ht="14.45" x14ac:dyDescent="0.35">
      <c r="A13" t="str">
        <f t="shared" si="0"/>
        <v>613</v>
      </c>
      <c r="B13" s="188" t="s">
        <v>170</v>
      </c>
      <c r="C13" s="312">
        <f>SUMIF('Recap dep rec'!$A:$A,A13,'Recap dep rec'!$V:$V)</f>
        <v>410</v>
      </c>
      <c r="D13" s="189">
        <f t="shared" si="2"/>
        <v>2.3690846152893186E-2</v>
      </c>
      <c r="E13" s="182"/>
      <c r="F13" s="202"/>
      <c r="G13" s="191"/>
      <c r="H13" s="198"/>
    </row>
    <row r="14" spans="1:8" ht="14.45" x14ac:dyDescent="0.35">
      <c r="A14" t="str">
        <f t="shared" si="0"/>
        <v>615</v>
      </c>
      <c r="B14" s="188" t="s">
        <v>65</v>
      </c>
      <c r="C14" s="312">
        <f>SUMIF('Recap dep rec'!$A:$A,A14,'Recap dep rec'!$V:$V)</f>
        <v>126</v>
      </c>
      <c r="D14" s="189">
        <f t="shared" si="2"/>
        <v>7.2806015006452235E-3</v>
      </c>
      <c r="E14" s="182"/>
      <c r="F14" s="202"/>
      <c r="G14" s="191"/>
      <c r="H14" s="198"/>
    </row>
    <row r="15" spans="1:8" x14ac:dyDescent="0.25">
      <c r="A15" t="str">
        <f t="shared" si="0"/>
        <v>616</v>
      </c>
      <c r="B15" s="188" t="s">
        <v>66</v>
      </c>
      <c r="C15" s="312">
        <f>SUMIF('Recap dep rec'!$A:$A,A15,'Recap dep rec'!$V:$V)</f>
        <v>80.400000000000006</v>
      </c>
      <c r="D15" s="189">
        <f t="shared" si="2"/>
        <v>4.6457171480307619E-3</v>
      </c>
      <c r="E15" s="182"/>
      <c r="F15" s="190" t="s">
        <v>143</v>
      </c>
      <c r="G15" s="191">
        <f>'Recap dep rec'!V38</f>
        <v>906.26239999999962</v>
      </c>
      <c r="H15" s="263">
        <f>G15/C55</f>
        <v>5.2366153884272529E-2</v>
      </c>
    </row>
    <row r="16" spans="1:8" ht="14.45" x14ac:dyDescent="0.35">
      <c r="A16" t="str">
        <f t="shared" si="0"/>
        <v>617</v>
      </c>
      <c r="B16" s="188" t="s">
        <v>67</v>
      </c>
      <c r="C16" s="312">
        <f>SUMIF('Recap dep rec'!$A:$A,A16,'Recap dep rec'!$V:$V)</f>
        <v>0</v>
      </c>
      <c r="D16" s="189">
        <f t="shared" si="2"/>
        <v>0</v>
      </c>
      <c r="E16" s="182"/>
      <c r="F16" s="203"/>
      <c r="G16" s="191"/>
      <c r="H16" s="198"/>
    </row>
    <row r="17" spans="1:8" ht="14.45" x14ac:dyDescent="0.35">
      <c r="A17" t="str">
        <f t="shared" si="0"/>
        <v>618</v>
      </c>
      <c r="B17" s="188" t="s">
        <v>144</v>
      </c>
      <c r="C17" s="312">
        <f>SUMIF('Recap dep rec'!$A:$A,A17,'Recap dep rec'!$V:$V)</f>
        <v>32</v>
      </c>
      <c r="D17" s="189">
        <f t="shared" si="2"/>
        <v>1.8490416509575171E-3</v>
      </c>
      <c r="E17" s="182"/>
      <c r="F17" s="203"/>
      <c r="G17" s="191"/>
      <c r="H17" s="198"/>
    </row>
    <row r="18" spans="1:8" ht="14.45" x14ac:dyDescent="0.35">
      <c r="A18" t="str">
        <f t="shared" si="0"/>
        <v/>
      </c>
      <c r="B18" s="188"/>
      <c r="C18" s="197"/>
      <c r="D18" s="198"/>
      <c r="E18" s="182"/>
      <c r="F18" s="202"/>
      <c r="G18" s="191"/>
      <c r="H18" s="198"/>
    </row>
    <row r="19" spans="1:8" x14ac:dyDescent="0.25">
      <c r="A19" t="str">
        <f t="shared" si="0"/>
        <v/>
      </c>
      <c r="B19" s="188"/>
      <c r="C19" s="197"/>
      <c r="D19" s="198"/>
      <c r="E19" s="204"/>
      <c r="F19" s="205" t="s">
        <v>145</v>
      </c>
      <c r="G19" s="191"/>
      <c r="H19" s="198"/>
    </row>
    <row r="20" spans="1:8" x14ac:dyDescent="0.25">
      <c r="B20" s="190" t="s">
        <v>146</v>
      </c>
      <c r="C20" s="197"/>
      <c r="D20" s="187"/>
      <c r="E20" s="182"/>
      <c r="F20" s="196"/>
      <c r="G20" s="191"/>
      <c r="H20" s="198"/>
    </row>
    <row r="21" spans="1:8" ht="14.45" x14ac:dyDescent="0.35">
      <c r="A21" t="str">
        <f t="shared" si="0"/>
        <v/>
      </c>
      <c r="B21" s="190"/>
      <c r="C21" s="197"/>
      <c r="D21" s="187"/>
      <c r="E21" s="182"/>
      <c r="F21" s="196"/>
      <c r="G21" s="191"/>
      <c r="H21" s="198"/>
    </row>
    <row r="22" spans="1:8" x14ac:dyDescent="0.25">
      <c r="A22" t="str">
        <f t="shared" si="0"/>
        <v>622</v>
      </c>
      <c r="B22" s="188" t="s">
        <v>147</v>
      </c>
      <c r="C22" s="312">
        <f>SUMIF('Recap dep rec'!$A:$A,A22,'Recap dep rec'!$V:$V)</f>
        <v>406</v>
      </c>
      <c r="D22" s="189">
        <f>C22/$C$55</f>
        <v>2.3459715946523498E-2</v>
      </c>
      <c r="E22" s="182"/>
      <c r="F22" s="203"/>
      <c r="G22" s="191"/>
      <c r="H22" s="198"/>
    </row>
    <row r="23" spans="1:8" ht="14.45" x14ac:dyDescent="0.35">
      <c r="A23" t="str">
        <f t="shared" si="0"/>
        <v xml:space="preserve">et </v>
      </c>
      <c r="B23" s="188" t="s">
        <v>148</v>
      </c>
      <c r="C23" s="197"/>
      <c r="D23" s="198"/>
      <c r="E23" s="182"/>
      <c r="F23" s="190"/>
      <c r="G23" s="191"/>
      <c r="H23" s="198"/>
    </row>
    <row r="24" spans="1:8" x14ac:dyDescent="0.25">
      <c r="A24" t="str">
        <f t="shared" si="0"/>
        <v>623</v>
      </c>
      <c r="B24" s="188" t="s">
        <v>149</v>
      </c>
      <c r="C24" s="312">
        <f>SUMIF('Recap dep rec'!$A:$A,A24,'Recap dep rec'!$V:$V)</f>
        <v>156</v>
      </c>
      <c r="D24" s="189">
        <f>C24/$C$55</f>
        <v>9.0140780484178947E-3</v>
      </c>
      <c r="E24" s="182"/>
      <c r="F24" s="190" t="s">
        <v>150</v>
      </c>
      <c r="G24" s="191"/>
      <c r="H24" s="198"/>
    </row>
    <row r="25" spans="1:8" x14ac:dyDescent="0.25">
      <c r="A25" t="str">
        <f t="shared" si="0"/>
        <v>625</v>
      </c>
      <c r="B25" s="188" t="s">
        <v>68</v>
      </c>
      <c r="C25" s="312">
        <f>SUMIF('Recap dep rec'!$A:$A,A25,'Recap dep rec'!$V:$V)</f>
        <v>578</v>
      </c>
      <c r="D25" s="189">
        <f t="shared" ref="D25:D27" si="3">C25/$C$55</f>
        <v>3.3398314820420154E-2</v>
      </c>
      <c r="E25" s="182"/>
      <c r="F25" s="196"/>
      <c r="G25" s="191"/>
      <c r="H25" s="198"/>
    </row>
    <row r="26" spans="1:8" x14ac:dyDescent="0.25">
      <c r="A26" t="str">
        <f t="shared" si="0"/>
        <v>626</v>
      </c>
      <c r="B26" s="188" t="s">
        <v>69</v>
      </c>
      <c r="C26" s="312">
        <f>SUMIF('Recap dep rec'!$A:$A,A26,'Recap dep rec'!$V:$V)</f>
        <v>118</v>
      </c>
      <c r="D26" s="189">
        <f t="shared" si="3"/>
        <v>6.8183410879058444E-3</v>
      </c>
      <c r="E26" s="182"/>
      <c r="F26" s="196"/>
      <c r="G26" s="191"/>
      <c r="H26" s="198"/>
    </row>
    <row r="27" spans="1:8" x14ac:dyDescent="0.25">
      <c r="A27" t="str">
        <f t="shared" si="0"/>
        <v>628</v>
      </c>
      <c r="B27" s="188" t="s">
        <v>70</v>
      </c>
      <c r="C27" s="312">
        <f>SUMIF('Recap dep rec'!$A:$A,A27,'Recap dep rec'!$V:$V)</f>
        <v>69</v>
      </c>
      <c r="D27" s="189">
        <f t="shared" si="3"/>
        <v>3.9869960598771462E-3</v>
      </c>
      <c r="E27" s="182"/>
      <c r="F27" s="196"/>
      <c r="G27" s="191"/>
      <c r="H27" s="198"/>
    </row>
    <row r="28" spans="1:8" x14ac:dyDescent="0.25">
      <c r="A28" t="str">
        <f t="shared" si="0"/>
        <v/>
      </c>
      <c r="B28" s="188"/>
      <c r="C28" s="197"/>
      <c r="D28" s="198"/>
      <c r="E28" s="182"/>
      <c r="F28" s="190" t="s">
        <v>151</v>
      </c>
      <c r="G28" s="191"/>
      <c r="H28" s="198"/>
    </row>
    <row r="29" spans="1:8" x14ac:dyDescent="0.25">
      <c r="B29" s="190" t="s">
        <v>171</v>
      </c>
      <c r="C29" s="197"/>
      <c r="D29" s="198"/>
      <c r="E29" s="182"/>
      <c r="F29" s="190"/>
      <c r="G29" s="191"/>
      <c r="H29" s="198"/>
    </row>
    <row r="30" spans="1:8" x14ac:dyDescent="0.25">
      <c r="A30" t="str">
        <f t="shared" si="0"/>
        <v>631</v>
      </c>
      <c r="B30" s="188" t="s">
        <v>172</v>
      </c>
      <c r="C30" s="312">
        <f>SUMIF('Recap dep rec'!$A:$A,A30,'Recap dep rec'!$V:$V)</f>
        <v>99</v>
      </c>
      <c r="D30" s="189">
        <f t="shared" ref="D30:D31" si="4">C30/$C$55</f>
        <v>5.7204726076498184E-3</v>
      </c>
      <c r="E30" s="182"/>
      <c r="F30" s="190"/>
      <c r="G30" s="191"/>
      <c r="H30" s="198"/>
    </row>
    <row r="31" spans="1:8" x14ac:dyDescent="0.25">
      <c r="A31" t="str">
        <f t="shared" si="0"/>
        <v>635</v>
      </c>
      <c r="B31" s="188" t="s">
        <v>173</v>
      </c>
      <c r="C31" s="312">
        <f>SUMIF('Recap dep rec'!$A:$A,A31,'Recap dep rec'!$V:$V)</f>
        <v>21.34</v>
      </c>
      <c r="D31" s="189">
        <f t="shared" si="4"/>
        <v>1.2330796509822941E-3</v>
      </c>
      <c r="E31" s="182"/>
      <c r="F31" s="190"/>
      <c r="G31" s="191"/>
      <c r="H31" s="198"/>
    </row>
    <row r="32" spans="1:8" x14ac:dyDescent="0.25">
      <c r="B32" s="190" t="s">
        <v>152</v>
      </c>
      <c r="C32" s="197"/>
      <c r="D32" s="207"/>
      <c r="E32" s="182"/>
      <c r="F32" s="196"/>
      <c r="G32" s="191"/>
      <c r="H32" s="198"/>
    </row>
    <row r="33" spans="1:8" x14ac:dyDescent="0.25">
      <c r="A33" t="str">
        <f t="shared" si="0"/>
        <v>641</v>
      </c>
      <c r="B33" s="188" t="s">
        <v>71</v>
      </c>
      <c r="C33" s="312">
        <f>SUMIF('Recap dep rec'!$A:$A,A33,'Recap dep rec'!$V:$V)</f>
        <v>6153.5224000000007</v>
      </c>
      <c r="D33" s="189">
        <f t="shared" ref="D33:D34" si="5">C33/$C$55</f>
        <v>0.355566225553127</v>
      </c>
      <c r="E33" s="182"/>
      <c r="F33" s="196"/>
      <c r="G33" s="191"/>
      <c r="H33" s="198"/>
    </row>
    <row r="34" spans="1:8" x14ac:dyDescent="0.25">
      <c r="A34" t="str">
        <f t="shared" si="0"/>
        <v>645</v>
      </c>
      <c r="B34" s="188" t="s">
        <v>72</v>
      </c>
      <c r="C34" s="312">
        <f>SUMIF('Recap dep rec'!$A:$A,A34,'Recap dep rec'!$V:$V)</f>
        <v>14.000000000000002</v>
      </c>
      <c r="D34" s="189">
        <f t="shared" si="5"/>
        <v>8.0895572229391379E-4</v>
      </c>
      <c r="E34" s="182"/>
      <c r="F34" s="196"/>
      <c r="G34" s="191"/>
      <c r="H34" s="198"/>
    </row>
    <row r="35" spans="1:8" x14ac:dyDescent="0.25">
      <c r="A35" t="str">
        <f t="shared" si="0"/>
        <v/>
      </c>
      <c r="B35" s="188"/>
      <c r="C35" s="197"/>
      <c r="D35" s="198"/>
      <c r="E35" s="182"/>
      <c r="F35" s="190" t="s">
        <v>153</v>
      </c>
      <c r="G35" s="191"/>
      <c r="H35" s="198"/>
    </row>
    <row r="36" spans="1:8" x14ac:dyDescent="0.25">
      <c r="A36" t="str">
        <f t="shared" si="0"/>
        <v/>
      </c>
      <c r="B36" s="188"/>
      <c r="C36" s="197"/>
      <c r="D36" s="198"/>
      <c r="E36" s="182"/>
      <c r="F36" s="208"/>
      <c r="G36" s="191"/>
      <c r="H36" s="198"/>
    </row>
    <row r="37" spans="1:8" x14ac:dyDescent="0.25">
      <c r="A37" t="str">
        <f t="shared" si="0"/>
        <v xml:space="preserve">65 </v>
      </c>
      <c r="B37" s="188" t="s">
        <v>73</v>
      </c>
      <c r="C37" s="197"/>
      <c r="D37" s="198"/>
      <c r="E37" s="182"/>
      <c r="F37" s="208"/>
      <c r="G37" s="191"/>
      <c r="H37" s="198"/>
    </row>
    <row r="38" spans="1:8" x14ac:dyDescent="0.25">
      <c r="A38" t="str">
        <f t="shared" si="0"/>
        <v/>
      </c>
      <c r="B38" s="190"/>
      <c r="C38" s="197"/>
      <c r="D38" s="187"/>
      <c r="E38" s="182"/>
      <c r="F38" s="208"/>
      <c r="G38" s="191"/>
      <c r="H38" s="198"/>
    </row>
    <row r="39" spans="1:8" x14ac:dyDescent="0.25">
      <c r="A39" t="str">
        <f t="shared" si="0"/>
        <v/>
      </c>
      <c r="B39" s="188"/>
      <c r="C39" s="197"/>
      <c r="D39" s="198"/>
      <c r="E39" s="182"/>
      <c r="F39" s="209" t="s">
        <v>154</v>
      </c>
      <c r="G39" s="210">
        <f>G15</f>
        <v>906.26239999999962</v>
      </c>
      <c r="H39" s="265">
        <f>G39/C55</f>
        <v>5.2366153884272529E-2</v>
      </c>
    </row>
    <row r="40" spans="1:8" x14ac:dyDescent="0.25">
      <c r="B40" s="190" t="s">
        <v>155</v>
      </c>
      <c r="C40" s="197"/>
      <c r="D40" s="198"/>
      <c r="E40" s="182"/>
      <c r="F40" s="188"/>
      <c r="G40" s="191"/>
      <c r="H40" s="189"/>
    </row>
    <row r="41" spans="1:8" x14ac:dyDescent="0.25">
      <c r="A41" t="str">
        <f t="shared" si="0"/>
        <v>661</v>
      </c>
      <c r="B41" s="188" t="s">
        <v>74</v>
      </c>
      <c r="C41" s="312">
        <f>SUMIF('Recap dep rec'!$A:$A,A41,'Recap dep rec'!$V:$V)</f>
        <v>0</v>
      </c>
      <c r="D41" s="189">
        <f t="shared" ref="D41" si="6">C41/$C$55</f>
        <v>0</v>
      </c>
      <c r="E41" s="182"/>
      <c r="F41" s="190" t="s">
        <v>156</v>
      </c>
      <c r="G41" s="186">
        <f>G42+G44</f>
        <v>16400</v>
      </c>
      <c r="H41" s="264">
        <f>G41/C55</f>
        <v>0.94763384611572743</v>
      </c>
    </row>
    <row r="42" spans="1:8" x14ac:dyDescent="0.25">
      <c r="A42" t="str">
        <f t="shared" si="0"/>
        <v/>
      </c>
      <c r="B42" s="188"/>
      <c r="C42" s="197"/>
      <c r="D42" s="198"/>
      <c r="E42" s="182"/>
      <c r="F42" s="188" t="s">
        <v>88</v>
      </c>
      <c r="G42" s="191">
        <f>'Recap dep rec'!V35</f>
        <v>15900</v>
      </c>
      <c r="H42" s="198"/>
    </row>
    <row r="43" spans="1:8" x14ac:dyDescent="0.25">
      <c r="A43" t="str">
        <f t="shared" si="0"/>
        <v/>
      </c>
      <c r="B43" s="188"/>
      <c r="C43" s="197"/>
      <c r="D43" s="198"/>
      <c r="E43" s="182"/>
      <c r="F43" s="188" t="s">
        <v>157</v>
      </c>
      <c r="G43" s="212"/>
      <c r="H43" s="198"/>
    </row>
    <row r="44" spans="1:8" x14ac:dyDescent="0.25">
      <c r="A44" t="str">
        <f t="shared" si="0"/>
        <v xml:space="preserve">68 </v>
      </c>
      <c r="B44" s="190" t="s">
        <v>158</v>
      </c>
      <c r="C44" s="197"/>
      <c r="D44" s="198"/>
      <c r="E44" s="182"/>
      <c r="F44" s="188" t="s">
        <v>87</v>
      </c>
      <c r="G44" s="191">
        <f>'Recap dep rec'!V33</f>
        <v>500</v>
      </c>
      <c r="H44" s="198"/>
    </row>
    <row r="45" spans="1:8" x14ac:dyDescent="0.25">
      <c r="A45" t="str">
        <f t="shared" si="0"/>
        <v>aux</v>
      </c>
      <c r="B45" s="190" t="s">
        <v>159</v>
      </c>
      <c r="C45" s="197"/>
      <c r="D45" s="189"/>
      <c r="E45" s="182"/>
      <c r="F45" s="188" t="s">
        <v>160</v>
      </c>
      <c r="G45" s="191"/>
      <c r="H45" s="198"/>
    </row>
    <row r="46" spans="1:8" x14ac:dyDescent="0.25">
      <c r="A46" t="str">
        <f t="shared" si="0"/>
        <v>681</v>
      </c>
      <c r="B46" s="213" t="s">
        <v>75</v>
      </c>
      <c r="C46" s="312">
        <f>SUMIF('Recap dep rec'!$A:$A,A46,'Recap dep rec'!$V:$V)</f>
        <v>0</v>
      </c>
      <c r="D46" s="189">
        <f t="shared" ref="D46" si="7">C46/$C$55</f>
        <v>0</v>
      </c>
      <c r="E46" s="182"/>
      <c r="F46" s="188"/>
      <c r="G46" s="191"/>
      <c r="H46" s="198"/>
    </row>
    <row r="47" spans="1:8" x14ac:dyDescent="0.25">
      <c r="B47" s="188" t="s">
        <v>161</v>
      </c>
      <c r="C47" s="197"/>
      <c r="D47" s="189"/>
      <c r="E47" s="182"/>
      <c r="F47" s="188"/>
      <c r="G47" s="191"/>
      <c r="H47" s="189"/>
    </row>
    <row r="48" spans="1:8" x14ac:dyDescent="0.25">
      <c r="B48" s="213"/>
      <c r="C48" s="197"/>
      <c r="D48" s="189"/>
      <c r="E48" s="182"/>
      <c r="F48" s="190"/>
      <c r="G48" s="191"/>
      <c r="H48" s="189"/>
    </row>
    <row r="49" spans="1:8" x14ac:dyDescent="0.25">
      <c r="B49" s="213"/>
      <c r="C49" s="197"/>
      <c r="D49" s="189"/>
      <c r="E49" s="182"/>
      <c r="F49" s="190" t="s">
        <v>162</v>
      </c>
      <c r="G49" s="214"/>
      <c r="H49" s="187"/>
    </row>
    <row r="50" spans="1:8" x14ac:dyDescent="0.25">
      <c r="B50" s="190" t="s">
        <v>163</v>
      </c>
      <c r="C50" s="197"/>
      <c r="D50" s="187"/>
      <c r="E50" s="182"/>
      <c r="F50" s="188" t="s">
        <v>164</v>
      </c>
      <c r="G50" s="191">
        <f>'Recap dep rec'!Y42</f>
        <v>0</v>
      </c>
      <c r="H50" s="189"/>
    </row>
    <row r="51" spans="1:8" ht="15.75" x14ac:dyDescent="0.25">
      <c r="A51" t="s">
        <v>325</v>
      </c>
      <c r="B51" s="213" t="s">
        <v>29</v>
      </c>
      <c r="C51" s="312">
        <f>SUMIF('Recap dep rec'!$A:$A,A51,'Recap dep rec'!$V:$V)</f>
        <v>0</v>
      </c>
      <c r="D51" s="189">
        <f t="shared" ref="D51" si="8">C51/$C$55</f>
        <v>0</v>
      </c>
      <c r="E51" s="217"/>
      <c r="F51" s="188" t="s">
        <v>165</v>
      </c>
      <c r="G51" s="215"/>
      <c r="H51" s="189"/>
    </row>
    <row r="52" spans="1:8" ht="15.75" x14ac:dyDescent="0.25">
      <c r="B52" s="188" t="s">
        <v>166</v>
      </c>
      <c r="C52" s="197"/>
      <c r="D52" s="189"/>
      <c r="E52" s="217"/>
      <c r="F52" s="188" t="s">
        <v>167</v>
      </c>
      <c r="G52" s="215"/>
      <c r="H52" s="189"/>
    </row>
    <row r="53" spans="1:8" x14ac:dyDescent="0.25">
      <c r="B53" s="188" t="s">
        <v>167</v>
      </c>
      <c r="C53" s="197"/>
      <c r="D53" s="189"/>
      <c r="F53" s="188"/>
      <c r="G53" s="215"/>
      <c r="H53" s="189"/>
    </row>
    <row r="54" spans="1:8" x14ac:dyDescent="0.25">
      <c r="B54" s="218"/>
      <c r="C54" s="219"/>
      <c r="D54" s="220"/>
      <c r="F54" s="188"/>
      <c r="G54" s="215"/>
      <c r="H54" s="189"/>
    </row>
    <row r="55" spans="1:8" x14ac:dyDescent="0.25">
      <c r="B55" s="221" t="s">
        <v>168</v>
      </c>
      <c r="C55" s="222">
        <f>SUM(C5:C54)</f>
        <v>17306.2624</v>
      </c>
      <c r="D55" s="223"/>
      <c r="F55" s="221" t="s">
        <v>169</v>
      </c>
      <c r="G55" s="224">
        <f>G39+G41</f>
        <v>17306.2624</v>
      </c>
      <c r="H55" s="223"/>
    </row>
    <row r="56" spans="1:8" x14ac:dyDescent="0.25">
      <c r="B56" s="182"/>
      <c r="C56" s="225">
        <f>C55-'Recap dep rec'!V29</f>
        <v>0</v>
      </c>
      <c r="D56" s="226"/>
      <c r="F56" s="182"/>
      <c r="G56" s="225"/>
      <c r="H56" s="227"/>
    </row>
    <row r="57" spans="1:8" ht="15.75" x14ac:dyDescent="0.25">
      <c r="B57" s="182"/>
      <c r="C57" s="228"/>
      <c r="D57" s="229"/>
      <c r="F57" s="217"/>
      <c r="G57" s="228"/>
      <c r="H57" s="230"/>
    </row>
    <row r="58" spans="1:8" ht="15.75" x14ac:dyDescent="0.25">
      <c r="B58" s="217"/>
      <c r="C58" s="228"/>
      <c r="D58" s="229"/>
      <c r="F58" s="217"/>
      <c r="G58" s="228"/>
      <c r="H58" s="226"/>
    </row>
    <row r="59" spans="1:8" ht="15.75" x14ac:dyDescent="0.25">
      <c r="C59" s="231"/>
      <c r="D59" s="232"/>
      <c r="G59" s="231"/>
      <c r="H59" s="229"/>
    </row>
  </sheetData>
  <mergeCells count="1">
    <mergeCell ref="B1:H1"/>
  </mergeCells>
  <pageMargins left="0" right="0" top="0.74803149606299213" bottom="0.74803149606299213" header="0.31496062992125984" footer="0.31496062992125984"/>
  <pageSetup paperSize="9" scale="80" orientation="portrait" horizontalDpi="0" verticalDpi="0"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H59"/>
  <sheetViews>
    <sheetView topLeftCell="A28" workbookViewId="0">
      <selection activeCell="C5" sqref="C5:D5"/>
    </sheetView>
  </sheetViews>
  <sheetFormatPr baseColWidth="10" defaultRowHeight="15" x14ac:dyDescent="0.25"/>
  <cols>
    <col min="1" max="1" width="7.5703125" bestFit="1" customWidth="1"/>
    <col min="2" max="2" width="50.85546875" bestFit="1" customWidth="1"/>
    <col min="3" max="3" width="13" bestFit="1" customWidth="1"/>
    <col min="5" max="5" width="5.42578125" customWidth="1"/>
    <col min="6" max="6" width="33" bestFit="1" customWidth="1"/>
  </cols>
  <sheetData>
    <row r="1" spans="1:8" ht="34.5" customHeight="1" x14ac:dyDescent="0.25">
      <c r="B1" s="366" t="s">
        <v>340</v>
      </c>
      <c r="C1" s="367"/>
      <c r="D1" s="367"/>
      <c r="E1" s="367"/>
      <c r="F1" s="367"/>
      <c r="G1" s="367"/>
      <c r="H1" s="368"/>
    </row>
    <row r="2" spans="1:8" x14ac:dyDescent="0.35">
      <c r="B2" s="176"/>
      <c r="C2" s="177"/>
      <c r="D2" s="178"/>
      <c r="E2" s="177"/>
      <c r="F2" s="177"/>
      <c r="G2" s="177"/>
      <c r="H2" s="178"/>
    </row>
    <row r="3" spans="1:8" x14ac:dyDescent="0.25">
      <c r="B3" s="179" t="s">
        <v>129</v>
      </c>
      <c r="C3" s="180" t="s">
        <v>130</v>
      </c>
      <c r="D3" s="181" t="s">
        <v>131</v>
      </c>
      <c r="E3" s="182"/>
      <c r="F3" s="179" t="s">
        <v>132</v>
      </c>
      <c r="G3" s="179" t="s">
        <v>130</v>
      </c>
      <c r="H3" s="181" t="s">
        <v>131</v>
      </c>
    </row>
    <row r="4" spans="1:8" ht="14.45" x14ac:dyDescent="0.35">
      <c r="B4" s="183" t="s">
        <v>133</v>
      </c>
      <c r="C4" s="184"/>
      <c r="D4" s="185"/>
      <c r="E4" s="182"/>
      <c r="F4" s="183" t="s">
        <v>134</v>
      </c>
      <c r="G4" s="186"/>
      <c r="H4" s="187"/>
    </row>
    <row r="5" spans="1:8" ht="14.45" x14ac:dyDescent="0.35">
      <c r="A5" t="str">
        <f>LEFT(B5,3)</f>
        <v>604</v>
      </c>
      <c r="B5" s="188" t="s">
        <v>135</v>
      </c>
      <c r="C5" s="312">
        <f ca="1">SUMIF('Recap dep rec'!$A:$A,A5,'Recap dep rec'!$H:$H)</f>
        <v>0</v>
      </c>
      <c r="D5" s="189">
        <f ca="1">C5/$C$55</f>
        <v>0</v>
      </c>
      <c r="E5" s="182"/>
      <c r="F5" s="190"/>
      <c r="G5" s="191"/>
      <c r="H5" s="189"/>
    </row>
    <row r="6" spans="1:8" x14ac:dyDescent="0.25">
      <c r="A6" t="str">
        <f t="shared" ref="A6:A46" si="0">LEFT(B6,3)</f>
        <v>605</v>
      </c>
      <c r="B6" s="192" t="s">
        <v>136</v>
      </c>
      <c r="C6" s="312">
        <f ca="1">SUMIF('Recap dep rec'!$A:$A,A6,'Recap dep rec'!$H:$H)</f>
        <v>21.666666666666668</v>
      </c>
      <c r="D6" s="189">
        <f t="shared" ref="D6:D8" ca="1" si="1">C6/$C$55</f>
        <v>9.2957633777561736E-4</v>
      </c>
      <c r="E6" s="182"/>
      <c r="F6" s="190" t="s">
        <v>137</v>
      </c>
      <c r="G6" s="191"/>
      <c r="H6" s="193"/>
    </row>
    <row r="7" spans="1:8" ht="14.45" x14ac:dyDescent="0.35">
      <c r="A7" t="str">
        <f t="shared" si="0"/>
        <v>606</v>
      </c>
      <c r="B7" s="192" t="s">
        <v>138</v>
      </c>
      <c r="C7" s="312">
        <f ca="1">SUMIF('Recap dep rec'!$A:$A,A7,'Recap dep rec'!$H:$H)</f>
        <v>97.500000000000014</v>
      </c>
      <c r="D7" s="189">
        <f t="shared" ca="1" si="1"/>
        <v>4.1830935199902788E-3</v>
      </c>
      <c r="E7" s="182"/>
      <c r="F7" s="196"/>
      <c r="G7" s="191"/>
      <c r="H7" s="189"/>
    </row>
    <row r="8" spans="1:8" ht="14.45" x14ac:dyDescent="0.35">
      <c r="A8" t="str">
        <f t="shared" si="0"/>
        <v>607</v>
      </c>
      <c r="B8" s="188" t="s">
        <v>139</v>
      </c>
      <c r="C8" s="312">
        <f ca="1">SUMIF('Recap dep rec'!$A:$A,A8,'Recap dep rec'!$H:$H)</f>
        <v>0</v>
      </c>
      <c r="D8" s="189">
        <f t="shared" ca="1" si="1"/>
        <v>0</v>
      </c>
      <c r="E8" s="182"/>
      <c r="F8" s="196"/>
      <c r="G8" s="191"/>
      <c r="H8" s="189"/>
    </row>
    <row r="9" spans="1:8" ht="14.45" x14ac:dyDescent="0.35">
      <c r="A9" t="str">
        <f t="shared" si="0"/>
        <v/>
      </c>
      <c r="B9" s="188"/>
      <c r="C9" s="194"/>
      <c r="D9" s="189"/>
      <c r="E9" s="182"/>
      <c r="F9" s="196"/>
      <c r="G9" s="191"/>
      <c r="H9" s="189"/>
    </row>
    <row r="10" spans="1:8" x14ac:dyDescent="0.25">
      <c r="A10" t="str">
        <f t="shared" si="0"/>
        <v/>
      </c>
      <c r="B10" s="196"/>
      <c r="C10" s="197"/>
      <c r="D10" s="198"/>
      <c r="E10" s="182"/>
      <c r="F10" s="199" t="s">
        <v>140</v>
      </c>
      <c r="G10" s="191"/>
      <c r="H10" s="198"/>
    </row>
    <row r="11" spans="1:8" x14ac:dyDescent="0.25">
      <c r="B11" s="190" t="s">
        <v>141</v>
      </c>
      <c r="C11" s="186"/>
      <c r="D11" s="187"/>
      <c r="E11" s="182"/>
      <c r="F11" s="200"/>
      <c r="G11" s="191"/>
      <c r="H11" s="198"/>
    </row>
    <row r="12" spans="1:8" x14ac:dyDescent="0.25">
      <c r="A12" t="str">
        <f t="shared" si="0"/>
        <v>611</v>
      </c>
      <c r="B12" s="188" t="s">
        <v>142</v>
      </c>
      <c r="C12" s="312">
        <f ca="1">SUMIF('Recap dep rec'!$A:$A,A12,'Recap dep rec'!$H:$H)</f>
        <v>17200</v>
      </c>
      <c r="D12" s="189">
        <f t="shared" ref="D12:D17" ca="1" si="2">C12/$C$55</f>
        <v>0.737940600449567</v>
      </c>
      <c r="E12" s="182"/>
      <c r="F12" s="201"/>
      <c r="G12" s="191"/>
      <c r="H12" s="198"/>
    </row>
    <row r="13" spans="1:8" ht="14.45" x14ac:dyDescent="0.35">
      <c r="A13" t="str">
        <f t="shared" si="0"/>
        <v>613</v>
      </c>
      <c r="B13" s="188" t="s">
        <v>170</v>
      </c>
      <c r="C13" s="312">
        <f ca="1">SUMIF('Recap dep rec'!$A:$A,A13,'Recap dep rec'!$H:$H)</f>
        <v>341.66666666666669</v>
      </c>
      <c r="D13" s="189">
        <f t="shared" ca="1" si="2"/>
        <v>1.465870378800012E-2</v>
      </c>
      <c r="E13" s="182"/>
      <c r="F13" s="202"/>
      <c r="G13" s="191"/>
      <c r="H13" s="198"/>
    </row>
    <row r="14" spans="1:8" ht="14.45" x14ac:dyDescent="0.35">
      <c r="A14" t="str">
        <f t="shared" si="0"/>
        <v>615</v>
      </c>
      <c r="B14" s="188" t="s">
        <v>65</v>
      </c>
      <c r="C14" s="312">
        <f ca="1">SUMIF('Recap dep rec'!$A:$A,A14,'Recap dep rec'!$H:$H)</f>
        <v>105</v>
      </c>
      <c r="D14" s="189">
        <f t="shared" ca="1" si="2"/>
        <v>4.504869944604915E-3</v>
      </c>
      <c r="E14" s="182"/>
      <c r="F14" s="202"/>
      <c r="G14" s="191"/>
      <c r="H14" s="198"/>
    </row>
    <row r="15" spans="1:8" x14ac:dyDescent="0.25">
      <c r="A15" t="str">
        <f t="shared" si="0"/>
        <v>616</v>
      </c>
      <c r="B15" s="188" t="s">
        <v>66</v>
      </c>
      <c r="C15" s="312">
        <f ca="1">SUMIF('Recap dep rec'!$A:$A,A15,'Recap dep rec'!$H:$H)</f>
        <v>67</v>
      </c>
      <c r="D15" s="189">
        <f t="shared" ca="1" si="2"/>
        <v>2.8745360598907551E-3</v>
      </c>
      <c r="E15" s="182"/>
      <c r="F15" s="190" t="s">
        <v>143</v>
      </c>
      <c r="G15" s="191">
        <f ca="1">'Recap dep rec'!H38</f>
        <v>7058.1090666666714</v>
      </c>
      <c r="H15" s="263">
        <f ca="1">G15/G55</f>
        <v>0.30281774666828698</v>
      </c>
    </row>
    <row r="16" spans="1:8" ht="14.45" x14ac:dyDescent="0.35">
      <c r="A16" t="str">
        <f t="shared" si="0"/>
        <v>617</v>
      </c>
      <c r="B16" s="188" t="s">
        <v>67</v>
      </c>
      <c r="C16" s="312">
        <f ca="1">SUMIF('Recap dep rec'!$A:$A,A16,'Recap dep rec'!$H:$H)</f>
        <v>0</v>
      </c>
      <c r="D16" s="189">
        <f t="shared" ca="1" si="2"/>
        <v>0</v>
      </c>
      <c r="E16" s="182"/>
      <c r="F16" s="203"/>
      <c r="G16" s="191"/>
      <c r="H16" s="198"/>
    </row>
    <row r="17" spans="1:8" ht="14.45" x14ac:dyDescent="0.35">
      <c r="A17" t="str">
        <f t="shared" si="0"/>
        <v>618</v>
      </c>
      <c r="B17" s="188" t="s">
        <v>144</v>
      </c>
      <c r="C17" s="312">
        <f ca="1">SUMIF('Recap dep rec'!$A:$A,A17,'Recap dep rec'!$H:$H)</f>
        <v>26.666666666666671</v>
      </c>
      <c r="D17" s="189">
        <f t="shared" ca="1" si="2"/>
        <v>1.1440939541853754E-3</v>
      </c>
      <c r="E17" s="182"/>
      <c r="F17" s="203"/>
      <c r="G17" s="191"/>
      <c r="H17" s="198"/>
    </row>
    <row r="18" spans="1:8" ht="14.45" x14ac:dyDescent="0.35">
      <c r="A18" t="str">
        <f t="shared" si="0"/>
        <v/>
      </c>
      <c r="B18" s="188"/>
      <c r="C18" s="197"/>
      <c r="D18" s="198"/>
      <c r="E18" s="182"/>
      <c r="F18" s="202"/>
      <c r="G18" s="191"/>
      <c r="H18" s="198"/>
    </row>
    <row r="19" spans="1:8" x14ac:dyDescent="0.25">
      <c r="A19" t="str">
        <f t="shared" si="0"/>
        <v/>
      </c>
      <c r="B19" s="188"/>
      <c r="C19" s="197"/>
      <c r="D19" s="198"/>
      <c r="E19" s="204"/>
      <c r="F19" s="205" t="s">
        <v>145</v>
      </c>
      <c r="G19" s="191"/>
      <c r="H19" s="198"/>
    </row>
    <row r="20" spans="1:8" x14ac:dyDescent="0.25">
      <c r="B20" s="190" t="s">
        <v>146</v>
      </c>
      <c r="C20" s="186"/>
      <c r="D20" s="187"/>
      <c r="E20" s="182"/>
      <c r="F20" s="196"/>
      <c r="G20" s="191"/>
      <c r="H20" s="198"/>
    </row>
    <row r="21" spans="1:8" ht="14.45" x14ac:dyDescent="0.35">
      <c r="A21" t="str">
        <f t="shared" si="0"/>
        <v/>
      </c>
      <c r="B21" s="190"/>
      <c r="C21" s="186"/>
      <c r="D21" s="187"/>
      <c r="E21" s="182"/>
      <c r="F21" s="196"/>
      <c r="G21" s="191"/>
      <c r="H21" s="198"/>
    </row>
    <row r="22" spans="1:8" x14ac:dyDescent="0.25">
      <c r="A22" t="str">
        <f t="shared" si="0"/>
        <v>622</v>
      </c>
      <c r="B22" s="188" t="s">
        <v>147</v>
      </c>
      <c r="C22" s="312">
        <f ca="1">SUMIF('Recap dep rec'!$A:$A,A22,'Recap dep rec'!$H:$H)</f>
        <v>338.33333333333337</v>
      </c>
      <c r="D22" s="189">
        <f ca="1">C22/$C$55</f>
        <v>1.4515692043726949E-2</v>
      </c>
      <c r="E22" s="182"/>
      <c r="F22" s="203"/>
      <c r="G22" s="191"/>
      <c r="H22" s="198"/>
    </row>
    <row r="23" spans="1:8" ht="14.45" x14ac:dyDescent="0.35">
      <c r="A23" t="str">
        <f t="shared" si="0"/>
        <v xml:space="preserve">et </v>
      </c>
      <c r="B23" s="188" t="s">
        <v>148</v>
      </c>
      <c r="C23" s="312"/>
      <c r="D23" s="189"/>
      <c r="E23" s="182"/>
      <c r="F23" s="190"/>
      <c r="G23" s="191"/>
      <c r="H23" s="198"/>
    </row>
    <row r="24" spans="1:8" x14ac:dyDescent="0.25">
      <c r="A24" t="str">
        <f t="shared" si="0"/>
        <v>623</v>
      </c>
      <c r="B24" s="188" t="s">
        <v>149</v>
      </c>
      <c r="C24" s="312">
        <f ca="1">SUMIF('Recap dep rec'!$A:$A,A24,'Recap dep rec'!$H:$H)</f>
        <v>130.00000000000003</v>
      </c>
      <c r="D24" s="189">
        <f t="shared" ref="D24:D27" ca="1" si="3">C24/$C$55</f>
        <v>5.5774580266537048E-3</v>
      </c>
      <c r="E24" s="182"/>
      <c r="F24" s="190" t="s">
        <v>150</v>
      </c>
      <c r="G24" s="191"/>
      <c r="H24" s="198"/>
    </row>
    <row r="25" spans="1:8" x14ac:dyDescent="0.25">
      <c r="A25" t="str">
        <f t="shared" si="0"/>
        <v>625</v>
      </c>
      <c r="B25" s="188" t="s">
        <v>68</v>
      </c>
      <c r="C25" s="312">
        <f ca="1">SUMIF('Recap dep rec'!$A:$A,A25,'Recap dep rec'!$H:$H)</f>
        <v>481.6666666666668</v>
      </c>
      <c r="D25" s="189">
        <f t="shared" ca="1" si="3"/>
        <v>2.0665197047473344E-2</v>
      </c>
      <c r="E25" s="182"/>
      <c r="F25" s="196"/>
      <c r="G25" s="191"/>
      <c r="H25" s="198"/>
    </row>
    <row r="26" spans="1:8" x14ac:dyDescent="0.25">
      <c r="A26" t="str">
        <f t="shared" si="0"/>
        <v>626</v>
      </c>
      <c r="B26" s="188" t="s">
        <v>69</v>
      </c>
      <c r="C26" s="312">
        <f ca="1">SUMIF('Recap dep rec'!$A:$A,A26,'Recap dep rec'!$H:$H)</f>
        <v>98.333333333333343</v>
      </c>
      <c r="D26" s="189">
        <f t="shared" ca="1" si="3"/>
        <v>4.2188464560585712E-3</v>
      </c>
      <c r="E26" s="182"/>
      <c r="F26" s="196"/>
      <c r="G26" s="191"/>
      <c r="H26" s="198"/>
    </row>
    <row r="27" spans="1:8" x14ac:dyDescent="0.25">
      <c r="A27" t="str">
        <f t="shared" si="0"/>
        <v>628</v>
      </c>
      <c r="B27" s="188" t="s">
        <v>70</v>
      </c>
      <c r="C27" s="312">
        <f ca="1">SUMIF('Recap dep rec'!$A:$A,A27,'Recap dep rec'!$H:$H)</f>
        <v>57.500000000000007</v>
      </c>
      <c r="D27" s="189">
        <f t="shared" ca="1" si="3"/>
        <v>2.4669525887122154E-3</v>
      </c>
      <c r="E27" s="182"/>
      <c r="F27" s="196"/>
      <c r="G27" s="191"/>
      <c r="H27" s="198"/>
    </row>
    <row r="28" spans="1:8" x14ac:dyDescent="0.25">
      <c r="A28" t="str">
        <f t="shared" si="0"/>
        <v/>
      </c>
      <c r="B28" s="188"/>
      <c r="C28" s="197"/>
      <c r="D28" s="198"/>
      <c r="E28" s="182"/>
      <c r="F28" s="190" t="s">
        <v>151</v>
      </c>
      <c r="G28" s="191"/>
      <c r="H28" s="198"/>
    </row>
    <row r="29" spans="1:8" x14ac:dyDescent="0.25">
      <c r="B29" s="190" t="s">
        <v>171</v>
      </c>
      <c r="C29" s="197"/>
      <c r="D29" s="198"/>
      <c r="E29" s="182"/>
      <c r="F29" s="190"/>
      <c r="G29" s="191"/>
      <c r="H29" s="198"/>
    </row>
    <row r="30" spans="1:8" x14ac:dyDescent="0.25">
      <c r="A30" t="str">
        <f t="shared" si="0"/>
        <v>631</v>
      </c>
      <c r="B30" s="188" t="s">
        <v>172</v>
      </c>
      <c r="C30" s="312">
        <f ca="1">SUMIF('Recap dep rec'!$A:$A,A30,'Recap dep rec'!$H:$H)</f>
        <v>82.5</v>
      </c>
      <c r="D30" s="189">
        <f t="shared" ref="D30:D31" ca="1" si="4">C30/$C$55</f>
        <v>3.5395406707610043E-3</v>
      </c>
      <c r="E30" s="182"/>
      <c r="F30" s="190"/>
      <c r="G30" s="191"/>
      <c r="H30" s="198"/>
    </row>
    <row r="31" spans="1:8" x14ac:dyDescent="0.25">
      <c r="A31" t="str">
        <f t="shared" si="0"/>
        <v>635</v>
      </c>
      <c r="B31" s="188" t="s">
        <v>173</v>
      </c>
      <c r="C31" s="312">
        <f ca="1">SUMIF('Recap dep rec'!$A:$A,A31,'Recap dep rec'!$H:$H)</f>
        <v>17.783333333333335</v>
      </c>
      <c r="D31" s="189">
        <f t="shared" ca="1" si="4"/>
        <v>7.6296765569737219E-4</v>
      </c>
      <c r="E31" s="182"/>
      <c r="F31" s="190"/>
      <c r="G31" s="191"/>
      <c r="H31" s="198"/>
    </row>
    <row r="32" spans="1:8" x14ac:dyDescent="0.25">
      <c r="B32" s="190" t="s">
        <v>152</v>
      </c>
      <c r="C32" s="206"/>
      <c r="D32" s="207"/>
      <c r="E32" s="182"/>
      <c r="F32" s="196"/>
      <c r="G32" s="191"/>
      <c r="H32" s="198"/>
    </row>
    <row r="33" spans="1:8" x14ac:dyDescent="0.25">
      <c r="A33" t="str">
        <f t="shared" si="0"/>
        <v>641</v>
      </c>
      <c r="B33" s="188" t="s">
        <v>71</v>
      </c>
      <c r="C33" s="312">
        <f ca="1">SUMIF('Recap dep rec'!$A:$A,A33,'Recap dep rec'!$H:$H)</f>
        <v>4230.825733333334</v>
      </c>
      <c r="D33" s="189">
        <f t="shared" ref="D33:D34" ca="1" si="5">C33/$C$55</f>
        <v>0.18151733035194653</v>
      </c>
      <c r="E33" s="182"/>
      <c r="F33" s="196"/>
      <c r="G33" s="191"/>
      <c r="H33" s="198"/>
    </row>
    <row r="34" spans="1:8" x14ac:dyDescent="0.25">
      <c r="A34" t="str">
        <f t="shared" si="0"/>
        <v>645</v>
      </c>
      <c r="B34" s="188" t="s">
        <v>72</v>
      </c>
      <c r="C34" s="312">
        <f ca="1">SUMIF('Recap dep rec'!$A:$A,A34,'Recap dep rec'!$H:$H)</f>
        <v>11.666666666666668</v>
      </c>
      <c r="D34" s="189">
        <f t="shared" ca="1" si="5"/>
        <v>5.0054110495610172E-4</v>
      </c>
      <c r="E34" s="182"/>
      <c r="F34" s="196"/>
      <c r="G34" s="191"/>
      <c r="H34" s="198"/>
    </row>
    <row r="35" spans="1:8" x14ac:dyDescent="0.25">
      <c r="A35" t="str">
        <f t="shared" si="0"/>
        <v/>
      </c>
      <c r="B35" s="188"/>
      <c r="C35" s="197"/>
      <c r="D35" s="198"/>
      <c r="E35" s="182"/>
      <c r="F35" s="190" t="s">
        <v>153</v>
      </c>
      <c r="G35" s="191"/>
      <c r="H35" s="198"/>
    </row>
    <row r="36" spans="1:8" x14ac:dyDescent="0.25">
      <c r="A36" t="str">
        <f t="shared" si="0"/>
        <v/>
      </c>
      <c r="B36" s="188"/>
      <c r="C36" s="197"/>
      <c r="D36" s="198"/>
      <c r="E36" s="182"/>
      <c r="F36" s="208"/>
      <c r="G36" s="191"/>
      <c r="H36" s="198"/>
    </row>
    <row r="37" spans="1:8" x14ac:dyDescent="0.25">
      <c r="A37" t="str">
        <f t="shared" si="0"/>
        <v xml:space="preserve">65 </v>
      </c>
      <c r="B37" s="188" t="s">
        <v>73</v>
      </c>
      <c r="C37" s="312">
        <f ca="1">SUMIF('Recap dep rec'!$A:$A,A37,'Recap dep rec'!$H:$H)</f>
        <v>0</v>
      </c>
      <c r="D37" s="189">
        <f ca="1">C37/$C$55</f>
        <v>0</v>
      </c>
      <c r="E37" s="182"/>
      <c r="F37" s="208"/>
      <c r="G37" s="191"/>
      <c r="H37" s="198"/>
    </row>
    <row r="38" spans="1:8" x14ac:dyDescent="0.25">
      <c r="A38" t="str">
        <f t="shared" si="0"/>
        <v/>
      </c>
      <c r="B38" s="190"/>
      <c r="C38" s="186"/>
      <c r="D38" s="187"/>
      <c r="E38" s="182"/>
      <c r="F38" s="208"/>
      <c r="G38" s="191"/>
      <c r="H38" s="198"/>
    </row>
    <row r="39" spans="1:8" x14ac:dyDescent="0.25">
      <c r="A39" t="str">
        <f t="shared" si="0"/>
        <v/>
      </c>
      <c r="B39" s="188"/>
      <c r="C39" s="197"/>
      <c r="D39" s="198"/>
      <c r="E39" s="182"/>
      <c r="F39" s="209" t="s">
        <v>154</v>
      </c>
      <c r="G39" s="210">
        <f ca="1">G15</f>
        <v>7058.1090666666714</v>
      </c>
      <c r="H39" s="265">
        <f ca="1">G39/G55</f>
        <v>0.30281774666828698</v>
      </c>
    </row>
    <row r="40" spans="1:8" x14ac:dyDescent="0.25">
      <c r="B40" s="190" t="s">
        <v>155</v>
      </c>
      <c r="C40" s="197"/>
      <c r="D40" s="198"/>
      <c r="E40" s="182"/>
      <c r="F40" s="188"/>
      <c r="G40" s="191"/>
      <c r="H40" s="189"/>
    </row>
    <row r="41" spans="1:8" x14ac:dyDescent="0.25">
      <c r="A41" t="str">
        <f t="shared" si="0"/>
        <v>661</v>
      </c>
      <c r="B41" s="188" t="s">
        <v>74</v>
      </c>
      <c r="C41" s="312">
        <f ca="1">SUMIF('Recap dep rec'!$A:$A,A41,'Recap dep rec'!$H:$H)</f>
        <v>0</v>
      </c>
      <c r="D41" s="189">
        <f ca="1">C41/$C$55</f>
        <v>0</v>
      </c>
      <c r="E41" s="182"/>
      <c r="F41" s="190" t="s">
        <v>156</v>
      </c>
      <c r="G41" s="186">
        <f>G42+G44</f>
        <v>16250</v>
      </c>
      <c r="H41" s="264">
        <f ca="1">G41/G55</f>
        <v>0.69718225333171302</v>
      </c>
    </row>
    <row r="42" spans="1:8" x14ac:dyDescent="0.25">
      <c r="A42" t="str">
        <f t="shared" si="0"/>
        <v/>
      </c>
      <c r="B42" s="188"/>
      <c r="C42" s="197"/>
      <c r="D42" s="198"/>
      <c r="E42" s="182"/>
      <c r="F42" s="188" t="s">
        <v>88</v>
      </c>
      <c r="G42" s="191">
        <f>'Recap dep rec'!H35</f>
        <v>15250</v>
      </c>
      <c r="H42" s="198"/>
    </row>
    <row r="43" spans="1:8" x14ac:dyDescent="0.25">
      <c r="A43" t="str">
        <f t="shared" si="0"/>
        <v/>
      </c>
      <c r="B43" s="188"/>
      <c r="C43" s="197"/>
      <c r="D43" s="198"/>
      <c r="E43" s="182"/>
      <c r="F43" s="188" t="s">
        <v>157</v>
      </c>
      <c r="G43" s="212"/>
      <c r="H43" s="198"/>
    </row>
    <row r="44" spans="1:8" x14ac:dyDescent="0.25">
      <c r="A44" t="str">
        <f t="shared" si="0"/>
        <v xml:space="preserve">68 </v>
      </c>
      <c r="B44" s="190" t="s">
        <v>158</v>
      </c>
      <c r="C44" s="197"/>
      <c r="D44" s="198"/>
      <c r="E44" s="182"/>
      <c r="F44" s="188" t="s">
        <v>87</v>
      </c>
      <c r="G44" s="191">
        <f>'Recap dep rec'!H33</f>
        <v>1000</v>
      </c>
      <c r="H44" s="198"/>
    </row>
    <row r="45" spans="1:8" x14ac:dyDescent="0.25">
      <c r="A45" t="str">
        <f t="shared" si="0"/>
        <v>aux</v>
      </c>
      <c r="B45" s="190" t="s">
        <v>159</v>
      </c>
      <c r="C45" s="194"/>
      <c r="D45" s="189"/>
      <c r="E45" s="182"/>
      <c r="F45" s="188" t="s">
        <v>160</v>
      </c>
      <c r="G45" s="191"/>
      <c r="H45" s="198"/>
    </row>
    <row r="46" spans="1:8" x14ac:dyDescent="0.25">
      <c r="A46" t="str">
        <f t="shared" si="0"/>
        <v>681</v>
      </c>
      <c r="B46" s="213" t="s">
        <v>75</v>
      </c>
      <c r="C46" s="312">
        <f ca="1">SUMIF('Recap dep rec'!$A:$A,A46,'Recap dep rec'!$H:$H)</f>
        <v>0</v>
      </c>
      <c r="D46" s="189">
        <f ca="1">C46/$C$55</f>
        <v>0</v>
      </c>
      <c r="E46" s="182"/>
      <c r="F46" s="188"/>
      <c r="G46" s="191"/>
      <c r="H46" s="198"/>
    </row>
    <row r="47" spans="1:8" x14ac:dyDescent="0.25">
      <c r="B47" s="188" t="s">
        <v>161</v>
      </c>
      <c r="C47" s="194"/>
      <c r="D47" s="189"/>
      <c r="E47" s="182"/>
      <c r="F47" s="188"/>
      <c r="G47" s="191"/>
      <c r="H47" s="189"/>
    </row>
    <row r="48" spans="1:8" x14ac:dyDescent="0.25">
      <c r="B48" s="213"/>
      <c r="C48" s="194"/>
      <c r="D48" s="189"/>
      <c r="E48" s="182"/>
      <c r="F48" s="190"/>
      <c r="G48" s="191"/>
      <c r="H48" s="189"/>
    </row>
    <row r="49" spans="1:8" x14ac:dyDescent="0.25">
      <c r="B49" s="213"/>
      <c r="C49" s="194"/>
      <c r="D49" s="189"/>
      <c r="E49" s="182"/>
      <c r="F49" s="190" t="s">
        <v>162</v>
      </c>
      <c r="G49" s="214"/>
      <c r="H49" s="187"/>
    </row>
    <row r="50" spans="1:8" x14ac:dyDescent="0.25">
      <c r="B50" s="190" t="s">
        <v>163</v>
      </c>
      <c r="C50" s="186"/>
      <c r="D50" s="187"/>
      <c r="E50" s="182"/>
      <c r="F50" s="188" t="s">
        <v>164</v>
      </c>
      <c r="G50" s="215"/>
      <c r="H50" s="189"/>
    </row>
    <row r="51" spans="1:8" ht="15.75" x14ac:dyDescent="0.25">
      <c r="A51" t="s">
        <v>325</v>
      </c>
      <c r="B51" s="213" t="s">
        <v>29</v>
      </c>
      <c r="C51" s="312">
        <f>SUMIF('Recap dep rec'!$A:$A,A51,'Recap dep rec'!$H:$H)</f>
        <v>0</v>
      </c>
      <c r="D51" s="189">
        <f t="shared" ref="D51:D53" ca="1" si="6">C51/$C$55</f>
        <v>0</v>
      </c>
      <c r="E51" s="217"/>
      <c r="F51" s="188" t="s">
        <v>165</v>
      </c>
      <c r="G51" s="215"/>
      <c r="H51" s="189"/>
    </row>
    <row r="52" spans="1:8" ht="15.75" x14ac:dyDescent="0.25">
      <c r="B52" s="188" t="s">
        <v>166</v>
      </c>
      <c r="C52" s="312">
        <f>SUMIF('Recap dep rec'!$A:$A,A52,'Recap dep rec'!$H:$H)</f>
        <v>0</v>
      </c>
      <c r="D52" s="189">
        <f t="shared" ca="1" si="6"/>
        <v>0</v>
      </c>
      <c r="E52" s="217"/>
      <c r="F52" s="188" t="s">
        <v>167</v>
      </c>
      <c r="G52" s="215"/>
      <c r="H52" s="189"/>
    </row>
    <row r="53" spans="1:8" x14ac:dyDescent="0.25">
      <c r="B53" s="188" t="s">
        <v>167</v>
      </c>
      <c r="C53" s="312">
        <f>SUMIF('Recap dep rec'!$A:$A,A53,'Recap dep rec'!$H:$H)</f>
        <v>0</v>
      </c>
      <c r="D53" s="189">
        <f t="shared" ca="1" si="6"/>
        <v>0</v>
      </c>
      <c r="F53" s="188"/>
      <c r="G53" s="215"/>
      <c r="H53" s="189"/>
    </row>
    <row r="54" spans="1:8" x14ac:dyDescent="0.25">
      <c r="B54" s="218"/>
      <c r="C54" s="219"/>
      <c r="D54" s="220"/>
      <c r="F54" s="188"/>
      <c r="G54" s="215"/>
      <c r="H54" s="189"/>
    </row>
    <row r="55" spans="1:8" x14ac:dyDescent="0.25">
      <c r="B55" s="221" t="s">
        <v>168</v>
      </c>
      <c r="C55" s="222">
        <f ca="1">SUM(C5:C54)</f>
        <v>23308.109066666671</v>
      </c>
      <c r="D55" s="223"/>
      <c r="F55" s="221" t="s">
        <v>169</v>
      </c>
      <c r="G55" s="224">
        <f ca="1">G39+G41+G49</f>
        <v>23308.109066666671</v>
      </c>
      <c r="H55" s="223"/>
    </row>
    <row r="56" spans="1:8" x14ac:dyDescent="0.25">
      <c r="B56" s="182"/>
      <c r="C56" s="225">
        <f ca="1">C55-'Recap dep rec'!H29</f>
        <v>0</v>
      </c>
      <c r="D56" s="226"/>
      <c r="F56" s="182"/>
      <c r="G56" s="225"/>
      <c r="H56" s="227"/>
    </row>
    <row r="57" spans="1:8" ht="15.75" x14ac:dyDescent="0.25">
      <c r="B57" s="182"/>
      <c r="C57" s="228"/>
      <c r="D57" s="229"/>
      <c r="F57" s="217"/>
      <c r="G57" s="228"/>
      <c r="H57" s="230"/>
    </row>
    <row r="58" spans="1:8" ht="15.75" x14ac:dyDescent="0.25">
      <c r="B58" s="217"/>
      <c r="C58" s="228"/>
      <c r="D58" s="229"/>
      <c r="F58" s="217"/>
      <c r="G58" s="228"/>
      <c r="H58" s="226"/>
    </row>
    <row r="59" spans="1:8" ht="15.75" x14ac:dyDescent="0.25">
      <c r="C59" s="231"/>
      <c r="D59" s="232"/>
      <c r="G59" s="231"/>
      <c r="H59" s="229"/>
    </row>
  </sheetData>
  <mergeCells count="1">
    <mergeCell ref="B1:H1"/>
  </mergeCells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G59"/>
  <sheetViews>
    <sheetView topLeftCell="A16" workbookViewId="0">
      <selection activeCell="I35" sqref="I35"/>
    </sheetView>
  </sheetViews>
  <sheetFormatPr baseColWidth="10" defaultRowHeight="15" x14ac:dyDescent="0.25"/>
  <cols>
    <col min="1" max="1" width="41.85546875" customWidth="1"/>
    <col min="2" max="2" width="12.7109375" style="289" customWidth="1"/>
    <col min="3" max="3" width="9.85546875" customWidth="1"/>
    <col min="4" max="4" width="2.42578125" customWidth="1"/>
    <col min="5" max="5" width="30.85546875" customWidth="1"/>
    <col min="6" max="7" width="10" customWidth="1"/>
  </cols>
  <sheetData>
    <row r="1" spans="1:7" ht="34.5" customHeight="1" x14ac:dyDescent="0.25">
      <c r="A1" s="366" t="s">
        <v>345</v>
      </c>
      <c r="B1" s="367"/>
      <c r="C1" s="367"/>
      <c r="D1" s="367"/>
      <c r="E1" s="367"/>
      <c r="F1" s="367"/>
      <c r="G1" s="368"/>
    </row>
    <row r="2" spans="1:7" x14ac:dyDescent="0.35">
      <c r="A2" s="176"/>
      <c r="B2" s="309"/>
      <c r="C2" s="178"/>
      <c r="D2" s="177"/>
      <c r="E2" s="177"/>
      <c r="F2" s="177"/>
      <c r="G2" s="178"/>
    </row>
    <row r="3" spans="1:7" x14ac:dyDescent="0.25">
      <c r="A3" s="179" t="s">
        <v>129</v>
      </c>
      <c r="B3" s="310" t="s">
        <v>130</v>
      </c>
      <c r="C3" s="181" t="s">
        <v>131</v>
      </c>
      <c r="D3" s="182"/>
      <c r="E3" s="179" t="s">
        <v>132</v>
      </c>
      <c r="F3" s="179" t="s">
        <v>130</v>
      </c>
      <c r="G3" s="181" t="s">
        <v>131</v>
      </c>
    </row>
    <row r="4" spans="1:7" ht="14.45" x14ac:dyDescent="0.35">
      <c r="A4" s="183" t="s">
        <v>133</v>
      </c>
      <c r="B4" s="311"/>
      <c r="C4" s="185"/>
      <c r="D4" s="182"/>
      <c r="E4" s="183" t="s">
        <v>134</v>
      </c>
      <c r="F4" s="186"/>
      <c r="G4" s="187"/>
    </row>
    <row r="5" spans="1:7" ht="14.45" x14ac:dyDescent="0.35">
      <c r="A5" s="188" t="s">
        <v>135</v>
      </c>
      <c r="B5" s="312">
        <f ca="1">'Application WACAN'!C5+'Demarchages europe '!C5+'MP2'!C5+'Eductour Belge'!C5+'Soutien au dvp international'!C5+IBTM!C5+'Operation Paris C12'!C5+'Workshop Lyon'!C5+'Operation Paris ete'!C5+'Workshop UK'!C5+'Eductours 1et 2'!C5</f>
        <v>0</v>
      </c>
      <c r="C5" s="189"/>
      <c r="D5" s="182"/>
      <c r="E5" s="190"/>
      <c r="F5" s="191"/>
      <c r="G5" s="189"/>
    </row>
    <row r="6" spans="1:7" x14ac:dyDescent="0.25">
      <c r="A6" s="192" t="s">
        <v>136</v>
      </c>
      <c r="B6" s="312">
        <f ca="1">'Application WACAN'!C6+'Demarchages europe '!C6+'MP2'!C6+'Eductour Belge'!C6+'Soutien au dvp international'!C6+IBTM!C6+'Operation Paris C12'!C6+'Workshop Lyon'!C6+'Operation Paris ete'!C6+'Workshop UK'!C6+'Eductours 1et 2'!C6</f>
        <v>448.5</v>
      </c>
      <c r="C6" s="263">
        <f ca="1">B6/B55</f>
        <v>1.1428484674742229E-3</v>
      </c>
      <c r="D6" s="182"/>
      <c r="E6" s="190" t="s">
        <v>137</v>
      </c>
      <c r="F6" s="191"/>
      <c r="G6" s="193"/>
    </row>
    <row r="7" spans="1:7" ht="24.75" customHeight="1" x14ac:dyDescent="0.35">
      <c r="A7" s="192" t="s">
        <v>138</v>
      </c>
      <c r="B7" s="312">
        <f ca="1">'Application WACAN'!C7+'Demarchages europe '!C7+'MP2'!C7+'Eductour Belge'!C7+'Soutien au dvp international'!C7+IBTM!C7+'Operation Paris C12'!C7+'Workshop Lyon'!C7+'Operation Paris ete'!C7+'Workshop UK'!C7+'Eductours 1et 2'!C7</f>
        <v>2018.2500000000002</v>
      </c>
      <c r="C7" s="263">
        <f ca="1">B7/B55</f>
        <v>5.1428181036340037E-3</v>
      </c>
      <c r="D7" s="182"/>
      <c r="E7" s="196"/>
      <c r="F7" s="191"/>
      <c r="G7" s="189"/>
    </row>
    <row r="8" spans="1:7" ht="14.45" x14ac:dyDescent="0.35">
      <c r="A8" s="188" t="s">
        <v>139</v>
      </c>
      <c r="B8" s="312">
        <f ca="1">'Application WACAN'!C8+'Demarchages europe '!C8+'MP2'!C8+'Eductour Belge'!C8+'Soutien au dvp international'!C8+IBTM!C8+'Operation Paris C12'!C8+'Workshop Lyon'!C8+'Operation Paris ete'!C8+'Workshop UK'!C8+'Eductours 1et 2'!C8</f>
        <v>0</v>
      </c>
      <c r="C8" s="189"/>
      <c r="D8" s="182"/>
      <c r="E8" s="196"/>
      <c r="F8" s="191"/>
      <c r="G8" s="189"/>
    </row>
    <row r="9" spans="1:7" ht="14.45" x14ac:dyDescent="0.35">
      <c r="A9" s="188"/>
      <c r="B9" s="312"/>
      <c r="C9" s="189"/>
      <c r="D9" s="182"/>
      <c r="E9" s="196"/>
      <c r="F9" s="191"/>
      <c r="G9" s="189"/>
    </row>
    <row r="10" spans="1:7" x14ac:dyDescent="0.25">
      <c r="A10" s="196"/>
      <c r="B10" s="312"/>
      <c r="C10" s="198"/>
      <c r="D10" s="182"/>
      <c r="E10" s="199" t="s">
        <v>140</v>
      </c>
      <c r="F10" s="191"/>
      <c r="G10" s="198"/>
    </row>
    <row r="11" spans="1:7" x14ac:dyDescent="0.25">
      <c r="A11" s="190" t="s">
        <v>141</v>
      </c>
      <c r="B11" s="312"/>
      <c r="C11" s="187"/>
      <c r="D11" s="182"/>
      <c r="E11" s="200"/>
      <c r="F11" s="191"/>
      <c r="G11" s="198"/>
    </row>
    <row r="12" spans="1:7" x14ac:dyDescent="0.25">
      <c r="A12" s="188" t="s">
        <v>142</v>
      </c>
      <c r="B12" s="312">
        <f ca="1">'Application WACAN'!C12+'Demarchages europe '!C12+'MP2'!C12+'Eductour Belge'!C12+'Soutien au dvp international'!C12+IBTM!C12+'Operation Paris C12'!C12+'Workshop Lyon'!C12+'Operation Paris ete'!C12+'Workshop UK'!C12+'Eductours 1et 2'!C12</f>
        <v>233697</v>
      </c>
      <c r="C12" s="263">
        <v>0.45</v>
      </c>
      <c r="D12" s="182"/>
      <c r="E12" s="201"/>
      <c r="F12" s="191"/>
      <c r="G12" s="198"/>
    </row>
    <row r="13" spans="1:7" ht="14.45" x14ac:dyDescent="0.35">
      <c r="A13" s="188" t="s">
        <v>170</v>
      </c>
      <c r="B13" s="312">
        <f ca="1">'Application WACAN'!C13+'Demarchages europe '!C13+'MP2'!C13+'Eductour Belge'!C13+'Soutien au dvp international'!C13+IBTM!C13+'Operation Paris C12'!C13+'Workshop Lyon'!C13+'Operation Paris ete'!C13+'Workshop UK'!C13+'Eductours 1et 2'!C13</f>
        <v>7072.5</v>
      </c>
      <c r="C13" s="263">
        <f ca="1">B13/B55</f>
        <v>1.8021841217862745E-2</v>
      </c>
      <c r="D13" s="182"/>
      <c r="E13" s="202"/>
      <c r="F13" s="191"/>
      <c r="G13" s="198"/>
    </row>
    <row r="14" spans="1:7" ht="14.45" x14ac:dyDescent="0.35">
      <c r="A14" s="188" t="s">
        <v>65</v>
      </c>
      <c r="B14" s="312">
        <f ca="1">'Application WACAN'!C14+'Demarchages europe '!C14+'MP2'!C14+'Eductour Belge'!C14+'Soutien au dvp international'!C14+IBTM!C14+'Operation Paris C12'!C14+'Workshop Lyon'!C14+'Operation Paris ete'!C14+'Workshop UK'!C14+'Eductours 1et 2'!C14</f>
        <v>2173.5</v>
      </c>
      <c r="C14" s="263">
        <f ca="1">B14/B55</f>
        <v>5.5384194962212335E-3</v>
      </c>
      <c r="D14" s="182"/>
      <c r="E14" s="202"/>
      <c r="F14" s="191"/>
      <c r="G14" s="198"/>
    </row>
    <row r="15" spans="1:7" x14ac:dyDescent="0.25">
      <c r="A15" s="188" t="s">
        <v>66</v>
      </c>
      <c r="B15" s="312">
        <f ca="1">'Application WACAN'!C15+'Demarchages europe '!C15+'MP2'!C15+'Eductour Belge'!C15+'Soutien au dvp international'!C15+IBTM!C15+'Operation Paris C12'!C15+'Workshop Lyon'!C15+'Operation Paris ete'!C15+'Workshop UK'!C15+'Eductours 1et 2'!C15</f>
        <v>1386.9000000000003</v>
      </c>
      <c r="C15" s="263">
        <f ca="1">B15/B55</f>
        <v>3.5340391071125975E-3</v>
      </c>
      <c r="D15" s="182"/>
      <c r="E15" s="190" t="s">
        <v>143</v>
      </c>
      <c r="F15" s="191">
        <f ca="1">'Application WACAN'!G15+'Demarchages europe '!G15+'MP2'!G15+'Eductour Belge'!G15+'Soutien au dvp international'!G15+IBTM!G15+'Operation Paris C12'!G15+'Workshop Lyon'!G15+'Operation Paris ete'!G15+'Workshop UK'!G15+'Eductours 1et 2'!G15</f>
        <v>130657.97899999999</v>
      </c>
      <c r="G15" s="263">
        <f ca="1">F15/B55</f>
        <v>0.33293705922726685</v>
      </c>
    </row>
    <row r="16" spans="1:7" ht="14.45" x14ac:dyDescent="0.35">
      <c r="A16" s="188" t="s">
        <v>67</v>
      </c>
      <c r="B16" s="312"/>
      <c r="C16" s="198"/>
      <c r="D16" s="182"/>
      <c r="E16" s="203"/>
      <c r="F16" s="191"/>
      <c r="G16" s="198"/>
    </row>
    <row r="17" spans="1:7" ht="14.45" x14ac:dyDescent="0.35">
      <c r="A17" s="188" t="s">
        <v>144</v>
      </c>
      <c r="B17" s="312">
        <f ca="1">'Application WACAN'!C17+'Demarchages europe '!C17+'MP2'!C17+'Eductour Belge'!C17+'Soutien au dvp international'!C17+IBTM!C17+'Operation Paris C12'!C17+'Workshop Lyon'!C17+'Operation Paris ete'!C17+'Workshop UK'!C17+'Eductours 1et 2'!C17</f>
        <v>552.00000000000011</v>
      </c>
      <c r="C17" s="198"/>
      <c r="D17" s="182"/>
      <c r="E17" s="203"/>
      <c r="F17" s="191"/>
      <c r="G17" s="198"/>
    </row>
    <row r="18" spans="1:7" ht="14.45" x14ac:dyDescent="0.35">
      <c r="A18" s="188"/>
      <c r="B18" s="312"/>
      <c r="C18" s="198"/>
      <c r="D18" s="182"/>
      <c r="E18" s="202"/>
      <c r="F18" s="191"/>
      <c r="G18" s="198"/>
    </row>
    <row r="19" spans="1:7" x14ac:dyDescent="0.25">
      <c r="A19" s="188"/>
      <c r="B19" s="312"/>
      <c r="C19" s="198"/>
      <c r="D19" s="204"/>
      <c r="E19" s="205" t="s">
        <v>145</v>
      </c>
      <c r="F19" s="191"/>
      <c r="G19" s="198"/>
    </row>
    <row r="20" spans="1:7" x14ac:dyDescent="0.25">
      <c r="A20" s="190" t="s">
        <v>146</v>
      </c>
      <c r="B20" s="312"/>
      <c r="C20" s="187"/>
      <c r="D20" s="182"/>
      <c r="E20" s="196"/>
      <c r="F20" s="191"/>
      <c r="G20" s="198"/>
    </row>
    <row r="21" spans="1:7" ht="14.45" x14ac:dyDescent="0.35">
      <c r="A21" s="190"/>
      <c r="B21" s="312"/>
      <c r="C21" s="187"/>
      <c r="D21" s="182"/>
      <c r="E21" s="196"/>
      <c r="F21" s="191"/>
      <c r="G21" s="198"/>
    </row>
    <row r="22" spans="1:7" x14ac:dyDescent="0.25">
      <c r="A22" s="188" t="s">
        <v>147</v>
      </c>
      <c r="B22" s="312">
        <f ca="1">'Application WACAN'!C22+'Demarchages europe '!C22+'MP2'!C22+'Eductour Belge'!C22+'Soutien au dvp international'!C22+IBTM!C22+'Operation Paris C12'!C22+'Workshop Lyon'!C22+'Operation Paris ete'!C22+'Workshop UK'!C22+'Eductours 1et 2'!C22</f>
        <v>7003.5</v>
      </c>
      <c r="C22" s="263">
        <f ca="1">B22/B55</f>
        <v>1.7846018376712864E-2</v>
      </c>
      <c r="D22" s="182"/>
      <c r="E22" s="203"/>
      <c r="F22" s="191"/>
      <c r="G22" s="198"/>
    </row>
    <row r="23" spans="1:7" ht="14.45" x14ac:dyDescent="0.35">
      <c r="A23" s="188" t="s">
        <v>148</v>
      </c>
      <c r="B23" s="312"/>
      <c r="C23" s="198"/>
      <c r="D23" s="182"/>
      <c r="E23" s="190"/>
      <c r="F23" s="191"/>
      <c r="G23" s="198"/>
    </row>
    <row r="24" spans="1:7" x14ac:dyDescent="0.25">
      <c r="A24" s="188" t="s">
        <v>149</v>
      </c>
      <c r="B24" s="312">
        <f ca="1">'Application WACAN'!C24+'Demarchages europe '!C24+'MP2'!C24+'Eductour Belge'!C24+'Soutien au dvp international'!C24+IBTM!C24+'Operation Paris C12'!C24+'Workshop Lyon'!C24+'Operation Paris ete'!C24+'Workshop UK'!C24+'Eductours 1et 2'!C24</f>
        <v>3491</v>
      </c>
      <c r="C24" s="198"/>
      <c r="D24" s="182"/>
      <c r="E24" s="190" t="s">
        <v>150</v>
      </c>
      <c r="F24" s="191"/>
      <c r="G24" s="198"/>
    </row>
    <row r="25" spans="1:7" x14ac:dyDescent="0.25">
      <c r="A25" s="188" t="s">
        <v>68</v>
      </c>
      <c r="B25" s="312">
        <f ca="1">'Application WACAN'!C25+'Demarchages europe '!C25+'MP2'!C25+'Eductour Belge'!C25+'Soutien au dvp international'!C25+IBTM!C25+'Operation Paris C12'!C25+'Workshop Lyon'!C25+'Operation Paris ete'!C25+'Workshop UK'!C25+'Eductours 1et 2'!C25</f>
        <v>39920.5</v>
      </c>
      <c r="C25" s="263">
        <f ca="1">B25/B55</f>
        <v>0.1017237062336783</v>
      </c>
      <c r="D25" s="182"/>
      <c r="E25" s="196"/>
      <c r="F25" s="191"/>
      <c r="G25" s="198"/>
    </row>
    <row r="26" spans="1:7" x14ac:dyDescent="0.25">
      <c r="A26" s="188" t="s">
        <v>69</v>
      </c>
      <c r="B26" s="312">
        <f ca="1">'Application WACAN'!C26+'Demarchages europe '!C26+'MP2'!C26+'Eductour Belge'!C26+'Soutien au dvp international'!C26+IBTM!C26+'Operation Paris C12'!C26+'Workshop Lyon'!C26+'Operation Paris ete'!C26+'Workshop UK'!C26+'Eductours 1et 2'!C26</f>
        <v>2035.5000000000002</v>
      </c>
      <c r="C26" s="263">
        <f ca="1">B26/B55</f>
        <v>5.1867738139214732E-3</v>
      </c>
      <c r="D26" s="182"/>
      <c r="E26" s="196"/>
      <c r="F26" s="191"/>
      <c r="G26" s="198"/>
    </row>
    <row r="27" spans="1:7" x14ac:dyDescent="0.25">
      <c r="A27" s="188" t="s">
        <v>70</v>
      </c>
      <c r="B27" s="312">
        <f ca="1">'Application WACAN'!C27+'Demarchages europe '!C27+'MP2'!C27+'Eductour Belge'!C27+'Soutien au dvp international'!C27+IBTM!C27+'Operation Paris C12'!C27+'Workshop Lyon'!C27+'Operation Paris ete'!C27+'Workshop UK'!C27+'Eductours 1et 2'!C27</f>
        <v>1190.25</v>
      </c>
      <c r="C27" s="263">
        <f ca="1">B27/B55</f>
        <v>3.0329440098354377E-3</v>
      </c>
      <c r="D27" s="182"/>
      <c r="E27" s="196"/>
      <c r="F27" s="191"/>
      <c r="G27" s="198"/>
    </row>
    <row r="28" spans="1:7" ht="14.45" x14ac:dyDescent="0.35">
      <c r="A28" s="188"/>
      <c r="B28" s="312"/>
      <c r="C28" s="198"/>
      <c r="D28" s="182"/>
      <c r="E28" s="190" t="s">
        <v>151</v>
      </c>
      <c r="F28" s="191"/>
      <c r="G28" s="198"/>
    </row>
    <row r="29" spans="1:7" x14ac:dyDescent="0.25">
      <c r="A29" s="190" t="s">
        <v>171</v>
      </c>
      <c r="B29" s="312"/>
      <c r="C29" s="198"/>
      <c r="D29" s="182"/>
      <c r="E29" s="190"/>
      <c r="F29" s="191"/>
      <c r="G29" s="198"/>
    </row>
    <row r="30" spans="1:7" x14ac:dyDescent="0.25">
      <c r="A30" s="188" t="s">
        <v>172</v>
      </c>
      <c r="B30" s="312">
        <f ca="1">'Application WACAN'!C30+'Demarchages europe '!C30+'MP2'!C30+'Eductour Belge'!C30+'Soutien au dvp international'!C30+IBTM!C30+'Operation Paris C12'!C30+'Workshop Lyon'!C30+'Operation Paris ete'!C30+'Workshop UK'!C30+'Eductours 1et 2'!C30</f>
        <v>1707.75</v>
      </c>
      <c r="C30" s="263">
        <f ca="1">B30/B55</f>
        <v>4.3516153184595405E-3</v>
      </c>
      <c r="D30" s="182"/>
      <c r="E30" s="190"/>
      <c r="F30" s="191"/>
      <c r="G30" s="198"/>
    </row>
    <row r="31" spans="1:7" x14ac:dyDescent="0.25">
      <c r="A31" s="188" t="s">
        <v>173</v>
      </c>
      <c r="B31" s="312">
        <f ca="1">'Application WACAN'!C31+'Demarchages europe '!C31+'MP2'!C31+'Eductour Belge'!C31+'Soutien au dvp international'!C31+IBTM!C31+'Operation Paris C12'!C31+'Workshop Lyon'!C31+'Operation Paris ete'!C31+'Workshop UK'!C31+'Eductours 1et 2'!C31</f>
        <v>368.11500000000012</v>
      </c>
      <c r="C31" s="263">
        <f ca="1">B31/B55</f>
        <v>9.3801485753461247E-4</v>
      </c>
      <c r="D31" s="182"/>
      <c r="E31" s="190"/>
      <c r="F31" s="191"/>
      <c r="G31" s="198"/>
    </row>
    <row r="32" spans="1:7" x14ac:dyDescent="0.25">
      <c r="A32" s="190" t="s">
        <v>152</v>
      </c>
      <c r="B32" s="312"/>
      <c r="C32" s="207"/>
      <c r="D32" s="182"/>
      <c r="E32" s="196"/>
      <c r="F32" s="191"/>
      <c r="G32" s="198"/>
    </row>
    <row r="33" spans="1:7" x14ac:dyDescent="0.25">
      <c r="A33" s="188" t="s">
        <v>71</v>
      </c>
      <c r="B33" s="312">
        <f ca="1">'Application WACAN'!C33+'Demarchages europe '!C33+'MP2'!C33+'Eductour Belge'!C33+'Soutien au dvp international'!C33+IBTM!C33+'Operation Paris C12'!C33+'Workshop Lyon'!C33+'Operation Paris ete'!C33+'Workshop UK'!C33+'Eductours 1et 2'!C33</f>
        <v>89133.714000000007</v>
      </c>
      <c r="C33" s="264">
        <v>0.25</v>
      </c>
      <c r="D33" s="182"/>
      <c r="E33" s="196"/>
      <c r="F33" s="191"/>
      <c r="G33" s="198"/>
    </row>
    <row r="34" spans="1:7" x14ac:dyDescent="0.25">
      <c r="A34" s="188" t="s">
        <v>72</v>
      </c>
      <c r="B34" s="312">
        <f ca="1">'Application WACAN'!C34+'Demarchages europe '!C34+'MP2'!C34+'Eductour Belge'!C34+'Soutien au dvp international'!C34+IBTM!C34+'Operation Paris C12'!C34+'Workshop Lyon'!C34+'Operation Paris ete'!C34+'Workshop UK'!C34+'Eductours 1et 2'!C34</f>
        <v>241.50000000000003</v>
      </c>
      <c r="C34" s="263">
        <f ca="1">B34/B55</f>
        <v>6.1537994402458159E-4</v>
      </c>
      <c r="D34" s="182"/>
      <c r="E34" s="196"/>
      <c r="F34" s="191"/>
      <c r="G34" s="198"/>
    </row>
    <row r="35" spans="1:7" x14ac:dyDescent="0.25">
      <c r="A35" s="188"/>
      <c r="B35" s="312"/>
      <c r="C35" s="198"/>
      <c r="D35" s="182"/>
      <c r="E35" s="190" t="s">
        <v>153</v>
      </c>
      <c r="F35" s="191"/>
      <c r="G35" s="198"/>
    </row>
    <row r="36" spans="1:7" x14ac:dyDescent="0.25">
      <c r="A36" s="188"/>
      <c r="B36" s="312"/>
      <c r="C36" s="198"/>
      <c r="D36" s="182"/>
      <c r="E36" s="208"/>
      <c r="F36" s="191"/>
      <c r="G36" s="198"/>
    </row>
    <row r="37" spans="1:7" x14ac:dyDescent="0.25">
      <c r="A37" s="188" t="s">
        <v>73</v>
      </c>
      <c r="B37" s="312">
        <f ca="1">'Application WACAN'!C37+'Demarchages europe '!C37+'MP2'!C37+'Eductour Belge'!C37+'Soutien au dvp international'!C37+IBTM!C37+'Operation Paris C12'!C37+'Workshop Lyon'!C37+'Operation Paris ete'!C37+'Workshop UK'!C37+'Eductours 1et 2'!C37</f>
        <v>0</v>
      </c>
      <c r="C37" s="198"/>
      <c r="D37" s="182"/>
      <c r="E37" s="208"/>
      <c r="F37" s="191"/>
      <c r="G37" s="198"/>
    </row>
    <row r="38" spans="1:7" x14ac:dyDescent="0.25">
      <c r="A38" s="190"/>
      <c r="B38" s="312"/>
      <c r="C38" s="187"/>
      <c r="D38" s="182"/>
      <c r="E38" s="208"/>
      <c r="F38" s="191"/>
      <c r="G38" s="198"/>
    </row>
    <row r="39" spans="1:7" x14ac:dyDescent="0.25">
      <c r="A39" s="188"/>
      <c r="B39" s="312"/>
      <c r="C39" s="198"/>
      <c r="D39" s="182"/>
      <c r="E39" s="209" t="s">
        <v>154</v>
      </c>
      <c r="F39" s="210">
        <f ca="1">F15</f>
        <v>130657.97899999999</v>
      </c>
      <c r="G39" s="265">
        <f ca="1">F39/B55</f>
        <v>0.33293705922726685</v>
      </c>
    </row>
    <row r="40" spans="1:7" x14ac:dyDescent="0.25">
      <c r="A40" s="190" t="s">
        <v>155</v>
      </c>
      <c r="B40" s="312">
        <f>'Application WACAN'!C40+'Demarchages europe '!C40+'MP2'!C40+'Eductour Belge'!C40+'Soutien au dvp international'!C40+IBTM!C40+'Operation Paris C12'!C40+'Workshop Lyon'!C40+'Operation Paris ete'!C40+'Workshop UK'!C40+'Eductours 1et 2'!C40</f>
        <v>0</v>
      </c>
      <c r="C40" s="198"/>
      <c r="D40" s="182"/>
      <c r="E40" s="188"/>
      <c r="F40" s="191"/>
      <c r="G40" s="189"/>
    </row>
    <row r="41" spans="1:7" x14ac:dyDescent="0.25">
      <c r="A41" s="188" t="s">
        <v>74</v>
      </c>
      <c r="B41" s="312"/>
      <c r="C41" s="187"/>
      <c r="D41" s="182"/>
      <c r="E41" s="190" t="s">
        <v>156</v>
      </c>
      <c r="F41" s="186">
        <f>F42+F44</f>
        <v>261782.5</v>
      </c>
      <c r="G41" s="264">
        <f ca="1">F41/B55</f>
        <v>0.66706294077273298</v>
      </c>
    </row>
    <row r="42" spans="1:7" x14ac:dyDescent="0.25">
      <c r="A42" s="188"/>
      <c r="B42" s="312"/>
      <c r="C42" s="198"/>
      <c r="D42" s="182"/>
      <c r="E42" s="188" t="s">
        <v>88</v>
      </c>
      <c r="F42" s="191">
        <f>'Application WACAN'!G42+'Demarchages europe '!G42+'MP2'!G42+'Eductour Belge'!G42+'Soutien au dvp international'!G42+IBTM!G42+'Operation Paris C12'!G42+'Workshop Lyon'!G42+'Operation Paris ete'!G42+'Workshop UK'!G42+'Eductours 1et 2'!G42</f>
        <v>256482.5</v>
      </c>
      <c r="G42" s="198"/>
    </row>
    <row r="43" spans="1:7" x14ac:dyDescent="0.25">
      <c r="A43" s="188"/>
      <c r="B43" s="312"/>
      <c r="C43" s="198"/>
      <c r="D43" s="182"/>
      <c r="E43" s="188" t="s">
        <v>157</v>
      </c>
      <c r="F43" s="212"/>
      <c r="G43" s="198"/>
    </row>
    <row r="44" spans="1:7" x14ac:dyDescent="0.25">
      <c r="A44" s="190" t="s">
        <v>158</v>
      </c>
      <c r="B44" s="312"/>
      <c r="C44" s="198"/>
      <c r="D44" s="182"/>
      <c r="E44" s="188" t="s">
        <v>87</v>
      </c>
      <c r="F44" s="191">
        <f>'Application WACAN'!G44+'Demarchages europe '!G44+'MP2'!G44+'Eductour Belge'!G44+'Soutien au dvp international'!G44+IBTM!G44+'Operation Paris C12'!G44+'Workshop Lyon'!G44+'Operation Paris ete'!G44+'Workshop UK'!G44+'Eductours 1et 2'!G44</f>
        <v>5300</v>
      </c>
      <c r="G44" s="198"/>
    </row>
    <row r="45" spans="1:7" x14ac:dyDescent="0.25">
      <c r="A45" s="190" t="s">
        <v>159</v>
      </c>
      <c r="B45" s="312"/>
      <c r="C45" s="189"/>
      <c r="D45" s="182"/>
      <c r="E45" s="188" t="s">
        <v>160</v>
      </c>
      <c r="F45" s="191"/>
      <c r="G45" s="198"/>
    </row>
    <row r="46" spans="1:7" x14ac:dyDescent="0.25">
      <c r="A46" s="213" t="s">
        <v>75</v>
      </c>
      <c r="B46" s="312"/>
      <c r="C46" s="187"/>
      <c r="D46" s="182"/>
      <c r="E46" s="188"/>
      <c r="F46" s="191"/>
      <c r="G46" s="198"/>
    </row>
    <row r="47" spans="1:7" x14ac:dyDescent="0.25">
      <c r="A47" s="188" t="s">
        <v>161</v>
      </c>
      <c r="B47" s="312">
        <f>'Application WACAN'!C47+'Demarchages europe '!C47+'MP2'!C47+'Eductour Belge'!C47+'Soutien au dvp international'!C47+IBTM!C47+'Operation Paris C12'!C47+'Workshop Lyon'!C47+'Operation Paris ete'!C47+'Workshop UK'!C47+'Eductours 1et 2'!C47</f>
        <v>0</v>
      </c>
      <c r="C47" s="189"/>
      <c r="D47" s="182"/>
      <c r="E47" s="188"/>
      <c r="F47" s="191"/>
      <c r="G47" s="189"/>
    </row>
    <row r="48" spans="1:7" x14ac:dyDescent="0.25">
      <c r="A48" s="213"/>
      <c r="B48" s="312"/>
      <c r="C48" s="189"/>
      <c r="D48" s="182"/>
      <c r="E48" s="190"/>
      <c r="F48" s="191"/>
      <c r="G48" s="189"/>
    </row>
    <row r="49" spans="1:7" x14ac:dyDescent="0.25">
      <c r="A49" s="213"/>
      <c r="B49" s="312"/>
      <c r="C49" s="189"/>
      <c r="D49" s="182"/>
      <c r="E49" s="190" t="s">
        <v>162</v>
      </c>
      <c r="F49" s="214"/>
      <c r="G49" s="187"/>
    </row>
    <row r="50" spans="1:7" x14ac:dyDescent="0.25">
      <c r="A50" s="190" t="s">
        <v>163</v>
      </c>
      <c r="B50" s="312"/>
      <c r="C50" s="187"/>
      <c r="D50" s="182"/>
      <c r="E50" s="188" t="s">
        <v>164</v>
      </c>
      <c r="F50" s="191">
        <f>'Recap dep rec'!Y42</f>
        <v>0</v>
      </c>
      <c r="G50" s="189"/>
    </row>
    <row r="51" spans="1:7" ht="15.75" x14ac:dyDescent="0.25">
      <c r="A51" s="213" t="s">
        <v>29</v>
      </c>
      <c r="B51" s="312">
        <f ca="1">'Application WACAN'!C51+'Demarchages europe '!C51+'MP2'!C51+'Eductour Belge'!C51+'Soutien au dvp international'!C51+IBTM!C51+'Operation Paris C12'!C51+'Workshop Lyon'!C51+'Operation Paris ete'!C51+'Workshop UK'!C51+'Eductours 1et 2'!C51</f>
        <v>0</v>
      </c>
      <c r="C51" s="189">
        <f ca="1">B51/B55</f>
        <v>0</v>
      </c>
      <c r="D51" s="217"/>
      <c r="E51" s="188" t="s">
        <v>165</v>
      </c>
      <c r="F51" s="215"/>
      <c r="G51" s="189"/>
    </row>
    <row r="52" spans="1:7" ht="15.75" x14ac:dyDescent="0.25">
      <c r="A52" s="188" t="s">
        <v>166</v>
      </c>
      <c r="B52" s="312">
        <f>'Application WACAN'!C52+'Demarchages europe '!C52+'MP2'!C52+'Eductour Belge'!C52+'Soutien au dvp international'!C52+IBTM!C52+'Operation Paris C12'!C52+'Workshop Lyon'!C52+'Operation Paris ete'!C52+'Workshop UK'!C52+'Eductours 1et 2'!C52</f>
        <v>0</v>
      </c>
      <c r="C52" s="189"/>
      <c r="D52" s="217"/>
      <c r="E52" s="188" t="s">
        <v>167</v>
      </c>
      <c r="F52" s="215"/>
      <c r="G52" s="189"/>
    </row>
    <row r="53" spans="1:7" x14ac:dyDescent="0.25">
      <c r="A53" s="188" t="s">
        <v>167</v>
      </c>
      <c r="B53" s="312">
        <f>'Application WACAN'!C53+'Demarchages europe '!C53+'MP2'!C53+'Eductour Belge'!C53+'Soutien au dvp international'!C53+IBTM!C53+'Operation Paris C12'!C53+'Workshop Lyon'!C53+'Operation Paris ete'!C53+'Workshop UK'!C53+'Eductours 1et 2'!C53</f>
        <v>0</v>
      </c>
      <c r="C53" s="189"/>
      <c r="E53" s="188"/>
      <c r="F53" s="215"/>
      <c r="G53" s="189"/>
    </row>
    <row r="54" spans="1:7" x14ac:dyDescent="0.25">
      <c r="A54" s="218"/>
      <c r="B54" s="312"/>
      <c r="C54" s="220"/>
      <c r="E54" s="188"/>
      <c r="F54" s="215"/>
      <c r="G54" s="189"/>
    </row>
    <row r="55" spans="1:7" x14ac:dyDescent="0.25">
      <c r="A55" s="221" t="s">
        <v>168</v>
      </c>
      <c r="B55" s="222">
        <f ca="1">SUM(B5:B54)</f>
        <v>392440.47900000005</v>
      </c>
      <c r="C55" s="223"/>
      <c r="E55" s="221" t="s">
        <v>169</v>
      </c>
      <c r="F55" s="224">
        <f ca="1">F44+F42+F39</f>
        <v>392440.47899999999</v>
      </c>
      <c r="G55" s="223"/>
    </row>
    <row r="56" spans="1:7" x14ac:dyDescent="0.25">
      <c r="A56" s="182"/>
      <c r="B56" s="314">
        <f ca="1">B55-'Application WACAN'!C55-'Demarchages europe '!C55-'MP2'!C55-'Eductour Belge'!C55-'Soutien au dvp international'!C55-IBTM!C55-'Operation Paris C12'!C55-'Workshop Lyon'!C55-'Operation Paris ete'!C55-'Workshop UK'!C55-'Eductours 1et 2'!C55</f>
        <v>4.0017766878008842E-11</v>
      </c>
      <c r="C56" s="226"/>
      <c r="E56" s="182"/>
      <c r="F56" s="225"/>
      <c r="G56" s="227"/>
    </row>
    <row r="57" spans="1:7" ht="15.75" x14ac:dyDescent="0.25">
      <c r="A57" s="182"/>
      <c r="B57" s="315"/>
      <c r="C57" s="229"/>
      <c r="E57" s="217"/>
      <c r="F57" s="228"/>
      <c r="G57" s="230"/>
    </row>
    <row r="58" spans="1:7" ht="15.75" x14ac:dyDescent="0.25">
      <c r="A58" s="217"/>
      <c r="B58" s="315"/>
      <c r="C58" s="229"/>
      <c r="E58" s="217"/>
      <c r="F58" s="228"/>
      <c r="G58" s="226"/>
    </row>
    <row r="59" spans="1:7" ht="15.75" x14ac:dyDescent="0.25">
      <c r="C59" s="232"/>
      <c r="F59" s="231"/>
      <c r="G59" s="229"/>
    </row>
  </sheetData>
  <mergeCells count="1">
    <mergeCell ref="A1:G1"/>
  </mergeCells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9"/>
  <sheetViews>
    <sheetView topLeftCell="A9" workbookViewId="0">
      <selection activeCell="L29" sqref="L29"/>
    </sheetView>
  </sheetViews>
  <sheetFormatPr baseColWidth="10" defaultRowHeight="15" x14ac:dyDescent="0.25"/>
  <cols>
    <col min="1" max="1" width="7.5703125" bestFit="1" customWidth="1"/>
    <col min="2" max="2" width="50.85546875" bestFit="1" customWidth="1"/>
    <col min="3" max="3" width="13" style="24" bestFit="1" customWidth="1"/>
    <col min="5" max="5" width="5.42578125" customWidth="1"/>
    <col min="6" max="6" width="33" bestFit="1" customWidth="1"/>
    <col min="7" max="7" width="11.85546875" style="24" bestFit="1" customWidth="1"/>
  </cols>
  <sheetData>
    <row r="1" spans="1:8" ht="39.75" customHeight="1" x14ac:dyDescent="0.25">
      <c r="B1" s="366" t="s">
        <v>417</v>
      </c>
      <c r="C1" s="367"/>
      <c r="D1" s="367"/>
      <c r="E1" s="367"/>
      <c r="F1" s="367"/>
      <c r="G1" s="367"/>
      <c r="H1" s="368"/>
    </row>
    <row r="2" spans="1:8" ht="15.75" x14ac:dyDescent="0.25">
      <c r="B2" s="176"/>
      <c r="C2" s="326"/>
      <c r="D2" s="178"/>
      <c r="E2" s="177"/>
      <c r="F2" s="177"/>
      <c r="G2" s="326"/>
      <c r="H2" s="178"/>
    </row>
    <row r="3" spans="1:8" x14ac:dyDescent="0.25">
      <c r="B3" s="179" t="s">
        <v>129</v>
      </c>
      <c r="C3" s="331" t="s">
        <v>130</v>
      </c>
      <c r="D3" s="181" t="s">
        <v>131</v>
      </c>
      <c r="E3" s="182"/>
      <c r="F3" s="179" t="s">
        <v>132</v>
      </c>
      <c r="G3" s="327" t="s">
        <v>130</v>
      </c>
      <c r="H3" s="181" t="s">
        <v>131</v>
      </c>
    </row>
    <row r="4" spans="1:8" x14ac:dyDescent="0.25">
      <c r="B4" s="183" t="s">
        <v>133</v>
      </c>
      <c r="C4" s="311"/>
      <c r="D4" s="185"/>
      <c r="E4" s="182"/>
      <c r="F4" s="183" t="s">
        <v>134</v>
      </c>
      <c r="G4" s="328"/>
      <c r="H4" s="187"/>
    </row>
    <row r="5" spans="1:8" x14ac:dyDescent="0.25">
      <c r="A5" t="str">
        <f>LEFT(B5,3)</f>
        <v>604</v>
      </c>
      <c r="B5" s="188" t="s">
        <v>135</v>
      </c>
      <c r="C5" s="312">
        <f>SUMIF('Recap dep rec'!$A:$A,A5,'Recap dep rec'!$W:$W)</f>
        <v>0</v>
      </c>
      <c r="D5" s="189">
        <f>C5/$C$55</f>
        <v>0</v>
      </c>
      <c r="E5" s="182"/>
      <c r="F5" s="190"/>
      <c r="G5" s="191"/>
      <c r="H5" s="189"/>
    </row>
    <row r="6" spans="1:8" x14ac:dyDescent="0.25">
      <c r="A6" t="str">
        <f t="shared" ref="A6:A46" si="0">LEFT(B6,3)</f>
        <v>605</v>
      </c>
      <c r="B6" s="192" t="s">
        <v>136</v>
      </c>
      <c r="C6" s="312">
        <f>SUMIF('Recap dep rec'!$A:$A,A6,'Recap dep rec'!$W:$W)</f>
        <v>710.83333333333337</v>
      </c>
      <c r="D6" s="189">
        <f t="shared" ref="D6:D8" si="1">C6/$C$55</f>
        <v>1.6393530131566143E-3</v>
      </c>
      <c r="E6" s="182"/>
      <c r="F6" s="190" t="s">
        <v>137</v>
      </c>
      <c r="G6" s="191"/>
      <c r="H6" s="193"/>
    </row>
    <row r="7" spans="1:8" x14ac:dyDescent="0.25">
      <c r="A7" t="str">
        <f t="shared" si="0"/>
        <v>606</v>
      </c>
      <c r="B7" s="192" t="s">
        <v>138</v>
      </c>
      <c r="C7" s="312">
        <f>SUMIF('Recap dep rec'!$A:$A,A7,'Recap dep rec'!$W:$W)</f>
        <v>1878.75</v>
      </c>
      <c r="D7" s="189">
        <f t="shared" si="1"/>
        <v>4.3328503729913098E-3</v>
      </c>
      <c r="E7" s="182"/>
      <c r="F7" s="196"/>
      <c r="G7" s="191"/>
      <c r="H7" s="189"/>
    </row>
    <row r="8" spans="1:8" x14ac:dyDescent="0.25">
      <c r="A8" t="str">
        <f t="shared" si="0"/>
        <v>607</v>
      </c>
      <c r="B8" s="188" t="s">
        <v>139</v>
      </c>
      <c r="C8" s="312">
        <f>SUMIF('Recap dep rec'!$A:$A,A8,'Recap dep rec'!$W:$W)</f>
        <v>0</v>
      </c>
      <c r="D8" s="189">
        <f t="shared" si="1"/>
        <v>0</v>
      </c>
      <c r="E8" s="182"/>
      <c r="F8" s="196"/>
      <c r="G8" s="191"/>
      <c r="H8" s="189"/>
    </row>
    <row r="9" spans="1:8" x14ac:dyDescent="0.25">
      <c r="A9" t="str">
        <f t="shared" si="0"/>
        <v/>
      </c>
      <c r="B9" s="188"/>
      <c r="C9" s="194"/>
      <c r="D9" s="189"/>
      <c r="E9" s="182"/>
      <c r="F9" s="196"/>
      <c r="G9" s="191"/>
      <c r="H9" s="189"/>
    </row>
    <row r="10" spans="1:8" x14ac:dyDescent="0.25">
      <c r="A10" t="str">
        <f t="shared" si="0"/>
        <v/>
      </c>
      <c r="B10" s="196"/>
      <c r="C10" s="197"/>
      <c r="D10" s="198"/>
      <c r="E10" s="182"/>
      <c r="F10" s="199" t="s">
        <v>140</v>
      </c>
      <c r="G10" s="191"/>
      <c r="H10" s="198"/>
    </row>
    <row r="11" spans="1:8" x14ac:dyDescent="0.25">
      <c r="B11" s="190" t="s">
        <v>141</v>
      </c>
      <c r="C11" s="186"/>
      <c r="D11" s="187"/>
      <c r="E11" s="182"/>
      <c r="F11" s="200"/>
      <c r="G11" s="191"/>
      <c r="H11" s="198"/>
    </row>
    <row r="12" spans="1:8" x14ac:dyDescent="0.25">
      <c r="A12" t="str">
        <f t="shared" si="0"/>
        <v>611</v>
      </c>
      <c r="B12" s="188" t="s">
        <v>142</v>
      </c>
      <c r="C12" s="312">
        <f>SUMIF('Recap dep rec'!$A:$A,A12,'Recap dep rec'!$W:$W)</f>
        <v>86150</v>
      </c>
      <c r="D12" s="189">
        <f t="shared" ref="D12:D17" si="2">C12/$C$55</f>
        <v>0.19868266647143115</v>
      </c>
      <c r="E12" s="182"/>
      <c r="F12" s="201"/>
      <c r="G12" s="191"/>
      <c r="H12" s="198"/>
    </row>
    <row r="13" spans="1:8" x14ac:dyDescent="0.25">
      <c r="A13" t="str">
        <f t="shared" si="0"/>
        <v>613</v>
      </c>
      <c r="B13" s="188" t="s">
        <v>170</v>
      </c>
      <c r="C13" s="312">
        <f>SUMIF('Recap dep rec'!$A:$A,A13,'Recap dep rec'!$W:$W)</f>
        <v>7170.8333333333339</v>
      </c>
      <c r="D13" s="189">
        <f t="shared" si="2"/>
        <v>1.6537670197201249E-2</v>
      </c>
      <c r="E13" s="182"/>
      <c r="F13" s="202"/>
      <c r="G13" s="191"/>
      <c r="H13" s="198"/>
    </row>
    <row r="14" spans="1:8" x14ac:dyDescent="0.25">
      <c r="A14" t="str">
        <f t="shared" si="0"/>
        <v>615</v>
      </c>
      <c r="B14" s="188" t="s">
        <v>65</v>
      </c>
      <c r="C14" s="312">
        <f>SUMIF('Recap dep rec'!$A:$A,A14,'Recap dep rec'!$W:$W)</f>
        <v>1652.5</v>
      </c>
      <c r="D14" s="189">
        <f t="shared" si="2"/>
        <v>3.8110633353922231E-3</v>
      </c>
      <c r="E14" s="182"/>
      <c r="F14" s="202"/>
      <c r="G14" s="191"/>
      <c r="H14" s="198"/>
    </row>
    <row r="15" spans="1:8" x14ac:dyDescent="0.25">
      <c r="A15" t="str">
        <f t="shared" si="0"/>
        <v>616</v>
      </c>
      <c r="B15" s="188" t="s">
        <v>66</v>
      </c>
      <c r="C15" s="312">
        <f>SUMIF('Recap dep rec'!$A:$A,A15,'Recap dep rec'!$W:$W)</f>
        <v>133.5</v>
      </c>
      <c r="D15" s="189">
        <f t="shared" si="2"/>
        <v>3.0788318019658807E-4</v>
      </c>
      <c r="E15" s="182"/>
      <c r="F15" s="190" t="s">
        <v>143</v>
      </c>
      <c r="G15" s="191">
        <f>'Recap dep rec'!W38</f>
        <v>160000</v>
      </c>
      <c r="H15" s="263">
        <f>G15/G55</f>
        <v>0.368998583967934</v>
      </c>
    </row>
    <row r="16" spans="1:8" x14ac:dyDescent="0.25">
      <c r="A16" t="str">
        <f t="shared" si="0"/>
        <v>617</v>
      </c>
      <c r="B16" s="188" t="s">
        <v>67</v>
      </c>
      <c r="C16" s="312">
        <f>SUMIF('Recap dep rec'!$A:$A,A16,'Recap dep rec'!$W:$W)</f>
        <v>1400</v>
      </c>
      <c r="D16" s="189">
        <f t="shared" si="2"/>
        <v>3.2287374702263914E-3</v>
      </c>
      <c r="E16" s="182"/>
      <c r="F16" s="203"/>
      <c r="G16" s="191"/>
      <c r="H16" s="198"/>
    </row>
    <row r="17" spans="1:8" x14ac:dyDescent="0.25">
      <c r="A17" t="str">
        <f t="shared" si="0"/>
        <v>618</v>
      </c>
      <c r="B17" s="188" t="s">
        <v>144</v>
      </c>
      <c r="C17" s="312">
        <f>SUMIF('Recap dep rec'!$A:$A,A17,'Recap dep rec'!$W:$W)</f>
        <v>3013.3333333333335</v>
      </c>
      <c r="D17" s="189">
        <f t="shared" si="2"/>
        <v>6.9494730311539478E-3</v>
      </c>
      <c r="E17" s="182"/>
      <c r="F17" s="203"/>
      <c r="G17" s="191"/>
      <c r="H17" s="198"/>
    </row>
    <row r="18" spans="1:8" x14ac:dyDescent="0.25">
      <c r="A18" t="str">
        <f t="shared" si="0"/>
        <v/>
      </c>
      <c r="B18" s="188"/>
      <c r="C18" s="197"/>
      <c r="D18" s="198"/>
      <c r="E18" s="182"/>
      <c r="F18" s="202"/>
      <c r="G18" s="191"/>
      <c r="H18" s="198"/>
    </row>
    <row r="19" spans="1:8" x14ac:dyDescent="0.25">
      <c r="A19" t="str">
        <f t="shared" si="0"/>
        <v/>
      </c>
      <c r="B19" s="188"/>
      <c r="C19" s="197"/>
      <c r="D19" s="198"/>
      <c r="E19" s="204"/>
      <c r="F19" s="205" t="s">
        <v>145</v>
      </c>
      <c r="G19" s="191"/>
      <c r="H19" s="198"/>
    </row>
    <row r="20" spans="1:8" x14ac:dyDescent="0.25">
      <c r="B20" s="190" t="s">
        <v>146</v>
      </c>
      <c r="C20" s="186"/>
      <c r="D20" s="187"/>
      <c r="E20" s="182"/>
      <c r="F20" s="196"/>
      <c r="G20" s="191"/>
      <c r="H20" s="198"/>
    </row>
    <row r="21" spans="1:8" x14ac:dyDescent="0.25">
      <c r="A21" t="str">
        <f t="shared" si="0"/>
        <v/>
      </c>
      <c r="B21" s="190"/>
      <c r="C21" s="186"/>
      <c r="D21" s="187"/>
      <c r="E21" s="182"/>
      <c r="F21" s="196"/>
      <c r="G21" s="191"/>
      <c r="H21" s="198"/>
    </row>
    <row r="22" spans="1:8" x14ac:dyDescent="0.25">
      <c r="A22" t="str">
        <f t="shared" si="0"/>
        <v>622</v>
      </c>
      <c r="B22" s="188" t="s">
        <v>147</v>
      </c>
      <c r="C22" s="312">
        <f>SUMIF('Recap dep rec'!$A:$A,A22,'Recap dep rec'!$W:$W)</f>
        <v>6369.166666666667</v>
      </c>
      <c r="D22" s="189">
        <f>C22/$C$55</f>
        <v>1.468883362198828E-2</v>
      </c>
      <c r="E22" s="182"/>
      <c r="F22" s="203"/>
      <c r="G22" s="191"/>
      <c r="H22" s="198"/>
    </row>
    <row r="23" spans="1:8" x14ac:dyDescent="0.25">
      <c r="A23" t="str">
        <f t="shared" si="0"/>
        <v xml:space="preserve">et </v>
      </c>
      <c r="B23" s="188" t="s">
        <v>148</v>
      </c>
      <c r="C23" s="312"/>
      <c r="D23" s="189"/>
      <c r="E23" s="182"/>
      <c r="F23" s="190"/>
      <c r="G23" s="191"/>
      <c r="H23" s="198"/>
    </row>
    <row r="24" spans="1:8" x14ac:dyDescent="0.25">
      <c r="A24" t="str">
        <f t="shared" si="0"/>
        <v>623</v>
      </c>
      <c r="B24" s="188" t="s">
        <v>149</v>
      </c>
      <c r="C24" s="312">
        <f>SUMIF('Recap dep rec'!$A:$A,A24,'Recap dep rec'!$W:$W)</f>
        <v>75665</v>
      </c>
      <c r="D24" s="189">
        <f t="shared" ref="D24:D27" si="3">C24/$C$55</f>
        <v>0.17450172906048567</v>
      </c>
      <c r="E24" s="182"/>
      <c r="F24" s="190" t="s">
        <v>150</v>
      </c>
      <c r="G24" s="191"/>
      <c r="H24" s="198"/>
    </row>
    <row r="25" spans="1:8" x14ac:dyDescent="0.25">
      <c r="A25" t="str">
        <f t="shared" si="0"/>
        <v>625</v>
      </c>
      <c r="B25" s="188" t="s">
        <v>68</v>
      </c>
      <c r="C25" s="312">
        <f>SUMIF('Recap dep rec'!$A:$A,A25,'Recap dep rec'!$W:$W)</f>
        <v>76240.833333333328</v>
      </c>
      <c r="D25" s="189">
        <f t="shared" si="3"/>
        <v>0.17582973953187042</v>
      </c>
      <c r="E25" s="182"/>
      <c r="F25" s="196"/>
      <c r="G25" s="191"/>
      <c r="H25" s="198"/>
    </row>
    <row r="26" spans="1:8" x14ac:dyDescent="0.25">
      <c r="A26" t="str">
        <f t="shared" si="0"/>
        <v>626</v>
      </c>
      <c r="B26" s="188" t="s">
        <v>69</v>
      </c>
      <c r="C26" s="312">
        <f>SUMIF('Recap dep rec'!$A:$A,A26,'Recap dep rec'!$W:$W)</f>
        <v>2549.1666666666665</v>
      </c>
      <c r="D26" s="189">
        <f t="shared" si="3"/>
        <v>5.8789928103705541E-3</v>
      </c>
      <c r="E26" s="182"/>
      <c r="F26" s="196"/>
      <c r="G26" s="191"/>
      <c r="H26" s="198"/>
    </row>
    <row r="27" spans="1:8" x14ac:dyDescent="0.25">
      <c r="A27" t="str">
        <f t="shared" si="0"/>
        <v>628</v>
      </c>
      <c r="B27" s="188" t="s">
        <v>70</v>
      </c>
      <c r="C27" s="312">
        <f>SUMIF('Recap dep rec'!$A:$A,A27,'Recap dep rec'!$W:$W)</f>
        <v>5573.75</v>
      </c>
      <c r="D27" s="189">
        <f t="shared" si="3"/>
        <v>1.2854411053338821E-2</v>
      </c>
      <c r="E27" s="182"/>
      <c r="F27" s="196"/>
      <c r="G27" s="191"/>
      <c r="H27" s="198"/>
    </row>
    <row r="28" spans="1:8" x14ac:dyDescent="0.25">
      <c r="A28" t="str">
        <f t="shared" si="0"/>
        <v/>
      </c>
      <c r="B28" s="188"/>
      <c r="C28" s="197"/>
      <c r="D28" s="198"/>
      <c r="E28" s="182"/>
      <c r="F28" s="190" t="s">
        <v>421</v>
      </c>
      <c r="G28" s="191">
        <v>90000</v>
      </c>
      <c r="H28" s="263">
        <f>G28/C55</f>
        <v>0.20756169451455375</v>
      </c>
    </row>
    <row r="29" spans="1:8" x14ac:dyDescent="0.25">
      <c r="B29" s="190" t="s">
        <v>171</v>
      </c>
      <c r="C29" s="197"/>
      <c r="D29" s="198"/>
      <c r="E29" s="182"/>
      <c r="F29" s="190"/>
      <c r="G29" s="191"/>
      <c r="H29" s="198"/>
    </row>
    <row r="30" spans="1:8" x14ac:dyDescent="0.25">
      <c r="A30" t="str">
        <f t="shared" si="0"/>
        <v>631</v>
      </c>
      <c r="B30" s="188" t="s">
        <v>172</v>
      </c>
      <c r="C30" s="312">
        <f>SUMIF('Recap dep rec'!$A:$A,A30,'Recap dep rec'!$W:$W)</f>
        <v>3041.25</v>
      </c>
      <c r="D30" s="189">
        <f t="shared" ref="D30:D31" si="4">C30/$C$55</f>
        <v>7.0138555938042951E-3</v>
      </c>
      <c r="E30" s="182"/>
      <c r="F30" s="190"/>
      <c r="G30" s="191"/>
      <c r="H30" s="198"/>
    </row>
    <row r="31" spans="1:8" x14ac:dyDescent="0.25">
      <c r="A31" t="str">
        <f t="shared" si="0"/>
        <v>635</v>
      </c>
      <c r="B31" s="188" t="s">
        <v>173</v>
      </c>
      <c r="C31" s="312">
        <f>SUMIF('Recap dep rec'!$A:$A,A31,'Recap dep rec'!$W:$W)</f>
        <v>8.8916666666666675</v>
      </c>
      <c r="D31" s="189">
        <f t="shared" si="4"/>
        <v>2.050632667102119E-5</v>
      </c>
      <c r="E31" s="182"/>
      <c r="F31" s="190"/>
      <c r="G31" s="191"/>
      <c r="H31" s="198"/>
    </row>
    <row r="32" spans="1:8" x14ac:dyDescent="0.25">
      <c r="B32" s="190" t="s">
        <v>152</v>
      </c>
      <c r="C32" s="206"/>
      <c r="D32" s="207"/>
      <c r="E32" s="182"/>
      <c r="F32" s="196"/>
      <c r="G32" s="191"/>
      <c r="H32" s="198"/>
    </row>
    <row r="33" spans="1:8" x14ac:dyDescent="0.25">
      <c r="A33" t="str">
        <f t="shared" si="0"/>
        <v>641</v>
      </c>
      <c r="B33" s="188" t="s">
        <v>71</v>
      </c>
      <c r="C33" s="312">
        <f>SUMIF('Recap dep rec'!$A:$A,A33,'Recap dep rec'!$W:$W)</f>
        <v>141742.37706666667</v>
      </c>
      <c r="D33" s="189">
        <f t="shared" ref="D33:D34" si="5">C33/$C$55</f>
        <v>0.32689208853864615</v>
      </c>
      <c r="E33" s="182"/>
      <c r="F33" s="196"/>
      <c r="G33" s="191"/>
      <c r="H33" s="198"/>
    </row>
    <row r="34" spans="1:8" x14ac:dyDescent="0.25">
      <c r="A34" t="str">
        <f t="shared" si="0"/>
        <v>645</v>
      </c>
      <c r="B34" s="188" t="s">
        <v>72</v>
      </c>
      <c r="C34" s="312">
        <f>SUMIF('Recap dep rec'!$A:$A,A34,'Recap dep rec'!$W:$W)</f>
        <v>305.83333333333331</v>
      </c>
      <c r="D34" s="189">
        <f t="shared" si="5"/>
        <v>7.0532538784112242E-4</v>
      </c>
      <c r="E34" s="182"/>
      <c r="F34" s="196"/>
      <c r="G34" s="191"/>
      <c r="H34" s="198"/>
    </row>
    <row r="35" spans="1:8" x14ac:dyDescent="0.25">
      <c r="A35" t="str">
        <f t="shared" si="0"/>
        <v/>
      </c>
      <c r="B35" s="188"/>
      <c r="C35" s="197"/>
      <c r="D35" s="198"/>
      <c r="E35" s="182"/>
      <c r="F35" s="190" t="s">
        <v>153</v>
      </c>
      <c r="G35" s="191"/>
      <c r="H35" s="198"/>
    </row>
    <row r="36" spans="1:8" x14ac:dyDescent="0.25">
      <c r="A36" t="str">
        <f t="shared" si="0"/>
        <v/>
      </c>
      <c r="B36" s="188"/>
      <c r="C36" s="197"/>
      <c r="D36" s="198"/>
      <c r="E36" s="182"/>
      <c r="F36" s="208"/>
      <c r="G36" s="191"/>
      <c r="H36" s="198"/>
    </row>
    <row r="37" spans="1:8" x14ac:dyDescent="0.25">
      <c r="A37" t="str">
        <f t="shared" si="0"/>
        <v xml:space="preserve">65 </v>
      </c>
      <c r="B37" s="188" t="s">
        <v>73</v>
      </c>
      <c r="C37" s="312">
        <f>SUMIF('Recap dep rec'!$A:$A,A37,'Recap dep rec'!$W:$W)</f>
        <v>0</v>
      </c>
      <c r="D37" s="189">
        <f>C37/$C$55</f>
        <v>0</v>
      </c>
      <c r="E37" s="182"/>
      <c r="F37" s="208"/>
      <c r="G37" s="191"/>
      <c r="H37" s="198"/>
    </row>
    <row r="38" spans="1:8" x14ac:dyDescent="0.25">
      <c r="A38" t="str">
        <f t="shared" si="0"/>
        <v/>
      </c>
      <c r="B38" s="190"/>
      <c r="C38" s="186"/>
      <c r="D38" s="187"/>
      <c r="E38" s="182"/>
      <c r="F38" s="208"/>
      <c r="G38" s="191"/>
      <c r="H38" s="198"/>
    </row>
    <row r="39" spans="1:8" x14ac:dyDescent="0.25">
      <c r="A39" t="str">
        <f t="shared" si="0"/>
        <v/>
      </c>
      <c r="B39" s="188"/>
      <c r="C39" s="197"/>
      <c r="D39" s="198"/>
      <c r="E39" s="182"/>
      <c r="F39" s="209" t="s">
        <v>154</v>
      </c>
      <c r="G39" s="210">
        <f>G28+G15</f>
        <v>250000</v>
      </c>
      <c r="H39" s="265">
        <f>G39/G55</f>
        <v>0.57656028744989696</v>
      </c>
    </row>
    <row r="40" spans="1:8" x14ac:dyDescent="0.25">
      <c r="B40" s="190" t="s">
        <v>155</v>
      </c>
      <c r="C40" s="197"/>
      <c r="D40" s="198"/>
      <c r="E40" s="182"/>
      <c r="F40" s="188"/>
      <c r="G40" s="191"/>
      <c r="H40" s="189"/>
    </row>
    <row r="41" spans="1:8" x14ac:dyDescent="0.25">
      <c r="A41" t="str">
        <f t="shared" si="0"/>
        <v>661</v>
      </c>
      <c r="B41" s="188" t="s">
        <v>74</v>
      </c>
      <c r="C41" s="312">
        <f>SUMIF('Recap dep rec'!$A:$A,A41,'Recap dep rec'!$W:$W)</f>
        <v>0</v>
      </c>
      <c r="D41" s="189">
        <f>C41/$C$55</f>
        <v>0</v>
      </c>
      <c r="E41" s="182"/>
      <c r="F41" s="190" t="s">
        <v>156</v>
      </c>
      <c r="G41" s="186">
        <f>G42+G44+G45-1</f>
        <v>163606</v>
      </c>
      <c r="H41" s="264">
        <f>G41/G55</f>
        <v>0.37731488955411135</v>
      </c>
    </row>
    <row r="42" spans="1:8" x14ac:dyDescent="0.25">
      <c r="A42" t="str">
        <f t="shared" si="0"/>
        <v/>
      </c>
      <c r="B42" s="188"/>
      <c r="C42" s="197"/>
      <c r="D42" s="198"/>
      <c r="E42" s="182"/>
      <c r="F42" s="188" t="s">
        <v>88</v>
      </c>
      <c r="G42" s="191">
        <f>'Recap dep rec'!W35</f>
        <v>20008</v>
      </c>
      <c r="H42" s="198"/>
    </row>
    <row r="43" spans="1:8" x14ac:dyDescent="0.25">
      <c r="A43" t="str">
        <f t="shared" si="0"/>
        <v/>
      </c>
      <c r="B43" s="188"/>
      <c r="C43" s="197"/>
      <c r="D43" s="198"/>
      <c r="E43" s="182"/>
      <c r="F43" s="188" t="s">
        <v>157</v>
      </c>
      <c r="G43" s="212"/>
      <c r="H43" s="198"/>
    </row>
    <row r="44" spans="1:8" x14ac:dyDescent="0.25">
      <c r="A44" t="str">
        <f t="shared" si="0"/>
        <v xml:space="preserve">68 </v>
      </c>
      <c r="B44" s="190" t="s">
        <v>158</v>
      </c>
      <c r="C44" s="197"/>
      <c r="D44" s="198"/>
      <c r="E44" s="182"/>
      <c r="F44" s="188" t="s">
        <v>87</v>
      </c>
      <c r="G44" s="191">
        <f>'Recap dep rec'!W33</f>
        <v>93599</v>
      </c>
      <c r="H44" s="198"/>
    </row>
    <row r="45" spans="1:8" x14ac:dyDescent="0.25">
      <c r="A45" t="str">
        <f t="shared" si="0"/>
        <v>aux</v>
      </c>
      <c r="B45" s="190" t="s">
        <v>159</v>
      </c>
      <c r="C45" s="194"/>
      <c r="D45" s="189"/>
      <c r="E45" s="182"/>
      <c r="F45" s="188" t="s">
        <v>160</v>
      </c>
      <c r="G45" s="191">
        <f>'Recap dep rec'!W36</f>
        <v>50000</v>
      </c>
      <c r="H45" s="198"/>
    </row>
    <row r="46" spans="1:8" x14ac:dyDescent="0.25">
      <c r="A46" t="str">
        <f t="shared" si="0"/>
        <v>681</v>
      </c>
      <c r="B46" s="213" t="s">
        <v>75</v>
      </c>
      <c r="C46" s="312">
        <f>SUMIF('Recap dep rec'!$A:$A,A46,'Recap dep rec'!$W:$W)</f>
        <v>0</v>
      </c>
      <c r="D46" s="189">
        <f>C46/$C$55</f>
        <v>0</v>
      </c>
      <c r="E46" s="182"/>
      <c r="F46" s="188"/>
      <c r="G46" s="191"/>
      <c r="H46" s="198"/>
    </row>
    <row r="47" spans="1:8" x14ac:dyDescent="0.25">
      <c r="B47" s="188" t="s">
        <v>161</v>
      </c>
      <c r="C47" s="194"/>
      <c r="D47" s="189"/>
      <c r="E47" s="182"/>
      <c r="F47" s="188"/>
      <c r="G47" s="191"/>
      <c r="H47" s="189"/>
    </row>
    <row r="48" spans="1:8" x14ac:dyDescent="0.25">
      <c r="B48" s="213"/>
      <c r="C48" s="194"/>
      <c r="D48" s="189"/>
      <c r="E48" s="182"/>
      <c r="F48" s="190"/>
      <c r="G48" s="191"/>
      <c r="H48" s="189"/>
    </row>
    <row r="49" spans="1:8" x14ac:dyDescent="0.25">
      <c r="B49" s="213"/>
      <c r="C49" s="194"/>
      <c r="D49" s="189"/>
      <c r="E49" s="182"/>
      <c r="F49" s="190" t="s">
        <v>162</v>
      </c>
      <c r="G49" s="186"/>
      <c r="H49" s="187"/>
    </row>
    <row r="50" spans="1:8" x14ac:dyDescent="0.25">
      <c r="B50" s="190" t="s">
        <v>163</v>
      </c>
      <c r="C50" s="186"/>
      <c r="D50" s="187"/>
      <c r="E50" s="182"/>
      <c r="F50" s="188" t="s">
        <v>164</v>
      </c>
      <c r="G50" s="191">
        <f>C51</f>
        <v>20000</v>
      </c>
      <c r="H50" s="189"/>
    </row>
    <row r="51" spans="1:8" ht="15.75" x14ac:dyDescent="0.25">
      <c r="A51" t="s">
        <v>325</v>
      </c>
      <c r="B51" s="213" t="s">
        <v>29</v>
      </c>
      <c r="C51" s="312">
        <f>SUMIF('Recap dep rec'!$A:$A,A51,'Recap dep rec'!$W:$W)</f>
        <v>20000</v>
      </c>
      <c r="D51" s="189">
        <f t="shared" ref="D51:D53" si="6">C51/$C$55</f>
        <v>4.6124821003234166E-2</v>
      </c>
      <c r="E51" s="217"/>
      <c r="F51" s="188" t="s">
        <v>165</v>
      </c>
      <c r="G51" s="191"/>
      <c r="H51" s="189"/>
    </row>
    <row r="52" spans="1:8" ht="15.75" x14ac:dyDescent="0.25">
      <c r="B52" s="188" t="s">
        <v>166</v>
      </c>
      <c r="C52" s="312">
        <f>SUMIF('Recap dep rec'!$A:$A,A52,'Recap dep rec'!$W:$W)</f>
        <v>0</v>
      </c>
      <c r="D52" s="189">
        <f t="shared" si="6"/>
        <v>0</v>
      </c>
      <c r="E52" s="217"/>
      <c r="F52" s="188" t="s">
        <v>167</v>
      </c>
      <c r="G52" s="191"/>
      <c r="H52" s="189"/>
    </row>
    <row r="53" spans="1:8" x14ac:dyDescent="0.25">
      <c r="B53" s="188" t="s">
        <v>167</v>
      </c>
      <c r="C53" s="312">
        <f>SUMIF('Recap dep rec'!$A:$A,A53,'Recap dep rec'!$W:$W)</f>
        <v>0</v>
      </c>
      <c r="D53" s="189">
        <f t="shared" si="6"/>
        <v>0</v>
      </c>
      <c r="F53" s="188"/>
      <c r="G53" s="191"/>
      <c r="H53" s="189"/>
    </row>
    <row r="54" spans="1:8" x14ac:dyDescent="0.25">
      <c r="B54" s="218"/>
      <c r="C54" s="313"/>
      <c r="D54" s="220"/>
      <c r="F54" s="188"/>
      <c r="G54" s="191"/>
      <c r="H54" s="189"/>
    </row>
    <row r="55" spans="1:8" x14ac:dyDescent="0.25">
      <c r="B55" s="221" t="s">
        <v>168</v>
      </c>
      <c r="C55" s="222">
        <f>SUM(C5:C54)</f>
        <v>433606.01873333333</v>
      </c>
      <c r="D55" s="223"/>
      <c r="F55" s="221" t="s">
        <v>169</v>
      </c>
      <c r="G55" s="224">
        <f>G39+G41+G50</f>
        <v>433606</v>
      </c>
      <c r="H55" s="223"/>
    </row>
    <row r="56" spans="1:8" x14ac:dyDescent="0.25">
      <c r="B56" s="182"/>
      <c r="C56" s="329">
        <f>C55-'Recap dep rec'!W29</f>
        <v>0</v>
      </c>
      <c r="D56" s="226"/>
      <c r="F56" s="182"/>
      <c r="G56" s="329"/>
      <c r="H56" s="227"/>
    </row>
    <row r="57" spans="1:8" ht="15.75" x14ac:dyDescent="0.25">
      <c r="B57" s="182" t="s">
        <v>419</v>
      </c>
      <c r="C57" s="330"/>
      <c r="D57" s="229"/>
      <c r="F57" s="217"/>
      <c r="G57" s="330"/>
      <c r="H57" s="230"/>
    </row>
    <row r="58" spans="1:8" ht="15.75" x14ac:dyDescent="0.25">
      <c r="B58" s="217" t="s">
        <v>420</v>
      </c>
      <c r="C58" s="330"/>
      <c r="D58" s="229"/>
      <c r="F58" s="217"/>
      <c r="G58" s="330"/>
      <c r="H58" s="226"/>
    </row>
    <row r="59" spans="1:8" ht="15.75" x14ac:dyDescent="0.25">
      <c r="D59" s="232"/>
      <c r="H59" s="229"/>
    </row>
  </sheetData>
  <mergeCells count="1">
    <mergeCell ref="B1:H1"/>
  </mergeCells>
  <pageMargins left="0.7" right="0.7" top="0.75" bottom="0.75" header="0.3" footer="0.3"/>
  <drawing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H60"/>
  <sheetViews>
    <sheetView workbookViewId="0">
      <selection activeCell="G56" sqref="G56"/>
    </sheetView>
  </sheetViews>
  <sheetFormatPr baseColWidth="10" defaultRowHeight="15" x14ac:dyDescent="0.25"/>
  <cols>
    <col min="1" max="1" width="7.5703125" bestFit="1" customWidth="1"/>
    <col min="2" max="2" width="50.85546875" bestFit="1" customWidth="1"/>
    <col min="5" max="5" width="5.42578125" customWidth="1"/>
    <col min="6" max="6" width="33" bestFit="1" customWidth="1"/>
    <col min="7" max="7" width="12.42578125" bestFit="1" customWidth="1"/>
  </cols>
  <sheetData>
    <row r="1" spans="1:8" ht="37.5" customHeight="1" x14ac:dyDescent="0.25">
      <c r="B1" s="366" t="s">
        <v>346</v>
      </c>
      <c r="C1" s="367"/>
      <c r="D1" s="367"/>
      <c r="E1" s="367"/>
      <c r="F1" s="367"/>
      <c r="G1" s="367"/>
      <c r="H1" s="368"/>
    </row>
    <row r="2" spans="1:8" x14ac:dyDescent="0.35">
      <c r="B2" s="176"/>
      <c r="C2" s="177"/>
      <c r="D2" s="178"/>
      <c r="E2" s="177"/>
      <c r="F2" s="177"/>
      <c r="G2" s="177"/>
      <c r="H2" s="178"/>
    </row>
    <row r="3" spans="1:8" x14ac:dyDescent="0.25">
      <c r="B3" s="179" t="s">
        <v>129</v>
      </c>
      <c r="C3" s="180" t="s">
        <v>130</v>
      </c>
      <c r="D3" s="181" t="s">
        <v>131</v>
      </c>
      <c r="E3" s="182"/>
      <c r="F3" s="179" t="s">
        <v>132</v>
      </c>
      <c r="G3" s="179" t="s">
        <v>130</v>
      </c>
      <c r="H3" s="181" t="s">
        <v>131</v>
      </c>
    </row>
    <row r="4" spans="1:8" ht="14.45" x14ac:dyDescent="0.35">
      <c r="B4" s="183" t="s">
        <v>133</v>
      </c>
      <c r="C4" s="184"/>
      <c r="D4" s="185"/>
      <c r="E4" s="182"/>
      <c r="F4" s="183" t="s">
        <v>134</v>
      </c>
      <c r="G4" s="186"/>
      <c r="H4" s="187"/>
    </row>
    <row r="5" spans="1:8" ht="14.45" x14ac:dyDescent="0.35">
      <c r="A5" t="str">
        <f>LEFT(B5,3)</f>
        <v>604</v>
      </c>
      <c r="B5" s="188" t="s">
        <v>135</v>
      </c>
      <c r="C5" s="312">
        <f>SUMIF('Recap dep rec'!$A:$A,A5,'Recap dep rec'!$X:$X)</f>
        <v>0</v>
      </c>
      <c r="D5" s="189">
        <f>C5/$C$56</f>
        <v>0</v>
      </c>
      <c r="E5" s="182"/>
      <c r="F5" s="190"/>
      <c r="G5" s="191"/>
      <c r="H5" s="189"/>
    </row>
    <row r="6" spans="1:8" x14ac:dyDescent="0.25">
      <c r="A6" t="str">
        <f t="shared" ref="A6:A47" si="0">LEFT(B6,3)</f>
        <v>605</v>
      </c>
      <c r="B6" s="192" t="s">
        <v>136</v>
      </c>
      <c r="C6" s="312">
        <f>SUMIF('Recap dep rec'!$A:$A,A6,'Recap dep rec'!$X:$X)</f>
        <v>0</v>
      </c>
      <c r="D6" s="189">
        <f t="shared" ref="D6:D8" si="1">C6/$C$56</f>
        <v>0</v>
      </c>
      <c r="E6" s="182"/>
      <c r="F6" s="190" t="s">
        <v>137</v>
      </c>
      <c r="G6" s="191"/>
      <c r="H6" s="193"/>
    </row>
    <row r="7" spans="1:8" ht="14.45" x14ac:dyDescent="0.35">
      <c r="A7" t="str">
        <f t="shared" si="0"/>
        <v>606</v>
      </c>
      <c r="B7" s="192" t="s">
        <v>138</v>
      </c>
      <c r="C7" s="312">
        <f>SUMIF('Recap dep rec'!$A:$A,A7,'Recap dep rec'!$X:$X)</f>
        <v>0</v>
      </c>
      <c r="D7" s="189">
        <f t="shared" si="1"/>
        <v>0</v>
      </c>
      <c r="E7" s="182"/>
      <c r="F7" s="196"/>
      <c r="G7" s="191"/>
      <c r="H7" s="189"/>
    </row>
    <row r="8" spans="1:8" ht="14.45" x14ac:dyDescent="0.35">
      <c r="A8" t="str">
        <f t="shared" si="0"/>
        <v>607</v>
      </c>
      <c r="B8" s="188" t="s">
        <v>139</v>
      </c>
      <c r="C8" s="312">
        <f>SUMIF('Recap dep rec'!$A:$A,A8,'Recap dep rec'!$X:$X)</f>
        <v>0</v>
      </c>
      <c r="D8" s="189">
        <f t="shared" si="1"/>
        <v>0</v>
      </c>
      <c r="E8" s="182"/>
      <c r="F8" s="196"/>
      <c r="G8" s="191"/>
      <c r="H8" s="189"/>
    </row>
    <row r="9" spans="1:8" ht="14.45" x14ac:dyDescent="0.35">
      <c r="A9" t="str">
        <f t="shared" si="0"/>
        <v/>
      </c>
      <c r="B9" s="188"/>
      <c r="C9" s="194"/>
      <c r="D9" s="189"/>
      <c r="E9" s="182"/>
      <c r="F9" s="196"/>
      <c r="G9" s="191"/>
      <c r="H9" s="189"/>
    </row>
    <row r="10" spans="1:8" x14ac:dyDescent="0.25">
      <c r="A10" t="str">
        <f t="shared" si="0"/>
        <v/>
      </c>
      <c r="B10" s="196"/>
      <c r="C10" s="197"/>
      <c r="D10" s="198"/>
      <c r="E10" s="182"/>
      <c r="F10" s="199" t="s">
        <v>140</v>
      </c>
      <c r="G10" s="191"/>
      <c r="H10" s="198"/>
    </row>
    <row r="11" spans="1:8" x14ac:dyDescent="0.25">
      <c r="B11" s="190" t="s">
        <v>141</v>
      </c>
      <c r="C11" s="186"/>
      <c r="D11" s="187"/>
      <c r="E11" s="182"/>
      <c r="F11" s="200"/>
      <c r="G11" s="191"/>
      <c r="H11" s="198"/>
    </row>
    <row r="12" spans="1:8" x14ac:dyDescent="0.25">
      <c r="A12" t="str">
        <f t="shared" si="0"/>
        <v>611</v>
      </c>
      <c r="B12" s="188" t="s">
        <v>142</v>
      </c>
      <c r="C12" s="312">
        <f>SUMIF('Recap dep rec'!$A:$A,A12,'Recap dep rec'!$X:$X)</f>
        <v>0</v>
      </c>
      <c r="D12" s="189">
        <f t="shared" ref="D12:D17" si="2">C12/$C$56</f>
        <v>0</v>
      </c>
      <c r="E12" s="182"/>
      <c r="F12" s="201"/>
      <c r="G12" s="191"/>
      <c r="H12" s="198"/>
    </row>
    <row r="13" spans="1:8" ht="14.45" x14ac:dyDescent="0.35">
      <c r="A13" t="str">
        <f t="shared" si="0"/>
        <v>613</v>
      </c>
      <c r="B13" s="188" t="s">
        <v>170</v>
      </c>
      <c r="C13" s="312">
        <f>SUMIF('Recap dep rec'!$A:$A,A13,'Recap dep rec'!$X:$X)</f>
        <v>0</v>
      </c>
      <c r="D13" s="189">
        <f t="shared" si="2"/>
        <v>0</v>
      </c>
      <c r="E13" s="182"/>
      <c r="F13" s="202"/>
      <c r="G13" s="191"/>
      <c r="H13" s="198"/>
    </row>
    <row r="14" spans="1:8" x14ac:dyDescent="0.25">
      <c r="A14" t="str">
        <f t="shared" si="0"/>
        <v>615</v>
      </c>
      <c r="B14" s="188" t="s">
        <v>65</v>
      </c>
      <c r="C14" s="312">
        <f>SUMIF('Recap dep rec'!$A:$A,A14,'Recap dep rec'!$X:$X)</f>
        <v>0</v>
      </c>
      <c r="D14" s="189">
        <f t="shared" si="2"/>
        <v>0</v>
      </c>
      <c r="E14" s="182"/>
      <c r="F14" s="202"/>
      <c r="G14" s="191"/>
      <c r="H14" s="198"/>
    </row>
    <row r="15" spans="1:8" x14ac:dyDescent="0.25">
      <c r="A15" t="str">
        <f t="shared" si="0"/>
        <v>616</v>
      </c>
      <c r="B15" s="188" t="s">
        <v>66</v>
      </c>
      <c r="C15" s="312">
        <f>SUMIF('Recap dep rec'!$A:$A,A15,'Recap dep rec'!$X:$X)</f>
        <v>0</v>
      </c>
      <c r="D15" s="189">
        <f t="shared" si="2"/>
        <v>0</v>
      </c>
      <c r="E15" s="182"/>
      <c r="F15" s="190" t="s">
        <v>143</v>
      </c>
      <c r="G15" s="191"/>
      <c r="H15" s="198"/>
    </row>
    <row r="16" spans="1:8" x14ac:dyDescent="0.25">
      <c r="A16" t="str">
        <f t="shared" si="0"/>
        <v>617</v>
      </c>
      <c r="B16" s="188" t="s">
        <v>67</v>
      </c>
      <c r="C16" s="312">
        <f>SUMIF('Recap dep rec'!$A:$A,A16,'Recap dep rec'!$X:$X)</f>
        <v>0</v>
      </c>
      <c r="D16" s="189">
        <f t="shared" si="2"/>
        <v>0</v>
      </c>
      <c r="E16" s="182"/>
      <c r="F16" s="203"/>
      <c r="G16" s="191"/>
      <c r="H16" s="198"/>
    </row>
    <row r="17" spans="1:8" x14ac:dyDescent="0.25">
      <c r="A17" t="str">
        <f t="shared" si="0"/>
        <v>618</v>
      </c>
      <c r="B17" s="188" t="s">
        <v>144</v>
      </c>
      <c r="C17" s="312">
        <f>SUMIF('Recap dep rec'!$A:$A,A17,'Recap dep rec'!$X:$X)</f>
        <v>0</v>
      </c>
      <c r="D17" s="189">
        <f t="shared" si="2"/>
        <v>0</v>
      </c>
      <c r="E17" s="182"/>
      <c r="F17" s="203"/>
      <c r="G17" s="191"/>
      <c r="H17" s="198"/>
    </row>
    <row r="18" spans="1:8" x14ac:dyDescent="0.25">
      <c r="A18" t="str">
        <f t="shared" si="0"/>
        <v/>
      </c>
      <c r="B18" s="188"/>
      <c r="C18" s="197"/>
      <c r="D18" s="198"/>
      <c r="E18" s="182"/>
      <c r="F18" s="202"/>
      <c r="G18" s="191"/>
      <c r="H18" s="198"/>
    </row>
    <row r="19" spans="1:8" x14ac:dyDescent="0.25">
      <c r="A19" t="str">
        <f t="shared" si="0"/>
        <v/>
      </c>
      <c r="B19" s="188"/>
      <c r="C19" s="197"/>
      <c r="D19" s="198"/>
      <c r="E19" s="204"/>
      <c r="F19" s="205" t="s">
        <v>145</v>
      </c>
      <c r="G19" s="191"/>
      <c r="H19" s="198"/>
    </row>
    <row r="20" spans="1:8" x14ac:dyDescent="0.25">
      <c r="B20" s="190" t="s">
        <v>146</v>
      </c>
      <c r="C20" s="186"/>
      <c r="D20" s="187"/>
      <c r="E20" s="182"/>
      <c r="F20" s="196"/>
      <c r="G20" s="191"/>
      <c r="H20" s="198"/>
    </row>
    <row r="21" spans="1:8" x14ac:dyDescent="0.25">
      <c r="A21" t="str">
        <f t="shared" si="0"/>
        <v/>
      </c>
      <c r="B21" s="190"/>
      <c r="C21" s="186"/>
      <c r="D21" s="187"/>
      <c r="E21" s="182"/>
      <c r="F21" s="196"/>
      <c r="G21" s="191"/>
      <c r="H21" s="198"/>
    </row>
    <row r="22" spans="1:8" x14ac:dyDescent="0.25">
      <c r="A22" t="str">
        <f t="shared" si="0"/>
        <v>622</v>
      </c>
      <c r="B22" s="188" t="s">
        <v>147</v>
      </c>
      <c r="C22" s="312">
        <f>SUMIF('Recap dep rec'!$A:$A,A22,'Recap dep rec'!$X:$X)</f>
        <v>2000</v>
      </c>
      <c r="D22" s="189">
        <f>C22/$C$56</f>
        <v>0.38461538461538464</v>
      </c>
      <c r="E22" s="182"/>
      <c r="F22" s="203"/>
      <c r="G22" s="191"/>
      <c r="H22" s="198"/>
    </row>
    <row r="23" spans="1:8" x14ac:dyDescent="0.25">
      <c r="A23" t="str">
        <f t="shared" si="0"/>
        <v xml:space="preserve">et </v>
      </c>
      <c r="B23" s="188" t="s">
        <v>148</v>
      </c>
      <c r="C23" s="312"/>
      <c r="D23" s="189"/>
      <c r="E23" s="182"/>
      <c r="F23" s="190"/>
      <c r="G23" s="191"/>
      <c r="H23" s="198"/>
    </row>
    <row r="24" spans="1:8" x14ac:dyDescent="0.25">
      <c r="A24" t="str">
        <f t="shared" si="0"/>
        <v>623</v>
      </c>
      <c r="B24" s="188" t="s">
        <v>149</v>
      </c>
      <c r="C24" s="312">
        <f>SUMIF('Recap dep rec'!$A:$A,A24,'Recap dep rec'!$X:$X)</f>
        <v>0</v>
      </c>
      <c r="D24" s="189">
        <f>C24/$C$56</f>
        <v>0</v>
      </c>
      <c r="E24" s="182"/>
      <c r="F24" s="190" t="s">
        <v>150</v>
      </c>
      <c r="G24" s="191"/>
      <c r="H24" s="198"/>
    </row>
    <row r="25" spans="1:8" x14ac:dyDescent="0.25">
      <c r="A25" t="str">
        <f t="shared" si="0"/>
        <v>625</v>
      </c>
      <c r="B25" s="188" t="s">
        <v>68</v>
      </c>
      <c r="C25" s="312">
        <f>SUMIF('Recap dep rec'!$A:$A,A25,'Recap dep rec'!$X:$X)</f>
        <v>0</v>
      </c>
      <c r="D25" s="189">
        <f>C25/$C$56</f>
        <v>0</v>
      </c>
      <c r="E25" s="182"/>
      <c r="F25" s="196"/>
      <c r="G25" s="191"/>
      <c r="H25" s="198"/>
    </row>
    <row r="26" spans="1:8" x14ac:dyDescent="0.25">
      <c r="A26" t="str">
        <f t="shared" si="0"/>
        <v>626</v>
      </c>
      <c r="B26" s="188" t="s">
        <v>69</v>
      </c>
      <c r="C26" s="312">
        <f>SUMIF('Recap dep rec'!$A:$A,A26,'Recap dep rec'!$X:$X)</f>
        <v>0</v>
      </c>
      <c r="D26" s="189">
        <f>C26/$C$56</f>
        <v>0</v>
      </c>
      <c r="E26" s="182"/>
      <c r="F26" s="196"/>
      <c r="G26" s="191"/>
      <c r="H26" s="198"/>
    </row>
    <row r="27" spans="1:8" x14ac:dyDescent="0.25">
      <c r="A27" s="319">
        <v>627</v>
      </c>
      <c r="B27" s="188" t="s">
        <v>323</v>
      </c>
      <c r="C27" s="312">
        <f>SUMIF('Recap dep rec'!$A:$A,A27,'Recap dep rec'!$X:$X)</f>
        <v>2700</v>
      </c>
      <c r="D27" s="189">
        <f>C27/$C$56</f>
        <v>0.51923076923076927</v>
      </c>
      <c r="E27" s="182"/>
      <c r="F27" s="196"/>
      <c r="G27" s="191"/>
      <c r="H27" s="198"/>
    </row>
    <row r="28" spans="1:8" x14ac:dyDescent="0.25">
      <c r="A28" t="str">
        <f t="shared" si="0"/>
        <v>628</v>
      </c>
      <c r="B28" s="188" t="s">
        <v>70</v>
      </c>
      <c r="C28" s="312">
        <f>SUMIF('Recap dep rec'!$A:$A,A28,'Recap dep rec'!$X:$X)</f>
        <v>0</v>
      </c>
      <c r="D28" s="189">
        <f>C28/$C$56</f>
        <v>0</v>
      </c>
      <c r="E28" s="182"/>
      <c r="F28" s="196"/>
      <c r="G28" s="191"/>
      <c r="H28" s="198"/>
    </row>
    <row r="29" spans="1:8" x14ac:dyDescent="0.25">
      <c r="A29" t="str">
        <f t="shared" si="0"/>
        <v/>
      </c>
      <c r="B29" s="188"/>
      <c r="C29" s="197"/>
      <c r="D29" s="198"/>
      <c r="E29" s="182"/>
      <c r="F29" s="190" t="s">
        <v>151</v>
      </c>
      <c r="G29" s="191"/>
      <c r="H29" s="198"/>
    </row>
    <row r="30" spans="1:8" x14ac:dyDescent="0.25">
      <c r="B30" s="190" t="s">
        <v>171</v>
      </c>
      <c r="C30" s="197"/>
      <c r="D30" s="198"/>
      <c r="E30" s="182"/>
      <c r="F30" s="190"/>
      <c r="G30" s="191"/>
      <c r="H30" s="198"/>
    </row>
    <row r="31" spans="1:8" x14ac:dyDescent="0.25">
      <c r="A31" t="str">
        <f t="shared" si="0"/>
        <v>631</v>
      </c>
      <c r="B31" s="188" t="s">
        <v>172</v>
      </c>
      <c r="C31" s="197"/>
      <c r="D31" s="198"/>
      <c r="E31" s="182"/>
      <c r="F31" s="190"/>
      <c r="G31" s="191"/>
      <c r="H31" s="198"/>
    </row>
    <row r="32" spans="1:8" x14ac:dyDescent="0.25">
      <c r="A32" t="str">
        <f t="shared" si="0"/>
        <v>635</v>
      </c>
      <c r="B32" s="188" t="s">
        <v>173</v>
      </c>
      <c r="C32" s="312">
        <f>SUMIF('Recap dep rec'!$A:$A,A32,'Recap dep rec'!$X:$X)</f>
        <v>0</v>
      </c>
      <c r="D32" s="189">
        <f t="shared" ref="D32" si="3">C32/$C$56</f>
        <v>0</v>
      </c>
      <c r="E32" s="182"/>
      <c r="F32" s="190"/>
      <c r="G32" s="191"/>
      <c r="H32" s="198"/>
    </row>
    <row r="33" spans="1:8" x14ac:dyDescent="0.25">
      <c r="B33" s="190" t="s">
        <v>152</v>
      </c>
      <c r="C33" s="206"/>
      <c r="D33" s="207"/>
      <c r="E33" s="182"/>
      <c r="F33" s="196"/>
      <c r="G33" s="191"/>
      <c r="H33" s="198"/>
    </row>
    <row r="34" spans="1:8" x14ac:dyDescent="0.25">
      <c r="A34" t="str">
        <f t="shared" si="0"/>
        <v>641</v>
      </c>
      <c r="B34" s="188" t="s">
        <v>71</v>
      </c>
      <c r="C34" s="312">
        <f>SUMIF('Recap dep rec'!$A:$A,A34,'Recap dep rec'!$X:$X)</f>
        <v>0</v>
      </c>
      <c r="D34" s="189">
        <f t="shared" ref="D34:D35" si="4">C34/$C$56</f>
        <v>0</v>
      </c>
      <c r="E34" s="182"/>
      <c r="F34" s="196"/>
      <c r="G34" s="191"/>
      <c r="H34" s="198"/>
    </row>
    <row r="35" spans="1:8" x14ac:dyDescent="0.25">
      <c r="A35" t="str">
        <f t="shared" si="0"/>
        <v>645</v>
      </c>
      <c r="B35" s="188" t="s">
        <v>72</v>
      </c>
      <c r="C35" s="312">
        <f>SUMIF('Recap dep rec'!$A:$A,A35,'Recap dep rec'!$X:$X)</f>
        <v>0</v>
      </c>
      <c r="D35" s="189">
        <f t="shared" si="4"/>
        <v>0</v>
      </c>
      <c r="E35" s="182"/>
      <c r="F35" s="196"/>
      <c r="G35" s="191"/>
      <c r="H35" s="198"/>
    </row>
    <row r="36" spans="1:8" x14ac:dyDescent="0.25">
      <c r="A36" t="str">
        <f t="shared" si="0"/>
        <v/>
      </c>
      <c r="B36" s="188"/>
      <c r="C36" s="197"/>
      <c r="D36" s="198"/>
      <c r="E36" s="182"/>
      <c r="F36" s="190" t="s">
        <v>153</v>
      </c>
      <c r="G36" s="191"/>
      <c r="H36" s="198"/>
    </row>
    <row r="37" spans="1:8" x14ac:dyDescent="0.25">
      <c r="A37" t="str">
        <f t="shared" si="0"/>
        <v/>
      </c>
      <c r="B37" s="188"/>
      <c r="C37" s="197"/>
      <c r="D37" s="198"/>
      <c r="E37" s="182"/>
      <c r="F37" s="208"/>
      <c r="G37" s="191"/>
      <c r="H37" s="198"/>
    </row>
    <row r="38" spans="1:8" x14ac:dyDescent="0.25">
      <c r="A38" t="str">
        <f t="shared" si="0"/>
        <v xml:space="preserve">65 </v>
      </c>
      <c r="B38" s="188" t="s">
        <v>73</v>
      </c>
      <c r="C38" s="197"/>
      <c r="D38" s="198"/>
      <c r="E38" s="182"/>
      <c r="F38" s="208"/>
      <c r="G38" s="191"/>
      <c r="H38" s="198"/>
    </row>
    <row r="39" spans="1:8" x14ac:dyDescent="0.25">
      <c r="A39" t="str">
        <f t="shared" si="0"/>
        <v/>
      </c>
      <c r="B39" s="190"/>
      <c r="C39" s="186"/>
      <c r="D39" s="187"/>
      <c r="E39" s="182"/>
      <c r="F39" s="208"/>
      <c r="G39" s="191"/>
      <c r="H39" s="198"/>
    </row>
    <row r="40" spans="1:8" x14ac:dyDescent="0.25">
      <c r="A40" t="str">
        <f t="shared" si="0"/>
        <v/>
      </c>
      <c r="B40" s="188"/>
      <c r="C40" s="197"/>
      <c r="D40" s="198"/>
      <c r="E40" s="182"/>
      <c r="F40" s="209" t="s">
        <v>154</v>
      </c>
      <c r="G40" s="210">
        <f>G15</f>
        <v>0</v>
      </c>
      <c r="H40" s="211"/>
    </row>
    <row r="41" spans="1:8" x14ac:dyDescent="0.25">
      <c r="B41" s="190" t="s">
        <v>155</v>
      </c>
      <c r="C41" s="197"/>
      <c r="D41" s="198"/>
      <c r="E41" s="182"/>
      <c r="F41" s="188"/>
      <c r="G41" s="191"/>
      <c r="H41" s="189"/>
    </row>
    <row r="42" spans="1:8" x14ac:dyDescent="0.25">
      <c r="A42" t="str">
        <f t="shared" si="0"/>
        <v>661</v>
      </c>
      <c r="B42" s="188" t="s">
        <v>74</v>
      </c>
      <c r="C42" s="312">
        <f>SUMIF('Recap dep rec'!$A:$A,A42,'Recap dep rec'!$X:$X)</f>
        <v>500</v>
      </c>
      <c r="D42" s="189">
        <f t="shared" ref="D42" si="5">C42/$C$56</f>
        <v>9.6153846153846159E-2</v>
      </c>
      <c r="E42" s="182"/>
      <c r="F42" s="190" t="s">
        <v>156</v>
      </c>
      <c r="G42" s="186"/>
      <c r="H42" s="187"/>
    </row>
    <row r="43" spans="1:8" x14ac:dyDescent="0.25">
      <c r="A43" t="str">
        <f t="shared" si="0"/>
        <v/>
      </c>
      <c r="B43" s="188"/>
      <c r="C43" s="197"/>
      <c r="D43" s="198"/>
      <c r="E43" s="182"/>
      <c r="F43" s="188" t="s">
        <v>88</v>
      </c>
      <c r="G43" s="191"/>
      <c r="H43" s="198"/>
    </row>
    <row r="44" spans="1:8" x14ac:dyDescent="0.25">
      <c r="A44" t="str">
        <f t="shared" si="0"/>
        <v/>
      </c>
      <c r="B44" s="188"/>
      <c r="C44" s="197"/>
      <c r="D44" s="198"/>
      <c r="E44" s="182"/>
      <c r="F44" s="188" t="s">
        <v>157</v>
      </c>
      <c r="G44" s="212"/>
      <c r="H44" s="198"/>
    </row>
    <row r="45" spans="1:8" x14ac:dyDescent="0.25">
      <c r="A45" t="str">
        <f t="shared" si="0"/>
        <v xml:space="preserve">68 </v>
      </c>
      <c r="B45" s="190" t="s">
        <v>158</v>
      </c>
      <c r="C45" s="197"/>
      <c r="D45" s="198"/>
      <c r="E45" s="182"/>
      <c r="F45" s="188" t="s">
        <v>87</v>
      </c>
      <c r="G45" s="191">
        <f>'Recap dep rec'!Y33</f>
        <v>5200</v>
      </c>
      <c r="H45" s="198"/>
    </row>
    <row r="46" spans="1:8" x14ac:dyDescent="0.25">
      <c r="A46" t="str">
        <f t="shared" si="0"/>
        <v>aux</v>
      </c>
      <c r="B46" s="190" t="s">
        <v>159</v>
      </c>
      <c r="C46" s="194"/>
      <c r="D46" s="189"/>
      <c r="E46" s="182"/>
      <c r="F46" s="188" t="s">
        <v>160</v>
      </c>
      <c r="G46" s="191"/>
      <c r="H46" s="198"/>
    </row>
    <row r="47" spans="1:8" x14ac:dyDescent="0.25">
      <c r="A47" t="str">
        <f t="shared" si="0"/>
        <v>681</v>
      </c>
      <c r="B47" s="213" t="s">
        <v>75</v>
      </c>
      <c r="C47" s="312">
        <f>SUMIF('Recap dep rec'!$A:$A,A47,'Recap dep rec'!$X:$X)</f>
        <v>0</v>
      </c>
      <c r="D47" s="189">
        <f t="shared" ref="D47" si="6">C47/$C$56</f>
        <v>0</v>
      </c>
      <c r="E47" s="182"/>
      <c r="F47" s="188"/>
      <c r="G47" s="191"/>
      <c r="H47" s="198"/>
    </row>
    <row r="48" spans="1:8" x14ac:dyDescent="0.25">
      <c r="B48" s="188" t="s">
        <v>161</v>
      </c>
      <c r="C48" s="194"/>
      <c r="D48" s="189"/>
      <c r="E48" s="182"/>
      <c r="F48" s="188"/>
      <c r="G48" s="191"/>
      <c r="H48" s="189"/>
    </row>
    <row r="49" spans="1:8" x14ac:dyDescent="0.25">
      <c r="B49" s="213"/>
      <c r="C49" s="194"/>
      <c r="D49" s="189"/>
      <c r="E49" s="182"/>
      <c r="F49" s="190"/>
      <c r="G49" s="191"/>
      <c r="H49" s="189"/>
    </row>
    <row r="50" spans="1:8" x14ac:dyDescent="0.25">
      <c r="B50" s="213"/>
      <c r="C50" s="194"/>
      <c r="D50" s="189"/>
      <c r="E50" s="182"/>
      <c r="F50" s="190" t="s">
        <v>162</v>
      </c>
      <c r="G50" s="214"/>
      <c r="H50" s="187"/>
    </row>
    <row r="51" spans="1:8" x14ac:dyDescent="0.25">
      <c r="B51" s="190" t="s">
        <v>163</v>
      </c>
      <c r="C51" s="186"/>
      <c r="D51" s="187"/>
      <c r="E51" s="182"/>
      <c r="F51" s="188" t="s">
        <v>164</v>
      </c>
      <c r="G51" s="215"/>
      <c r="H51" s="189"/>
    </row>
    <row r="52" spans="1:8" ht="15.75" x14ac:dyDescent="0.25">
      <c r="A52" t="s">
        <v>325</v>
      </c>
      <c r="B52" s="213" t="s">
        <v>29</v>
      </c>
      <c r="C52" s="312">
        <f>SUMIF('Recap dep rec'!$A:$A,A52,'Recap dep rec'!$X:$X)</f>
        <v>0</v>
      </c>
      <c r="D52" s="189">
        <f t="shared" ref="D52" si="7">C52/$C$56</f>
        <v>0</v>
      </c>
      <c r="E52" s="217"/>
      <c r="F52" s="188" t="s">
        <v>165</v>
      </c>
      <c r="G52" s="215"/>
      <c r="H52" s="189"/>
    </row>
    <row r="53" spans="1:8" ht="15.75" x14ac:dyDescent="0.25">
      <c r="B53" s="188" t="s">
        <v>166</v>
      </c>
      <c r="C53" s="216"/>
      <c r="D53" s="189"/>
      <c r="E53" s="217"/>
      <c r="F53" s="188" t="s">
        <v>167</v>
      </c>
      <c r="G53" s="215"/>
      <c r="H53" s="189"/>
    </row>
    <row r="54" spans="1:8" x14ac:dyDescent="0.25">
      <c r="B54" s="188" t="s">
        <v>167</v>
      </c>
      <c r="C54" s="216"/>
      <c r="D54" s="189"/>
      <c r="F54" s="188"/>
      <c r="G54" s="215"/>
      <c r="H54" s="189"/>
    </row>
    <row r="55" spans="1:8" x14ac:dyDescent="0.25">
      <c r="B55" s="218"/>
      <c r="C55" s="219"/>
      <c r="D55" s="220"/>
      <c r="F55" s="188"/>
      <c r="G55" s="215"/>
      <c r="H55" s="189"/>
    </row>
    <row r="56" spans="1:8" x14ac:dyDescent="0.25">
      <c r="B56" s="221" t="s">
        <v>168</v>
      </c>
      <c r="C56" s="222">
        <f>SUM(C5:C55)</f>
        <v>5200</v>
      </c>
      <c r="D56" s="223"/>
      <c r="F56" s="221" t="s">
        <v>169</v>
      </c>
      <c r="G56" s="224">
        <f>SUM(G43:G55)</f>
        <v>5200</v>
      </c>
      <c r="H56" s="223"/>
    </row>
    <row r="57" spans="1:8" x14ac:dyDescent="0.25">
      <c r="B57" s="182"/>
      <c r="C57" s="225">
        <f>C56-'Recap dep rec'!X29</f>
        <v>0</v>
      </c>
      <c r="D57" s="226"/>
      <c r="F57" s="182"/>
      <c r="G57" s="225"/>
      <c r="H57" s="227"/>
    </row>
    <row r="58" spans="1:8" ht="15.75" x14ac:dyDescent="0.25">
      <c r="B58" s="182"/>
      <c r="C58" s="228"/>
      <c r="D58" s="229"/>
      <c r="F58" s="217"/>
      <c r="G58" s="228"/>
      <c r="H58" s="230"/>
    </row>
    <row r="59" spans="1:8" ht="15.75" x14ac:dyDescent="0.25">
      <c r="B59" s="217"/>
      <c r="C59" s="228"/>
      <c r="D59" s="229"/>
      <c r="F59" s="217"/>
      <c r="G59" s="228"/>
      <c r="H59" s="226"/>
    </row>
    <row r="60" spans="1:8" ht="15.75" x14ac:dyDescent="0.25">
      <c r="C60" s="231"/>
      <c r="D60" s="232"/>
      <c r="G60" s="231"/>
      <c r="H60" s="229"/>
    </row>
  </sheetData>
  <mergeCells count="1">
    <mergeCell ref="B1:H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29</vt:i4>
      </vt:variant>
    </vt:vector>
  </HeadingPairs>
  <TitlesOfParts>
    <vt:vector size="29" baseType="lpstr">
      <vt:lpstr>Valo</vt:lpstr>
      <vt:lpstr>Dépenses</vt:lpstr>
      <vt:lpstr>Salaires</vt:lpstr>
      <vt:lpstr>Analytique</vt:lpstr>
      <vt:lpstr>Recap dep rec</vt:lpstr>
      <vt:lpstr>Budget Global 2018</vt:lpstr>
      <vt:lpstr>Gouvernance A</vt:lpstr>
      <vt:lpstr>Ecosysteme B</vt:lpstr>
      <vt:lpstr>modele</vt:lpstr>
      <vt:lpstr>Mice Place </vt:lpstr>
      <vt:lpstr>SBE LYON</vt:lpstr>
      <vt:lpstr>Heavent </vt:lpstr>
      <vt:lpstr>Imex </vt:lpstr>
      <vt:lpstr>Workshop Allemagne</vt:lpstr>
      <vt:lpstr>Actions 1er semestre 2018</vt:lpstr>
      <vt:lpstr>Eductours 1et 2</vt:lpstr>
      <vt:lpstr>Workshop UK</vt:lpstr>
      <vt:lpstr>Operation Paris ete</vt:lpstr>
      <vt:lpstr>Workshop Lyon</vt:lpstr>
      <vt:lpstr>Operation Paris C12</vt:lpstr>
      <vt:lpstr>IBTM</vt:lpstr>
      <vt:lpstr>Soutien au dvp international</vt:lpstr>
      <vt:lpstr>Eductour Belge</vt:lpstr>
      <vt:lpstr>MP2</vt:lpstr>
      <vt:lpstr>Demarchages europe </vt:lpstr>
      <vt:lpstr>Application WACAN</vt:lpstr>
      <vt:lpstr>Action Second semestre </vt:lpstr>
      <vt:lpstr>Cellule Gds EV</vt:lpstr>
      <vt:lpstr>Budget 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Malika BOULDI</dc:creator>
  <cp:lastModifiedBy>DEHEZ Jean-Paul</cp:lastModifiedBy>
  <cp:lastPrinted>2016-07-21T09:02:28Z</cp:lastPrinted>
  <dcterms:created xsi:type="dcterms:W3CDTF">2015-05-25T07:10:09Z</dcterms:created>
  <dcterms:modified xsi:type="dcterms:W3CDTF">2017-11-27T15:05:15Z</dcterms:modified>
</cp:coreProperties>
</file>